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Lenovo\Downloads\OneDrive_1_14-07-2025\"/>
    </mc:Choice>
  </mc:AlternateContent>
  <xr:revisionPtr revIDLastSave="0" documentId="13_ncr:1_{99286D62-6006-47F0-A640-8F7EBF589B39}" xr6:coauthVersionLast="47" xr6:coauthVersionMax="47" xr10:uidLastSave="{00000000-0000-0000-0000-000000000000}"/>
  <bookViews>
    <workbookView xWindow="-108" yWindow="-108" windowWidth="23256" windowHeight="12456" firstSheet="1" activeTab="9" xr2:uid="{00000000-000D-0000-FFFF-FFFF00000000}"/>
  </bookViews>
  <sheets>
    <sheet name="Daily Dashboard" sheetId="13" r:id="rId1"/>
    <sheet name="CMS_Data" sheetId="20" r:id="rId2"/>
    <sheet name="Annual KPI" sheetId="12" r:id="rId3"/>
    <sheet name="Monthly KPI" sheetId="10" r:id="rId4"/>
    <sheet name="Modelling New" sheetId="22" state="hidden" r:id="rId5"/>
    <sheet name="Daily KPI" sheetId="21" r:id="rId6"/>
    <sheet name="Raw Data" sheetId="1" r:id="rId7"/>
    <sheet name="Basic Data" sheetId="2" state="hidden" r:id="rId8"/>
    <sheet name="Inv_SY" sheetId="6" r:id="rId9"/>
    <sheet name="Inv_SY_Dev" sheetId="7" r:id="rId10"/>
    <sheet name="Plant BD" sheetId="3" r:id="rId11"/>
    <sheet name="Grid BD" sheetId="11" r:id="rId12"/>
    <sheet name="Mod_CL" sheetId="19" r:id="rId13"/>
    <sheet name="Grass_Cutting" sheetId="15" r:id="rId14"/>
    <sheet name="Spare_Consumable" sheetId="16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7" l="1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AK265" i="7"/>
  <c r="AL265" i="7"/>
  <c r="AM265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AK266" i="7"/>
  <c r="AL266" i="7"/>
  <c r="AM266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AK268" i="7"/>
  <c r="AL268" i="7"/>
  <c r="AM268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AK269" i="7"/>
  <c r="AL269" i="7"/>
  <c r="AM269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AH271" i="7"/>
  <c r="AI271" i="7"/>
  <c r="AJ271" i="7"/>
  <c r="AK271" i="7"/>
  <c r="AL271" i="7"/>
  <c r="AM271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AH272" i="7"/>
  <c r="AI272" i="7"/>
  <c r="AJ272" i="7"/>
  <c r="AK272" i="7"/>
  <c r="AL272" i="7"/>
  <c r="AM272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AH273" i="7"/>
  <c r="AI273" i="7"/>
  <c r="AJ273" i="7"/>
  <c r="AK273" i="7"/>
  <c r="AL273" i="7"/>
  <c r="AM273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AD274" i="7"/>
  <c r="AE274" i="7"/>
  <c r="AF274" i="7"/>
  <c r="AG274" i="7"/>
  <c r="AH274" i="7"/>
  <c r="AI274" i="7"/>
  <c r="AJ274" i="7"/>
  <c r="AK274" i="7"/>
  <c r="AL274" i="7"/>
  <c r="AM274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AD275" i="7"/>
  <c r="AE275" i="7"/>
  <c r="AF275" i="7"/>
  <c r="AG275" i="7"/>
  <c r="AH275" i="7"/>
  <c r="AI275" i="7"/>
  <c r="AJ275" i="7"/>
  <c r="AK275" i="7"/>
  <c r="AL275" i="7"/>
  <c r="AM275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AD276" i="7"/>
  <c r="AE276" i="7"/>
  <c r="AF276" i="7"/>
  <c r="AG276" i="7"/>
  <c r="AH276" i="7"/>
  <c r="AI276" i="7"/>
  <c r="AJ276" i="7"/>
  <c r="AK276" i="7"/>
  <c r="AL276" i="7"/>
  <c r="AM276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AD277" i="7"/>
  <c r="AE277" i="7"/>
  <c r="AF277" i="7"/>
  <c r="AG277" i="7"/>
  <c r="AH277" i="7"/>
  <c r="AI277" i="7"/>
  <c r="AJ277" i="7"/>
  <c r="AK277" i="7"/>
  <c r="AL277" i="7"/>
  <c r="AM277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AD278" i="7"/>
  <c r="AE278" i="7"/>
  <c r="AF278" i="7"/>
  <c r="AG278" i="7"/>
  <c r="AH278" i="7"/>
  <c r="AI278" i="7"/>
  <c r="AJ278" i="7"/>
  <c r="AK278" i="7"/>
  <c r="AL278" i="7"/>
  <c r="AM278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AD279" i="7"/>
  <c r="AE279" i="7"/>
  <c r="AF279" i="7"/>
  <c r="AG279" i="7"/>
  <c r="AH279" i="7"/>
  <c r="AI279" i="7"/>
  <c r="AJ279" i="7"/>
  <c r="AK279" i="7"/>
  <c r="AL279" i="7"/>
  <c r="AM279" i="7"/>
  <c r="J280" i="7"/>
  <c r="K280" i="7"/>
  <c r="L280" i="7"/>
  <c r="M280" i="7"/>
  <c r="N280" i="7"/>
  <c r="O280" i="7"/>
  <c r="P280" i="7"/>
  <c r="Q280" i="7"/>
  <c r="R280" i="7"/>
  <c r="S280" i="7"/>
  <c r="T280" i="7"/>
  <c r="U280" i="7"/>
  <c r="V280" i="7"/>
  <c r="W280" i="7"/>
  <c r="X280" i="7"/>
  <c r="Y280" i="7"/>
  <c r="Z280" i="7"/>
  <c r="AA280" i="7"/>
  <c r="AB280" i="7"/>
  <c r="AC280" i="7"/>
  <c r="AD280" i="7"/>
  <c r="AE280" i="7"/>
  <c r="AF280" i="7"/>
  <c r="AG280" i="7"/>
  <c r="AH280" i="7"/>
  <c r="AI280" i="7"/>
  <c r="AJ280" i="7"/>
  <c r="AK280" i="7"/>
  <c r="AL280" i="7"/>
  <c r="AM280" i="7"/>
  <c r="J281" i="7"/>
  <c r="K281" i="7"/>
  <c r="L281" i="7"/>
  <c r="M281" i="7"/>
  <c r="N281" i="7"/>
  <c r="O281" i="7"/>
  <c r="P281" i="7"/>
  <c r="Q281" i="7"/>
  <c r="R281" i="7"/>
  <c r="S281" i="7"/>
  <c r="T281" i="7"/>
  <c r="U281" i="7"/>
  <c r="V281" i="7"/>
  <c r="W281" i="7"/>
  <c r="X281" i="7"/>
  <c r="Y281" i="7"/>
  <c r="Z281" i="7"/>
  <c r="AA281" i="7"/>
  <c r="AB281" i="7"/>
  <c r="AC281" i="7"/>
  <c r="AD281" i="7"/>
  <c r="AE281" i="7"/>
  <c r="AF281" i="7"/>
  <c r="AG281" i="7"/>
  <c r="AH281" i="7"/>
  <c r="AI281" i="7"/>
  <c r="AJ281" i="7"/>
  <c r="AK281" i="7"/>
  <c r="AL281" i="7"/>
  <c r="AM281" i="7"/>
  <c r="J282" i="7"/>
  <c r="K282" i="7"/>
  <c r="L282" i="7"/>
  <c r="M282" i="7"/>
  <c r="N282" i="7"/>
  <c r="O282" i="7"/>
  <c r="P282" i="7"/>
  <c r="Q282" i="7"/>
  <c r="R282" i="7"/>
  <c r="S282" i="7"/>
  <c r="T282" i="7"/>
  <c r="U282" i="7"/>
  <c r="V282" i="7"/>
  <c r="W282" i="7"/>
  <c r="X282" i="7"/>
  <c r="Y282" i="7"/>
  <c r="Z282" i="7"/>
  <c r="AA282" i="7"/>
  <c r="AB282" i="7"/>
  <c r="AC282" i="7"/>
  <c r="AD282" i="7"/>
  <c r="AE282" i="7"/>
  <c r="AF282" i="7"/>
  <c r="AG282" i="7"/>
  <c r="AH282" i="7"/>
  <c r="AI282" i="7"/>
  <c r="AJ282" i="7"/>
  <c r="AK282" i="7"/>
  <c r="AL282" i="7"/>
  <c r="AM282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AD283" i="7"/>
  <c r="AE283" i="7"/>
  <c r="AF283" i="7"/>
  <c r="AG283" i="7"/>
  <c r="AH283" i="7"/>
  <c r="AI283" i="7"/>
  <c r="AJ283" i="7"/>
  <c r="AK283" i="7"/>
  <c r="AL283" i="7"/>
  <c r="AM283" i="7"/>
  <c r="J284" i="7"/>
  <c r="K284" i="7"/>
  <c r="L284" i="7"/>
  <c r="M284" i="7"/>
  <c r="N284" i="7"/>
  <c r="O284" i="7"/>
  <c r="P284" i="7"/>
  <c r="Q284" i="7"/>
  <c r="R284" i="7"/>
  <c r="S284" i="7"/>
  <c r="T284" i="7"/>
  <c r="U284" i="7"/>
  <c r="V284" i="7"/>
  <c r="W284" i="7"/>
  <c r="X284" i="7"/>
  <c r="Y284" i="7"/>
  <c r="Z284" i="7"/>
  <c r="AA284" i="7"/>
  <c r="AB284" i="7"/>
  <c r="AC284" i="7"/>
  <c r="AD284" i="7"/>
  <c r="AE284" i="7"/>
  <c r="AF284" i="7"/>
  <c r="AG284" i="7"/>
  <c r="AH284" i="7"/>
  <c r="AI284" i="7"/>
  <c r="AJ284" i="7"/>
  <c r="AK284" i="7"/>
  <c r="AL284" i="7"/>
  <c r="AM284" i="7"/>
  <c r="J285" i="7"/>
  <c r="K285" i="7"/>
  <c r="L285" i="7"/>
  <c r="M285" i="7"/>
  <c r="N285" i="7"/>
  <c r="O285" i="7"/>
  <c r="P285" i="7"/>
  <c r="Q285" i="7"/>
  <c r="R285" i="7"/>
  <c r="S285" i="7"/>
  <c r="T285" i="7"/>
  <c r="U285" i="7"/>
  <c r="V285" i="7"/>
  <c r="W285" i="7"/>
  <c r="X285" i="7"/>
  <c r="Y285" i="7"/>
  <c r="Z285" i="7"/>
  <c r="AA285" i="7"/>
  <c r="AB285" i="7"/>
  <c r="AC285" i="7"/>
  <c r="AD285" i="7"/>
  <c r="AE285" i="7"/>
  <c r="AF285" i="7"/>
  <c r="AG285" i="7"/>
  <c r="AH285" i="7"/>
  <c r="AI285" i="7"/>
  <c r="AJ285" i="7"/>
  <c r="AK285" i="7"/>
  <c r="AL285" i="7"/>
  <c r="AM285" i="7"/>
  <c r="J286" i="7"/>
  <c r="K286" i="7"/>
  <c r="L286" i="7"/>
  <c r="M286" i="7"/>
  <c r="N286" i="7"/>
  <c r="O286" i="7"/>
  <c r="P286" i="7"/>
  <c r="Q286" i="7"/>
  <c r="R286" i="7"/>
  <c r="S286" i="7"/>
  <c r="T286" i="7"/>
  <c r="U286" i="7"/>
  <c r="V286" i="7"/>
  <c r="W286" i="7"/>
  <c r="X286" i="7"/>
  <c r="Y286" i="7"/>
  <c r="Z286" i="7"/>
  <c r="AA286" i="7"/>
  <c r="AB286" i="7"/>
  <c r="AC286" i="7"/>
  <c r="AD286" i="7"/>
  <c r="AE286" i="7"/>
  <c r="AF286" i="7"/>
  <c r="AG286" i="7"/>
  <c r="AH286" i="7"/>
  <c r="AI286" i="7"/>
  <c r="AJ286" i="7"/>
  <c r="AK286" i="7"/>
  <c r="AL286" i="7"/>
  <c r="AM286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V287" i="7"/>
  <c r="W287" i="7"/>
  <c r="X287" i="7"/>
  <c r="Y287" i="7"/>
  <c r="Z287" i="7"/>
  <c r="AA287" i="7"/>
  <c r="AB287" i="7"/>
  <c r="AC287" i="7"/>
  <c r="AD287" i="7"/>
  <c r="AE287" i="7"/>
  <c r="AF287" i="7"/>
  <c r="AG287" i="7"/>
  <c r="AH287" i="7"/>
  <c r="AI287" i="7"/>
  <c r="AJ287" i="7"/>
  <c r="AK287" i="7"/>
  <c r="AL287" i="7"/>
  <c r="AM287" i="7"/>
  <c r="J288" i="7"/>
  <c r="K288" i="7"/>
  <c r="L288" i="7"/>
  <c r="M288" i="7"/>
  <c r="N288" i="7"/>
  <c r="O288" i="7"/>
  <c r="P288" i="7"/>
  <c r="Q288" i="7"/>
  <c r="R288" i="7"/>
  <c r="S288" i="7"/>
  <c r="T288" i="7"/>
  <c r="U288" i="7"/>
  <c r="V288" i="7"/>
  <c r="W288" i="7"/>
  <c r="X288" i="7"/>
  <c r="Y288" i="7"/>
  <c r="Z288" i="7"/>
  <c r="AA288" i="7"/>
  <c r="AB288" i="7"/>
  <c r="AC288" i="7"/>
  <c r="AD288" i="7"/>
  <c r="AE288" i="7"/>
  <c r="AF288" i="7"/>
  <c r="AG288" i="7"/>
  <c r="AH288" i="7"/>
  <c r="AI288" i="7"/>
  <c r="AJ288" i="7"/>
  <c r="AK288" i="7"/>
  <c r="AL288" i="7"/>
  <c r="AM288" i="7"/>
  <c r="J289" i="7"/>
  <c r="K289" i="7"/>
  <c r="L289" i="7"/>
  <c r="M289" i="7"/>
  <c r="N289" i="7"/>
  <c r="O289" i="7"/>
  <c r="P289" i="7"/>
  <c r="Q289" i="7"/>
  <c r="R289" i="7"/>
  <c r="S289" i="7"/>
  <c r="T289" i="7"/>
  <c r="U289" i="7"/>
  <c r="V289" i="7"/>
  <c r="W289" i="7"/>
  <c r="X289" i="7"/>
  <c r="Y289" i="7"/>
  <c r="Z289" i="7"/>
  <c r="AA289" i="7"/>
  <c r="AB289" i="7"/>
  <c r="AC289" i="7"/>
  <c r="AD289" i="7"/>
  <c r="AE289" i="7"/>
  <c r="AF289" i="7"/>
  <c r="AG289" i="7"/>
  <c r="AH289" i="7"/>
  <c r="AI289" i="7"/>
  <c r="AJ289" i="7"/>
  <c r="AK289" i="7"/>
  <c r="AL289" i="7"/>
  <c r="AM289" i="7"/>
  <c r="J290" i="7"/>
  <c r="K290" i="7"/>
  <c r="L290" i="7"/>
  <c r="M290" i="7"/>
  <c r="N290" i="7"/>
  <c r="O290" i="7"/>
  <c r="P290" i="7"/>
  <c r="Q290" i="7"/>
  <c r="R290" i="7"/>
  <c r="S290" i="7"/>
  <c r="T290" i="7"/>
  <c r="U290" i="7"/>
  <c r="V290" i="7"/>
  <c r="W290" i="7"/>
  <c r="X290" i="7"/>
  <c r="Y290" i="7"/>
  <c r="Z290" i="7"/>
  <c r="AA290" i="7"/>
  <c r="AB290" i="7"/>
  <c r="AC290" i="7"/>
  <c r="AD290" i="7"/>
  <c r="AE290" i="7"/>
  <c r="AF290" i="7"/>
  <c r="AG290" i="7"/>
  <c r="AH290" i="7"/>
  <c r="AI290" i="7"/>
  <c r="AJ290" i="7"/>
  <c r="AK290" i="7"/>
  <c r="AL290" i="7"/>
  <c r="AM290" i="7"/>
  <c r="J291" i="7"/>
  <c r="K291" i="7"/>
  <c r="L291" i="7"/>
  <c r="M291" i="7"/>
  <c r="N291" i="7"/>
  <c r="O291" i="7"/>
  <c r="P291" i="7"/>
  <c r="Q291" i="7"/>
  <c r="R291" i="7"/>
  <c r="S291" i="7"/>
  <c r="T291" i="7"/>
  <c r="U291" i="7"/>
  <c r="V291" i="7"/>
  <c r="W291" i="7"/>
  <c r="X291" i="7"/>
  <c r="Y291" i="7"/>
  <c r="Z291" i="7"/>
  <c r="AA291" i="7"/>
  <c r="AB291" i="7"/>
  <c r="AC291" i="7"/>
  <c r="AD291" i="7"/>
  <c r="AE291" i="7"/>
  <c r="AF291" i="7"/>
  <c r="AG291" i="7"/>
  <c r="AH291" i="7"/>
  <c r="AI291" i="7"/>
  <c r="AJ291" i="7"/>
  <c r="AK291" i="7"/>
  <c r="AL291" i="7"/>
  <c r="AM291" i="7"/>
  <c r="J292" i="7"/>
  <c r="K292" i="7"/>
  <c r="L292" i="7"/>
  <c r="M292" i="7"/>
  <c r="N292" i="7"/>
  <c r="O292" i="7"/>
  <c r="P292" i="7"/>
  <c r="Q292" i="7"/>
  <c r="R292" i="7"/>
  <c r="S292" i="7"/>
  <c r="T292" i="7"/>
  <c r="U292" i="7"/>
  <c r="V292" i="7"/>
  <c r="W292" i="7"/>
  <c r="X292" i="7"/>
  <c r="Y292" i="7"/>
  <c r="Z292" i="7"/>
  <c r="AA292" i="7"/>
  <c r="AB292" i="7"/>
  <c r="AC292" i="7"/>
  <c r="AD292" i="7"/>
  <c r="AE292" i="7"/>
  <c r="AF292" i="7"/>
  <c r="AG292" i="7"/>
  <c r="AH292" i="7"/>
  <c r="AI292" i="7"/>
  <c r="AJ292" i="7"/>
  <c r="AK292" i="7"/>
  <c r="AL292" i="7"/>
  <c r="AM292" i="7"/>
  <c r="J293" i="7"/>
  <c r="K293" i="7"/>
  <c r="L293" i="7"/>
  <c r="M293" i="7"/>
  <c r="N293" i="7"/>
  <c r="O293" i="7"/>
  <c r="P293" i="7"/>
  <c r="Q293" i="7"/>
  <c r="R293" i="7"/>
  <c r="S293" i="7"/>
  <c r="T293" i="7"/>
  <c r="U293" i="7"/>
  <c r="V293" i="7"/>
  <c r="W293" i="7"/>
  <c r="X293" i="7"/>
  <c r="Y293" i="7"/>
  <c r="Z293" i="7"/>
  <c r="AA293" i="7"/>
  <c r="AB293" i="7"/>
  <c r="AC293" i="7"/>
  <c r="AD293" i="7"/>
  <c r="AE293" i="7"/>
  <c r="AF293" i="7"/>
  <c r="AG293" i="7"/>
  <c r="AH293" i="7"/>
  <c r="AI293" i="7"/>
  <c r="AJ293" i="7"/>
  <c r="AK293" i="7"/>
  <c r="AL293" i="7"/>
  <c r="AM293" i="7"/>
  <c r="J294" i="7"/>
  <c r="K294" i="7"/>
  <c r="L294" i="7"/>
  <c r="M294" i="7"/>
  <c r="N294" i="7"/>
  <c r="O294" i="7"/>
  <c r="P294" i="7"/>
  <c r="Q294" i="7"/>
  <c r="R294" i="7"/>
  <c r="S294" i="7"/>
  <c r="T294" i="7"/>
  <c r="U294" i="7"/>
  <c r="V294" i="7"/>
  <c r="W294" i="7"/>
  <c r="X294" i="7"/>
  <c r="Y294" i="7"/>
  <c r="Z294" i="7"/>
  <c r="AA294" i="7"/>
  <c r="AB294" i="7"/>
  <c r="AC294" i="7"/>
  <c r="AD294" i="7"/>
  <c r="AE294" i="7"/>
  <c r="AF294" i="7"/>
  <c r="AG294" i="7"/>
  <c r="AH294" i="7"/>
  <c r="AI294" i="7"/>
  <c r="AJ294" i="7"/>
  <c r="AK294" i="7"/>
  <c r="AL294" i="7"/>
  <c r="AM294" i="7"/>
  <c r="J295" i="7"/>
  <c r="K295" i="7"/>
  <c r="L295" i="7"/>
  <c r="M295" i="7"/>
  <c r="N295" i="7"/>
  <c r="O295" i="7"/>
  <c r="P295" i="7"/>
  <c r="Q295" i="7"/>
  <c r="R295" i="7"/>
  <c r="S295" i="7"/>
  <c r="T295" i="7"/>
  <c r="U295" i="7"/>
  <c r="V295" i="7"/>
  <c r="W295" i="7"/>
  <c r="X295" i="7"/>
  <c r="Y295" i="7"/>
  <c r="Z295" i="7"/>
  <c r="AA295" i="7"/>
  <c r="AB295" i="7"/>
  <c r="AC295" i="7"/>
  <c r="AD295" i="7"/>
  <c r="AE295" i="7"/>
  <c r="AF295" i="7"/>
  <c r="AG295" i="7"/>
  <c r="AH295" i="7"/>
  <c r="AI295" i="7"/>
  <c r="AJ295" i="7"/>
  <c r="AK295" i="7"/>
  <c r="AL295" i="7"/>
  <c r="AM295" i="7"/>
  <c r="J296" i="7"/>
  <c r="K296" i="7"/>
  <c r="L296" i="7"/>
  <c r="M296" i="7"/>
  <c r="N296" i="7"/>
  <c r="O296" i="7"/>
  <c r="P296" i="7"/>
  <c r="Q296" i="7"/>
  <c r="R296" i="7"/>
  <c r="S296" i="7"/>
  <c r="T296" i="7"/>
  <c r="U296" i="7"/>
  <c r="V296" i="7"/>
  <c r="W296" i="7"/>
  <c r="X296" i="7"/>
  <c r="Y296" i="7"/>
  <c r="Z296" i="7"/>
  <c r="AA296" i="7"/>
  <c r="AB296" i="7"/>
  <c r="AC296" i="7"/>
  <c r="AD296" i="7"/>
  <c r="AE296" i="7"/>
  <c r="AF296" i="7"/>
  <c r="AG296" i="7"/>
  <c r="AH296" i="7"/>
  <c r="AI296" i="7"/>
  <c r="AJ296" i="7"/>
  <c r="AK296" i="7"/>
  <c r="AL296" i="7"/>
  <c r="AM296" i="7"/>
  <c r="J297" i="7"/>
  <c r="K297" i="7"/>
  <c r="L297" i="7"/>
  <c r="M297" i="7"/>
  <c r="N297" i="7"/>
  <c r="O297" i="7"/>
  <c r="P297" i="7"/>
  <c r="Q297" i="7"/>
  <c r="R297" i="7"/>
  <c r="S297" i="7"/>
  <c r="T297" i="7"/>
  <c r="U297" i="7"/>
  <c r="V297" i="7"/>
  <c r="W297" i="7"/>
  <c r="X297" i="7"/>
  <c r="Y297" i="7"/>
  <c r="Z297" i="7"/>
  <c r="AA297" i="7"/>
  <c r="AB297" i="7"/>
  <c r="AC297" i="7"/>
  <c r="AD297" i="7"/>
  <c r="AE297" i="7"/>
  <c r="AF297" i="7"/>
  <c r="AG297" i="7"/>
  <c r="AH297" i="7"/>
  <c r="AI297" i="7"/>
  <c r="AJ297" i="7"/>
  <c r="AK297" i="7"/>
  <c r="AL297" i="7"/>
  <c r="AM297" i="7"/>
  <c r="J298" i="7"/>
  <c r="K298" i="7"/>
  <c r="L298" i="7"/>
  <c r="M298" i="7"/>
  <c r="N298" i="7"/>
  <c r="O298" i="7"/>
  <c r="P298" i="7"/>
  <c r="Q298" i="7"/>
  <c r="R298" i="7"/>
  <c r="S298" i="7"/>
  <c r="T298" i="7"/>
  <c r="U298" i="7"/>
  <c r="V298" i="7"/>
  <c r="W298" i="7"/>
  <c r="X298" i="7"/>
  <c r="Y298" i="7"/>
  <c r="Z298" i="7"/>
  <c r="AA298" i="7"/>
  <c r="AB298" i="7"/>
  <c r="AC298" i="7"/>
  <c r="AD298" i="7"/>
  <c r="AE298" i="7"/>
  <c r="AF298" i="7"/>
  <c r="AG298" i="7"/>
  <c r="AH298" i="7"/>
  <c r="AI298" i="7"/>
  <c r="AJ298" i="7"/>
  <c r="AK298" i="7"/>
  <c r="AL298" i="7"/>
  <c r="AM298" i="7"/>
  <c r="J299" i="7"/>
  <c r="K299" i="7"/>
  <c r="L299" i="7"/>
  <c r="M299" i="7"/>
  <c r="N299" i="7"/>
  <c r="O299" i="7"/>
  <c r="P299" i="7"/>
  <c r="Q299" i="7"/>
  <c r="R299" i="7"/>
  <c r="S299" i="7"/>
  <c r="T299" i="7"/>
  <c r="U299" i="7"/>
  <c r="V299" i="7"/>
  <c r="W299" i="7"/>
  <c r="X299" i="7"/>
  <c r="Y299" i="7"/>
  <c r="Z299" i="7"/>
  <c r="AA299" i="7"/>
  <c r="AB299" i="7"/>
  <c r="AC299" i="7"/>
  <c r="AD299" i="7"/>
  <c r="AE299" i="7"/>
  <c r="AF299" i="7"/>
  <c r="AG299" i="7"/>
  <c r="AH299" i="7"/>
  <c r="AI299" i="7"/>
  <c r="AJ299" i="7"/>
  <c r="AK299" i="7"/>
  <c r="AL299" i="7"/>
  <c r="AM299" i="7"/>
  <c r="J300" i="7"/>
  <c r="K300" i="7"/>
  <c r="L300" i="7"/>
  <c r="M300" i="7"/>
  <c r="N300" i="7"/>
  <c r="O300" i="7"/>
  <c r="P300" i="7"/>
  <c r="Q300" i="7"/>
  <c r="R300" i="7"/>
  <c r="S300" i="7"/>
  <c r="T300" i="7"/>
  <c r="U300" i="7"/>
  <c r="V300" i="7"/>
  <c r="W300" i="7"/>
  <c r="X300" i="7"/>
  <c r="Y300" i="7"/>
  <c r="Z300" i="7"/>
  <c r="AA300" i="7"/>
  <c r="AB300" i="7"/>
  <c r="AC300" i="7"/>
  <c r="AD300" i="7"/>
  <c r="AE300" i="7"/>
  <c r="AF300" i="7"/>
  <c r="AG300" i="7"/>
  <c r="AH300" i="7"/>
  <c r="AI300" i="7"/>
  <c r="AJ300" i="7"/>
  <c r="AK300" i="7"/>
  <c r="AL300" i="7"/>
  <c r="AM300" i="7"/>
  <c r="J301" i="7"/>
  <c r="K301" i="7"/>
  <c r="L301" i="7"/>
  <c r="M301" i="7"/>
  <c r="N301" i="7"/>
  <c r="O301" i="7"/>
  <c r="P301" i="7"/>
  <c r="Q301" i="7"/>
  <c r="R301" i="7"/>
  <c r="S301" i="7"/>
  <c r="T301" i="7"/>
  <c r="U301" i="7"/>
  <c r="V301" i="7"/>
  <c r="W301" i="7"/>
  <c r="X301" i="7"/>
  <c r="Y301" i="7"/>
  <c r="Z301" i="7"/>
  <c r="AA301" i="7"/>
  <c r="AB301" i="7"/>
  <c r="AC301" i="7"/>
  <c r="AD301" i="7"/>
  <c r="AE301" i="7"/>
  <c r="AF301" i="7"/>
  <c r="AG301" i="7"/>
  <c r="AH301" i="7"/>
  <c r="AI301" i="7"/>
  <c r="AJ301" i="7"/>
  <c r="AK301" i="7"/>
  <c r="AL301" i="7"/>
  <c r="AM301" i="7"/>
  <c r="J302" i="7"/>
  <c r="K302" i="7"/>
  <c r="L302" i="7"/>
  <c r="M302" i="7"/>
  <c r="N302" i="7"/>
  <c r="O302" i="7"/>
  <c r="P302" i="7"/>
  <c r="Q302" i="7"/>
  <c r="R302" i="7"/>
  <c r="S302" i="7"/>
  <c r="T302" i="7"/>
  <c r="U302" i="7"/>
  <c r="V302" i="7"/>
  <c r="W302" i="7"/>
  <c r="X302" i="7"/>
  <c r="Y302" i="7"/>
  <c r="Z302" i="7"/>
  <c r="AA302" i="7"/>
  <c r="AB302" i="7"/>
  <c r="AC302" i="7"/>
  <c r="AD302" i="7"/>
  <c r="AE302" i="7"/>
  <c r="AF302" i="7"/>
  <c r="AG302" i="7"/>
  <c r="AH302" i="7"/>
  <c r="AI302" i="7"/>
  <c r="AJ302" i="7"/>
  <c r="AK302" i="7"/>
  <c r="AL302" i="7"/>
  <c r="AM302" i="7"/>
  <c r="J303" i="7"/>
  <c r="K303" i="7"/>
  <c r="L303" i="7"/>
  <c r="M303" i="7"/>
  <c r="N303" i="7"/>
  <c r="O303" i="7"/>
  <c r="P303" i="7"/>
  <c r="Q303" i="7"/>
  <c r="R303" i="7"/>
  <c r="S303" i="7"/>
  <c r="T303" i="7"/>
  <c r="U303" i="7"/>
  <c r="V303" i="7"/>
  <c r="W303" i="7"/>
  <c r="X303" i="7"/>
  <c r="Y303" i="7"/>
  <c r="Z303" i="7"/>
  <c r="AA303" i="7"/>
  <c r="AB303" i="7"/>
  <c r="AC303" i="7"/>
  <c r="AD303" i="7"/>
  <c r="AE303" i="7"/>
  <c r="AF303" i="7"/>
  <c r="AG303" i="7"/>
  <c r="AH303" i="7"/>
  <c r="AI303" i="7"/>
  <c r="AJ303" i="7"/>
  <c r="AK303" i="7"/>
  <c r="AL303" i="7"/>
  <c r="AM303" i="7"/>
  <c r="J304" i="7"/>
  <c r="K304" i="7"/>
  <c r="L304" i="7"/>
  <c r="M304" i="7"/>
  <c r="N304" i="7"/>
  <c r="O304" i="7"/>
  <c r="P304" i="7"/>
  <c r="Q304" i="7"/>
  <c r="R304" i="7"/>
  <c r="S304" i="7"/>
  <c r="T304" i="7"/>
  <c r="U304" i="7"/>
  <c r="V304" i="7"/>
  <c r="W304" i="7"/>
  <c r="X304" i="7"/>
  <c r="Y304" i="7"/>
  <c r="Z304" i="7"/>
  <c r="AA304" i="7"/>
  <c r="AB304" i="7"/>
  <c r="AC304" i="7"/>
  <c r="AD304" i="7"/>
  <c r="AE304" i="7"/>
  <c r="AF304" i="7"/>
  <c r="AG304" i="7"/>
  <c r="AH304" i="7"/>
  <c r="AI304" i="7"/>
  <c r="AJ304" i="7"/>
  <c r="AK304" i="7"/>
  <c r="AL304" i="7"/>
  <c r="AM304" i="7"/>
  <c r="J305" i="7"/>
  <c r="K305" i="7"/>
  <c r="L305" i="7"/>
  <c r="M305" i="7"/>
  <c r="N305" i="7"/>
  <c r="O305" i="7"/>
  <c r="P305" i="7"/>
  <c r="Q305" i="7"/>
  <c r="R305" i="7"/>
  <c r="S305" i="7"/>
  <c r="T305" i="7"/>
  <c r="U305" i="7"/>
  <c r="V305" i="7"/>
  <c r="W305" i="7"/>
  <c r="X305" i="7"/>
  <c r="Y305" i="7"/>
  <c r="Z305" i="7"/>
  <c r="AA305" i="7"/>
  <c r="AB305" i="7"/>
  <c r="AC305" i="7"/>
  <c r="AD305" i="7"/>
  <c r="AE305" i="7"/>
  <c r="AF305" i="7"/>
  <c r="AG305" i="7"/>
  <c r="AH305" i="7"/>
  <c r="AI305" i="7"/>
  <c r="AJ305" i="7"/>
  <c r="AK305" i="7"/>
  <c r="AL305" i="7"/>
  <c r="AM305" i="7"/>
  <c r="J306" i="7"/>
  <c r="K306" i="7"/>
  <c r="L306" i="7"/>
  <c r="M306" i="7"/>
  <c r="N306" i="7"/>
  <c r="O306" i="7"/>
  <c r="P306" i="7"/>
  <c r="Q306" i="7"/>
  <c r="R306" i="7"/>
  <c r="S306" i="7"/>
  <c r="T306" i="7"/>
  <c r="U306" i="7"/>
  <c r="V306" i="7"/>
  <c r="W306" i="7"/>
  <c r="X306" i="7"/>
  <c r="Y306" i="7"/>
  <c r="Z306" i="7"/>
  <c r="AA306" i="7"/>
  <c r="AB306" i="7"/>
  <c r="AC306" i="7"/>
  <c r="AD306" i="7"/>
  <c r="AE306" i="7"/>
  <c r="AF306" i="7"/>
  <c r="AG306" i="7"/>
  <c r="AH306" i="7"/>
  <c r="AI306" i="7"/>
  <c r="AJ306" i="7"/>
  <c r="AK306" i="7"/>
  <c r="AL306" i="7"/>
  <c r="AM306" i="7"/>
  <c r="J307" i="7"/>
  <c r="K307" i="7"/>
  <c r="L307" i="7"/>
  <c r="M307" i="7"/>
  <c r="N307" i="7"/>
  <c r="O307" i="7"/>
  <c r="P307" i="7"/>
  <c r="Q307" i="7"/>
  <c r="R307" i="7"/>
  <c r="S307" i="7"/>
  <c r="T307" i="7"/>
  <c r="U307" i="7"/>
  <c r="V307" i="7"/>
  <c r="W307" i="7"/>
  <c r="X307" i="7"/>
  <c r="Y307" i="7"/>
  <c r="Z307" i="7"/>
  <c r="AA307" i="7"/>
  <c r="AB307" i="7"/>
  <c r="AC307" i="7"/>
  <c r="AD307" i="7"/>
  <c r="AE307" i="7"/>
  <c r="AF307" i="7"/>
  <c r="AG307" i="7"/>
  <c r="AH307" i="7"/>
  <c r="AI307" i="7"/>
  <c r="AJ307" i="7"/>
  <c r="AK307" i="7"/>
  <c r="AL307" i="7"/>
  <c r="AM307" i="7"/>
  <c r="J308" i="7"/>
  <c r="K308" i="7"/>
  <c r="L308" i="7"/>
  <c r="M308" i="7"/>
  <c r="N308" i="7"/>
  <c r="O308" i="7"/>
  <c r="P308" i="7"/>
  <c r="Q308" i="7"/>
  <c r="R308" i="7"/>
  <c r="S308" i="7"/>
  <c r="T308" i="7"/>
  <c r="U308" i="7"/>
  <c r="V308" i="7"/>
  <c r="W308" i="7"/>
  <c r="X308" i="7"/>
  <c r="Y308" i="7"/>
  <c r="Z308" i="7"/>
  <c r="AA308" i="7"/>
  <c r="AB308" i="7"/>
  <c r="AC308" i="7"/>
  <c r="AD308" i="7"/>
  <c r="AE308" i="7"/>
  <c r="AF308" i="7"/>
  <c r="AG308" i="7"/>
  <c r="AH308" i="7"/>
  <c r="AI308" i="7"/>
  <c r="AJ308" i="7"/>
  <c r="AK308" i="7"/>
  <c r="AL308" i="7"/>
  <c r="AM308" i="7"/>
  <c r="J309" i="7"/>
  <c r="K309" i="7"/>
  <c r="L309" i="7"/>
  <c r="M309" i="7"/>
  <c r="N309" i="7"/>
  <c r="O309" i="7"/>
  <c r="P309" i="7"/>
  <c r="Q309" i="7"/>
  <c r="R309" i="7"/>
  <c r="S309" i="7"/>
  <c r="T309" i="7"/>
  <c r="U309" i="7"/>
  <c r="V309" i="7"/>
  <c r="W309" i="7"/>
  <c r="X309" i="7"/>
  <c r="Y309" i="7"/>
  <c r="Z309" i="7"/>
  <c r="AA309" i="7"/>
  <c r="AB309" i="7"/>
  <c r="AC309" i="7"/>
  <c r="AD309" i="7"/>
  <c r="AE309" i="7"/>
  <c r="AF309" i="7"/>
  <c r="AG309" i="7"/>
  <c r="AH309" i="7"/>
  <c r="AI309" i="7"/>
  <c r="AJ309" i="7"/>
  <c r="AK309" i="7"/>
  <c r="AL309" i="7"/>
  <c r="AM309" i="7"/>
  <c r="J310" i="7"/>
  <c r="K310" i="7"/>
  <c r="L310" i="7"/>
  <c r="M310" i="7"/>
  <c r="N310" i="7"/>
  <c r="O310" i="7"/>
  <c r="P310" i="7"/>
  <c r="Q310" i="7"/>
  <c r="R310" i="7"/>
  <c r="S310" i="7"/>
  <c r="T310" i="7"/>
  <c r="U310" i="7"/>
  <c r="V310" i="7"/>
  <c r="W310" i="7"/>
  <c r="X310" i="7"/>
  <c r="Y310" i="7"/>
  <c r="Z310" i="7"/>
  <c r="AA310" i="7"/>
  <c r="AB310" i="7"/>
  <c r="AC310" i="7"/>
  <c r="AD310" i="7"/>
  <c r="AE310" i="7"/>
  <c r="AF310" i="7"/>
  <c r="AG310" i="7"/>
  <c r="AH310" i="7"/>
  <c r="AI310" i="7"/>
  <c r="AJ310" i="7"/>
  <c r="AK310" i="7"/>
  <c r="AL310" i="7"/>
  <c r="AM310" i="7"/>
  <c r="J311" i="7"/>
  <c r="K311" i="7"/>
  <c r="L311" i="7"/>
  <c r="M311" i="7"/>
  <c r="N311" i="7"/>
  <c r="O311" i="7"/>
  <c r="P311" i="7"/>
  <c r="Q311" i="7"/>
  <c r="R311" i="7"/>
  <c r="S311" i="7"/>
  <c r="T311" i="7"/>
  <c r="U311" i="7"/>
  <c r="V311" i="7"/>
  <c r="W311" i="7"/>
  <c r="X311" i="7"/>
  <c r="Y311" i="7"/>
  <c r="Z311" i="7"/>
  <c r="AA311" i="7"/>
  <c r="AB311" i="7"/>
  <c r="AC311" i="7"/>
  <c r="AD311" i="7"/>
  <c r="AE311" i="7"/>
  <c r="AF311" i="7"/>
  <c r="AG311" i="7"/>
  <c r="AH311" i="7"/>
  <c r="AI311" i="7"/>
  <c r="AJ311" i="7"/>
  <c r="AK311" i="7"/>
  <c r="AL311" i="7"/>
  <c r="AM311" i="7"/>
  <c r="J312" i="7"/>
  <c r="K312" i="7"/>
  <c r="L312" i="7"/>
  <c r="M312" i="7"/>
  <c r="N312" i="7"/>
  <c r="O312" i="7"/>
  <c r="P312" i="7"/>
  <c r="Q312" i="7"/>
  <c r="R312" i="7"/>
  <c r="S312" i="7"/>
  <c r="T312" i="7"/>
  <c r="U312" i="7"/>
  <c r="V312" i="7"/>
  <c r="W312" i="7"/>
  <c r="X312" i="7"/>
  <c r="Y312" i="7"/>
  <c r="Z312" i="7"/>
  <c r="AA312" i="7"/>
  <c r="AB312" i="7"/>
  <c r="AC312" i="7"/>
  <c r="AD312" i="7"/>
  <c r="AE312" i="7"/>
  <c r="AF312" i="7"/>
  <c r="AG312" i="7"/>
  <c r="AH312" i="7"/>
  <c r="AI312" i="7"/>
  <c r="AJ312" i="7"/>
  <c r="AK312" i="7"/>
  <c r="AL312" i="7"/>
  <c r="AM312" i="7"/>
  <c r="J313" i="7"/>
  <c r="K313" i="7"/>
  <c r="L313" i="7"/>
  <c r="M313" i="7"/>
  <c r="N313" i="7"/>
  <c r="O313" i="7"/>
  <c r="P313" i="7"/>
  <c r="Q313" i="7"/>
  <c r="R313" i="7"/>
  <c r="S313" i="7"/>
  <c r="T313" i="7"/>
  <c r="U313" i="7"/>
  <c r="V313" i="7"/>
  <c r="W313" i="7"/>
  <c r="X313" i="7"/>
  <c r="Y313" i="7"/>
  <c r="Z313" i="7"/>
  <c r="AA313" i="7"/>
  <c r="AB313" i="7"/>
  <c r="AC313" i="7"/>
  <c r="AD313" i="7"/>
  <c r="AE313" i="7"/>
  <c r="AF313" i="7"/>
  <c r="AG313" i="7"/>
  <c r="AH313" i="7"/>
  <c r="AI313" i="7"/>
  <c r="AJ313" i="7"/>
  <c r="AK313" i="7"/>
  <c r="AL313" i="7"/>
  <c r="AM313" i="7"/>
  <c r="J314" i="7"/>
  <c r="K314" i="7"/>
  <c r="L314" i="7"/>
  <c r="M314" i="7"/>
  <c r="N314" i="7"/>
  <c r="O314" i="7"/>
  <c r="P314" i="7"/>
  <c r="Q314" i="7"/>
  <c r="R314" i="7"/>
  <c r="S314" i="7"/>
  <c r="T314" i="7"/>
  <c r="U314" i="7"/>
  <c r="V314" i="7"/>
  <c r="W314" i="7"/>
  <c r="X314" i="7"/>
  <c r="Y314" i="7"/>
  <c r="Z314" i="7"/>
  <c r="AA314" i="7"/>
  <c r="AB314" i="7"/>
  <c r="AC314" i="7"/>
  <c r="AD314" i="7"/>
  <c r="AE314" i="7"/>
  <c r="AF314" i="7"/>
  <c r="AG314" i="7"/>
  <c r="AH314" i="7"/>
  <c r="AI314" i="7"/>
  <c r="AJ314" i="7"/>
  <c r="AK314" i="7"/>
  <c r="AL314" i="7"/>
  <c r="AM314" i="7"/>
  <c r="J315" i="7"/>
  <c r="K315" i="7"/>
  <c r="L315" i="7"/>
  <c r="M315" i="7"/>
  <c r="N315" i="7"/>
  <c r="O315" i="7"/>
  <c r="P315" i="7"/>
  <c r="Q315" i="7"/>
  <c r="R315" i="7"/>
  <c r="S315" i="7"/>
  <c r="T315" i="7"/>
  <c r="U315" i="7"/>
  <c r="V315" i="7"/>
  <c r="W315" i="7"/>
  <c r="X315" i="7"/>
  <c r="Y315" i="7"/>
  <c r="Z315" i="7"/>
  <c r="AA315" i="7"/>
  <c r="AB315" i="7"/>
  <c r="AC315" i="7"/>
  <c r="AD315" i="7"/>
  <c r="AE315" i="7"/>
  <c r="AF315" i="7"/>
  <c r="AG315" i="7"/>
  <c r="AH315" i="7"/>
  <c r="AI315" i="7"/>
  <c r="AJ315" i="7"/>
  <c r="AK315" i="7"/>
  <c r="AL315" i="7"/>
  <c r="AM315" i="7"/>
  <c r="J316" i="7"/>
  <c r="K316" i="7"/>
  <c r="L316" i="7"/>
  <c r="M316" i="7"/>
  <c r="N316" i="7"/>
  <c r="O316" i="7"/>
  <c r="P316" i="7"/>
  <c r="Q316" i="7"/>
  <c r="R316" i="7"/>
  <c r="S316" i="7"/>
  <c r="T316" i="7"/>
  <c r="U316" i="7"/>
  <c r="V316" i="7"/>
  <c r="W316" i="7"/>
  <c r="X316" i="7"/>
  <c r="Y316" i="7"/>
  <c r="Z316" i="7"/>
  <c r="AA316" i="7"/>
  <c r="AB316" i="7"/>
  <c r="AC316" i="7"/>
  <c r="AD316" i="7"/>
  <c r="AE316" i="7"/>
  <c r="AF316" i="7"/>
  <c r="AG316" i="7"/>
  <c r="AH316" i="7"/>
  <c r="AI316" i="7"/>
  <c r="AJ316" i="7"/>
  <c r="AK316" i="7"/>
  <c r="AL316" i="7"/>
  <c r="AM316" i="7"/>
  <c r="J317" i="7"/>
  <c r="K317" i="7"/>
  <c r="L317" i="7"/>
  <c r="M317" i="7"/>
  <c r="N317" i="7"/>
  <c r="O317" i="7"/>
  <c r="P317" i="7"/>
  <c r="Q317" i="7"/>
  <c r="R317" i="7"/>
  <c r="S317" i="7"/>
  <c r="T317" i="7"/>
  <c r="U317" i="7"/>
  <c r="V317" i="7"/>
  <c r="W317" i="7"/>
  <c r="X317" i="7"/>
  <c r="Y317" i="7"/>
  <c r="Z317" i="7"/>
  <c r="AA317" i="7"/>
  <c r="AB317" i="7"/>
  <c r="AC317" i="7"/>
  <c r="AD317" i="7"/>
  <c r="AE317" i="7"/>
  <c r="AF317" i="7"/>
  <c r="AG317" i="7"/>
  <c r="AH317" i="7"/>
  <c r="AI317" i="7"/>
  <c r="AJ317" i="7"/>
  <c r="AK317" i="7"/>
  <c r="AL317" i="7"/>
  <c r="AM317" i="7"/>
  <c r="J318" i="7"/>
  <c r="K318" i="7"/>
  <c r="L318" i="7"/>
  <c r="M318" i="7"/>
  <c r="N318" i="7"/>
  <c r="O318" i="7"/>
  <c r="P318" i="7"/>
  <c r="Q318" i="7"/>
  <c r="R318" i="7"/>
  <c r="S318" i="7"/>
  <c r="T318" i="7"/>
  <c r="U318" i="7"/>
  <c r="V318" i="7"/>
  <c r="W318" i="7"/>
  <c r="X318" i="7"/>
  <c r="Y318" i="7"/>
  <c r="Z318" i="7"/>
  <c r="AA318" i="7"/>
  <c r="AB318" i="7"/>
  <c r="AC318" i="7"/>
  <c r="AD318" i="7"/>
  <c r="AE318" i="7"/>
  <c r="AF318" i="7"/>
  <c r="AG318" i="7"/>
  <c r="AH318" i="7"/>
  <c r="AI318" i="7"/>
  <c r="AJ318" i="7"/>
  <c r="AK318" i="7"/>
  <c r="AL318" i="7"/>
  <c r="AM318" i="7"/>
  <c r="J319" i="7"/>
  <c r="K319" i="7"/>
  <c r="L319" i="7"/>
  <c r="M319" i="7"/>
  <c r="N319" i="7"/>
  <c r="O319" i="7"/>
  <c r="P319" i="7"/>
  <c r="Q319" i="7"/>
  <c r="R319" i="7"/>
  <c r="S319" i="7"/>
  <c r="T319" i="7"/>
  <c r="U319" i="7"/>
  <c r="V319" i="7"/>
  <c r="W319" i="7"/>
  <c r="X319" i="7"/>
  <c r="Y319" i="7"/>
  <c r="Z319" i="7"/>
  <c r="AA319" i="7"/>
  <c r="AB319" i="7"/>
  <c r="AC319" i="7"/>
  <c r="AD319" i="7"/>
  <c r="AE319" i="7"/>
  <c r="AF319" i="7"/>
  <c r="AG319" i="7"/>
  <c r="AH319" i="7"/>
  <c r="AI319" i="7"/>
  <c r="AJ319" i="7"/>
  <c r="AK319" i="7"/>
  <c r="AL319" i="7"/>
  <c r="AM319" i="7"/>
  <c r="J320" i="7"/>
  <c r="K320" i="7"/>
  <c r="L320" i="7"/>
  <c r="M320" i="7"/>
  <c r="N320" i="7"/>
  <c r="O320" i="7"/>
  <c r="P320" i="7"/>
  <c r="Q320" i="7"/>
  <c r="R320" i="7"/>
  <c r="S320" i="7"/>
  <c r="T320" i="7"/>
  <c r="U320" i="7"/>
  <c r="V320" i="7"/>
  <c r="W320" i="7"/>
  <c r="X320" i="7"/>
  <c r="Y320" i="7"/>
  <c r="Z320" i="7"/>
  <c r="AA320" i="7"/>
  <c r="AB320" i="7"/>
  <c r="AC320" i="7"/>
  <c r="AD320" i="7"/>
  <c r="AE320" i="7"/>
  <c r="AF320" i="7"/>
  <c r="AG320" i="7"/>
  <c r="AH320" i="7"/>
  <c r="AI320" i="7"/>
  <c r="AJ320" i="7"/>
  <c r="AK320" i="7"/>
  <c r="AL320" i="7"/>
  <c r="AM320" i="7"/>
  <c r="J321" i="7"/>
  <c r="K321" i="7"/>
  <c r="L321" i="7"/>
  <c r="M321" i="7"/>
  <c r="N321" i="7"/>
  <c r="O321" i="7"/>
  <c r="P321" i="7"/>
  <c r="Q321" i="7"/>
  <c r="R321" i="7"/>
  <c r="S321" i="7"/>
  <c r="T321" i="7"/>
  <c r="U321" i="7"/>
  <c r="V321" i="7"/>
  <c r="W321" i="7"/>
  <c r="X321" i="7"/>
  <c r="Y321" i="7"/>
  <c r="Z321" i="7"/>
  <c r="AA321" i="7"/>
  <c r="AB321" i="7"/>
  <c r="AC321" i="7"/>
  <c r="AD321" i="7"/>
  <c r="AE321" i="7"/>
  <c r="AF321" i="7"/>
  <c r="AG321" i="7"/>
  <c r="AH321" i="7"/>
  <c r="AI321" i="7"/>
  <c r="AJ321" i="7"/>
  <c r="AK321" i="7"/>
  <c r="AL321" i="7"/>
  <c r="AM321" i="7"/>
  <c r="J322" i="7"/>
  <c r="K322" i="7"/>
  <c r="L322" i="7"/>
  <c r="M322" i="7"/>
  <c r="N322" i="7"/>
  <c r="O322" i="7"/>
  <c r="P322" i="7"/>
  <c r="Q322" i="7"/>
  <c r="R322" i="7"/>
  <c r="S322" i="7"/>
  <c r="T322" i="7"/>
  <c r="U322" i="7"/>
  <c r="V322" i="7"/>
  <c r="W322" i="7"/>
  <c r="X322" i="7"/>
  <c r="Y322" i="7"/>
  <c r="Z322" i="7"/>
  <c r="AA322" i="7"/>
  <c r="AB322" i="7"/>
  <c r="AC322" i="7"/>
  <c r="AD322" i="7"/>
  <c r="AE322" i="7"/>
  <c r="AF322" i="7"/>
  <c r="AG322" i="7"/>
  <c r="AH322" i="7"/>
  <c r="AI322" i="7"/>
  <c r="AJ322" i="7"/>
  <c r="AK322" i="7"/>
  <c r="AL322" i="7"/>
  <c r="AM322" i="7"/>
  <c r="J323" i="7"/>
  <c r="K323" i="7"/>
  <c r="L323" i="7"/>
  <c r="M323" i="7"/>
  <c r="N323" i="7"/>
  <c r="O323" i="7"/>
  <c r="P323" i="7"/>
  <c r="Q323" i="7"/>
  <c r="R323" i="7"/>
  <c r="S323" i="7"/>
  <c r="T323" i="7"/>
  <c r="U323" i="7"/>
  <c r="V323" i="7"/>
  <c r="W323" i="7"/>
  <c r="X323" i="7"/>
  <c r="Y323" i="7"/>
  <c r="Z323" i="7"/>
  <c r="AA323" i="7"/>
  <c r="AB323" i="7"/>
  <c r="AC323" i="7"/>
  <c r="AD323" i="7"/>
  <c r="AE323" i="7"/>
  <c r="AF323" i="7"/>
  <c r="AG323" i="7"/>
  <c r="AH323" i="7"/>
  <c r="AI323" i="7"/>
  <c r="AJ323" i="7"/>
  <c r="AK323" i="7"/>
  <c r="AL323" i="7"/>
  <c r="AM323" i="7"/>
  <c r="J324" i="7"/>
  <c r="K324" i="7"/>
  <c r="L324" i="7"/>
  <c r="M324" i="7"/>
  <c r="N324" i="7"/>
  <c r="O324" i="7"/>
  <c r="P324" i="7"/>
  <c r="Q324" i="7"/>
  <c r="R324" i="7"/>
  <c r="S324" i="7"/>
  <c r="T324" i="7"/>
  <c r="U324" i="7"/>
  <c r="V324" i="7"/>
  <c r="W324" i="7"/>
  <c r="X324" i="7"/>
  <c r="Y324" i="7"/>
  <c r="Z324" i="7"/>
  <c r="AA324" i="7"/>
  <c r="AB324" i="7"/>
  <c r="AC324" i="7"/>
  <c r="AD324" i="7"/>
  <c r="AE324" i="7"/>
  <c r="AF324" i="7"/>
  <c r="AG324" i="7"/>
  <c r="AH324" i="7"/>
  <c r="AI324" i="7"/>
  <c r="AJ324" i="7"/>
  <c r="AK324" i="7"/>
  <c r="AL324" i="7"/>
  <c r="AM324" i="7"/>
  <c r="J325" i="7"/>
  <c r="K325" i="7"/>
  <c r="L325" i="7"/>
  <c r="M325" i="7"/>
  <c r="N325" i="7"/>
  <c r="O325" i="7"/>
  <c r="P325" i="7"/>
  <c r="Q325" i="7"/>
  <c r="R325" i="7"/>
  <c r="S325" i="7"/>
  <c r="T325" i="7"/>
  <c r="U325" i="7"/>
  <c r="V325" i="7"/>
  <c r="W325" i="7"/>
  <c r="X325" i="7"/>
  <c r="Y325" i="7"/>
  <c r="Z325" i="7"/>
  <c r="AA325" i="7"/>
  <c r="AB325" i="7"/>
  <c r="AC325" i="7"/>
  <c r="AD325" i="7"/>
  <c r="AE325" i="7"/>
  <c r="AF325" i="7"/>
  <c r="AG325" i="7"/>
  <c r="AH325" i="7"/>
  <c r="AI325" i="7"/>
  <c r="AJ325" i="7"/>
  <c r="AK325" i="7"/>
  <c r="AL325" i="7"/>
  <c r="AM325" i="7"/>
  <c r="J326" i="7"/>
  <c r="K326" i="7"/>
  <c r="L326" i="7"/>
  <c r="M326" i="7"/>
  <c r="N326" i="7"/>
  <c r="O326" i="7"/>
  <c r="P326" i="7"/>
  <c r="Q326" i="7"/>
  <c r="R326" i="7"/>
  <c r="S326" i="7"/>
  <c r="T326" i="7"/>
  <c r="U326" i="7"/>
  <c r="V326" i="7"/>
  <c r="W326" i="7"/>
  <c r="X326" i="7"/>
  <c r="Y326" i="7"/>
  <c r="Z326" i="7"/>
  <c r="AA326" i="7"/>
  <c r="AB326" i="7"/>
  <c r="AC326" i="7"/>
  <c r="AD326" i="7"/>
  <c r="AE326" i="7"/>
  <c r="AF326" i="7"/>
  <c r="AG326" i="7"/>
  <c r="AH326" i="7"/>
  <c r="AI326" i="7"/>
  <c r="AJ326" i="7"/>
  <c r="AK326" i="7"/>
  <c r="AL326" i="7"/>
  <c r="AM326" i="7"/>
  <c r="J327" i="7"/>
  <c r="K327" i="7"/>
  <c r="L327" i="7"/>
  <c r="M327" i="7"/>
  <c r="N327" i="7"/>
  <c r="O327" i="7"/>
  <c r="P327" i="7"/>
  <c r="Q327" i="7"/>
  <c r="R327" i="7"/>
  <c r="S327" i="7"/>
  <c r="T327" i="7"/>
  <c r="U327" i="7"/>
  <c r="V327" i="7"/>
  <c r="W327" i="7"/>
  <c r="X327" i="7"/>
  <c r="Y327" i="7"/>
  <c r="Z327" i="7"/>
  <c r="AA327" i="7"/>
  <c r="AB327" i="7"/>
  <c r="AC327" i="7"/>
  <c r="AD327" i="7"/>
  <c r="AE327" i="7"/>
  <c r="AF327" i="7"/>
  <c r="AG327" i="7"/>
  <c r="AH327" i="7"/>
  <c r="AI327" i="7"/>
  <c r="AJ327" i="7"/>
  <c r="AK327" i="7"/>
  <c r="AL327" i="7"/>
  <c r="AM327" i="7"/>
  <c r="J328" i="7"/>
  <c r="K328" i="7"/>
  <c r="L328" i="7"/>
  <c r="M328" i="7"/>
  <c r="N328" i="7"/>
  <c r="O328" i="7"/>
  <c r="P328" i="7"/>
  <c r="Q328" i="7"/>
  <c r="R328" i="7"/>
  <c r="S328" i="7"/>
  <c r="T328" i="7"/>
  <c r="U328" i="7"/>
  <c r="V328" i="7"/>
  <c r="W328" i="7"/>
  <c r="X328" i="7"/>
  <c r="Y328" i="7"/>
  <c r="Z328" i="7"/>
  <c r="AA328" i="7"/>
  <c r="AB328" i="7"/>
  <c r="AC328" i="7"/>
  <c r="AD328" i="7"/>
  <c r="AE328" i="7"/>
  <c r="AF328" i="7"/>
  <c r="AG328" i="7"/>
  <c r="AH328" i="7"/>
  <c r="AI328" i="7"/>
  <c r="AJ328" i="7"/>
  <c r="AK328" i="7"/>
  <c r="AL328" i="7"/>
  <c r="AM328" i="7"/>
  <c r="J329" i="7"/>
  <c r="K329" i="7"/>
  <c r="L329" i="7"/>
  <c r="M329" i="7"/>
  <c r="N329" i="7"/>
  <c r="O329" i="7"/>
  <c r="P329" i="7"/>
  <c r="Q329" i="7"/>
  <c r="R329" i="7"/>
  <c r="S329" i="7"/>
  <c r="T329" i="7"/>
  <c r="U329" i="7"/>
  <c r="V329" i="7"/>
  <c r="W329" i="7"/>
  <c r="X329" i="7"/>
  <c r="Y329" i="7"/>
  <c r="Z329" i="7"/>
  <c r="AA329" i="7"/>
  <c r="AB329" i="7"/>
  <c r="AC329" i="7"/>
  <c r="AD329" i="7"/>
  <c r="AE329" i="7"/>
  <c r="AF329" i="7"/>
  <c r="AG329" i="7"/>
  <c r="AH329" i="7"/>
  <c r="AI329" i="7"/>
  <c r="AJ329" i="7"/>
  <c r="AK329" i="7"/>
  <c r="AL329" i="7"/>
  <c r="AM329" i="7"/>
  <c r="J330" i="7"/>
  <c r="K330" i="7"/>
  <c r="L330" i="7"/>
  <c r="M330" i="7"/>
  <c r="N330" i="7"/>
  <c r="O330" i="7"/>
  <c r="P330" i="7"/>
  <c r="Q330" i="7"/>
  <c r="R330" i="7"/>
  <c r="S330" i="7"/>
  <c r="T330" i="7"/>
  <c r="U330" i="7"/>
  <c r="V330" i="7"/>
  <c r="W330" i="7"/>
  <c r="X330" i="7"/>
  <c r="Y330" i="7"/>
  <c r="Z330" i="7"/>
  <c r="AA330" i="7"/>
  <c r="AB330" i="7"/>
  <c r="AC330" i="7"/>
  <c r="AD330" i="7"/>
  <c r="AE330" i="7"/>
  <c r="AF330" i="7"/>
  <c r="AG330" i="7"/>
  <c r="AH330" i="7"/>
  <c r="AI330" i="7"/>
  <c r="AJ330" i="7"/>
  <c r="AK330" i="7"/>
  <c r="AL330" i="7"/>
  <c r="AM330" i="7"/>
  <c r="J331" i="7"/>
  <c r="K331" i="7"/>
  <c r="L331" i="7"/>
  <c r="M331" i="7"/>
  <c r="N331" i="7"/>
  <c r="O331" i="7"/>
  <c r="P331" i="7"/>
  <c r="Q331" i="7"/>
  <c r="R331" i="7"/>
  <c r="S331" i="7"/>
  <c r="T331" i="7"/>
  <c r="U331" i="7"/>
  <c r="V331" i="7"/>
  <c r="W331" i="7"/>
  <c r="X331" i="7"/>
  <c r="Y331" i="7"/>
  <c r="Z331" i="7"/>
  <c r="AA331" i="7"/>
  <c r="AB331" i="7"/>
  <c r="AC331" i="7"/>
  <c r="AD331" i="7"/>
  <c r="AE331" i="7"/>
  <c r="AF331" i="7"/>
  <c r="AG331" i="7"/>
  <c r="AH331" i="7"/>
  <c r="AI331" i="7"/>
  <c r="AJ331" i="7"/>
  <c r="AK331" i="7"/>
  <c r="AL331" i="7"/>
  <c r="AM331" i="7"/>
  <c r="J332" i="7"/>
  <c r="K332" i="7"/>
  <c r="L332" i="7"/>
  <c r="M332" i="7"/>
  <c r="N332" i="7"/>
  <c r="O332" i="7"/>
  <c r="P332" i="7"/>
  <c r="Q332" i="7"/>
  <c r="R332" i="7"/>
  <c r="S332" i="7"/>
  <c r="T332" i="7"/>
  <c r="U332" i="7"/>
  <c r="V332" i="7"/>
  <c r="W332" i="7"/>
  <c r="X332" i="7"/>
  <c r="Y332" i="7"/>
  <c r="Z332" i="7"/>
  <c r="AA332" i="7"/>
  <c r="AB332" i="7"/>
  <c r="AC332" i="7"/>
  <c r="AD332" i="7"/>
  <c r="AE332" i="7"/>
  <c r="AF332" i="7"/>
  <c r="AG332" i="7"/>
  <c r="AH332" i="7"/>
  <c r="AI332" i="7"/>
  <c r="AJ332" i="7"/>
  <c r="AK332" i="7"/>
  <c r="AL332" i="7"/>
  <c r="AM332" i="7"/>
  <c r="J333" i="7"/>
  <c r="K333" i="7"/>
  <c r="L333" i="7"/>
  <c r="M333" i="7"/>
  <c r="N333" i="7"/>
  <c r="O333" i="7"/>
  <c r="P333" i="7"/>
  <c r="Q333" i="7"/>
  <c r="R333" i="7"/>
  <c r="S333" i="7"/>
  <c r="T333" i="7"/>
  <c r="U333" i="7"/>
  <c r="V333" i="7"/>
  <c r="W333" i="7"/>
  <c r="X333" i="7"/>
  <c r="Y333" i="7"/>
  <c r="Z333" i="7"/>
  <c r="AA333" i="7"/>
  <c r="AB333" i="7"/>
  <c r="AC333" i="7"/>
  <c r="AD333" i="7"/>
  <c r="AE333" i="7"/>
  <c r="AF333" i="7"/>
  <c r="AG333" i="7"/>
  <c r="AH333" i="7"/>
  <c r="AI333" i="7"/>
  <c r="AJ333" i="7"/>
  <c r="AK333" i="7"/>
  <c r="AL333" i="7"/>
  <c r="AM333" i="7"/>
  <c r="J334" i="7"/>
  <c r="K334" i="7"/>
  <c r="L334" i="7"/>
  <c r="M334" i="7"/>
  <c r="N334" i="7"/>
  <c r="O334" i="7"/>
  <c r="P334" i="7"/>
  <c r="Q334" i="7"/>
  <c r="R334" i="7"/>
  <c r="S334" i="7"/>
  <c r="T334" i="7"/>
  <c r="U334" i="7"/>
  <c r="V334" i="7"/>
  <c r="W334" i="7"/>
  <c r="X334" i="7"/>
  <c r="Y334" i="7"/>
  <c r="Z334" i="7"/>
  <c r="AA334" i="7"/>
  <c r="AB334" i="7"/>
  <c r="AC334" i="7"/>
  <c r="AD334" i="7"/>
  <c r="AE334" i="7"/>
  <c r="AF334" i="7"/>
  <c r="AG334" i="7"/>
  <c r="AH334" i="7"/>
  <c r="AI334" i="7"/>
  <c r="AJ334" i="7"/>
  <c r="AK334" i="7"/>
  <c r="AL334" i="7"/>
  <c r="AM334" i="7"/>
  <c r="J335" i="7"/>
  <c r="K335" i="7"/>
  <c r="L335" i="7"/>
  <c r="M335" i="7"/>
  <c r="N335" i="7"/>
  <c r="O335" i="7"/>
  <c r="P335" i="7"/>
  <c r="Q335" i="7"/>
  <c r="R335" i="7"/>
  <c r="S335" i="7"/>
  <c r="T335" i="7"/>
  <c r="U335" i="7"/>
  <c r="V335" i="7"/>
  <c r="W335" i="7"/>
  <c r="X335" i="7"/>
  <c r="Y335" i="7"/>
  <c r="Z335" i="7"/>
  <c r="AA335" i="7"/>
  <c r="AB335" i="7"/>
  <c r="AC335" i="7"/>
  <c r="AD335" i="7"/>
  <c r="AE335" i="7"/>
  <c r="AF335" i="7"/>
  <c r="AG335" i="7"/>
  <c r="AH335" i="7"/>
  <c r="AI335" i="7"/>
  <c r="AJ335" i="7"/>
  <c r="AK335" i="7"/>
  <c r="AL335" i="7"/>
  <c r="AM335" i="7"/>
  <c r="J336" i="7"/>
  <c r="K336" i="7"/>
  <c r="L336" i="7"/>
  <c r="M336" i="7"/>
  <c r="N336" i="7"/>
  <c r="O336" i="7"/>
  <c r="P336" i="7"/>
  <c r="Q336" i="7"/>
  <c r="R336" i="7"/>
  <c r="S336" i="7"/>
  <c r="T336" i="7"/>
  <c r="U336" i="7"/>
  <c r="V336" i="7"/>
  <c r="W336" i="7"/>
  <c r="X336" i="7"/>
  <c r="Y336" i="7"/>
  <c r="Z336" i="7"/>
  <c r="AA336" i="7"/>
  <c r="AB336" i="7"/>
  <c r="AC336" i="7"/>
  <c r="AD336" i="7"/>
  <c r="AE336" i="7"/>
  <c r="AF336" i="7"/>
  <c r="AG336" i="7"/>
  <c r="AH336" i="7"/>
  <c r="AI336" i="7"/>
  <c r="AJ336" i="7"/>
  <c r="AK336" i="7"/>
  <c r="AL336" i="7"/>
  <c r="AM336" i="7"/>
  <c r="J337" i="7"/>
  <c r="K337" i="7"/>
  <c r="L337" i="7"/>
  <c r="M337" i="7"/>
  <c r="N337" i="7"/>
  <c r="O337" i="7"/>
  <c r="P337" i="7"/>
  <c r="Q337" i="7"/>
  <c r="R337" i="7"/>
  <c r="S337" i="7"/>
  <c r="T337" i="7"/>
  <c r="U337" i="7"/>
  <c r="V337" i="7"/>
  <c r="W337" i="7"/>
  <c r="X337" i="7"/>
  <c r="Y337" i="7"/>
  <c r="Z337" i="7"/>
  <c r="AA337" i="7"/>
  <c r="AB337" i="7"/>
  <c r="AC337" i="7"/>
  <c r="AD337" i="7"/>
  <c r="AE337" i="7"/>
  <c r="AF337" i="7"/>
  <c r="AG337" i="7"/>
  <c r="AH337" i="7"/>
  <c r="AI337" i="7"/>
  <c r="AJ337" i="7"/>
  <c r="AK337" i="7"/>
  <c r="AL337" i="7"/>
  <c r="AM337" i="7"/>
  <c r="J338" i="7"/>
  <c r="K338" i="7"/>
  <c r="L338" i="7"/>
  <c r="M338" i="7"/>
  <c r="N338" i="7"/>
  <c r="O338" i="7"/>
  <c r="P338" i="7"/>
  <c r="Q338" i="7"/>
  <c r="R338" i="7"/>
  <c r="S338" i="7"/>
  <c r="T338" i="7"/>
  <c r="U338" i="7"/>
  <c r="V338" i="7"/>
  <c r="W338" i="7"/>
  <c r="X338" i="7"/>
  <c r="Y338" i="7"/>
  <c r="Z338" i="7"/>
  <c r="AA338" i="7"/>
  <c r="AB338" i="7"/>
  <c r="AC338" i="7"/>
  <c r="AD338" i="7"/>
  <c r="AE338" i="7"/>
  <c r="AF338" i="7"/>
  <c r="AG338" i="7"/>
  <c r="AH338" i="7"/>
  <c r="AI338" i="7"/>
  <c r="AJ338" i="7"/>
  <c r="AK338" i="7"/>
  <c r="AL338" i="7"/>
  <c r="AM338" i="7"/>
  <c r="J339" i="7"/>
  <c r="K339" i="7"/>
  <c r="L339" i="7"/>
  <c r="M339" i="7"/>
  <c r="N339" i="7"/>
  <c r="O339" i="7"/>
  <c r="P339" i="7"/>
  <c r="Q339" i="7"/>
  <c r="R339" i="7"/>
  <c r="S339" i="7"/>
  <c r="T339" i="7"/>
  <c r="U339" i="7"/>
  <c r="V339" i="7"/>
  <c r="W339" i="7"/>
  <c r="X339" i="7"/>
  <c r="Y339" i="7"/>
  <c r="Z339" i="7"/>
  <c r="AA339" i="7"/>
  <c r="AB339" i="7"/>
  <c r="AC339" i="7"/>
  <c r="AD339" i="7"/>
  <c r="AE339" i="7"/>
  <c r="AF339" i="7"/>
  <c r="AG339" i="7"/>
  <c r="AH339" i="7"/>
  <c r="AI339" i="7"/>
  <c r="AJ339" i="7"/>
  <c r="AK339" i="7"/>
  <c r="AL339" i="7"/>
  <c r="AM339" i="7"/>
  <c r="J340" i="7"/>
  <c r="K340" i="7"/>
  <c r="L340" i="7"/>
  <c r="M340" i="7"/>
  <c r="N340" i="7"/>
  <c r="O340" i="7"/>
  <c r="P340" i="7"/>
  <c r="Q340" i="7"/>
  <c r="R340" i="7"/>
  <c r="S340" i="7"/>
  <c r="T340" i="7"/>
  <c r="U340" i="7"/>
  <c r="V340" i="7"/>
  <c r="W340" i="7"/>
  <c r="X340" i="7"/>
  <c r="Y340" i="7"/>
  <c r="Z340" i="7"/>
  <c r="AA340" i="7"/>
  <c r="AB340" i="7"/>
  <c r="AC340" i="7"/>
  <c r="AD340" i="7"/>
  <c r="AE340" i="7"/>
  <c r="AF340" i="7"/>
  <c r="AG340" i="7"/>
  <c r="AH340" i="7"/>
  <c r="AI340" i="7"/>
  <c r="AJ340" i="7"/>
  <c r="AK340" i="7"/>
  <c r="AL340" i="7"/>
  <c r="AM340" i="7"/>
  <c r="J341" i="7"/>
  <c r="K341" i="7"/>
  <c r="L341" i="7"/>
  <c r="M341" i="7"/>
  <c r="N341" i="7"/>
  <c r="O341" i="7"/>
  <c r="P341" i="7"/>
  <c r="Q341" i="7"/>
  <c r="R341" i="7"/>
  <c r="S341" i="7"/>
  <c r="T341" i="7"/>
  <c r="U341" i="7"/>
  <c r="V341" i="7"/>
  <c r="W341" i="7"/>
  <c r="X341" i="7"/>
  <c r="Y341" i="7"/>
  <c r="Z341" i="7"/>
  <c r="AA341" i="7"/>
  <c r="AB341" i="7"/>
  <c r="AC341" i="7"/>
  <c r="AD341" i="7"/>
  <c r="AE341" i="7"/>
  <c r="AF341" i="7"/>
  <c r="AG341" i="7"/>
  <c r="AH341" i="7"/>
  <c r="AI341" i="7"/>
  <c r="AJ341" i="7"/>
  <c r="AK341" i="7"/>
  <c r="AL341" i="7"/>
  <c r="AM341" i="7"/>
  <c r="J342" i="7"/>
  <c r="K342" i="7"/>
  <c r="L342" i="7"/>
  <c r="M342" i="7"/>
  <c r="N342" i="7"/>
  <c r="O342" i="7"/>
  <c r="P342" i="7"/>
  <c r="Q342" i="7"/>
  <c r="R342" i="7"/>
  <c r="S342" i="7"/>
  <c r="T342" i="7"/>
  <c r="U342" i="7"/>
  <c r="V342" i="7"/>
  <c r="W342" i="7"/>
  <c r="X342" i="7"/>
  <c r="Y342" i="7"/>
  <c r="Z342" i="7"/>
  <c r="AA342" i="7"/>
  <c r="AB342" i="7"/>
  <c r="AC342" i="7"/>
  <c r="AD342" i="7"/>
  <c r="AE342" i="7"/>
  <c r="AF342" i="7"/>
  <c r="AG342" i="7"/>
  <c r="AH342" i="7"/>
  <c r="AI342" i="7"/>
  <c r="AJ342" i="7"/>
  <c r="AK342" i="7"/>
  <c r="AL342" i="7"/>
  <c r="AM342" i="7"/>
  <c r="J343" i="7"/>
  <c r="K343" i="7"/>
  <c r="L343" i="7"/>
  <c r="M343" i="7"/>
  <c r="N343" i="7"/>
  <c r="O343" i="7"/>
  <c r="P343" i="7"/>
  <c r="Q343" i="7"/>
  <c r="R343" i="7"/>
  <c r="S343" i="7"/>
  <c r="T343" i="7"/>
  <c r="U343" i="7"/>
  <c r="V343" i="7"/>
  <c r="W343" i="7"/>
  <c r="X343" i="7"/>
  <c r="Y343" i="7"/>
  <c r="Z343" i="7"/>
  <c r="AA343" i="7"/>
  <c r="AB343" i="7"/>
  <c r="AC343" i="7"/>
  <c r="AD343" i="7"/>
  <c r="AE343" i="7"/>
  <c r="AF343" i="7"/>
  <c r="AG343" i="7"/>
  <c r="AH343" i="7"/>
  <c r="AI343" i="7"/>
  <c r="AJ343" i="7"/>
  <c r="AK343" i="7"/>
  <c r="AL343" i="7"/>
  <c r="AM343" i="7"/>
  <c r="J344" i="7"/>
  <c r="K344" i="7"/>
  <c r="L344" i="7"/>
  <c r="M344" i="7"/>
  <c r="N344" i="7"/>
  <c r="O344" i="7"/>
  <c r="P344" i="7"/>
  <c r="Q344" i="7"/>
  <c r="R344" i="7"/>
  <c r="S344" i="7"/>
  <c r="T344" i="7"/>
  <c r="U344" i="7"/>
  <c r="V344" i="7"/>
  <c r="W344" i="7"/>
  <c r="X344" i="7"/>
  <c r="Y344" i="7"/>
  <c r="Z344" i="7"/>
  <c r="AA344" i="7"/>
  <c r="AB344" i="7"/>
  <c r="AC344" i="7"/>
  <c r="AD344" i="7"/>
  <c r="AE344" i="7"/>
  <c r="AF344" i="7"/>
  <c r="AG344" i="7"/>
  <c r="AH344" i="7"/>
  <c r="AI344" i="7"/>
  <c r="AJ344" i="7"/>
  <c r="AK344" i="7"/>
  <c r="AL344" i="7"/>
  <c r="AM344" i="7"/>
  <c r="J345" i="7"/>
  <c r="K345" i="7"/>
  <c r="L345" i="7"/>
  <c r="M345" i="7"/>
  <c r="N345" i="7"/>
  <c r="O345" i="7"/>
  <c r="P345" i="7"/>
  <c r="Q345" i="7"/>
  <c r="R345" i="7"/>
  <c r="S345" i="7"/>
  <c r="T345" i="7"/>
  <c r="U345" i="7"/>
  <c r="V345" i="7"/>
  <c r="W345" i="7"/>
  <c r="X345" i="7"/>
  <c r="Y345" i="7"/>
  <c r="Z345" i="7"/>
  <c r="AA345" i="7"/>
  <c r="AB345" i="7"/>
  <c r="AC345" i="7"/>
  <c r="AD345" i="7"/>
  <c r="AE345" i="7"/>
  <c r="AF345" i="7"/>
  <c r="AG345" i="7"/>
  <c r="AH345" i="7"/>
  <c r="AI345" i="7"/>
  <c r="AJ345" i="7"/>
  <c r="AK345" i="7"/>
  <c r="AL345" i="7"/>
  <c r="AM345" i="7"/>
  <c r="J346" i="7"/>
  <c r="K346" i="7"/>
  <c r="L346" i="7"/>
  <c r="M346" i="7"/>
  <c r="N346" i="7"/>
  <c r="O346" i="7"/>
  <c r="P346" i="7"/>
  <c r="Q346" i="7"/>
  <c r="R346" i="7"/>
  <c r="S346" i="7"/>
  <c r="T346" i="7"/>
  <c r="U346" i="7"/>
  <c r="V346" i="7"/>
  <c r="W346" i="7"/>
  <c r="X346" i="7"/>
  <c r="Y346" i="7"/>
  <c r="Z346" i="7"/>
  <c r="AA346" i="7"/>
  <c r="AB346" i="7"/>
  <c r="AC346" i="7"/>
  <c r="AD346" i="7"/>
  <c r="AE346" i="7"/>
  <c r="AF346" i="7"/>
  <c r="AG346" i="7"/>
  <c r="AH346" i="7"/>
  <c r="AI346" i="7"/>
  <c r="AJ346" i="7"/>
  <c r="AK346" i="7"/>
  <c r="AL346" i="7"/>
  <c r="AM346" i="7"/>
  <c r="J347" i="7"/>
  <c r="K347" i="7"/>
  <c r="L347" i="7"/>
  <c r="M347" i="7"/>
  <c r="N347" i="7"/>
  <c r="O347" i="7"/>
  <c r="P347" i="7"/>
  <c r="Q347" i="7"/>
  <c r="R347" i="7"/>
  <c r="S347" i="7"/>
  <c r="T347" i="7"/>
  <c r="U347" i="7"/>
  <c r="V347" i="7"/>
  <c r="W347" i="7"/>
  <c r="X347" i="7"/>
  <c r="Y347" i="7"/>
  <c r="Z347" i="7"/>
  <c r="AA347" i="7"/>
  <c r="AB347" i="7"/>
  <c r="AC347" i="7"/>
  <c r="AD347" i="7"/>
  <c r="AE347" i="7"/>
  <c r="AF347" i="7"/>
  <c r="AG347" i="7"/>
  <c r="AH347" i="7"/>
  <c r="AI347" i="7"/>
  <c r="AJ347" i="7"/>
  <c r="AK347" i="7"/>
  <c r="AL347" i="7"/>
  <c r="AM347" i="7"/>
  <c r="J348" i="7"/>
  <c r="K348" i="7"/>
  <c r="L348" i="7"/>
  <c r="M348" i="7"/>
  <c r="N348" i="7"/>
  <c r="O348" i="7"/>
  <c r="P348" i="7"/>
  <c r="Q348" i="7"/>
  <c r="R348" i="7"/>
  <c r="S348" i="7"/>
  <c r="T348" i="7"/>
  <c r="U348" i="7"/>
  <c r="V348" i="7"/>
  <c r="W348" i="7"/>
  <c r="X348" i="7"/>
  <c r="Y348" i="7"/>
  <c r="Z348" i="7"/>
  <c r="AA348" i="7"/>
  <c r="AB348" i="7"/>
  <c r="AC348" i="7"/>
  <c r="AD348" i="7"/>
  <c r="AE348" i="7"/>
  <c r="AF348" i="7"/>
  <c r="AG348" i="7"/>
  <c r="AH348" i="7"/>
  <c r="AI348" i="7"/>
  <c r="AJ348" i="7"/>
  <c r="AK348" i="7"/>
  <c r="AL348" i="7"/>
  <c r="AM348" i="7"/>
  <c r="J349" i="7"/>
  <c r="K349" i="7"/>
  <c r="L349" i="7"/>
  <c r="M349" i="7"/>
  <c r="N349" i="7"/>
  <c r="O349" i="7"/>
  <c r="P349" i="7"/>
  <c r="Q349" i="7"/>
  <c r="R349" i="7"/>
  <c r="S349" i="7"/>
  <c r="T349" i="7"/>
  <c r="U349" i="7"/>
  <c r="V349" i="7"/>
  <c r="W349" i="7"/>
  <c r="X349" i="7"/>
  <c r="Y349" i="7"/>
  <c r="Z349" i="7"/>
  <c r="AA349" i="7"/>
  <c r="AB349" i="7"/>
  <c r="AC349" i="7"/>
  <c r="AD349" i="7"/>
  <c r="AE349" i="7"/>
  <c r="AF349" i="7"/>
  <c r="AG349" i="7"/>
  <c r="AH349" i="7"/>
  <c r="AI349" i="7"/>
  <c r="AJ349" i="7"/>
  <c r="AK349" i="7"/>
  <c r="AL349" i="7"/>
  <c r="AM349" i="7"/>
  <c r="J350" i="7"/>
  <c r="K350" i="7"/>
  <c r="L350" i="7"/>
  <c r="M350" i="7"/>
  <c r="N350" i="7"/>
  <c r="O350" i="7"/>
  <c r="P350" i="7"/>
  <c r="Q350" i="7"/>
  <c r="R350" i="7"/>
  <c r="S350" i="7"/>
  <c r="T350" i="7"/>
  <c r="U350" i="7"/>
  <c r="V350" i="7"/>
  <c r="W350" i="7"/>
  <c r="X350" i="7"/>
  <c r="Y350" i="7"/>
  <c r="Z350" i="7"/>
  <c r="AA350" i="7"/>
  <c r="AB350" i="7"/>
  <c r="AC350" i="7"/>
  <c r="AD350" i="7"/>
  <c r="AE350" i="7"/>
  <c r="AF350" i="7"/>
  <c r="AG350" i="7"/>
  <c r="AH350" i="7"/>
  <c r="AI350" i="7"/>
  <c r="AJ350" i="7"/>
  <c r="AK350" i="7"/>
  <c r="AL350" i="7"/>
  <c r="AM350" i="7"/>
  <c r="J351" i="7"/>
  <c r="K351" i="7"/>
  <c r="L351" i="7"/>
  <c r="M351" i="7"/>
  <c r="N351" i="7"/>
  <c r="O351" i="7"/>
  <c r="P351" i="7"/>
  <c r="Q351" i="7"/>
  <c r="R351" i="7"/>
  <c r="S351" i="7"/>
  <c r="T351" i="7"/>
  <c r="U351" i="7"/>
  <c r="V351" i="7"/>
  <c r="W351" i="7"/>
  <c r="X351" i="7"/>
  <c r="Y351" i="7"/>
  <c r="Z351" i="7"/>
  <c r="AA351" i="7"/>
  <c r="AB351" i="7"/>
  <c r="AC351" i="7"/>
  <c r="AD351" i="7"/>
  <c r="AE351" i="7"/>
  <c r="AF351" i="7"/>
  <c r="AG351" i="7"/>
  <c r="AH351" i="7"/>
  <c r="AI351" i="7"/>
  <c r="AJ351" i="7"/>
  <c r="AK351" i="7"/>
  <c r="AL351" i="7"/>
  <c r="AM351" i="7"/>
  <c r="J352" i="7"/>
  <c r="K352" i="7"/>
  <c r="L352" i="7"/>
  <c r="M352" i="7"/>
  <c r="N352" i="7"/>
  <c r="O352" i="7"/>
  <c r="P352" i="7"/>
  <c r="Q352" i="7"/>
  <c r="R352" i="7"/>
  <c r="S352" i="7"/>
  <c r="T352" i="7"/>
  <c r="U352" i="7"/>
  <c r="V352" i="7"/>
  <c r="W352" i="7"/>
  <c r="X352" i="7"/>
  <c r="Y352" i="7"/>
  <c r="Z352" i="7"/>
  <c r="AA352" i="7"/>
  <c r="AB352" i="7"/>
  <c r="AC352" i="7"/>
  <c r="AD352" i="7"/>
  <c r="AE352" i="7"/>
  <c r="AF352" i="7"/>
  <c r="AG352" i="7"/>
  <c r="AH352" i="7"/>
  <c r="AI352" i="7"/>
  <c r="AJ352" i="7"/>
  <c r="AK352" i="7"/>
  <c r="AL352" i="7"/>
  <c r="AM352" i="7"/>
  <c r="J353" i="7"/>
  <c r="K353" i="7"/>
  <c r="L353" i="7"/>
  <c r="M353" i="7"/>
  <c r="N353" i="7"/>
  <c r="O353" i="7"/>
  <c r="P353" i="7"/>
  <c r="Q353" i="7"/>
  <c r="R353" i="7"/>
  <c r="S353" i="7"/>
  <c r="T353" i="7"/>
  <c r="U353" i="7"/>
  <c r="V353" i="7"/>
  <c r="W353" i="7"/>
  <c r="X353" i="7"/>
  <c r="Y353" i="7"/>
  <c r="Z353" i="7"/>
  <c r="AA353" i="7"/>
  <c r="AB353" i="7"/>
  <c r="AC353" i="7"/>
  <c r="AD353" i="7"/>
  <c r="AE353" i="7"/>
  <c r="AF353" i="7"/>
  <c r="AG353" i="7"/>
  <c r="AH353" i="7"/>
  <c r="AI353" i="7"/>
  <c r="AJ353" i="7"/>
  <c r="AK353" i="7"/>
  <c r="AL353" i="7"/>
  <c r="AM353" i="7"/>
  <c r="J354" i="7"/>
  <c r="K354" i="7"/>
  <c r="L354" i="7"/>
  <c r="M354" i="7"/>
  <c r="N354" i="7"/>
  <c r="O354" i="7"/>
  <c r="P354" i="7"/>
  <c r="Q354" i="7"/>
  <c r="R354" i="7"/>
  <c r="S354" i="7"/>
  <c r="T354" i="7"/>
  <c r="U354" i="7"/>
  <c r="V354" i="7"/>
  <c r="W354" i="7"/>
  <c r="X354" i="7"/>
  <c r="Y354" i="7"/>
  <c r="Z354" i="7"/>
  <c r="AA354" i="7"/>
  <c r="AB354" i="7"/>
  <c r="AC354" i="7"/>
  <c r="AD354" i="7"/>
  <c r="AE354" i="7"/>
  <c r="AF354" i="7"/>
  <c r="AG354" i="7"/>
  <c r="AH354" i="7"/>
  <c r="AI354" i="7"/>
  <c r="AJ354" i="7"/>
  <c r="AK354" i="7"/>
  <c r="AL354" i="7"/>
  <c r="AM354" i="7"/>
  <c r="J355" i="7"/>
  <c r="K355" i="7"/>
  <c r="L355" i="7"/>
  <c r="M355" i="7"/>
  <c r="N355" i="7"/>
  <c r="O355" i="7"/>
  <c r="P355" i="7"/>
  <c r="Q355" i="7"/>
  <c r="R355" i="7"/>
  <c r="S355" i="7"/>
  <c r="T355" i="7"/>
  <c r="U355" i="7"/>
  <c r="V355" i="7"/>
  <c r="W355" i="7"/>
  <c r="X355" i="7"/>
  <c r="Y355" i="7"/>
  <c r="Z355" i="7"/>
  <c r="AA355" i="7"/>
  <c r="AB355" i="7"/>
  <c r="AC355" i="7"/>
  <c r="AD355" i="7"/>
  <c r="AE355" i="7"/>
  <c r="AF355" i="7"/>
  <c r="AG355" i="7"/>
  <c r="AH355" i="7"/>
  <c r="AI355" i="7"/>
  <c r="AJ355" i="7"/>
  <c r="AK355" i="7"/>
  <c r="AL355" i="7"/>
  <c r="AM355" i="7"/>
  <c r="J356" i="7"/>
  <c r="K356" i="7"/>
  <c r="L356" i="7"/>
  <c r="M356" i="7"/>
  <c r="N356" i="7"/>
  <c r="O356" i="7"/>
  <c r="P356" i="7"/>
  <c r="Q356" i="7"/>
  <c r="R356" i="7"/>
  <c r="S356" i="7"/>
  <c r="T356" i="7"/>
  <c r="U356" i="7"/>
  <c r="V356" i="7"/>
  <c r="W356" i="7"/>
  <c r="X356" i="7"/>
  <c r="Y356" i="7"/>
  <c r="Z356" i="7"/>
  <c r="AA356" i="7"/>
  <c r="AB356" i="7"/>
  <c r="AC356" i="7"/>
  <c r="AD356" i="7"/>
  <c r="AE356" i="7"/>
  <c r="AF356" i="7"/>
  <c r="AG356" i="7"/>
  <c r="AH356" i="7"/>
  <c r="AI356" i="7"/>
  <c r="AJ356" i="7"/>
  <c r="AK356" i="7"/>
  <c r="AL356" i="7"/>
  <c r="AM356" i="7"/>
  <c r="J357" i="7"/>
  <c r="K357" i="7"/>
  <c r="L357" i="7"/>
  <c r="M357" i="7"/>
  <c r="N357" i="7"/>
  <c r="O357" i="7"/>
  <c r="P357" i="7"/>
  <c r="Q357" i="7"/>
  <c r="R357" i="7"/>
  <c r="S357" i="7"/>
  <c r="T357" i="7"/>
  <c r="U357" i="7"/>
  <c r="V357" i="7"/>
  <c r="W357" i="7"/>
  <c r="X357" i="7"/>
  <c r="Y357" i="7"/>
  <c r="Z357" i="7"/>
  <c r="AA357" i="7"/>
  <c r="AB357" i="7"/>
  <c r="AC357" i="7"/>
  <c r="AD357" i="7"/>
  <c r="AE357" i="7"/>
  <c r="AF357" i="7"/>
  <c r="AG357" i="7"/>
  <c r="AH357" i="7"/>
  <c r="AI357" i="7"/>
  <c r="AJ357" i="7"/>
  <c r="AK357" i="7"/>
  <c r="AL357" i="7"/>
  <c r="AM357" i="7"/>
  <c r="J358" i="7"/>
  <c r="K358" i="7"/>
  <c r="L358" i="7"/>
  <c r="M358" i="7"/>
  <c r="N358" i="7"/>
  <c r="O358" i="7"/>
  <c r="P358" i="7"/>
  <c r="Q358" i="7"/>
  <c r="R358" i="7"/>
  <c r="S358" i="7"/>
  <c r="T358" i="7"/>
  <c r="U358" i="7"/>
  <c r="V358" i="7"/>
  <c r="W358" i="7"/>
  <c r="X358" i="7"/>
  <c r="Y358" i="7"/>
  <c r="Z358" i="7"/>
  <c r="AA358" i="7"/>
  <c r="AB358" i="7"/>
  <c r="AC358" i="7"/>
  <c r="AD358" i="7"/>
  <c r="AE358" i="7"/>
  <c r="AF358" i="7"/>
  <c r="AG358" i="7"/>
  <c r="AH358" i="7"/>
  <c r="AI358" i="7"/>
  <c r="AJ358" i="7"/>
  <c r="AK358" i="7"/>
  <c r="AL358" i="7"/>
  <c r="AM358" i="7"/>
  <c r="J359" i="7"/>
  <c r="K359" i="7"/>
  <c r="L359" i="7"/>
  <c r="M359" i="7"/>
  <c r="N359" i="7"/>
  <c r="O359" i="7"/>
  <c r="P359" i="7"/>
  <c r="Q359" i="7"/>
  <c r="R359" i="7"/>
  <c r="S359" i="7"/>
  <c r="T359" i="7"/>
  <c r="U359" i="7"/>
  <c r="V359" i="7"/>
  <c r="W359" i="7"/>
  <c r="X359" i="7"/>
  <c r="Y359" i="7"/>
  <c r="Z359" i="7"/>
  <c r="AA359" i="7"/>
  <c r="AB359" i="7"/>
  <c r="AC359" i="7"/>
  <c r="AD359" i="7"/>
  <c r="AE359" i="7"/>
  <c r="AF359" i="7"/>
  <c r="AG359" i="7"/>
  <c r="AH359" i="7"/>
  <c r="AI359" i="7"/>
  <c r="AJ359" i="7"/>
  <c r="AK359" i="7"/>
  <c r="AL359" i="7"/>
  <c r="AM359" i="7"/>
  <c r="J360" i="7"/>
  <c r="K360" i="7"/>
  <c r="L360" i="7"/>
  <c r="M360" i="7"/>
  <c r="N360" i="7"/>
  <c r="O360" i="7"/>
  <c r="P360" i="7"/>
  <c r="Q360" i="7"/>
  <c r="R360" i="7"/>
  <c r="S360" i="7"/>
  <c r="T360" i="7"/>
  <c r="U360" i="7"/>
  <c r="V360" i="7"/>
  <c r="W360" i="7"/>
  <c r="X360" i="7"/>
  <c r="Y360" i="7"/>
  <c r="Z360" i="7"/>
  <c r="AA360" i="7"/>
  <c r="AB360" i="7"/>
  <c r="AC360" i="7"/>
  <c r="AD360" i="7"/>
  <c r="AE360" i="7"/>
  <c r="AF360" i="7"/>
  <c r="AG360" i="7"/>
  <c r="AH360" i="7"/>
  <c r="AI360" i="7"/>
  <c r="AJ360" i="7"/>
  <c r="AK360" i="7"/>
  <c r="AL360" i="7"/>
  <c r="AM360" i="7"/>
  <c r="J361" i="7"/>
  <c r="K361" i="7"/>
  <c r="L361" i="7"/>
  <c r="M361" i="7"/>
  <c r="N361" i="7"/>
  <c r="O361" i="7"/>
  <c r="P361" i="7"/>
  <c r="Q361" i="7"/>
  <c r="R361" i="7"/>
  <c r="S361" i="7"/>
  <c r="T361" i="7"/>
  <c r="U361" i="7"/>
  <c r="V361" i="7"/>
  <c r="W361" i="7"/>
  <c r="X361" i="7"/>
  <c r="Y361" i="7"/>
  <c r="Z361" i="7"/>
  <c r="AA361" i="7"/>
  <c r="AB361" i="7"/>
  <c r="AC361" i="7"/>
  <c r="AD361" i="7"/>
  <c r="AE361" i="7"/>
  <c r="AF361" i="7"/>
  <c r="AG361" i="7"/>
  <c r="AH361" i="7"/>
  <c r="AI361" i="7"/>
  <c r="AJ361" i="7"/>
  <c r="AK361" i="7"/>
  <c r="AL361" i="7"/>
  <c r="AM361" i="7"/>
  <c r="J362" i="7"/>
  <c r="K362" i="7"/>
  <c r="L362" i="7"/>
  <c r="M362" i="7"/>
  <c r="N362" i="7"/>
  <c r="O362" i="7"/>
  <c r="P362" i="7"/>
  <c r="Q362" i="7"/>
  <c r="R362" i="7"/>
  <c r="S362" i="7"/>
  <c r="T362" i="7"/>
  <c r="U362" i="7"/>
  <c r="V362" i="7"/>
  <c r="W362" i="7"/>
  <c r="X362" i="7"/>
  <c r="Y362" i="7"/>
  <c r="Z362" i="7"/>
  <c r="AA362" i="7"/>
  <c r="AB362" i="7"/>
  <c r="AC362" i="7"/>
  <c r="AD362" i="7"/>
  <c r="AE362" i="7"/>
  <c r="AF362" i="7"/>
  <c r="AG362" i="7"/>
  <c r="AH362" i="7"/>
  <c r="AI362" i="7"/>
  <c r="AJ362" i="7"/>
  <c r="AK362" i="7"/>
  <c r="AL362" i="7"/>
  <c r="AM362" i="7"/>
  <c r="J363" i="7"/>
  <c r="K363" i="7"/>
  <c r="L363" i="7"/>
  <c r="M363" i="7"/>
  <c r="N363" i="7"/>
  <c r="O363" i="7"/>
  <c r="P363" i="7"/>
  <c r="Q363" i="7"/>
  <c r="R363" i="7"/>
  <c r="S363" i="7"/>
  <c r="T363" i="7"/>
  <c r="U363" i="7"/>
  <c r="V363" i="7"/>
  <c r="W363" i="7"/>
  <c r="X363" i="7"/>
  <c r="Y363" i="7"/>
  <c r="Z363" i="7"/>
  <c r="AA363" i="7"/>
  <c r="AB363" i="7"/>
  <c r="AC363" i="7"/>
  <c r="AD363" i="7"/>
  <c r="AE363" i="7"/>
  <c r="AF363" i="7"/>
  <c r="AG363" i="7"/>
  <c r="AH363" i="7"/>
  <c r="AI363" i="7"/>
  <c r="AJ363" i="7"/>
  <c r="AK363" i="7"/>
  <c r="AL363" i="7"/>
  <c r="AM363" i="7"/>
  <c r="J364" i="7"/>
  <c r="K364" i="7"/>
  <c r="L364" i="7"/>
  <c r="M364" i="7"/>
  <c r="N364" i="7"/>
  <c r="O364" i="7"/>
  <c r="P364" i="7"/>
  <c r="Q364" i="7"/>
  <c r="R364" i="7"/>
  <c r="S364" i="7"/>
  <c r="T364" i="7"/>
  <c r="U364" i="7"/>
  <c r="V364" i="7"/>
  <c r="W364" i="7"/>
  <c r="X364" i="7"/>
  <c r="Y364" i="7"/>
  <c r="Z364" i="7"/>
  <c r="AA364" i="7"/>
  <c r="AB364" i="7"/>
  <c r="AC364" i="7"/>
  <c r="AD364" i="7"/>
  <c r="AE364" i="7"/>
  <c r="AF364" i="7"/>
  <c r="AG364" i="7"/>
  <c r="AH364" i="7"/>
  <c r="AI364" i="7"/>
  <c r="AJ364" i="7"/>
  <c r="AK364" i="7"/>
  <c r="AL364" i="7"/>
  <c r="AM364" i="7"/>
  <c r="J365" i="7"/>
  <c r="K365" i="7"/>
  <c r="L365" i="7"/>
  <c r="M365" i="7"/>
  <c r="N365" i="7"/>
  <c r="O365" i="7"/>
  <c r="P365" i="7"/>
  <c r="Q365" i="7"/>
  <c r="R365" i="7"/>
  <c r="S365" i="7"/>
  <c r="T365" i="7"/>
  <c r="U365" i="7"/>
  <c r="V365" i="7"/>
  <c r="W365" i="7"/>
  <c r="X365" i="7"/>
  <c r="Y365" i="7"/>
  <c r="Z365" i="7"/>
  <c r="AA365" i="7"/>
  <c r="AB365" i="7"/>
  <c r="AC365" i="7"/>
  <c r="AD365" i="7"/>
  <c r="AE365" i="7"/>
  <c r="AF365" i="7"/>
  <c r="AG365" i="7"/>
  <c r="AH365" i="7"/>
  <c r="AI365" i="7"/>
  <c r="AJ365" i="7"/>
  <c r="AK365" i="7"/>
  <c r="AL365" i="7"/>
  <c r="AM365" i="7"/>
  <c r="J366" i="7"/>
  <c r="K366" i="7"/>
  <c r="L366" i="7"/>
  <c r="M366" i="7"/>
  <c r="N366" i="7"/>
  <c r="O366" i="7"/>
  <c r="P366" i="7"/>
  <c r="Q366" i="7"/>
  <c r="R366" i="7"/>
  <c r="S366" i="7"/>
  <c r="T366" i="7"/>
  <c r="U366" i="7"/>
  <c r="V366" i="7"/>
  <c r="W366" i="7"/>
  <c r="X366" i="7"/>
  <c r="Y366" i="7"/>
  <c r="Z366" i="7"/>
  <c r="AA366" i="7"/>
  <c r="AB366" i="7"/>
  <c r="AC366" i="7"/>
  <c r="AD366" i="7"/>
  <c r="AE366" i="7"/>
  <c r="AF366" i="7"/>
  <c r="AG366" i="7"/>
  <c r="AH366" i="7"/>
  <c r="AI366" i="7"/>
  <c r="AJ366" i="7"/>
  <c r="AK366" i="7"/>
  <c r="AL366" i="7"/>
  <c r="AM366" i="7"/>
  <c r="J367" i="7"/>
  <c r="K367" i="7"/>
  <c r="L367" i="7"/>
  <c r="M367" i="7"/>
  <c r="N367" i="7"/>
  <c r="O367" i="7"/>
  <c r="P367" i="7"/>
  <c r="Q367" i="7"/>
  <c r="R367" i="7"/>
  <c r="S367" i="7"/>
  <c r="T367" i="7"/>
  <c r="U367" i="7"/>
  <c r="V367" i="7"/>
  <c r="W367" i="7"/>
  <c r="X367" i="7"/>
  <c r="Y367" i="7"/>
  <c r="Z367" i="7"/>
  <c r="AA367" i="7"/>
  <c r="AB367" i="7"/>
  <c r="AC367" i="7"/>
  <c r="AD367" i="7"/>
  <c r="AE367" i="7"/>
  <c r="AF367" i="7"/>
  <c r="AG367" i="7"/>
  <c r="AH367" i="7"/>
  <c r="AI367" i="7"/>
  <c r="AJ367" i="7"/>
  <c r="AK367" i="7"/>
  <c r="AL367" i="7"/>
  <c r="AM367" i="7"/>
  <c r="J368" i="7"/>
  <c r="K368" i="7"/>
  <c r="L368" i="7"/>
  <c r="M368" i="7"/>
  <c r="N368" i="7"/>
  <c r="O368" i="7"/>
  <c r="P368" i="7"/>
  <c r="Q368" i="7"/>
  <c r="R368" i="7"/>
  <c r="S368" i="7"/>
  <c r="T368" i="7"/>
  <c r="U368" i="7"/>
  <c r="V368" i="7"/>
  <c r="W368" i="7"/>
  <c r="X368" i="7"/>
  <c r="Y368" i="7"/>
  <c r="Z368" i="7"/>
  <c r="AA368" i="7"/>
  <c r="AB368" i="7"/>
  <c r="AC368" i="7"/>
  <c r="AD368" i="7"/>
  <c r="AE368" i="7"/>
  <c r="AF368" i="7"/>
  <c r="AG368" i="7"/>
  <c r="AH368" i="7"/>
  <c r="AI368" i="7"/>
  <c r="AJ368" i="7"/>
  <c r="AK368" i="7"/>
  <c r="AL368" i="7"/>
  <c r="AM368" i="7"/>
  <c r="J369" i="7"/>
  <c r="K369" i="7"/>
  <c r="L369" i="7"/>
  <c r="M369" i="7"/>
  <c r="N369" i="7"/>
  <c r="O369" i="7"/>
  <c r="P369" i="7"/>
  <c r="Q369" i="7"/>
  <c r="R369" i="7"/>
  <c r="S369" i="7"/>
  <c r="T369" i="7"/>
  <c r="U369" i="7"/>
  <c r="V369" i="7"/>
  <c r="W369" i="7"/>
  <c r="X369" i="7"/>
  <c r="Y369" i="7"/>
  <c r="Z369" i="7"/>
  <c r="AA369" i="7"/>
  <c r="AB369" i="7"/>
  <c r="AC369" i="7"/>
  <c r="AD369" i="7"/>
  <c r="AE369" i="7"/>
  <c r="AF369" i="7"/>
  <c r="AG369" i="7"/>
  <c r="AH369" i="7"/>
  <c r="AI369" i="7"/>
  <c r="AJ369" i="7"/>
  <c r="AK369" i="7"/>
  <c r="AL369" i="7"/>
  <c r="AM369" i="7"/>
  <c r="J370" i="7"/>
  <c r="K370" i="7"/>
  <c r="L370" i="7"/>
  <c r="M370" i="7"/>
  <c r="N370" i="7"/>
  <c r="O370" i="7"/>
  <c r="P370" i="7"/>
  <c r="Q370" i="7"/>
  <c r="R370" i="7"/>
  <c r="S370" i="7"/>
  <c r="T370" i="7"/>
  <c r="U370" i="7"/>
  <c r="V370" i="7"/>
  <c r="W370" i="7"/>
  <c r="X370" i="7"/>
  <c r="Y370" i="7"/>
  <c r="Z370" i="7"/>
  <c r="AA370" i="7"/>
  <c r="AB370" i="7"/>
  <c r="AC370" i="7"/>
  <c r="AD370" i="7"/>
  <c r="AE370" i="7"/>
  <c r="AF370" i="7"/>
  <c r="AG370" i="7"/>
  <c r="AH370" i="7"/>
  <c r="AI370" i="7"/>
  <c r="AJ370" i="7"/>
  <c r="AK370" i="7"/>
  <c r="AL370" i="7"/>
  <c r="AM370" i="7"/>
  <c r="J371" i="7"/>
  <c r="K371" i="7"/>
  <c r="L371" i="7"/>
  <c r="M371" i="7"/>
  <c r="N371" i="7"/>
  <c r="O371" i="7"/>
  <c r="P371" i="7"/>
  <c r="Q371" i="7"/>
  <c r="R371" i="7"/>
  <c r="S371" i="7"/>
  <c r="T371" i="7"/>
  <c r="U371" i="7"/>
  <c r="V371" i="7"/>
  <c r="W371" i="7"/>
  <c r="X371" i="7"/>
  <c r="Y371" i="7"/>
  <c r="Z371" i="7"/>
  <c r="AA371" i="7"/>
  <c r="AB371" i="7"/>
  <c r="AC371" i="7"/>
  <c r="AD371" i="7"/>
  <c r="AE371" i="7"/>
  <c r="AF371" i="7"/>
  <c r="AG371" i="7"/>
  <c r="AH371" i="7"/>
  <c r="AI371" i="7"/>
  <c r="AJ371" i="7"/>
  <c r="AK371" i="7"/>
  <c r="AL371" i="7"/>
  <c r="AM371" i="7"/>
  <c r="J372" i="7"/>
  <c r="K372" i="7"/>
  <c r="L372" i="7"/>
  <c r="M372" i="7"/>
  <c r="N372" i="7"/>
  <c r="O372" i="7"/>
  <c r="P372" i="7"/>
  <c r="Q372" i="7"/>
  <c r="R372" i="7"/>
  <c r="S372" i="7"/>
  <c r="T372" i="7"/>
  <c r="U372" i="7"/>
  <c r="V372" i="7"/>
  <c r="W372" i="7"/>
  <c r="X372" i="7"/>
  <c r="Y372" i="7"/>
  <c r="Z372" i="7"/>
  <c r="AA372" i="7"/>
  <c r="AB372" i="7"/>
  <c r="AC372" i="7"/>
  <c r="AD372" i="7"/>
  <c r="AE372" i="7"/>
  <c r="AF372" i="7"/>
  <c r="AG372" i="7"/>
  <c r="AH372" i="7"/>
  <c r="AI372" i="7"/>
  <c r="AJ372" i="7"/>
  <c r="AK372" i="7"/>
  <c r="AL372" i="7"/>
  <c r="AM372" i="7"/>
  <c r="J373" i="7"/>
  <c r="K373" i="7"/>
  <c r="L373" i="7"/>
  <c r="M373" i="7"/>
  <c r="N373" i="7"/>
  <c r="O373" i="7"/>
  <c r="P373" i="7"/>
  <c r="Q373" i="7"/>
  <c r="R373" i="7"/>
  <c r="S373" i="7"/>
  <c r="T373" i="7"/>
  <c r="U373" i="7"/>
  <c r="V373" i="7"/>
  <c r="W373" i="7"/>
  <c r="X373" i="7"/>
  <c r="Y373" i="7"/>
  <c r="Z373" i="7"/>
  <c r="AA373" i="7"/>
  <c r="AB373" i="7"/>
  <c r="AC373" i="7"/>
  <c r="AD373" i="7"/>
  <c r="AE373" i="7"/>
  <c r="AF373" i="7"/>
  <c r="AG373" i="7"/>
  <c r="AH373" i="7"/>
  <c r="AI373" i="7"/>
  <c r="AJ373" i="7"/>
  <c r="AK373" i="7"/>
  <c r="AL373" i="7"/>
  <c r="AM373" i="7"/>
  <c r="J374" i="7"/>
  <c r="K374" i="7"/>
  <c r="L374" i="7"/>
  <c r="M374" i="7"/>
  <c r="N374" i="7"/>
  <c r="O374" i="7"/>
  <c r="P374" i="7"/>
  <c r="Q374" i="7"/>
  <c r="R374" i="7"/>
  <c r="S374" i="7"/>
  <c r="T374" i="7"/>
  <c r="U374" i="7"/>
  <c r="V374" i="7"/>
  <c r="W374" i="7"/>
  <c r="X374" i="7"/>
  <c r="Y374" i="7"/>
  <c r="Z374" i="7"/>
  <c r="AA374" i="7"/>
  <c r="AB374" i="7"/>
  <c r="AC374" i="7"/>
  <c r="AD374" i="7"/>
  <c r="AE374" i="7"/>
  <c r="AF374" i="7"/>
  <c r="AG374" i="7"/>
  <c r="AH374" i="7"/>
  <c r="AI374" i="7"/>
  <c r="AJ374" i="7"/>
  <c r="AK374" i="7"/>
  <c r="AL374" i="7"/>
  <c r="AM374" i="7"/>
  <c r="J375" i="7"/>
  <c r="K375" i="7"/>
  <c r="L375" i="7"/>
  <c r="M375" i="7"/>
  <c r="N375" i="7"/>
  <c r="O375" i="7"/>
  <c r="P375" i="7"/>
  <c r="Q375" i="7"/>
  <c r="R375" i="7"/>
  <c r="S375" i="7"/>
  <c r="T375" i="7"/>
  <c r="U375" i="7"/>
  <c r="V375" i="7"/>
  <c r="W375" i="7"/>
  <c r="X375" i="7"/>
  <c r="Y375" i="7"/>
  <c r="Z375" i="7"/>
  <c r="AA375" i="7"/>
  <c r="AB375" i="7"/>
  <c r="AC375" i="7"/>
  <c r="AD375" i="7"/>
  <c r="AE375" i="7"/>
  <c r="AF375" i="7"/>
  <c r="AG375" i="7"/>
  <c r="AH375" i="7"/>
  <c r="AI375" i="7"/>
  <c r="AJ375" i="7"/>
  <c r="AK375" i="7"/>
  <c r="AL375" i="7"/>
  <c r="AM375" i="7"/>
  <c r="J376" i="7"/>
  <c r="K376" i="7"/>
  <c r="L376" i="7"/>
  <c r="M376" i="7"/>
  <c r="N376" i="7"/>
  <c r="O376" i="7"/>
  <c r="P376" i="7"/>
  <c r="Q376" i="7"/>
  <c r="R376" i="7"/>
  <c r="S376" i="7"/>
  <c r="T376" i="7"/>
  <c r="U376" i="7"/>
  <c r="V376" i="7"/>
  <c r="W376" i="7"/>
  <c r="X376" i="7"/>
  <c r="Y376" i="7"/>
  <c r="Z376" i="7"/>
  <c r="AA376" i="7"/>
  <c r="AB376" i="7"/>
  <c r="AC376" i="7"/>
  <c r="AD376" i="7"/>
  <c r="AE376" i="7"/>
  <c r="AF376" i="7"/>
  <c r="AG376" i="7"/>
  <c r="AH376" i="7"/>
  <c r="AI376" i="7"/>
  <c r="AJ376" i="7"/>
  <c r="AK376" i="7"/>
  <c r="AL376" i="7"/>
  <c r="AM376" i="7"/>
  <c r="J377" i="7"/>
  <c r="K377" i="7"/>
  <c r="L377" i="7"/>
  <c r="M377" i="7"/>
  <c r="N377" i="7"/>
  <c r="O377" i="7"/>
  <c r="P377" i="7"/>
  <c r="Q377" i="7"/>
  <c r="R377" i="7"/>
  <c r="S377" i="7"/>
  <c r="T377" i="7"/>
  <c r="U377" i="7"/>
  <c r="V377" i="7"/>
  <c r="W377" i="7"/>
  <c r="X377" i="7"/>
  <c r="Y377" i="7"/>
  <c r="Z377" i="7"/>
  <c r="AA377" i="7"/>
  <c r="AB377" i="7"/>
  <c r="AC377" i="7"/>
  <c r="AD377" i="7"/>
  <c r="AE377" i="7"/>
  <c r="AF377" i="7"/>
  <c r="AG377" i="7"/>
  <c r="AH377" i="7"/>
  <c r="AI377" i="7"/>
  <c r="AJ377" i="7"/>
  <c r="AK377" i="7"/>
  <c r="AL377" i="7"/>
  <c r="AM377" i="7"/>
  <c r="J378" i="7"/>
  <c r="K378" i="7"/>
  <c r="L378" i="7"/>
  <c r="M378" i="7"/>
  <c r="N378" i="7"/>
  <c r="O378" i="7"/>
  <c r="P378" i="7"/>
  <c r="Q378" i="7"/>
  <c r="R378" i="7"/>
  <c r="S378" i="7"/>
  <c r="T378" i="7"/>
  <c r="U378" i="7"/>
  <c r="V378" i="7"/>
  <c r="W378" i="7"/>
  <c r="X378" i="7"/>
  <c r="Y378" i="7"/>
  <c r="Z378" i="7"/>
  <c r="AA378" i="7"/>
  <c r="AB378" i="7"/>
  <c r="AC378" i="7"/>
  <c r="AD378" i="7"/>
  <c r="AE378" i="7"/>
  <c r="AF378" i="7"/>
  <c r="AG378" i="7"/>
  <c r="AH378" i="7"/>
  <c r="AI378" i="7"/>
  <c r="AJ378" i="7"/>
  <c r="AK378" i="7"/>
  <c r="AL378" i="7"/>
  <c r="AM378" i="7"/>
  <c r="J379" i="7"/>
  <c r="K379" i="7"/>
  <c r="L379" i="7"/>
  <c r="M379" i="7"/>
  <c r="N379" i="7"/>
  <c r="O379" i="7"/>
  <c r="P379" i="7"/>
  <c r="Q379" i="7"/>
  <c r="R379" i="7"/>
  <c r="S379" i="7"/>
  <c r="T379" i="7"/>
  <c r="U379" i="7"/>
  <c r="V379" i="7"/>
  <c r="W379" i="7"/>
  <c r="X379" i="7"/>
  <c r="Y379" i="7"/>
  <c r="Z379" i="7"/>
  <c r="AA379" i="7"/>
  <c r="AB379" i="7"/>
  <c r="AC379" i="7"/>
  <c r="AD379" i="7"/>
  <c r="AE379" i="7"/>
  <c r="AF379" i="7"/>
  <c r="AG379" i="7"/>
  <c r="AH379" i="7"/>
  <c r="AI379" i="7"/>
  <c r="AJ379" i="7"/>
  <c r="AK379" i="7"/>
  <c r="AL379" i="7"/>
  <c r="AM379" i="7"/>
  <c r="J380" i="7"/>
  <c r="K380" i="7"/>
  <c r="L380" i="7"/>
  <c r="M380" i="7"/>
  <c r="N380" i="7"/>
  <c r="O380" i="7"/>
  <c r="P380" i="7"/>
  <c r="Q380" i="7"/>
  <c r="R380" i="7"/>
  <c r="S380" i="7"/>
  <c r="T380" i="7"/>
  <c r="U380" i="7"/>
  <c r="V380" i="7"/>
  <c r="W380" i="7"/>
  <c r="X380" i="7"/>
  <c r="Y380" i="7"/>
  <c r="Z380" i="7"/>
  <c r="AA380" i="7"/>
  <c r="AB380" i="7"/>
  <c r="AC380" i="7"/>
  <c r="AD380" i="7"/>
  <c r="AE380" i="7"/>
  <c r="AF380" i="7"/>
  <c r="AG380" i="7"/>
  <c r="AH380" i="7"/>
  <c r="AI380" i="7"/>
  <c r="AJ380" i="7"/>
  <c r="AK380" i="7"/>
  <c r="AL380" i="7"/>
  <c r="AM380" i="7"/>
  <c r="J381" i="7"/>
  <c r="K381" i="7"/>
  <c r="L381" i="7"/>
  <c r="M381" i="7"/>
  <c r="N381" i="7"/>
  <c r="O381" i="7"/>
  <c r="P381" i="7"/>
  <c r="Q381" i="7"/>
  <c r="R381" i="7"/>
  <c r="S381" i="7"/>
  <c r="T381" i="7"/>
  <c r="U381" i="7"/>
  <c r="V381" i="7"/>
  <c r="W381" i="7"/>
  <c r="X381" i="7"/>
  <c r="Y381" i="7"/>
  <c r="Z381" i="7"/>
  <c r="AA381" i="7"/>
  <c r="AB381" i="7"/>
  <c r="AC381" i="7"/>
  <c r="AD381" i="7"/>
  <c r="AE381" i="7"/>
  <c r="AF381" i="7"/>
  <c r="AG381" i="7"/>
  <c r="AH381" i="7"/>
  <c r="AI381" i="7"/>
  <c r="AJ381" i="7"/>
  <c r="AK381" i="7"/>
  <c r="AL381" i="7"/>
  <c r="AM381" i="7"/>
  <c r="J382" i="7"/>
  <c r="K382" i="7"/>
  <c r="L382" i="7"/>
  <c r="M382" i="7"/>
  <c r="N382" i="7"/>
  <c r="O382" i="7"/>
  <c r="P382" i="7"/>
  <c r="Q382" i="7"/>
  <c r="R382" i="7"/>
  <c r="S382" i="7"/>
  <c r="T382" i="7"/>
  <c r="U382" i="7"/>
  <c r="V382" i="7"/>
  <c r="W382" i="7"/>
  <c r="X382" i="7"/>
  <c r="Y382" i="7"/>
  <c r="Z382" i="7"/>
  <c r="AA382" i="7"/>
  <c r="AB382" i="7"/>
  <c r="AC382" i="7"/>
  <c r="AD382" i="7"/>
  <c r="AE382" i="7"/>
  <c r="AF382" i="7"/>
  <c r="AG382" i="7"/>
  <c r="AH382" i="7"/>
  <c r="AI382" i="7"/>
  <c r="AJ382" i="7"/>
  <c r="AK382" i="7"/>
  <c r="AL382" i="7"/>
  <c r="AM382" i="7"/>
  <c r="J383" i="7"/>
  <c r="K383" i="7"/>
  <c r="L383" i="7"/>
  <c r="M383" i="7"/>
  <c r="N383" i="7"/>
  <c r="O383" i="7"/>
  <c r="P383" i="7"/>
  <c r="Q383" i="7"/>
  <c r="R383" i="7"/>
  <c r="S383" i="7"/>
  <c r="T383" i="7"/>
  <c r="U383" i="7"/>
  <c r="V383" i="7"/>
  <c r="W383" i="7"/>
  <c r="X383" i="7"/>
  <c r="Y383" i="7"/>
  <c r="Z383" i="7"/>
  <c r="AA383" i="7"/>
  <c r="AB383" i="7"/>
  <c r="AC383" i="7"/>
  <c r="AD383" i="7"/>
  <c r="AE383" i="7"/>
  <c r="AF383" i="7"/>
  <c r="AG383" i="7"/>
  <c r="AH383" i="7"/>
  <c r="AI383" i="7"/>
  <c r="AJ383" i="7"/>
  <c r="AK383" i="7"/>
  <c r="AL383" i="7"/>
  <c r="AM383" i="7"/>
  <c r="J384" i="7"/>
  <c r="K384" i="7"/>
  <c r="L384" i="7"/>
  <c r="M384" i="7"/>
  <c r="N384" i="7"/>
  <c r="O384" i="7"/>
  <c r="P384" i="7"/>
  <c r="Q384" i="7"/>
  <c r="R384" i="7"/>
  <c r="S384" i="7"/>
  <c r="T384" i="7"/>
  <c r="U384" i="7"/>
  <c r="V384" i="7"/>
  <c r="W384" i="7"/>
  <c r="X384" i="7"/>
  <c r="Y384" i="7"/>
  <c r="Z384" i="7"/>
  <c r="AA384" i="7"/>
  <c r="AB384" i="7"/>
  <c r="AC384" i="7"/>
  <c r="AD384" i="7"/>
  <c r="AE384" i="7"/>
  <c r="AF384" i="7"/>
  <c r="AG384" i="7"/>
  <c r="AH384" i="7"/>
  <c r="AI384" i="7"/>
  <c r="AJ384" i="7"/>
  <c r="AK384" i="7"/>
  <c r="AL384" i="7"/>
  <c r="AM384" i="7"/>
  <c r="J385" i="7"/>
  <c r="K385" i="7"/>
  <c r="L385" i="7"/>
  <c r="M385" i="7"/>
  <c r="N385" i="7"/>
  <c r="O385" i="7"/>
  <c r="P385" i="7"/>
  <c r="Q385" i="7"/>
  <c r="R385" i="7"/>
  <c r="S385" i="7"/>
  <c r="T385" i="7"/>
  <c r="U385" i="7"/>
  <c r="V385" i="7"/>
  <c r="W385" i="7"/>
  <c r="X385" i="7"/>
  <c r="Y385" i="7"/>
  <c r="Z385" i="7"/>
  <c r="AA385" i="7"/>
  <c r="AB385" i="7"/>
  <c r="AC385" i="7"/>
  <c r="AD385" i="7"/>
  <c r="AE385" i="7"/>
  <c r="AF385" i="7"/>
  <c r="AG385" i="7"/>
  <c r="AH385" i="7"/>
  <c r="AI385" i="7"/>
  <c r="AJ385" i="7"/>
  <c r="AK385" i="7"/>
  <c r="AL385" i="7"/>
  <c r="AM385" i="7"/>
  <c r="J386" i="7"/>
  <c r="K386" i="7"/>
  <c r="L386" i="7"/>
  <c r="M386" i="7"/>
  <c r="N386" i="7"/>
  <c r="O386" i="7"/>
  <c r="P386" i="7"/>
  <c r="Q386" i="7"/>
  <c r="R386" i="7"/>
  <c r="S386" i="7"/>
  <c r="T386" i="7"/>
  <c r="U386" i="7"/>
  <c r="V386" i="7"/>
  <c r="W386" i="7"/>
  <c r="X386" i="7"/>
  <c r="Y386" i="7"/>
  <c r="Z386" i="7"/>
  <c r="AA386" i="7"/>
  <c r="AB386" i="7"/>
  <c r="AC386" i="7"/>
  <c r="AD386" i="7"/>
  <c r="AE386" i="7"/>
  <c r="AF386" i="7"/>
  <c r="AG386" i="7"/>
  <c r="AH386" i="7"/>
  <c r="AI386" i="7"/>
  <c r="AJ386" i="7"/>
  <c r="AK386" i="7"/>
  <c r="AL386" i="7"/>
  <c r="AM386" i="7"/>
  <c r="J387" i="7"/>
  <c r="K387" i="7"/>
  <c r="L387" i="7"/>
  <c r="M387" i="7"/>
  <c r="N387" i="7"/>
  <c r="O387" i="7"/>
  <c r="P387" i="7"/>
  <c r="Q387" i="7"/>
  <c r="R387" i="7"/>
  <c r="S387" i="7"/>
  <c r="T387" i="7"/>
  <c r="U387" i="7"/>
  <c r="V387" i="7"/>
  <c r="W387" i="7"/>
  <c r="X387" i="7"/>
  <c r="Y387" i="7"/>
  <c r="Z387" i="7"/>
  <c r="AA387" i="7"/>
  <c r="AB387" i="7"/>
  <c r="AC387" i="7"/>
  <c r="AD387" i="7"/>
  <c r="AE387" i="7"/>
  <c r="AF387" i="7"/>
  <c r="AG387" i="7"/>
  <c r="AH387" i="7"/>
  <c r="AI387" i="7"/>
  <c r="AJ387" i="7"/>
  <c r="AK387" i="7"/>
  <c r="AL387" i="7"/>
  <c r="AM387" i="7"/>
  <c r="J388" i="7"/>
  <c r="K388" i="7"/>
  <c r="L388" i="7"/>
  <c r="M388" i="7"/>
  <c r="N388" i="7"/>
  <c r="O388" i="7"/>
  <c r="P388" i="7"/>
  <c r="Q388" i="7"/>
  <c r="R388" i="7"/>
  <c r="S388" i="7"/>
  <c r="T388" i="7"/>
  <c r="U388" i="7"/>
  <c r="V388" i="7"/>
  <c r="W388" i="7"/>
  <c r="X388" i="7"/>
  <c r="Y388" i="7"/>
  <c r="Z388" i="7"/>
  <c r="AA388" i="7"/>
  <c r="AB388" i="7"/>
  <c r="AC388" i="7"/>
  <c r="AD388" i="7"/>
  <c r="AE388" i="7"/>
  <c r="AF388" i="7"/>
  <c r="AG388" i="7"/>
  <c r="AH388" i="7"/>
  <c r="AI388" i="7"/>
  <c r="AJ388" i="7"/>
  <c r="AK388" i="7"/>
  <c r="AL388" i="7"/>
  <c r="AM388" i="7"/>
  <c r="J389" i="7"/>
  <c r="K389" i="7"/>
  <c r="L389" i="7"/>
  <c r="M389" i="7"/>
  <c r="N389" i="7"/>
  <c r="O389" i="7"/>
  <c r="P389" i="7"/>
  <c r="Q389" i="7"/>
  <c r="R389" i="7"/>
  <c r="S389" i="7"/>
  <c r="T389" i="7"/>
  <c r="U389" i="7"/>
  <c r="V389" i="7"/>
  <c r="W389" i="7"/>
  <c r="X389" i="7"/>
  <c r="Y389" i="7"/>
  <c r="Z389" i="7"/>
  <c r="AA389" i="7"/>
  <c r="AB389" i="7"/>
  <c r="AC389" i="7"/>
  <c r="AD389" i="7"/>
  <c r="AE389" i="7"/>
  <c r="AF389" i="7"/>
  <c r="AG389" i="7"/>
  <c r="AH389" i="7"/>
  <c r="AI389" i="7"/>
  <c r="AJ389" i="7"/>
  <c r="AK389" i="7"/>
  <c r="AL389" i="7"/>
  <c r="AM389" i="7"/>
  <c r="J390" i="7"/>
  <c r="K390" i="7"/>
  <c r="L390" i="7"/>
  <c r="M390" i="7"/>
  <c r="N390" i="7"/>
  <c r="O390" i="7"/>
  <c r="P390" i="7"/>
  <c r="Q390" i="7"/>
  <c r="R390" i="7"/>
  <c r="S390" i="7"/>
  <c r="T390" i="7"/>
  <c r="U390" i="7"/>
  <c r="V390" i="7"/>
  <c r="W390" i="7"/>
  <c r="X390" i="7"/>
  <c r="Y390" i="7"/>
  <c r="Z390" i="7"/>
  <c r="AA390" i="7"/>
  <c r="AB390" i="7"/>
  <c r="AC390" i="7"/>
  <c r="AD390" i="7"/>
  <c r="AE390" i="7"/>
  <c r="AF390" i="7"/>
  <c r="AG390" i="7"/>
  <c r="AH390" i="7"/>
  <c r="AI390" i="7"/>
  <c r="AJ390" i="7"/>
  <c r="AK390" i="7"/>
  <c r="AL390" i="7"/>
  <c r="AM390" i="7"/>
  <c r="J391" i="7"/>
  <c r="K391" i="7"/>
  <c r="L391" i="7"/>
  <c r="M391" i="7"/>
  <c r="N391" i="7"/>
  <c r="O391" i="7"/>
  <c r="P391" i="7"/>
  <c r="Q391" i="7"/>
  <c r="R391" i="7"/>
  <c r="S391" i="7"/>
  <c r="T391" i="7"/>
  <c r="U391" i="7"/>
  <c r="V391" i="7"/>
  <c r="W391" i="7"/>
  <c r="X391" i="7"/>
  <c r="Y391" i="7"/>
  <c r="Z391" i="7"/>
  <c r="AA391" i="7"/>
  <c r="AB391" i="7"/>
  <c r="AC391" i="7"/>
  <c r="AD391" i="7"/>
  <c r="AE391" i="7"/>
  <c r="AF391" i="7"/>
  <c r="AG391" i="7"/>
  <c r="AH391" i="7"/>
  <c r="AI391" i="7"/>
  <c r="AJ391" i="7"/>
  <c r="AK391" i="7"/>
  <c r="AL391" i="7"/>
  <c r="AM391" i="7"/>
  <c r="J392" i="7"/>
  <c r="K392" i="7"/>
  <c r="L392" i="7"/>
  <c r="M392" i="7"/>
  <c r="N392" i="7"/>
  <c r="O392" i="7"/>
  <c r="P392" i="7"/>
  <c r="Q392" i="7"/>
  <c r="R392" i="7"/>
  <c r="S392" i="7"/>
  <c r="T392" i="7"/>
  <c r="U392" i="7"/>
  <c r="V392" i="7"/>
  <c r="W392" i="7"/>
  <c r="X392" i="7"/>
  <c r="Y392" i="7"/>
  <c r="Z392" i="7"/>
  <c r="AA392" i="7"/>
  <c r="AB392" i="7"/>
  <c r="AC392" i="7"/>
  <c r="AD392" i="7"/>
  <c r="AE392" i="7"/>
  <c r="AF392" i="7"/>
  <c r="AG392" i="7"/>
  <c r="AH392" i="7"/>
  <c r="AI392" i="7"/>
  <c r="AJ392" i="7"/>
  <c r="AK392" i="7"/>
  <c r="AL392" i="7"/>
  <c r="AM392" i="7"/>
  <c r="J393" i="7"/>
  <c r="K393" i="7"/>
  <c r="L393" i="7"/>
  <c r="M393" i="7"/>
  <c r="N393" i="7"/>
  <c r="O393" i="7"/>
  <c r="P393" i="7"/>
  <c r="Q393" i="7"/>
  <c r="R393" i="7"/>
  <c r="S393" i="7"/>
  <c r="T393" i="7"/>
  <c r="U393" i="7"/>
  <c r="V393" i="7"/>
  <c r="W393" i="7"/>
  <c r="X393" i="7"/>
  <c r="Y393" i="7"/>
  <c r="Z393" i="7"/>
  <c r="AA393" i="7"/>
  <c r="AB393" i="7"/>
  <c r="AC393" i="7"/>
  <c r="AD393" i="7"/>
  <c r="AE393" i="7"/>
  <c r="AF393" i="7"/>
  <c r="AG393" i="7"/>
  <c r="AH393" i="7"/>
  <c r="AI393" i="7"/>
  <c r="AJ393" i="7"/>
  <c r="AK393" i="7"/>
  <c r="AL393" i="7"/>
  <c r="AM393" i="7"/>
  <c r="J394" i="7"/>
  <c r="K394" i="7"/>
  <c r="L394" i="7"/>
  <c r="M394" i="7"/>
  <c r="N394" i="7"/>
  <c r="O394" i="7"/>
  <c r="P394" i="7"/>
  <c r="Q394" i="7"/>
  <c r="R394" i="7"/>
  <c r="S394" i="7"/>
  <c r="T394" i="7"/>
  <c r="U394" i="7"/>
  <c r="V394" i="7"/>
  <c r="W394" i="7"/>
  <c r="X394" i="7"/>
  <c r="Y394" i="7"/>
  <c r="Z394" i="7"/>
  <c r="AA394" i="7"/>
  <c r="AB394" i="7"/>
  <c r="AC394" i="7"/>
  <c r="AD394" i="7"/>
  <c r="AE394" i="7"/>
  <c r="AF394" i="7"/>
  <c r="AG394" i="7"/>
  <c r="AH394" i="7"/>
  <c r="AI394" i="7"/>
  <c r="AJ394" i="7"/>
  <c r="AK394" i="7"/>
  <c r="AL394" i="7"/>
  <c r="AM394" i="7"/>
  <c r="J395" i="7"/>
  <c r="K395" i="7"/>
  <c r="L395" i="7"/>
  <c r="M395" i="7"/>
  <c r="N395" i="7"/>
  <c r="O395" i="7"/>
  <c r="P395" i="7"/>
  <c r="Q395" i="7"/>
  <c r="R395" i="7"/>
  <c r="S395" i="7"/>
  <c r="T395" i="7"/>
  <c r="U395" i="7"/>
  <c r="V395" i="7"/>
  <c r="W395" i="7"/>
  <c r="X395" i="7"/>
  <c r="Y395" i="7"/>
  <c r="Z395" i="7"/>
  <c r="AA395" i="7"/>
  <c r="AB395" i="7"/>
  <c r="AC395" i="7"/>
  <c r="AD395" i="7"/>
  <c r="AE395" i="7"/>
  <c r="AF395" i="7"/>
  <c r="AG395" i="7"/>
  <c r="AH395" i="7"/>
  <c r="AI395" i="7"/>
  <c r="AJ395" i="7"/>
  <c r="AK395" i="7"/>
  <c r="AL395" i="7"/>
  <c r="AM395" i="7"/>
  <c r="J396" i="7"/>
  <c r="K396" i="7"/>
  <c r="L396" i="7"/>
  <c r="M396" i="7"/>
  <c r="N396" i="7"/>
  <c r="O396" i="7"/>
  <c r="P396" i="7"/>
  <c r="Q396" i="7"/>
  <c r="R396" i="7"/>
  <c r="S396" i="7"/>
  <c r="T396" i="7"/>
  <c r="U396" i="7"/>
  <c r="V396" i="7"/>
  <c r="W396" i="7"/>
  <c r="X396" i="7"/>
  <c r="Y396" i="7"/>
  <c r="Z396" i="7"/>
  <c r="AA396" i="7"/>
  <c r="AB396" i="7"/>
  <c r="AC396" i="7"/>
  <c r="AD396" i="7"/>
  <c r="AE396" i="7"/>
  <c r="AF396" i="7"/>
  <c r="AG396" i="7"/>
  <c r="AH396" i="7"/>
  <c r="AI396" i="7"/>
  <c r="AJ396" i="7"/>
  <c r="AK396" i="7"/>
  <c r="AL396" i="7"/>
  <c r="AM396" i="7"/>
  <c r="J397" i="7"/>
  <c r="K397" i="7"/>
  <c r="L397" i="7"/>
  <c r="M397" i="7"/>
  <c r="N397" i="7"/>
  <c r="O397" i="7"/>
  <c r="P397" i="7"/>
  <c r="Q397" i="7"/>
  <c r="R397" i="7"/>
  <c r="S397" i="7"/>
  <c r="T397" i="7"/>
  <c r="U397" i="7"/>
  <c r="V397" i="7"/>
  <c r="W397" i="7"/>
  <c r="X397" i="7"/>
  <c r="Y397" i="7"/>
  <c r="Z397" i="7"/>
  <c r="AA397" i="7"/>
  <c r="AB397" i="7"/>
  <c r="AC397" i="7"/>
  <c r="AD397" i="7"/>
  <c r="AE397" i="7"/>
  <c r="AF397" i="7"/>
  <c r="AG397" i="7"/>
  <c r="AH397" i="7"/>
  <c r="AI397" i="7"/>
  <c r="AJ397" i="7"/>
  <c r="AK397" i="7"/>
  <c r="AL397" i="7"/>
  <c r="AM397" i="7"/>
  <c r="J398" i="7"/>
  <c r="K398" i="7"/>
  <c r="L398" i="7"/>
  <c r="M398" i="7"/>
  <c r="N398" i="7"/>
  <c r="O398" i="7"/>
  <c r="P398" i="7"/>
  <c r="Q398" i="7"/>
  <c r="R398" i="7"/>
  <c r="S398" i="7"/>
  <c r="T398" i="7"/>
  <c r="U398" i="7"/>
  <c r="V398" i="7"/>
  <c r="W398" i="7"/>
  <c r="X398" i="7"/>
  <c r="Y398" i="7"/>
  <c r="Z398" i="7"/>
  <c r="AA398" i="7"/>
  <c r="AB398" i="7"/>
  <c r="AC398" i="7"/>
  <c r="AD398" i="7"/>
  <c r="AE398" i="7"/>
  <c r="AF398" i="7"/>
  <c r="AG398" i="7"/>
  <c r="AH398" i="7"/>
  <c r="AI398" i="7"/>
  <c r="AJ398" i="7"/>
  <c r="AK398" i="7"/>
  <c r="AL398" i="7"/>
  <c r="AM398" i="7"/>
  <c r="J399" i="7"/>
  <c r="K399" i="7"/>
  <c r="L399" i="7"/>
  <c r="M399" i="7"/>
  <c r="N399" i="7"/>
  <c r="O399" i="7"/>
  <c r="P399" i="7"/>
  <c r="Q399" i="7"/>
  <c r="R399" i="7"/>
  <c r="S399" i="7"/>
  <c r="T399" i="7"/>
  <c r="U399" i="7"/>
  <c r="V399" i="7"/>
  <c r="W399" i="7"/>
  <c r="X399" i="7"/>
  <c r="Y399" i="7"/>
  <c r="Z399" i="7"/>
  <c r="AA399" i="7"/>
  <c r="AB399" i="7"/>
  <c r="AC399" i="7"/>
  <c r="AD399" i="7"/>
  <c r="AE399" i="7"/>
  <c r="AF399" i="7"/>
  <c r="AG399" i="7"/>
  <c r="AH399" i="7"/>
  <c r="AI399" i="7"/>
  <c r="AJ399" i="7"/>
  <c r="AK399" i="7"/>
  <c r="AL399" i="7"/>
  <c r="AM399" i="7"/>
  <c r="J400" i="7"/>
  <c r="K400" i="7"/>
  <c r="L400" i="7"/>
  <c r="M400" i="7"/>
  <c r="N400" i="7"/>
  <c r="O400" i="7"/>
  <c r="P400" i="7"/>
  <c r="Q400" i="7"/>
  <c r="R400" i="7"/>
  <c r="S400" i="7"/>
  <c r="T400" i="7"/>
  <c r="U400" i="7"/>
  <c r="V400" i="7"/>
  <c r="W400" i="7"/>
  <c r="X400" i="7"/>
  <c r="Y400" i="7"/>
  <c r="Z400" i="7"/>
  <c r="AA400" i="7"/>
  <c r="AB400" i="7"/>
  <c r="AC400" i="7"/>
  <c r="AD400" i="7"/>
  <c r="AE400" i="7"/>
  <c r="AF400" i="7"/>
  <c r="AG400" i="7"/>
  <c r="AH400" i="7"/>
  <c r="AI400" i="7"/>
  <c r="AJ400" i="7"/>
  <c r="AK400" i="7"/>
  <c r="AL400" i="7"/>
  <c r="AM400" i="7"/>
  <c r="J401" i="7"/>
  <c r="K401" i="7"/>
  <c r="L401" i="7"/>
  <c r="M401" i="7"/>
  <c r="N401" i="7"/>
  <c r="O401" i="7"/>
  <c r="P401" i="7"/>
  <c r="Q401" i="7"/>
  <c r="R401" i="7"/>
  <c r="S401" i="7"/>
  <c r="T401" i="7"/>
  <c r="U401" i="7"/>
  <c r="V401" i="7"/>
  <c r="W401" i="7"/>
  <c r="X401" i="7"/>
  <c r="Y401" i="7"/>
  <c r="Z401" i="7"/>
  <c r="AA401" i="7"/>
  <c r="AB401" i="7"/>
  <c r="AC401" i="7"/>
  <c r="AD401" i="7"/>
  <c r="AE401" i="7"/>
  <c r="AF401" i="7"/>
  <c r="AG401" i="7"/>
  <c r="AH401" i="7"/>
  <c r="AI401" i="7"/>
  <c r="AJ401" i="7"/>
  <c r="AK401" i="7"/>
  <c r="AL401" i="7"/>
  <c r="AM401" i="7"/>
  <c r="J402" i="7"/>
  <c r="K402" i="7"/>
  <c r="L402" i="7"/>
  <c r="M402" i="7"/>
  <c r="N402" i="7"/>
  <c r="O402" i="7"/>
  <c r="P402" i="7"/>
  <c r="Q402" i="7"/>
  <c r="R402" i="7"/>
  <c r="S402" i="7"/>
  <c r="T402" i="7"/>
  <c r="U402" i="7"/>
  <c r="V402" i="7"/>
  <c r="W402" i="7"/>
  <c r="X402" i="7"/>
  <c r="Y402" i="7"/>
  <c r="Z402" i="7"/>
  <c r="AA402" i="7"/>
  <c r="AB402" i="7"/>
  <c r="AC402" i="7"/>
  <c r="AD402" i="7"/>
  <c r="AE402" i="7"/>
  <c r="AF402" i="7"/>
  <c r="AG402" i="7"/>
  <c r="AH402" i="7"/>
  <c r="AI402" i="7"/>
  <c r="AJ402" i="7"/>
  <c r="AK402" i="7"/>
  <c r="AL402" i="7"/>
  <c r="AM402" i="7"/>
  <c r="J403" i="7"/>
  <c r="K403" i="7"/>
  <c r="L403" i="7"/>
  <c r="M403" i="7"/>
  <c r="N403" i="7"/>
  <c r="O403" i="7"/>
  <c r="P403" i="7"/>
  <c r="Q403" i="7"/>
  <c r="R403" i="7"/>
  <c r="S403" i="7"/>
  <c r="T403" i="7"/>
  <c r="U403" i="7"/>
  <c r="V403" i="7"/>
  <c r="W403" i="7"/>
  <c r="X403" i="7"/>
  <c r="Y403" i="7"/>
  <c r="Z403" i="7"/>
  <c r="AA403" i="7"/>
  <c r="AB403" i="7"/>
  <c r="AC403" i="7"/>
  <c r="AD403" i="7"/>
  <c r="AE403" i="7"/>
  <c r="AF403" i="7"/>
  <c r="AG403" i="7"/>
  <c r="AH403" i="7"/>
  <c r="AI403" i="7"/>
  <c r="AJ403" i="7"/>
  <c r="AK403" i="7"/>
  <c r="AL403" i="7"/>
  <c r="AM403" i="7"/>
  <c r="J404" i="7"/>
  <c r="K404" i="7"/>
  <c r="L404" i="7"/>
  <c r="M404" i="7"/>
  <c r="N404" i="7"/>
  <c r="O404" i="7"/>
  <c r="P404" i="7"/>
  <c r="Q404" i="7"/>
  <c r="R404" i="7"/>
  <c r="S404" i="7"/>
  <c r="T404" i="7"/>
  <c r="U404" i="7"/>
  <c r="V404" i="7"/>
  <c r="W404" i="7"/>
  <c r="X404" i="7"/>
  <c r="Y404" i="7"/>
  <c r="Z404" i="7"/>
  <c r="AA404" i="7"/>
  <c r="AB404" i="7"/>
  <c r="AC404" i="7"/>
  <c r="AD404" i="7"/>
  <c r="AE404" i="7"/>
  <c r="AF404" i="7"/>
  <c r="AG404" i="7"/>
  <c r="AH404" i="7"/>
  <c r="AI404" i="7"/>
  <c r="AJ404" i="7"/>
  <c r="AK404" i="7"/>
  <c r="AL404" i="7"/>
  <c r="AM404" i="7"/>
  <c r="J405" i="7"/>
  <c r="K405" i="7"/>
  <c r="L405" i="7"/>
  <c r="M405" i="7"/>
  <c r="N405" i="7"/>
  <c r="O405" i="7"/>
  <c r="P405" i="7"/>
  <c r="Q405" i="7"/>
  <c r="R405" i="7"/>
  <c r="S405" i="7"/>
  <c r="T405" i="7"/>
  <c r="U405" i="7"/>
  <c r="V405" i="7"/>
  <c r="W405" i="7"/>
  <c r="X405" i="7"/>
  <c r="Y405" i="7"/>
  <c r="Z405" i="7"/>
  <c r="AA405" i="7"/>
  <c r="AB405" i="7"/>
  <c r="AC405" i="7"/>
  <c r="AD405" i="7"/>
  <c r="AE405" i="7"/>
  <c r="AF405" i="7"/>
  <c r="AG405" i="7"/>
  <c r="AH405" i="7"/>
  <c r="AI405" i="7"/>
  <c r="AJ405" i="7"/>
  <c r="AK405" i="7"/>
  <c r="AL405" i="7"/>
  <c r="AM405" i="7"/>
  <c r="J406" i="7"/>
  <c r="K406" i="7"/>
  <c r="L406" i="7"/>
  <c r="M406" i="7"/>
  <c r="N406" i="7"/>
  <c r="O406" i="7"/>
  <c r="P406" i="7"/>
  <c r="Q406" i="7"/>
  <c r="R406" i="7"/>
  <c r="S406" i="7"/>
  <c r="T406" i="7"/>
  <c r="U406" i="7"/>
  <c r="V406" i="7"/>
  <c r="W406" i="7"/>
  <c r="X406" i="7"/>
  <c r="Y406" i="7"/>
  <c r="Z406" i="7"/>
  <c r="AA406" i="7"/>
  <c r="AB406" i="7"/>
  <c r="AC406" i="7"/>
  <c r="AD406" i="7"/>
  <c r="AE406" i="7"/>
  <c r="AF406" i="7"/>
  <c r="AG406" i="7"/>
  <c r="AH406" i="7"/>
  <c r="AI406" i="7"/>
  <c r="AJ406" i="7"/>
  <c r="AK406" i="7"/>
  <c r="AL406" i="7"/>
  <c r="AM406" i="7"/>
  <c r="J407" i="7"/>
  <c r="K407" i="7"/>
  <c r="L407" i="7"/>
  <c r="M407" i="7"/>
  <c r="N407" i="7"/>
  <c r="O407" i="7"/>
  <c r="P407" i="7"/>
  <c r="Q407" i="7"/>
  <c r="R407" i="7"/>
  <c r="S407" i="7"/>
  <c r="T407" i="7"/>
  <c r="U407" i="7"/>
  <c r="V407" i="7"/>
  <c r="W407" i="7"/>
  <c r="X407" i="7"/>
  <c r="Y407" i="7"/>
  <c r="Z407" i="7"/>
  <c r="AA407" i="7"/>
  <c r="AB407" i="7"/>
  <c r="AC407" i="7"/>
  <c r="AD407" i="7"/>
  <c r="AE407" i="7"/>
  <c r="AF407" i="7"/>
  <c r="AG407" i="7"/>
  <c r="AH407" i="7"/>
  <c r="AI407" i="7"/>
  <c r="AJ407" i="7"/>
  <c r="AK407" i="7"/>
  <c r="AL407" i="7"/>
  <c r="AM407" i="7"/>
  <c r="J408" i="7"/>
  <c r="K408" i="7"/>
  <c r="L408" i="7"/>
  <c r="M408" i="7"/>
  <c r="N408" i="7"/>
  <c r="O408" i="7"/>
  <c r="P408" i="7"/>
  <c r="Q408" i="7"/>
  <c r="R408" i="7"/>
  <c r="S408" i="7"/>
  <c r="T408" i="7"/>
  <c r="U408" i="7"/>
  <c r="V408" i="7"/>
  <c r="W408" i="7"/>
  <c r="X408" i="7"/>
  <c r="Y408" i="7"/>
  <c r="Z408" i="7"/>
  <c r="AA408" i="7"/>
  <c r="AB408" i="7"/>
  <c r="AC408" i="7"/>
  <c r="AD408" i="7"/>
  <c r="AE408" i="7"/>
  <c r="AF408" i="7"/>
  <c r="AG408" i="7"/>
  <c r="AH408" i="7"/>
  <c r="AI408" i="7"/>
  <c r="AJ408" i="7"/>
  <c r="AK408" i="7"/>
  <c r="AL408" i="7"/>
  <c r="AM408" i="7"/>
  <c r="J409" i="7"/>
  <c r="K409" i="7"/>
  <c r="L409" i="7"/>
  <c r="M409" i="7"/>
  <c r="N409" i="7"/>
  <c r="O409" i="7"/>
  <c r="P409" i="7"/>
  <c r="Q409" i="7"/>
  <c r="R409" i="7"/>
  <c r="S409" i="7"/>
  <c r="T409" i="7"/>
  <c r="U409" i="7"/>
  <c r="V409" i="7"/>
  <c r="W409" i="7"/>
  <c r="X409" i="7"/>
  <c r="Y409" i="7"/>
  <c r="Z409" i="7"/>
  <c r="AA409" i="7"/>
  <c r="AB409" i="7"/>
  <c r="AC409" i="7"/>
  <c r="AD409" i="7"/>
  <c r="AE409" i="7"/>
  <c r="AF409" i="7"/>
  <c r="AG409" i="7"/>
  <c r="AH409" i="7"/>
  <c r="AI409" i="7"/>
  <c r="AJ409" i="7"/>
  <c r="AK409" i="7"/>
  <c r="AL409" i="7"/>
  <c r="AM409" i="7"/>
  <c r="J410" i="7"/>
  <c r="K410" i="7"/>
  <c r="L410" i="7"/>
  <c r="M410" i="7"/>
  <c r="N410" i="7"/>
  <c r="O410" i="7"/>
  <c r="P410" i="7"/>
  <c r="Q410" i="7"/>
  <c r="R410" i="7"/>
  <c r="S410" i="7"/>
  <c r="T410" i="7"/>
  <c r="U410" i="7"/>
  <c r="V410" i="7"/>
  <c r="W410" i="7"/>
  <c r="X410" i="7"/>
  <c r="Y410" i="7"/>
  <c r="Z410" i="7"/>
  <c r="AA410" i="7"/>
  <c r="AB410" i="7"/>
  <c r="AC410" i="7"/>
  <c r="AD410" i="7"/>
  <c r="AE410" i="7"/>
  <c r="AF410" i="7"/>
  <c r="AG410" i="7"/>
  <c r="AH410" i="7"/>
  <c r="AI410" i="7"/>
  <c r="AJ410" i="7"/>
  <c r="AK410" i="7"/>
  <c r="AL410" i="7"/>
  <c r="AM410" i="7"/>
  <c r="J411" i="7"/>
  <c r="K411" i="7"/>
  <c r="L411" i="7"/>
  <c r="M411" i="7"/>
  <c r="N411" i="7"/>
  <c r="O411" i="7"/>
  <c r="P411" i="7"/>
  <c r="Q411" i="7"/>
  <c r="R411" i="7"/>
  <c r="S411" i="7"/>
  <c r="T411" i="7"/>
  <c r="U411" i="7"/>
  <c r="V411" i="7"/>
  <c r="W411" i="7"/>
  <c r="X411" i="7"/>
  <c r="Y411" i="7"/>
  <c r="Z411" i="7"/>
  <c r="AA411" i="7"/>
  <c r="AB411" i="7"/>
  <c r="AC411" i="7"/>
  <c r="AD411" i="7"/>
  <c r="AE411" i="7"/>
  <c r="AF411" i="7"/>
  <c r="AG411" i="7"/>
  <c r="AH411" i="7"/>
  <c r="AI411" i="7"/>
  <c r="AJ411" i="7"/>
  <c r="AK411" i="7"/>
  <c r="AL411" i="7"/>
  <c r="AM411" i="7"/>
  <c r="J412" i="7"/>
  <c r="K412" i="7"/>
  <c r="L412" i="7"/>
  <c r="M412" i="7"/>
  <c r="N412" i="7"/>
  <c r="O412" i="7"/>
  <c r="P412" i="7"/>
  <c r="Q412" i="7"/>
  <c r="R412" i="7"/>
  <c r="S412" i="7"/>
  <c r="T412" i="7"/>
  <c r="U412" i="7"/>
  <c r="V412" i="7"/>
  <c r="W412" i="7"/>
  <c r="X412" i="7"/>
  <c r="Y412" i="7"/>
  <c r="Z412" i="7"/>
  <c r="AA412" i="7"/>
  <c r="AB412" i="7"/>
  <c r="AC412" i="7"/>
  <c r="AD412" i="7"/>
  <c r="AE412" i="7"/>
  <c r="AF412" i="7"/>
  <c r="AG412" i="7"/>
  <c r="AH412" i="7"/>
  <c r="AI412" i="7"/>
  <c r="AJ412" i="7"/>
  <c r="AK412" i="7"/>
  <c r="AL412" i="7"/>
  <c r="AM412" i="7"/>
  <c r="J413" i="7"/>
  <c r="K413" i="7"/>
  <c r="L413" i="7"/>
  <c r="M413" i="7"/>
  <c r="N413" i="7"/>
  <c r="O413" i="7"/>
  <c r="P413" i="7"/>
  <c r="Q413" i="7"/>
  <c r="R413" i="7"/>
  <c r="S413" i="7"/>
  <c r="T413" i="7"/>
  <c r="U413" i="7"/>
  <c r="V413" i="7"/>
  <c r="W413" i="7"/>
  <c r="X413" i="7"/>
  <c r="Y413" i="7"/>
  <c r="Z413" i="7"/>
  <c r="AA413" i="7"/>
  <c r="AB413" i="7"/>
  <c r="AC413" i="7"/>
  <c r="AD413" i="7"/>
  <c r="AE413" i="7"/>
  <c r="AF413" i="7"/>
  <c r="AG413" i="7"/>
  <c r="AH413" i="7"/>
  <c r="AI413" i="7"/>
  <c r="AJ413" i="7"/>
  <c r="AK413" i="7"/>
  <c r="AL413" i="7"/>
  <c r="AM413" i="7"/>
  <c r="J414" i="7"/>
  <c r="K414" i="7"/>
  <c r="L414" i="7"/>
  <c r="M414" i="7"/>
  <c r="N414" i="7"/>
  <c r="O414" i="7"/>
  <c r="P414" i="7"/>
  <c r="Q414" i="7"/>
  <c r="R414" i="7"/>
  <c r="S414" i="7"/>
  <c r="T414" i="7"/>
  <c r="U414" i="7"/>
  <c r="V414" i="7"/>
  <c r="W414" i="7"/>
  <c r="X414" i="7"/>
  <c r="Y414" i="7"/>
  <c r="Z414" i="7"/>
  <c r="AA414" i="7"/>
  <c r="AB414" i="7"/>
  <c r="AC414" i="7"/>
  <c r="AD414" i="7"/>
  <c r="AE414" i="7"/>
  <c r="AF414" i="7"/>
  <c r="AG414" i="7"/>
  <c r="AH414" i="7"/>
  <c r="AI414" i="7"/>
  <c r="AJ414" i="7"/>
  <c r="AK414" i="7"/>
  <c r="AL414" i="7"/>
  <c r="AM414" i="7"/>
  <c r="J415" i="7"/>
  <c r="K415" i="7"/>
  <c r="L415" i="7"/>
  <c r="M415" i="7"/>
  <c r="N415" i="7"/>
  <c r="O415" i="7"/>
  <c r="P415" i="7"/>
  <c r="Q415" i="7"/>
  <c r="R415" i="7"/>
  <c r="S415" i="7"/>
  <c r="T415" i="7"/>
  <c r="U415" i="7"/>
  <c r="V415" i="7"/>
  <c r="W415" i="7"/>
  <c r="X415" i="7"/>
  <c r="Y415" i="7"/>
  <c r="Z415" i="7"/>
  <c r="AA415" i="7"/>
  <c r="AB415" i="7"/>
  <c r="AC415" i="7"/>
  <c r="AD415" i="7"/>
  <c r="AE415" i="7"/>
  <c r="AF415" i="7"/>
  <c r="AG415" i="7"/>
  <c r="AH415" i="7"/>
  <c r="AI415" i="7"/>
  <c r="AJ415" i="7"/>
  <c r="AK415" i="7"/>
  <c r="AL415" i="7"/>
  <c r="AM415" i="7"/>
  <c r="J416" i="7"/>
  <c r="K416" i="7"/>
  <c r="L416" i="7"/>
  <c r="M416" i="7"/>
  <c r="N416" i="7"/>
  <c r="O416" i="7"/>
  <c r="P416" i="7"/>
  <c r="Q416" i="7"/>
  <c r="R416" i="7"/>
  <c r="S416" i="7"/>
  <c r="T416" i="7"/>
  <c r="U416" i="7"/>
  <c r="V416" i="7"/>
  <c r="W416" i="7"/>
  <c r="X416" i="7"/>
  <c r="Y416" i="7"/>
  <c r="Z416" i="7"/>
  <c r="AA416" i="7"/>
  <c r="AB416" i="7"/>
  <c r="AC416" i="7"/>
  <c r="AD416" i="7"/>
  <c r="AE416" i="7"/>
  <c r="AF416" i="7"/>
  <c r="AG416" i="7"/>
  <c r="AH416" i="7"/>
  <c r="AI416" i="7"/>
  <c r="AJ416" i="7"/>
  <c r="AK416" i="7"/>
  <c r="AL416" i="7"/>
  <c r="AM416" i="7"/>
  <c r="J417" i="7"/>
  <c r="K417" i="7"/>
  <c r="L417" i="7"/>
  <c r="M417" i="7"/>
  <c r="N417" i="7"/>
  <c r="O417" i="7"/>
  <c r="P417" i="7"/>
  <c r="Q417" i="7"/>
  <c r="R417" i="7"/>
  <c r="S417" i="7"/>
  <c r="T417" i="7"/>
  <c r="U417" i="7"/>
  <c r="V417" i="7"/>
  <c r="W417" i="7"/>
  <c r="X417" i="7"/>
  <c r="Y417" i="7"/>
  <c r="Z417" i="7"/>
  <c r="AA417" i="7"/>
  <c r="AB417" i="7"/>
  <c r="AC417" i="7"/>
  <c r="AD417" i="7"/>
  <c r="AE417" i="7"/>
  <c r="AF417" i="7"/>
  <c r="AG417" i="7"/>
  <c r="AH417" i="7"/>
  <c r="AI417" i="7"/>
  <c r="AJ417" i="7"/>
  <c r="AK417" i="7"/>
  <c r="AL417" i="7"/>
  <c r="AM417" i="7"/>
  <c r="J418" i="7"/>
  <c r="K418" i="7"/>
  <c r="L418" i="7"/>
  <c r="M418" i="7"/>
  <c r="N418" i="7"/>
  <c r="O418" i="7"/>
  <c r="P418" i="7"/>
  <c r="Q418" i="7"/>
  <c r="R418" i="7"/>
  <c r="S418" i="7"/>
  <c r="T418" i="7"/>
  <c r="U418" i="7"/>
  <c r="V418" i="7"/>
  <c r="W418" i="7"/>
  <c r="X418" i="7"/>
  <c r="Y418" i="7"/>
  <c r="Z418" i="7"/>
  <c r="AA418" i="7"/>
  <c r="AB418" i="7"/>
  <c r="AC418" i="7"/>
  <c r="AD418" i="7"/>
  <c r="AE418" i="7"/>
  <c r="AF418" i="7"/>
  <c r="AG418" i="7"/>
  <c r="AH418" i="7"/>
  <c r="AI418" i="7"/>
  <c r="AJ418" i="7"/>
  <c r="AK418" i="7"/>
  <c r="AL418" i="7"/>
  <c r="AM418" i="7"/>
  <c r="J419" i="7"/>
  <c r="K419" i="7"/>
  <c r="L419" i="7"/>
  <c r="M419" i="7"/>
  <c r="N419" i="7"/>
  <c r="O419" i="7"/>
  <c r="P419" i="7"/>
  <c r="Q419" i="7"/>
  <c r="R419" i="7"/>
  <c r="S419" i="7"/>
  <c r="T419" i="7"/>
  <c r="U419" i="7"/>
  <c r="V419" i="7"/>
  <c r="W419" i="7"/>
  <c r="X419" i="7"/>
  <c r="Y419" i="7"/>
  <c r="Z419" i="7"/>
  <c r="AA419" i="7"/>
  <c r="AB419" i="7"/>
  <c r="AC419" i="7"/>
  <c r="AD419" i="7"/>
  <c r="AE419" i="7"/>
  <c r="AF419" i="7"/>
  <c r="AG419" i="7"/>
  <c r="AH419" i="7"/>
  <c r="AI419" i="7"/>
  <c r="AJ419" i="7"/>
  <c r="AK419" i="7"/>
  <c r="AL419" i="7"/>
  <c r="AM419" i="7"/>
  <c r="J420" i="7"/>
  <c r="K420" i="7"/>
  <c r="L420" i="7"/>
  <c r="M420" i="7"/>
  <c r="N420" i="7"/>
  <c r="O420" i="7"/>
  <c r="P420" i="7"/>
  <c r="Q420" i="7"/>
  <c r="R420" i="7"/>
  <c r="S420" i="7"/>
  <c r="T420" i="7"/>
  <c r="U420" i="7"/>
  <c r="V420" i="7"/>
  <c r="W420" i="7"/>
  <c r="X420" i="7"/>
  <c r="Y420" i="7"/>
  <c r="Z420" i="7"/>
  <c r="AA420" i="7"/>
  <c r="AB420" i="7"/>
  <c r="AC420" i="7"/>
  <c r="AD420" i="7"/>
  <c r="AE420" i="7"/>
  <c r="AF420" i="7"/>
  <c r="AG420" i="7"/>
  <c r="AH420" i="7"/>
  <c r="AI420" i="7"/>
  <c r="AJ420" i="7"/>
  <c r="AK420" i="7"/>
  <c r="AL420" i="7"/>
  <c r="AM420" i="7"/>
  <c r="J421" i="7"/>
  <c r="K421" i="7"/>
  <c r="L421" i="7"/>
  <c r="M421" i="7"/>
  <c r="N421" i="7"/>
  <c r="O421" i="7"/>
  <c r="P421" i="7"/>
  <c r="Q421" i="7"/>
  <c r="R421" i="7"/>
  <c r="S421" i="7"/>
  <c r="T421" i="7"/>
  <c r="U421" i="7"/>
  <c r="V421" i="7"/>
  <c r="W421" i="7"/>
  <c r="X421" i="7"/>
  <c r="Y421" i="7"/>
  <c r="Z421" i="7"/>
  <c r="AA421" i="7"/>
  <c r="AB421" i="7"/>
  <c r="AC421" i="7"/>
  <c r="AD421" i="7"/>
  <c r="AE421" i="7"/>
  <c r="AF421" i="7"/>
  <c r="AG421" i="7"/>
  <c r="AH421" i="7"/>
  <c r="AI421" i="7"/>
  <c r="AJ421" i="7"/>
  <c r="AK421" i="7"/>
  <c r="AL421" i="7"/>
  <c r="AM421" i="7"/>
  <c r="J422" i="7"/>
  <c r="K422" i="7"/>
  <c r="L422" i="7"/>
  <c r="M422" i="7"/>
  <c r="N422" i="7"/>
  <c r="O422" i="7"/>
  <c r="P422" i="7"/>
  <c r="Q422" i="7"/>
  <c r="R422" i="7"/>
  <c r="S422" i="7"/>
  <c r="T422" i="7"/>
  <c r="U422" i="7"/>
  <c r="V422" i="7"/>
  <c r="W422" i="7"/>
  <c r="X422" i="7"/>
  <c r="Y422" i="7"/>
  <c r="Z422" i="7"/>
  <c r="AA422" i="7"/>
  <c r="AB422" i="7"/>
  <c r="AC422" i="7"/>
  <c r="AD422" i="7"/>
  <c r="AE422" i="7"/>
  <c r="AF422" i="7"/>
  <c r="AG422" i="7"/>
  <c r="AH422" i="7"/>
  <c r="AI422" i="7"/>
  <c r="AJ422" i="7"/>
  <c r="AK422" i="7"/>
  <c r="AL422" i="7"/>
  <c r="AM422" i="7"/>
  <c r="J423" i="7"/>
  <c r="K423" i="7"/>
  <c r="L423" i="7"/>
  <c r="M423" i="7"/>
  <c r="N423" i="7"/>
  <c r="O423" i="7"/>
  <c r="P423" i="7"/>
  <c r="Q423" i="7"/>
  <c r="R423" i="7"/>
  <c r="S423" i="7"/>
  <c r="T423" i="7"/>
  <c r="U423" i="7"/>
  <c r="V423" i="7"/>
  <c r="W423" i="7"/>
  <c r="X423" i="7"/>
  <c r="Y423" i="7"/>
  <c r="Z423" i="7"/>
  <c r="AA423" i="7"/>
  <c r="AB423" i="7"/>
  <c r="AC423" i="7"/>
  <c r="AD423" i="7"/>
  <c r="AE423" i="7"/>
  <c r="AF423" i="7"/>
  <c r="AG423" i="7"/>
  <c r="AH423" i="7"/>
  <c r="AI423" i="7"/>
  <c r="AJ423" i="7"/>
  <c r="AK423" i="7"/>
  <c r="AL423" i="7"/>
  <c r="AM423" i="7"/>
  <c r="J424" i="7"/>
  <c r="K424" i="7"/>
  <c r="L424" i="7"/>
  <c r="M424" i="7"/>
  <c r="N424" i="7"/>
  <c r="O424" i="7"/>
  <c r="P424" i="7"/>
  <c r="Q424" i="7"/>
  <c r="R424" i="7"/>
  <c r="S424" i="7"/>
  <c r="T424" i="7"/>
  <c r="U424" i="7"/>
  <c r="V424" i="7"/>
  <c r="W424" i="7"/>
  <c r="X424" i="7"/>
  <c r="Y424" i="7"/>
  <c r="Z424" i="7"/>
  <c r="AA424" i="7"/>
  <c r="AB424" i="7"/>
  <c r="AC424" i="7"/>
  <c r="AD424" i="7"/>
  <c r="AE424" i="7"/>
  <c r="AF424" i="7"/>
  <c r="AG424" i="7"/>
  <c r="AH424" i="7"/>
  <c r="AI424" i="7"/>
  <c r="AJ424" i="7"/>
  <c r="AK424" i="7"/>
  <c r="AL424" i="7"/>
  <c r="AM424" i="7"/>
  <c r="J425" i="7"/>
  <c r="K425" i="7"/>
  <c r="L425" i="7"/>
  <c r="M425" i="7"/>
  <c r="N425" i="7"/>
  <c r="O425" i="7"/>
  <c r="P425" i="7"/>
  <c r="Q425" i="7"/>
  <c r="R425" i="7"/>
  <c r="S425" i="7"/>
  <c r="T425" i="7"/>
  <c r="U425" i="7"/>
  <c r="V425" i="7"/>
  <c r="W425" i="7"/>
  <c r="X425" i="7"/>
  <c r="Y425" i="7"/>
  <c r="Z425" i="7"/>
  <c r="AA425" i="7"/>
  <c r="AB425" i="7"/>
  <c r="AC425" i="7"/>
  <c r="AD425" i="7"/>
  <c r="AE425" i="7"/>
  <c r="AF425" i="7"/>
  <c r="AG425" i="7"/>
  <c r="AH425" i="7"/>
  <c r="AI425" i="7"/>
  <c r="AJ425" i="7"/>
  <c r="AK425" i="7"/>
  <c r="AL425" i="7"/>
  <c r="AM425" i="7"/>
  <c r="J426" i="7"/>
  <c r="K426" i="7"/>
  <c r="L426" i="7"/>
  <c r="M426" i="7"/>
  <c r="N426" i="7"/>
  <c r="O426" i="7"/>
  <c r="P426" i="7"/>
  <c r="Q426" i="7"/>
  <c r="R426" i="7"/>
  <c r="S426" i="7"/>
  <c r="T426" i="7"/>
  <c r="U426" i="7"/>
  <c r="V426" i="7"/>
  <c r="W426" i="7"/>
  <c r="X426" i="7"/>
  <c r="Y426" i="7"/>
  <c r="Z426" i="7"/>
  <c r="AA426" i="7"/>
  <c r="AB426" i="7"/>
  <c r="AC426" i="7"/>
  <c r="AD426" i="7"/>
  <c r="AE426" i="7"/>
  <c r="AF426" i="7"/>
  <c r="AG426" i="7"/>
  <c r="AH426" i="7"/>
  <c r="AI426" i="7"/>
  <c r="AJ426" i="7"/>
  <c r="AK426" i="7"/>
  <c r="AL426" i="7"/>
  <c r="AM426" i="7"/>
  <c r="J427" i="7"/>
  <c r="K427" i="7"/>
  <c r="L427" i="7"/>
  <c r="M427" i="7"/>
  <c r="N427" i="7"/>
  <c r="O427" i="7"/>
  <c r="P427" i="7"/>
  <c r="Q427" i="7"/>
  <c r="R427" i="7"/>
  <c r="S427" i="7"/>
  <c r="T427" i="7"/>
  <c r="U427" i="7"/>
  <c r="V427" i="7"/>
  <c r="W427" i="7"/>
  <c r="X427" i="7"/>
  <c r="Y427" i="7"/>
  <c r="Z427" i="7"/>
  <c r="AA427" i="7"/>
  <c r="AB427" i="7"/>
  <c r="AC427" i="7"/>
  <c r="AD427" i="7"/>
  <c r="AE427" i="7"/>
  <c r="AF427" i="7"/>
  <c r="AG427" i="7"/>
  <c r="AH427" i="7"/>
  <c r="AI427" i="7"/>
  <c r="AJ427" i="7"/>
  <c r="AK427" i="7"/>
  <c r="AL427" i="7"/>
  <c r="AM427" i="7"/>
  <c r="J428" i="7"/>
  <c r="K428" i="7"/>
  <c r="L428" i="7"/>
  <c r="M428" i="7"/>
  <c r="N428" i="7"/>
  <c r="O428" i="7"/>
  <c r="P428" i="7"/>
  <c r="Q428" i="7"/>
  <c r="R428" i="7"/>
  <c r="S428" i="7"/>
  <c r="T428" i="7"/>
  <c r="U428" i="7"/>
  <c r="V428" i="7"/>
  <c r="W428" i="7"/>
  <c r="X428" i="7"/>
  <c r="Y428" i="7"/>
  <c r="Z428" i="7"/>
  <c r="AA428" i="7"/>
  <c r="AB428" i="7"/>
  <c r="AC428" i="7"/>
  <c r="AD428" i="7"/>
  <c r="AE428" i="7"/>
  <c r="AF428" i="7"/>
  <c r="AG428" i="7"/>
  <c r="AH428" i="7"/>
  <c r="AI428" i="7"/>
  <c r="AJ428" i="7"/>
  <c r="AK428" i="7"/>
  <c r="AL428" i="7"/>
  <c r="AM428" i="7"/>
  <c r="J429" i="7"/>
  <c r="K429" i="7"/>
  <c r="L429" i="7"/>
  <c r="M429" i="7"/>
  <c r="N429" i="7"/>
  <c r="O429" i="7"/>
  <c r="P429" i="7"/>
  <c r="Q429" i="7"/>
  <c r="R429" i="7"/>
  <c r="S429" i="7"/>
  <c r="T429" i="7"/>
  <c r="U429" i="7"/>
  <c r="V429" i="7"/>
  <c r="W429" i="7"/>
  <c r="X429" i="7"/>
  <c r="Y429" i="7"/>
  <c r="Z429" i="7"/>
  <c r="AA429" i="7"/>
  <c r="AB429" i="7"/>
  <c r="AC429" i="7"/>
  <c r="AD429" i="7"/>
  <c r="AE429" i="7"/>
  <c r="AF429" i="7"/>
  <c r="AG429" i="7"/>
  <c r="AH429" i="7"/>
  <c r="AI429" i="7"/>
  <c r="AJ429" i="7"/>
  <c r="AK429" i="7"/>
  <c r="AL429" i="7"/>
  <c r="AM429" i="7"/>
  <c r="J430" i="7"/>
  <c r="K430" i="7"/>
  <c r="L430" i="7"/>
  <c r="M430" i="7"/>
  <c r="N430" i="7"/>
  <c r="O430" i="7"/>
  <c r="P430" i="7"/>
  <c r="Q430" i="7"/>
  <c r="R430" i="7"/>
  <c r="S430" i="7"/>
  <c r="T430" i="7"/>
  <c r="U430" i="7"/>
  <c r="V430" i="7"/>
  <c r="W430" i="7"/>
  <c r="X430" i="7"/>
  <c r="Y430" i="7"/>
  <c r="Z430" i="7"/>
  <c r="AA430" i="7"/>
  <c r="AB430" i="7"/>
  <c r="AC430" i="7"/>
  <c r="AD430" i="7"/>
  <c r="AE430" i="7"/>
  <c r="AF430" i="7"/>
  <c r="AG430" i="7"/>
  <c r="AH430" i="7"/>
  <c r="AI430" i="7"/>
  <c r="AJ430" i="7"/>
  <c r="AK430" i="7"/>
  <c r="AL430" i="7"/>
  <c r="AM430" i="7"/>
  <c r="J431" i="7"/>
  <c r="K431" i="7"/>
  <c r="L431" i="7"/>
  <c r="M431" i="7"/>
  <c r="N431" i="7"/>
  <c r="O431" i="7"/>
  <c r="P431" i="7"/>
  <c r="Q431" i="7"/>
  <c r="R431" i="7"/>
  <c r="S431" i="7"/>
  <c r="T431" i="7"/>
  <c r="U431" i="7"/>
  <c r="V431" i="7"/>
  <c r="W431" i="7"/>
  <c r="X431" i="7"/>
  <c r="Y431" i="7"/>
  <c r="Z431" i="7"/>
  <c r="AA431" i="7"/>
  <c r="AB431" i="7"/>
  <c r="AC431" i="7"/>
  <c r="AD431" i="7"/>
  <c r="AE431" i="7"/>
  <c r="AF431" i="7"/>
  <c r="AG431" i="7"/>
  <c r="AH431" i="7"/>
  <c r="AI431" i="7"/>
  <c r="AJ431" i="7"/>
  <c r="AK431" i="7"/>
  <c r="AL431" i="7"/>
  <c r="AM431" i="7"/>
  <c r="J432" i="7"/>
  <c r="K432" i="7"/>
  <c r="L432" i="7"/>
  <c r="M432" i="7"/>
  <c r="N432" i="7"/>
  <c r="O432" i="7"/>
  <c r="P432" i="7"/>
  <c r="Q432" i="7"/>
  <c r="R432" i="7"/>
  <c r="S432" i="7"/>
  <c r="T432" i="7"/>
  <c r="U432" i="7"/>
  <c r="V432" i="7"/>
  <c r="W432" i="7"/>
  <c r="X432" i="7"/>
  <c r="Y432" i="7"/>
  <c r="Z432" i="7"/>
  <c r="AA432" i="7"/>
  <c r="AB432" i="7"/>
  <c r="AC432" i="7"/>
  <c r="AD432" i="7"/>
  <c r="AE432" i="7"/>
  <c r="AF432" i="7"/>
  <c r="AG432" i="7"/>
  <c r="AH432" i="7"/>
  <c r="AI432" i="7"/>
  <c r="AJ432" i="7"/>
  <c r="AK432" i="7"/>
  <c r="AL432" i="7"/>
  <c r="AM432" i="7"/>
  <c r="J433" i="7"/>
  <c r="K433" i="7"/>
  <c r="L433" i="7"/>
  <c r="M433" i="7"/>
  <c r="N433" i="7"/>
  <c r="O433" i="7"/>
  <c r="P433" i="7"/>
  <c r="Q433" i="7"/>
  <c r="R433" i="7"/>
  <c r="S433" i="7"/>
  <c r="T433" i="7"/>
  <c r="U433" i="7"/>
  <c r="V433" i="7"/>
  <c r="W433" i="7"/>
  <c r="X433" i="7"/>
  <c r="Y433" i="7"/>
  <c r="Z433" i="7"/>
  <c r="AA433" i="7"/>
  <c r="AB433" i="7"/>
  <c r="AC433" i="7"/>
  <c r="AD433" i="7"/>
  <c r="AE433" i="7"/>
  <c r="AF433" i="7"/>
  <c r="AG433" i="7"/>
  <c r="AH433" i="7"/>
  <c r="AI433" i="7"/>
  <c r="AJ433" i="7"/>
  <c r="AK433" i="7"/>
  <c r="AL433" i="7"/>
  <c r="AM433" i="7"/>
  <c r="J434" i="7"/>
  <c r="K434" i="7"/>
  <c r="L434" i="7"/>
  <c r="M434" i="7"/>
  <c r="N434" i="7"/>
  <c r="O434" i="7"/>
  <c r="P434" i="7"/>
  <c r="Q434" i="7"/>
  <c r="R434" i="7"/>
  <c r="S434" i="7"/>
  <c r="T434" i="7"/>
  <c r="U434" i="7"/>
  <c r="V434" i="7"/>
  <c r="W434" i="7"/>
  <c r="X434" i="7"/>
  <c r="Y434" i="7"/>
  <c r="Z434" i="7"/>
  <c r="AA434" i="7"/>
  <c r="AB434" i="7"/>
  <c r="AC434" i="7"/>
  <c r="AD434" i="7"/>
  <c r="AE434" i="7"/>
  <c r="AF434" i="7"/>
  <c r="AG434" i="7"/>
  <c r="AH434" i="7"/>
  <c r="AI434" i="7"/>
  <c r="AJ434" i="7"/>
  <c r="AK434" i="7"/>
  <c r="AL434" i="7"/>
  <c r="AM434" i="7"/>
  <c r="J435" i="7"/>
  <c r="K435" i="7"/>
  <c r="L435" i="7"/>
  <c r="M435" i="7"/>
  <c r="N435" i="7"/>
  <c r="O435" i="7"/>
  <c r="P435" i="7"/>
  <c r="Q435" i="7"/>
  <c r="R435" i="7"/>
  <c r="S435" i="7"/>
  <c r="T435" i="7"/>
  <c r="U435" i="7"/>
  <c r="V435" i="7"/>
  <c r="W435" i="7"/>
  <c r="X435" i="7"/>
  <c r="Y435" i="7"/>
  <c r="Z435" i="7"/>
  <c r="AA435" i="7"/>
  <c r="AB435" i="7"/>
  <c r="AC435" i="7"/>
  <c r="AD435" i="7"/>
  <c r="AE435" i="7"/>
  <c r="AF435" i="7"/>
  <c r="AG435" i="7"/>
  <c r="AH435" i="7"/>
  <c r="AI435" i="7"/>
  <c r="AJ435" i="7"/>
  <c r="AK435" i="7"/>
  <c r="AL435" i="7"/>
  <c r="AM435" i="7"/>
  <c r="J436" i="7"/>
  <c r="K436" i="7"/>
  <c r="L436" i="7"/>
  <c r="M436" i="7"/>
  <c r="N436" i="7"/>
  <c r="O436" i="7"/>
  <c r="P436" i="7"/>
  <c r="Q436" i="7"/>
  <c r="R436" i="7"/>
  <c r="S436" i="7"/>
  <c r="T436" i="7"/>
  <c r="U436" i="7"/>
  <c r="V436" i="7"/>
  <c r="W436" i="7"/>
  <c r="X436" i="7"/>
  <c r="Y436" i="7"/>
  <c r="Z436" i="7"/>
  <c r="AA436" i="7"/>
  <c r="AB436" i="7"/>
  <c r="AC436" i="7"/>
  <c r="AD436" i="7"/>
  <c r="AE436" i="7"/>
  <c r="AF436" i="7"/>
  <c r="AG436" i="7"/>
  <c r="AH436" i="7"/>
  <c r="AI436" i="7"/>
  <c r="AJ436" i="7"/>
  <c r="AK436" i="7"/>
  <c r="AL436" i="7"/>
  <c r="AM436" i="7"/>
  <c r="J437" i="7"/>
  <c r="K437" i="7"/>
  <c r="L437" i="7"/>
  <c r="M437" i="7"/>
  <c r="N437" i="7"/>
  <c r="O437" i="7"/>
  <c r="P437" i="7"/>
  <c r="Q437" i="7"/>
  <c r="R437" i="7"/>
  <c r="S437" i="7"/>
  <c r="T437" i="7"/>
  <c r="U437" i="7"/>
  <c r="V437" i="7"/>
  <c r="W437" i="7"/>
  <c r="X437" i="7"/>
  <c r="Y437" i="7"/>
  <c r="Z437" i="7"/>
  <c r="AA437" i="7"/>
  <c r="AB437" i="7"/>
  <c r="AC437" i="7"/>
  <c r="AD437" i="7"/>
  <c r="AE437" i="7"/>
  <c r="AF437" i="7"/>
  <c r="AG437" i="7"/>
  <c r="AH437" i="7"/>
  <c r="AI437" i="7"/>
  <c r="AJ437" i="7"/>
  <c r="AK437" i="7"/>
  <c r="AL437" i="7"/>
  <c r="AM437" i="7"/>
  <c r="J438" i="7"/>
  <c r="K438" i="7"/>
  <c r="L438" i="7"/>
  <c r="M438" i="7"/>
  <c r="N438" i="7"/>
  <c r="O438" i="7"/>
  <c r="P438" i="7"/>
  <c r="Q438" i="7"/>
  <c r="R438" i="7"/>
  <c r="S438" i="7"/>
  <c r="T438" i="7"/>
  <c r="U438" i="7"/>
  <c r="V438" i="7"/>
  <c r="W438" i="7"/>
  <c r="X438" i="7"/>
  <c r="Y438" i="7"/>
  <c r="Z438" i="7"/>
  <c r="AA438" i="7"/>
  <c r="AB438" i="7"/>
  <c r="AC438" i="7"/>
  <c r="AD438" i="7"/>
  <c r="AE438" i="7"/>
  <c r="AF438" i="7"/>
  <c r="AG438" i="7"/>
  <c r="AH438" i="7"/>
  <c r="AI438" i="7"/>
  <c r="AJ438" i="7"/>
  <c r="AK438" i="7"/>
  <c r="AL438" i="7"/>
  <c r="AM438" i="7"/>
  <c r="J439" i="7"/>
  <c r="K439" i="7"/>
  <c r="L439" i="7"/>
  <c r="M439" i="7"/>
  <c r="N439" i="7"/>
  <c r="O439" i="7"/>
  <c r="P439" i="7"/>
  <c r="Q439" i="7"/>
  <c r="R439" i="7"/>
  <c r="S439" i="7"/>
  <c r="T439" i="7"/>
  <c r="U439" i="7"/>
  <c r="V439" i="7"/>
  <c r="W439" i="7"/>
  <c r="X439" i="7"/>
  <c r="Y439" i="7"/>
  <c r="Z439" i="7"/>
  <c r="AA439" i="7"/>
  <c r="AB439" i="7"/>
  <c r="AC439" i="7"/>
  <c r="AD439" i="7"/>
  <c r="AE439" i="7"/>
  <c r="AF439" i="7"/>
  <c r="AG439" i="7"/>
  <c r="AH439" i="7"/>
  <c r="AI439" i="7"/>
  <c r="AJ439" i="7"/>
  <c r="AK439" i="7"/>
  <c r="AL439" i="7"/>
  <c r="AM439" i="7"/>
  <c r="J440" i="7"/>
  <c r="K440" i="7"/>
  <c r="L440" i="7"/>
  <c r="M440" i="7"/>
  <c r="N440" i="7"/>
  <c r="O440" i="7"/>
  <c r="P440" i="7"/>
  <c r="Q440" i="7"/>
  <c r="R440" i="7"/>
  <c r="S440" i="7"/>
  <c r="T440" i="7"/>
  <c r="U440" i="7"/>
  <c r="V440" i="7"/>
  <c r="W440" i="7"/>
  <c r="X440" i="7"/>
  <c r="Y440" i="7"/>
  <c r="Z440" i="7"/>
  <c r="AA440" i="7"/>
  <c r="AB440" i="7"/>
  <c r="AC440" i="7"/>
  <c r="AD440" i="7"/>
  <c r="AE440" i="7"/>
  <c r="AF440" i="7"/>
  <c r="AG440" i="7"/>
  <c r="AH440" i="7"/>
  <c r="AI440" i="7"/>
  <c r="AJ440" i="7"/>
  <c r="AK440" i="7"/>
  <c r="AL440" i="7"/>
  <c r="AM440" i="7"/>
  <c r="J441" i="7"/>
  <c r="K441" i="7"/>
  <c r="L441" i="7"/>
  <c r="M441" i="7"/>
  <c r="N441" i="7"/>
  <c r="O441" i="7"/>
  <c r="P441" i="7"/>
  <c r="Q441" i="7"/>
  <c r="R441" i="7"/>
  <c r="S441" i="7"/>
  <c r="T441" i="7"/>
  <c r="U441" i="7"/>
  <c r="V441" i="7"/>
  <c r="W441" i="7"/>
  <c r="X441" i="7"/>
  <c r="Y441" i="7"/>
  <c r="Z441" i="7"/>
  <c r="AA441" i="7"/>
  <c r="AB441" i="7"/>
  <c r="AC441" i="7"/>
  <c r="AD441" i="7"/>
  <c r="AE441" i="7"/>
  <c r="AF441" i="7"/>
  <c r="AG441" i="7"/>
  <c r="AH441" i="7"/>
  <c r="AI441" i="7"/>
  <c r="AJ441" i="7"/>
  <c r="AK441" i="7"/>
  <c r="AL441" i="7"/>
  <c r="AM441" i="7"/>
  <c r="J442" i="7"/>
  <c r="K442" i="7"/>
  <c r="L442" i="7"/>
  <c r="M442" i="7"/>
  <c r="N442" i="7"/>
  <c r="O442" i="7"/>
  <c r="P442" i="7"/>
  <c r="Q442" i="7"/>
  <c r="R442" i="7"/>
  <c r="S442" i="7"/>
  <c r="T442" i="7"/>
  <c r="U442" i="7"/>
  <c r="V442" i="7"/>
  <c r="W442" i="7"/>
  <c r="X442" i="7"/>
  <c r="Y442" i="7"/>
  <c r="Z442" i="7"/>
  <c r="AA442" i="7"/>
  <c r="AB442" i="7"/>
  <c r="AC442" i="7"/>
  <c r="AD442" i="7"/>
  <c r="AE442" i="7"/>
  <c r="AF442" i="7"/>
  <c r="AG442" i="7"/>
  <c r="AH442" i="7"/>
  <c r="AI442" i="7"/>
  <c r="AJ442" i="7"/>
  <c r="AK442" i="7"/>
  <c r="AL442" i="7"/>
  <c r="AM442" i="7"/>
  <c r="J443" i="7"/>
  <c r="K443" i="7"/>
  <c r="L443" i="7"/>
  <c r="M443" i="7"/>
  <c r="N443" i="7"/>
  <c r="O443" i="7"/>
  <c r="P443" i="7"/>
  <c r="Q443" i="7"/>
  <c r="R443" i="7"/>
  <c r="S443" i="7"/>
  <c r="T443" i="7"/>
  <c r="U443" i="7"/>
  <c r="V443" i="7"/>
  <c r="W443" i="7"/>
  <c r="X443" i="7"/>
  <c r="Y443" i="7"/>
  <c r="Z443" i="7"/>
  <c r="AA443" i="7"/>
  <c r="AB443" i="7"/>
  <c r="AC443" i="7"/>
  <c r="AD443" i="7"/>
  <c r="AE443" i="7"/>
  <c r="AF443" i="7"/>
  <c r="AG443" i="7"/>
  <c r="AH443" i="7"/>
  <c r="AI443" i="7"/>
  <c r="AJ443" i="7"/>
  <c r="AK443" i="7"/>
  <c r="AL443" i="7"/>
  <c r="AM443" i="7"/>
  <c r="J444" i="7"/>
  <c r="K444" i="7"/>
  <c r="L444" i="7"/>
  <c r="M444" i="7"/>
  <c r="N444" i="7"/>
  <c r="O444" i="7"/>
  <c r="P444" i="7"/>
  <c r="Q444" i="7"/>
  <c r="R444" i="7"/>
  <c r="S444" i="7"/>
  <c r="T444" i="7"/>
  <c r="U444" i="7"/>
  <c r="V444" i="7"/>
  <c r="W444" i="7"/>
  <c r="X444" i="7"/>
  <c r="Y444" i="7"/>
  <c r="Z444" i="7"/>
  <c r="AA444" i="7"/>
  <c r="AB444" i="7"/>
  <c r="AC444" i="7"/>
  <c r="AD444" i="7"/>
  <c r="AE444" i="7"/>
  <c r="AF444" i="7"/>
  <c r="AG444" i="7"/>
  <c r="AH444" i="7"/>
  <c r="AI444" i="7"/>
  <c r="AJ444" i="7"/>
  <c r="AK444" i="7"/>
  <c r="AL444" i="7"/>
  <c r="AM444" i="7"/>
  <c r="J445" i="7"/>
  <c r="K445" i="7"/>
  <c r="L445" i="7"/>
  <c r="M445" i="7"/>
  <c r="N445" i="7"/>
  <c r="O445" i="7"/>
  <c r="P445" i="7"/>
  <c r="Q445" i="7"/>
  <c r="R445" i="7"/>
  <c r="S445" i="7"/>
  <c r="T445" i="7"/>
  <c r="U445" i="7"/>
  <c r="V445" i="7"/>
  <c r="W445" i="7"/>
  <c r="X445" i="7"/>
  <c r="Y445" i="7"/>
  <c r="Z445" i="7"/>
  <c r="AA445" i="7"/>
  <c r="AB445" i="7"/>
  <c r="AC445" i="7"/>
  <c r="AD445" i="7"/>
  <c r="AE445" i="7"/>
  <c r="AF445" i="7"/>
  <c r="AG445" i="7"/>
  <c r="AH445" i="7"/>
  <c r="AI445" i="7"/>
  <c r="AJ445" i="7"/>
  <c r="AK445" i="7"/>
  <c r="AL445" i="7"/>
  <c r="AM445" i="7"/>
  <c r="J446" i="7"/>
  <c r="K446" i="7"/>
  <c r="L446" i="7"/>
  <c r="M446" i="7"/>
  <c r="N446" i="7"/>
  <c r="O446" i="7"/>
  <c r="P446" i="7"/>
  <c r="Q446" i="7"/>
  <c r="R446" i="7"/>
  <c r="S446" i="7"/>
  <c r="T446" i="7"/>
  <c r="U446" i="7"/>
  <c r="V446" i="7"/>
  <c r="W446" i="7"/>
  <c r="X446" i="7"/>
  <c r="Y446" i="7"/>
  <c r="Z446" i="7"/>
  <c r="AA446" i="7"/>
  <c r="AB446" i="7"/>
  <c r="AC446" i="7"/>
  <c r="AD446" i="7"/>
  <c r="AE446" i="7"/>
  <c r="AF446" i="7"/>
  <c r="AG446" i="7"/>
  <c r="AH446" i="7"/>
  <c r="AI446" i="7"/>
  <c r="AJ446" i="7"/>
  <c r="AK446" i="7"/>
  <c r="AL446" i="7"/>
  <c r="AM446" i="7"/>
  <c r="J447" i="7"/>
  <c r="K447" i="7"/>
  <c r="L447" i="7"/>
  <c r="M447" i="7"/>
  <c r="N447" i="7"/>
  <c r="O447" i="7"/>
  <c r="P447" i="7"/>
  <c r="Q447" i="7"/>
  <c r="R447" i="7"/>
  <c r="S447" i="7"/>
  <c r="T447" i="7"/>
  <c r="U447" i="7"/>
  <c r="V447" i="7"/>
  <c r="W447" i="7"/>
  <c r="X447" i="7"/>
  <c r="Y447" i="7"/>
  <c r="Z447" i="7"/>
  <c r="AA447" i="7"/>
  <c r="AB447" i="7"/>
  <c r="AC447" i="7"/>
  <c r="AD447" i="7"/>
  <c r="AE447" i="7"/>
  <c r="AF447" i="7"/>
  <c r="AG447" i="7"/>
  <c r="AH447" i="7"/>
  <c r="AI447" i="7"/>
  <c r="AJ447" i="7"/>
  <c r="AK447" i="7"/>
  <c r="AL447" i="7"/>
  <c r="AM447" i="7"/>
  <c r="J448" i="7"/>
  <c r="K448" i="7"/>
  <c r="L448" i="7"/>
  <c r="M448" i="7"/>
  <c r="N448" i="7"/>
  <c r="O448" i="7"/>
  <c r="P448" i="7"/>
  <c r="Q448" i="7"/>
  <c r="R448" i="7"/>
  <c r="S448" i="7"/>
  <c r="T448" i="7"/>
  <c r="U448" i="7"/>
  <c r="V448" i="7"/>
  <c r="W448" i="7"/>
  <c r="X448" i="7"/>
  <c r="Y448" i="7"/>
  <c r="Z448" i="7"/>
  <c r="AA448" i="7"/>
  <c r="AB448" i="7"/>
  <c r="AC448" i="7"/>
  <c r="AD448" i="7"/>
  <c r="AE448" i="7"/>
  <c r="AF448" i="7"/>
  <c r="AG448" i="7"/>
  <c r="AH448" i="7"/>
  <c r="AI448" i="7"/>
  <c r="AJ448" i="7"/>
  <c r="AK448" i="7"/>
  <c r="AL448" i="7"/>
  <c r="AM448" i="7"/>
  <c r="J449" i="7"/>
  <c r="K449" i="7"/>
  <c r="L449" i="7"/>
  <c r="M449" i="7"/>
  <c r="N449" i="7"/>
  <c r="O449" i="7"/>
  <c r="P449" i="7"/>
  <c r="Q449" i="7"/>
  <c r="R449" i="7"/>
  <c r="S449" i="7"/>
  <c r="T449" i="7"/>
  <c r="U449" i="7"/>
  <c r="V449" i="7"/>
  <c r="W449" i="7"/>
  <c r="X449" i="7"/>
  <c r="Y449" i="7"/>
  <c r="Z449" i="7"/>
  <c r="AA449" i="7"/>
  <c r="AB449" i="7"/>
  <c r="AC449" i="7"/>
  <c r="AD449" i="7"/>
  <c r="AE449" i="7"/>
  <c r="AF449" i="7"/>
  <c r="AG449" i="7"/>
  <c r="AH449" i="7"/>
  <c r="AI449" i="7"/>
  <c r="AJ449" i="7"/>
  <c r="AK449" i="7"/>
  <c r="AL449" i="7"/>
  <c r="AM449" i="7"/>
  <c r="J450" i="7"/>
  <c r="K450" i="7"/>
  <c r="L450" i="7"/>
  <c r="M450" i="7"/>
  <c r="N450" i="7"/>
  <c r="O450" i="7"/>
  <c r="P450" i="7"/>
  <c r="Q450" i="7"/>
  <c r="R450" i="7"/>
  <c r="S450" i="7"/>
  <c r="T450" i="7"/>
  <c r="U450" i="7"/>
  <c r="V450" i="7"/>
  <c r="W450" i="7"/>
  <c r="X450" i="7"/>
  <c r="Y450" i="7"/>
  <c r="Z450" i="7"/>
  <c r="AA450" i="7"/>
  <c r="AB450" i="7"/>
  <c r="AC450" i="7"/>
  <c r="AD450" i="7"/>
  <c r="AE450" i="7"/>
  <c r="AF450" i="7"/>
  <c r="AG450" i="7"/>
  <c r="AH450" i="7"/>
  <c r="AI450" i="7"/>
  <c r="AJ450" i="7"/>
  <c r="AK450" i="7"/>
  <c r="AL450" i="7"/>
  <c r="AM450" i="7"/>
  <c r="J451" i="7"/>
  <c r="K451" i="7"/>
  <c r="L451" i="7"/>
  <c r="M451" i="7"/>
  <c r="N451" i="7"/>
  <c r="O451" i="7"/>
  <c r="P451" i="7"/>
  <c r="Q451" i="7"/>
  <c r="R451" i="7"/>
  <c r="S451" i="7"/>
  <c r="T451" i="7"/>
  <c r="U451" i="7"/>
  <c r="V451" i="7"/>
  <c r="W451" i="7"/>
  <c r="X451" i="7"/>
  <c r="Y451" i="7"/>
  <c r="Z451" i="7"/>
  <c r="AA451" i="7"/>
  <c r="AB451" i="7"/>
  <c r="AC451" i="7"/>
  <c r="AD451" i="7"/>
  <c r="AE451" i="7"/>
  <c r="AF451" i="7"/>
  <c r="AG451" i="7"/>
  <c r="AH451" i="7"/>
  <c r="AI451" i="7"/>
  <c r="AJ451" i="7"/>
  <c r="AK451" i="7"/>
  <c r="AL451" i="7"/>
  <c r="AM451" i="7"/>
  <c r="J452" i="7"/>
  <c r="K452" i="7"/>
  <c r="L452" i="7"/>
  <c r="M452" i="7"/>
  <c r="N452" i="7"/>
  <c r="O452" i="7"/>
  <c r="P452" i="7"/>
  <c r="Q452" i="7"/>
  <c r="R452" i="7"/>
  <c r="S452" i="7"/>
  <c r="T452" i="7"/>
  <c r="U452" i="7"/>
  <c r="V452" i="7"/>
  <c r="W452" i="7"/>
  <c r="X452" i="7"/>
  <c r="Y452" i="7"/>
  <c r="Z452" i="7"/>
  <c r="AA452" i="7"/>
  <c r="AB452" i="7"/>
  <c r="AC452" i="7"/>
  <c r="AD452" i="7"/>
  <c r="AE452" i="7"/>
  <c r="AF452" i="7"/>
  <c r="AG452" i="7"/>
  <c r="AH452" i="7"/>
  <c r="AI452" i="7"/>
  <c r="AJ452" i="7"/>
  <c r="AK452" i="7"/>
  <c r="AL452" i="7"/>
  <c r="AM452" i="7"/>
  <c r="J453" i="7"/>
  <c r="K453" i="7"/>
  <c r="L453" i="7"/>
  <c r="M453" i="7"/>
  <c r="N453" i="7"/>
  <c r="O453" i="7"/>
  <c r="P453" i="7"/>
  <c r="Q453" i="7"/>
  <c r="R453" i="7"/>
  <c r="S453" i="7"/>
  <c r="T453" i="7"/>
  <c r="U453" i="7"/>
  <c r="V453" i="7"/>
  <c r="W453" i="7"/>
  <c r="X453" i="7"/>
  <c r="Y453" i="7"/>
  <c r="Z453" i="7"/>
  <c r="AA453" i="7"/>
  <c r="AB453" i="7"/>
  <c r="AC453" i="7"/>
  <c r="AD453" i="7"/>
  <c r="AE453" i="7"/>
  <c r="AF453" i="7"/>
  <c r="AG453" i="7"/>
  <c r="AH453" i="7"/>
  <c r="AI453" i="7"/>
  <c r="AJ453" i="7"/>
  <c r="AK453" i="7"/>
  <c r="AL453" i="7"/>
  <c r="AM453" i="7"/>
  <c r="J454" i="7"/>
  <c r="K454" i="7"/>
  <c r="L454" i="7"/>
  <c r="M454" i="7"/>
  <c r="N454" i="7"/>
  <c r="O454" i="7"/>
  <c r="P454" i="7"/>
  <c r="Q454" i="7"/>
  <c r="R454" i="7"/>
  <c r="S454" i="7"/>
  <c r="T454" i="7"/>
  <c r="U454" i="7"/>
  <c r="V454" i="7"/>
  <c r="W454" i="7"/>
  <c r="X454" i="7"/>
  <c r="Y454" i="7"/>
  <c r="Z454" i="7"/>
  <c r="AA454" i="7"/>
  <c r="AB454" i="7"/>
  <c r="AC454" i="7"/>
  <c r="AD454" i="7"/>
  <c r="AE454" i="7"/>
  <c r="AF454" i="7"/>
  <c r="AG454" i="7"/>
  <c r="AH454" i="7"/>
  <c r="AI454" i="7"/>
  <c r="AJ454" i="7"/>
  <c r="AK454" i="7"/>
  <c r="AL454" i="7"/>
  <c r="AM454" i="7"/>
  <c r="J455" i="7"/>
  <c r="K455" i="7"/>
  <c r="L455" i="7"/>
  <c r="M455" i="7"/>
  <c r="N455" i="7"/>
  <c r="O455" i="7"/>
  <c r="P455" i="7"/>
  <c r="Q455" i="7"/>
  <c r="R455" i="7"/>
  <c r="S455" i="7"/>
  <c r="T455" i="7"/>
  <c r="U455" i="7"/>
  <c r="V455" i="7"/>
  <c r="W455" i="7"/>
  <c r="X455" i="7"/>
  <c r="Y455" i="7"/>
  <c r="Z455" i="7"/>
  <c r="AA455" i="7"/>
  <c r="AB455" i="7"/>
  <c r="AC455" i="7"/>
  <c r="AD455" i="7"/>
  <c r="AE455" i="7"/>
  <c r="AF455" i="7"/>
  <c r="AG455" i="7"/>
  <c r="AH455" i="7"/>
  <c r="AI455" i="7"/>
  <c r="AJ455" i="7"/>
  <c r="AK455" i="7"/>
  <c r="AL455" i="7"/>
  <c r="AM455" i="7"/>
  <c r="J456" i="7"/>
  <c r="K456" i="7"/>
  <c r="L456" i="7"/>
  <c r="M456" i="7"/>
  <c r="N456" i="7"/>
  <c r="O456" i="7"/>
  <c r="P456" i="7"/>
  <c r="Q456" i="7"/>
  <c r="R456" i="7"/>
  <c r="S456" i="7"/>
  <c r="T456" i="7"/>
  <c r="U456" i="7"/>
  <c r="V456" i="7"/>
  <c r="W456" i="7"/>
  <c r="X456" i="7"/>
  <c r="Y456" i="7"/>
  <c r="Z456" i="7"/>
  <c r="AA456" i="7"/>
  <c r="AB456" i="7"/>
  <c r="AC456" i="7"/>
  <c r="AD456" i="7"/>
  <c r="AE456" i="7"/>
  <c r="AF456" i="7"/>
  <c r="AG456" i="7"/>
  <c r="AH456" i="7"/>
  <c r="AI456" i="7"/>
  <c r="AJ456" i="7"/>
  <c r="AK456" i="7"/>
  <c r="AL456" i="7"/>
  <c r="AM456" i="7"/>
  <c r="J457" i="7"/>
  <c r="K457" i="7"/>
  <c r="L457" i="7"/>
  <c r="M457" i="7"/>
  <c r="N457" i="7"/>
  <c r="O457" i="7"/>
  <c r="P457" i="7"/>
  <c r="Q457" i="7"/>
  <c r="R457" i="7"/>
  <c r="S457" i="7"/>
  <c r="T457" i="7"/>
  <c r="U457" i="7"/>
  <c r="V457" i="7"/>
  <c r="W457" i="7"/>
  <c r="X457" i="7"/>
  <c r="Y457" i="7"/>
  <c r="Z457" i="7"/>
  <c r="AA457" i="7"/>
  <c r="AB457" i="7"/>
  <c r="AC457" i="7"/>
  <c r="AD457" i="7"/>
  <c r="AE457" i="7"/>
  <c r="AF457" i="7"/>
  <c r="AG457" i="7"/>
  <c r="AH457" i="7"/>
  <c r="AI457" i="7"/>
  <c r="AJ457" i="7"/>
  <c r="AK457" i="7"/>
  <c r="AL457" i="7"/>
  <c r="AM457" i="7"/>
  <c r="J458" i="7"/>
  <c r="K458" i="7"/>
  <c r="L458" i="7"/>
  <c r="M458" i="7"/>
  <c r="N458" i="7"/>
  <c r="O458" i="7"/>
  <c r="P458" i="7"/>
  <c r="Q458" i="7"/>
  <c r="R458" i="7"/>
  <c r="S458" i="7"/>
  <c r="T458" i="7"/>
  <c r="U458" i="7"/>
  <c r="V458" i="7"/>
  <c r="W458" i="7"/>
  <c r="X458" i="7"/>
  <c r="Y458" i="7"/>
  <c r="Z458" i="7"/>
  <c r="AA458" i="7"/>
  <c r="AB458" i="7"/>
  <c r="AC458" i="7"/>
  <c r="AD458" i="7"/>
  <c r="AE458" i="7"/>
  <c r="AF458" i="7"/>
  <c r="AG458" i="7"/>
  <c r="AH458" i="7"/>
  <c r="AI458" i="7"/>
  <c r="AJ458" i="7"/>
  <c r="AK458" i="7"/>
  <c r="AL458" i="7"/>
  <c r="AM458" i="7"/>
  <c r="J459" i="7"/>
  <c r="K459" i="7"/>
  <c r="L459" i="7"/>
  <c r="M459" i="7"/>
  <c r="N459" i="7"/>
  <c r="O459" i="7"/>
  <c r="P459" i="7"/>
  <c r="Q459" i="7"/>
  <c r="R459" i="7"/>
  <c r="S459" i="7"/>
  <c r="T459" i="7"/>
  <c r="U459" i="7"/>
  <c r="V459" i="7"/>
  <c r="W459" i="7"/>
  <c r="X459" i="7"/>
  <c r="Y459" i="7"/>
  <c r="Z459" i="7"/>
  <c r="AA459" i="7"/>
  <c r="AB459" i="7"/>
  <c r="AC459" i="7"/>
  <c r="AD459" i="7"/>
  <c r="AE459" i="7"/>
  <c r="AF459" i="7"/>
  <c r="AG459" i="7"/>
  <c r="AH459" i="7"/>
  <c r="AI459" i="7"/>
  <c r="AJ459" i="7"/>
  <c r="AK459" i="7"/>
  <c r="AL459" i="7"/>
  <c r="AM459" i="7"/>
  <c r="J460" i="7"/>
  <c r="K460" i="7"/>
  <c r="L460" i="7"/>
  <c r="M460" i="7"/>
  <c r="N460" i="7"/>
  <c r="O460" i="7"/>
  <c r="P460" i="7"/>
  <c r="Q460" i="7"/>
  <c r="R460" i="7"/>
  <c r="S460" i="7"/>
  <c r="T460" i="7"/>
  <c r="U460" i="7"/>
  <c r="V460" i="7"/>
  <c r="W460" i="7"/>
  <c r="X460" i="7"/>
  <c r="Y460" i="7"/>
  <c r="Z460" i="7"/>
  <c r="AA460" i="7"/>
  <c r="AB460" i="7"/>
  <c r="AC460" i="7"/>
  <c r="AD460" i="7"/>
  <c r="AE460" i="7"/>
  <c r="AF460" i="7"/>
  <c r="AG460" i="7"/>
  <c r="AH460" i="7"/>
  <c r="AI460" i="7"/>
  <c r="AJ460" i="7"/>
  <c r="AK460" i="7"/>
  <c r="AL460" i="7"/>
  <c r="AM460" i="7"/>
  <c r="J461" i="7"/>
  <c r="K461" i="7"/>
  <c r="L461" i="7"/>
  <c r="M461" i="7"/>
  <c r="N461" i="7"/>
  <c r="O461" i="7"/>
  <c r="P461" i="7"/>
  <c r="Q461" i="7"/>
  <c r="R461" i="7"/>
  <c r="S461" i="7"/>
  <c r="T461" i="7"/>
  <c r="U461" i="7"/>
  <c r="V461" i="7"/>
  <c r="W461" i="7"/>
  <c r="X461" i="7"/>
  <c r="Y461" i="7"/>
  <c r="Z461" i="7"/>
  <c r="AA461" i="7"/>
  <c r="AB461" i="7"/>
  <c r="AC461" i="7"/>
  <c r="AD461" i="7"/>
  <c r="AE461" i="7"/>
  <c r="AF461" i="7"/>
  <c r="AG461" i="7"/>
  <c r="AH461" i="7"/>
  <c r="AI461" i="7"/>
  <c r="AJ461" i="7"/>
  <c r="AK461" i="7"/>
  <c r="AL461" i="7"/>
  <c r="AM461" i="7"/>
  <c r="J462" i="7"/>
  <c r="K462" i="7"/>
  <c r="L462" i="7"/>
  <c r="M462" i="7"/>
  <c r="N462" i="7"/>
  <c r="O462" i="7"/>
  <c r="P462" i="7"/>
  <c r="Q462" i="7"/>
  <c r="R462" i="7"/>
  <c r="S462" i="7"/>
  <c r="T462" i="7"/>
  <c r="U462" i="7"/>
  <c r="V462" i="7"/>
  <c r="W462" i="7"/>
  <c r="X462" i="7"/>
  <c r="Y462" i="7"/>
  <c r="Z462" i="7"/>
  <c r="AA462" i="7"/>
  <c r="AB462" i="7"/>
  <c r="AC462" i="7"/>
  <c r="AD462" i="7"/>
  <c r="AE462" i="7"/>
  <c r="AF462" i="7"/>
  <c r="AG462" i="7"/>
  <c r="AH462" i="7"/>
  <c r="AI462" i="7"/>
  <c r="AJ462" i="7"/>
  <c r="AK462" i="7"/>
  <c r="AL462" i="7"/>
  <c r="AM462" i="7"/>
  <c r="J463" i="7"/>
  <c r="K463" i="7"/>
  <c r="L463" i="7"/>
  <c r="M463" i="7"/>
  <c r="N463" i="7"/>
  <c r="O463" i="7"/>
  <c r="P463" i="7"/>
  <c r="Q463" i="7"/>
  <c r="R463" i="7"/>
  <c r="S463" i="7"/>
  <c r="T463" i="7"/>
  <c r="U463" i="7"/>
  <c r="V463" i="7"/>
  <c r="W463" i="7"/>
  <c r="X463" i="7"/>
  <c r="Y463" i="7"/>
  <c r="Z463" i="7"/>
  <c r="AA463" i="7"/>
  <c r="AB463" i="7"/>
  <c r="AC463" i="7"/>
  <c r="AD463" i="7"/>
  <c r="AE463" i="7"/>
  <c r="AF463" i="7"/>
  <c r="AG463" i="7"/>
  <c r="AH463" i="7"/>
  <c r="AI463" i="7"/>
  <c r="AJ463" i="7"/>
  <c r="AK463" i="7"/>
  <c r="AL463" i="7"/>
  <c r="AM463" i="7"/>
  <c r="J464" i="7"/>
  <c r="K464" i="7"/>
  <c r="L464" i="7"/>
  <c r="M464" i="7"/>
  <c r="N464" i="7"/>
  <c r="O464" i="7"/>
  <c r="P464" i="7"/>
  <c r="Q464" i="7"/>
  <c r="R464" i="7"/>
  <c r="S464" i="7"/>
  <c r="T464" i="7"/>
  <c r="U464" i="7"/>
  <c r="V464" i="7"/>
  <c r="W464" i="7"/>
  <c r="X464" i="7"/>
  <c r="Y464" i="7"/>
  <c r="Z464" i="7"/>
  <c r="AA464" i="7"/>
  <c r="AB464" i="7"/>
  <c r="AC464" i="7"/>
  <c r="AD464" i="7"/>
  <c r="AE464" i="7"/>
  <c r="AF464" i="7"/>
  <c r="AG464" i="7"/>
  <c r="AH464" i="7"/>
  <c r="AI464" i="7"/>
  <c r="AJ464" i="7"/>
  <c r="AK464" i="7"/>
  <c r="AL464" i="7"/>
  <c r="AM464" i="7"/>
  <c r="J465" i="7"/>
  <c r="K465" i="7"/>
  <c r="L465" i="7"/>
  <c r="M465" i="7"/>
  <c r="N465" i="7"/>
  <c r="O465" i="7"/>
  <c r="P465" i="7"/>
  <c r="Q465" i="7"/>
  <c r="R465" i="7"/>
  <c r="S465" i="7"/>
  <c r="T465" i="7"/>
  <c r="U465" i="7"/>
  <c r="V465" i="7"/>
  <c r="W465" i="7"/>
  <c r="X465" i="7"/>
  <c r="Y465" i="7"/>
  <c r="Z465" i="7"/>
  <c r="AA465" i="7"/>
  <c r="AB465" i="7"/>
  <c r="AC465" i="7"/>
  <c r="AD465" i="7"/>
  <c r="AE465" i="7"/>
  <c r="AF465" i="7"/>
  <c r="AG465" i="7"/>
  <c r="AH465" i="7"/>
  <c r="AI465" i="7"/>
  <c r="AJ465" i="7"/>
  <c r="AK465" i="7"/>
  <c r="AL465" i="7"/>
  <c r="AM465" i="7"/>
  <c r="J466" i="7"/>
  <c r="K466" i="7"/>
  <c r="L466" i="7"/>
  <c r="M466" i="7"/>
  <c r="N466" i="7"/>
  <c r="O466" i="7"/>
  <c r="P466" i="7"/>
  <c r="Q466" i="7"/>
  <c r="R466" i="7"/>
  <c r="S466" i="7"/>
  <c r="T466" i="7"/>
  <c r="U466" i="7"/>
  <c r="V466" i="7"/>
  <c r="W466" i="7"/>
  <c r="X466" i="7"/>
  <c r="Y466" i="7"/>
  <c r="Z466" i="7"/>
  <c r="AA466" i="7"/>
  <c r="AB466" i="7"/>
  <c r="AC466" i="7"/>
  <c r="AD466" i="7"/>
  <c r="AE466" i="7"/>
  <c r="AF466" i="7"/>
  <c r="AG466" i="7"/>
  <c r="AH466" i="7"/>
  <c r="AI466" i="7"/>
  <c r="AJ466" i="7"/>
  <c r="AK466" i="7"/>
  <c r="AL466" i="7"/>
  <c r="AM466" i="7"/>
  <c r="J467" i="7"/>
  <c r="K467" i="7"/>
  <c r="L467" i="7"/>
  <c r="M467" i="7"/>
  <c r="N467" i="7"/>
  <c r="O467" i="7"/>
  <c r="P467" i="7"/>
  <c r="Q467" i="7"/>
  <c r="R467" i="7"/>
  <c r="S467" i="7"/>
  <c r="T467" i="7"/>
  <c r="U467" i="7"/>
  <c r="V467" i="7"/>
  <c r="W467" i="7"/>
  <c r="X467" i="7"/>
  <c r="Y467" i="7"/>
  <c r="Z467" i="7"/>
  <c r="AA467" i="7"/>
  <c r="AB467" i="7"/>
  <c r="AC467" i="7"/>
  <c r="AD467" i="7"/>
  <c r="AE467" i="7"/>
  <c r="AF467" i="7"/>
  <c r="AG467" i="7"/>
  <c r="AH467" i="7"/>
  <c r="AI467" i="7"/>
  <c r="AJ467" i="7"/>
  <c r="AK467" i="7"/>
  <c r="AL467" i="7"/>
  <c r="AM467" i="7"/>
  <c r="J468" i="7"/>
  <c r="K468" i="7"/>
  <c r="L468" i="7"/>
  <c r="M468" i="7"/>
  <c r="N468" i="7"/>
  <c r="O468" i="7"/>
  <c r="P468" i="7"/>
  <c r="Q468" i="7"/>
  <c r="R468" i="7"/>
  <c r="S468" i="7"/>
  <c r="T468" i="7"/>
  <c r="U468" i="7"/>
  <c r="V468" i="7"/>
  <c r="W468" i="7"/>
  <c r="X468" i="7"/>
  <c r="Y468" i="7"/>
  <c r="Z468" i="7"/>
  <c r="AA468" i="7"/>
  <c r="AB468" i="7"/>
  <c r="AC468" i="7"/>
  <c r="AD468" i="7"/>
  <c r="AE468" i="7"/>
  <c r="AF468" i="7"/>
  <c r="AG468" i="7"/>
  <c r="AH468" i="7"/>
  <c r="AI468" i="7"/>
  <c r="AJ468" i="7"/>
  <c r="AK468" i="7"/>
  <c r="AL468" i="7"/>
  <c r="AM468" i="7"/>
  <c r="J469" i="7"/>
  <c r="K469" i="7"/>
  <c r="L469" i="7"/>
  <c r="M469" i="7"/>
  <c r="N469" i="7"/>
  <c r="O469" i="7"/>
  <c r="P469" i="7"/>
  <c r="Q469" i="7"/>
  <c r="R469" i="7"/>
  <c r="S469" i="7"/>
  <c r="T469" i="7"/>
  <c r="U469" i="7"/>
  <c r="V469" i="7"/>
  <c r="W469" i="7"/>
  <c r="X469" i="7"/>
  <c r="Y469" i="7"/>
  <c r="Z469" i="7"/>
  <c r="AA469" i="7"/>
  <c r="AB469" i="7"/>
  <c r="AC469" i="7"/>
  <c r="AD469" i="7"/>
  <c r="AE469" i="7"/>
  <c r="AF469" i="7"/>
  <c r="AG469" i="7"/>
  <c r="AH469" i="7"/>
  <c r="AI469" i="7"/>
  <c r="AJ469" i="7"/>
  <c r="AK469" i="7"/>
  <c r="AL469" i="7"/>
  <c r="AM469" i="7"/>
  <c r="J470" i="7"/>
  <c r="K470" i="7"/>
  <c r="L470" i="7"/>
  <c r="M470" i="7"/>
  <c r="N470" i="7"/>
  <c r="O470" i="7"/>
  <c r="P470" i="7"/>
  <c r="Q470" i="7"/>
  <c r="R470" i="7"/>
  <c r="S470" i="7"/>
  <c r="T470" i="7"/>
  <c r="U470" i="7"/>
  <c r="V470" i="7"/>
  <c r="W470" i="7"/>
  <c r="X470" i="7"/>
  <c r="Y470" i="7"/>
  <c r="Z470" i="7"/>
  <c r="AA470" i="7"/>
  <c r="AB470" i="7"/>
  <c r="AC470" i="7"/>
  <c r="AD470" i="7"/>
  <c r="AE470" i="7"/>
  <c r="AF470" i="7"/>
  <c r="AG470" i="7"/>
  <c r="AH470" i="7"/>
  <c r="AI470" i="7"/>
  <c r="AJ470" i="7"/>
  <c r="AK470" i="7"/>
  <c r="AL470" i="7"/>
  <c r="AM470" i="7"/>
  <c r="J471" i="7"/>
  <c r="K471" i="7"/>
  <c r="L471" i="7"/>
  <c r="M471" i="7"/>
  <c r="N471" i="7"/>
  <c r="O471" i="7"/>
  <c r="P471" i="7"/>
  <c r="Q471" i="7"/>
  <c r="R471" i="7"/>
  <c r="S471" i="7"/>
  <c r="T471" i="7"/>
  <c r="U471" i="7"/>
  <c r="V471" i="7"/>
  <c r="W471" i="7"/>
  <c r="X471" i="7"/>
  <c r="Y471" i="7"/>
  <c r="Z471" i="7"/>
  <c r="AA471" i="7"/>
  <c r="AB471" i="7"/>
  <c r="AC471" i="7"/>
  <c r="AD471" i="7"/>
  <c r="AE471" i="7"/>
  <c r="AF471" i="7"/>
  <c r="AG471" i="7"/>
  <c r="AH471" i="7"/>
  <c r="AI471" i="7"/>
  <c r="AJ471" i="7"/>
  <c r="AK471" i="7"/>
  <c r="AL471" i="7"/>
  <c r="AM471" i="7"/>
  <c r="J472" i="7"/>
  <c r="K472" i="7"/>
  <c r="L472" i="7"/>
  <c r="M472" i="7"/>
  <c r="N472" i="7"/>
  <c r="O472" i="7"/>
  <c r="P472" i="7"/>
  <c r="Q472" i="7"/>
  <c r="R472" i="7"/>
  <c r="S472" i="7"/>
  <c r="T472" i="7"/>
  <c r="U472" i="7"/>
  <c r="V472" i="7"/>
  <c r="W472" i="7"/>
  <c r="X472" i="7"/>
  <c r="Y472" i="7"/>
  <c r="Z472" i="7"/>
  <c r="AA472" i="7"/>
  <c r="AB472" i="7"/>
  <c r="AC472" i="7"/>
  <c r="AD472" i="7"/>
  <c r="AE472" i="7"/>
  <c r="AF472" i="7"/>
  <c r="AG472" i="7"/>
  <c r="AH472" i="7"/>
  <c r="AI472" i="7"/>
  <c r="AJ472" i="7"/>
  <c r="AK472" i="7"/>
  <c r="AL472" i="7"/>
  <c r="AM472" i="7"/>
  <c r="J473" i="7"/>
  <c r="K473" i="7"/>
  <c r="L473" i="7"/>
  <c r="M473" i="7"/>
  <c r="N473" i="7"/>
  <c r="O473" i="7"/>
  <c r="P473" i="7"/>
  <c r="Q473" i="7"/>
  <c r="R473" i="7"/>
  <c r="S473" i="7"/>
  <c r="T473" i="7"/>
  <c r="U473" i="7"/>
  <c r="V473" i="7"/>
  <c r="W473" i="7"/>
  <c r="X473" i="7"/>
  <c r="Y473" i="7"/>
  <c r="Z473" i="7"/>
  <c r="AA473" i="7"/>
  <c r="AB473" i="7"/>
  <c r="AC473" i="7"/>
  <c r="AD473" i="7"/>
  <c r="AE473" i="7"/>
  <c r="AF473" i="7"/>
  <c r="AG473" i="7"/>
  <c r="AH473" i="7"/>
  <c r="AI473" i="7"/>
  <c r="AJ473" i="7"/>
  <c r="AK473" i="7"/>
  <c r="AL473" i="7"/>
  <c r="AM473" i="7"/>
  <c r="J474" i="7"/>
  <c r="K474" i="7"/>
  <c r="L474" i="7"/>
  <c r="M474" i="7"/>
  <c r="N474" i="7"/>
  <c r="O474" i="7"/>
  <c r="P474" i="7"/>
  <c r="Q474" i="7"/>
  <c r="R474" i="7"/>
  <c r="S474" i="7"/>
  <c r="T474" i="7"/>
  <c r="U474" i="7"/>
  <c r="V474" i="7"/>
  <c r="W474" i="7"/>
  <c r="X474" i="7"/>
  <c r="Y474" i="7"/>
  <c r="Z474" i="7"/>
  <c r="AA474" i="7"/>
  <c r="AB474" i="7"/>
  <c r="AC474" i="7"/>
  <c r="AD474" i="7"/>
  <c r="AE474" i="7"/>
  <c r="AF474" i="7"/>
  <c r="AG474" i="7"/>
  <c r="AH474" i="7"/>
  <c r="AI474" i="7"/>
  <c r="AJ474" i="7"/>
  <c r="AK474" i="7"/>
  <c r="AL474" i="7"/>
  <c r="AM474" i="7"/>
  <c r="J475" i="7"/>
  <c r="K475" i="7"/>
  <c r="L475" i="7"/>
  <c r="M475" i="7"/>
  <c r="N475" i="7"/>
  <c r="O475" i="7"/>
  <c r="P475" i="7"/>
  <c r="Q475" i="7"/>
  <c r="R475" i="7"/>
  <c r="S475" i="7"/>
  <c r="T475" i="7"/>
  <c r="U475" i="7"/>
  <c r="V475" i="7"/>
  <c r="W475" i="7"/>
  <c r="X475" i="7"/>
  <c r="Y475" i="7"/>
  <c r="Z475" i="7"/>
  <c r="AA475" i="7"/>
  <c r="AB475" i="7"/>
  <c r="AC475" i="7"/>
  <c r="AD475" i="7"/>
  <c r="AE475" i="7"/>
  <c r="AF475" i="7"/>
  <c r="AG475" i="7"/>
  <c r="AH475" i="7"/>
  <c r="AI475" i="7"/>
  <c r="AJ475" i="7"/>
  <c r="AK475" i="7"/>
  <c r="AL475" i="7"/>
  <c r="AM475" i="7"/>
  <c r="J476" i="7"/>
  <c r="K476" i="7"/>
  <c r="L476" i="7"/>
  <c r="M476" i="7"/>
  <c r="N476" i="7"/>
  <c r="O476" i="7"/>
  <c r="P476" i="7"/>
  <c r="Q476" i="7"/>
  <c r="R476" i="7"/>
  <c r="S476" i="7"/>
  <c r="T476" i="7"/>
  <c r="U476" i="7"/>
  <c r="V476" i="7"/>
  <c r="W476" i="7"/>
  <c r="X476" i="7"/>
  <c r="Y476" i="7"/>
  <c r="Z476" i="7"/>
  <c r="AA476" i="7"/>
  <c r="AB476" i="7"/>
  <c r="AC476" i="7"/>
  <c r="AD476" i="7"/>
  <c r="AE476" i="7"/>
  <c r="AF476" i="7"/>
  <c r="AG476" i="7"/>
  <c r="AH476" i="7"/>
  <c r="AI476" i="7"/>
  <c r="AJ476" i="7"/>
  <c r="AK476" i="7"/>
  <c r="AL476" i="7"/>
  <c r="AM476" i="7"/>
  <c r="J477" i="7"/>
  <c r="K477" i="7"/>
  <c r="L477" i="7"/>
  <c r="M477" i="7"/>
  <c r="N477" i="7"/>
  <c r="O477" i="7"/>
  <c r="P477" i="7"/>
  <c r="Q477" i="7"/>
  <c r="R477" i="7"/>
  <c r="S477" i="7"/>
  <c r="T477" i="7"/>
  <c r="U477" i="7"/>
  <c r="V477" i="7"/>
  <c r="W477" i="7"/>
  <c r="X477" i="7"/>
  <c r="Y477" i="7"/>
  <c r="Z477" i="7"/>
  <c r="AA477" i="7"/>
  <c r="AB477" i="7"/>
  <c r="AC477" i="7"/>
  <c r="AD477" i="7"/>
  <c r="AE477" i="7"/>
  <c r="AF477" i="7"/>
  <c r="AG477" i="7"/>
  <c r="AH477" i="7"/>
  <c r="AI477" i="7"/>
  <c r="AJ477" i="7"/>
  <c r="AK477" i="7"/>
  <c r="AL477" i="7"/>
  <c r="AM477" i="7"/>
  <c r="J478" i="7"/>
  <c r="K478" i="7"/>
  <c r="L478" i="7"/>
  <c r="M478" i="7"/>
  <c r="N478" i="7"/>
  <c r="O478" i="7"/>
  <c r="P478" i="7"/>
  <c r="Q478" i="7"/>
  <c r="R478" i="7"/>
  <c r="S478" i="7"/>
  <c r="T478" i="7"/>
  <c r="U478" i="7"/>
  <c r="V478" i="7"/>
  <c r="W478" i="7"/>
  <c r="X478" i="7"/>
  <c r="Y478" i="7"/>
  <c r="Z478" i="7"/>
  <c r="AA478" i="7"/>
  <c r="AB478" i="7"/>
  <c r="AC478" i="7"/>
  <c r="AD478" i="7"/>
  <c r="AE478" i="7"/>
  <c r="AF478" i="7"/>
  <c r="AG478" i="7"/>
  <c r="AH478" i="7"/>
  <c r="AI478" i="7"/>
  <c r="AJ478" i="7"/>
  <c r="AK478" i="7"/>
  <c r="AL478" i="7"/>
  <c r="AM478" i="7"/>
  <c r="C36" i="6"/>
  <c r="F36" i="6"/>
  <c r="G36" i="6" s="1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C37" i="6"/>
  <c r="F37" i="6"/>
  <c r="G37" i="6" s="1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Y37" i="6" s="1"/>
  <c r="W37" i="6"/>
  <c r="X37" i="6"/>
  <c r="C38" i="6"/>
  <c r="F38" i="6"/>
  <c r="G38" i="6" s="1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Z38" i="6" s="1"/>
  <c r="W38" i="6"/>
  <c r="X38" i="6"/>
  <c r="Y38" i="6"/>
  <c r="C39" i="6"/>
  <c r="F39" i="6"/>
  <c r="G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Y39" i="6" s="1"/>
  <c r="W39" i="6"/>
  <c r="X39" i="6"/>
  <c r="Z39" i="6"/>
  <c r="C40" i="6"/>
  <c r="F40" i="6"/>
  <c r="G40" i="6" s="1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Y40" i="6" s="1"/>
  <c r="W40" i="6"/>
  <c r="X40" i="6"/>
  <c r="C41" i="6"/>
  <c r="F41" i="6"/>
  <c r="G41" i="6" s="1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Y41" i="6" s="1"/>
  <c r="X41" i="6"/>
  <c r="Z41" i="6"/>
  <c r="C42" i="6"/>
  <c r="F42" i="6"/>
  <c r="G42" i="6" s="1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Y42" i="6" s="1"/>
  <c r="W42" i="6"/>
  <c r="X42" i="6"/>
  <c r="C43" i="6"/>
  <c r="F43" i="6"/>
  <c r="G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Y43" i="6" s="1"/>
  <c r="W43" i="6"/>
  <c r="X43" i="6"/>
  <c r="C44" i="6"/>
  <c r="F44" i="6"/>
  <c r="G44" i="6" s="1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Z44" i="6" s="1"/>
  <c r="Y44" i="6"/>
  <c r="C45" i="6"/>
  <c r="F45" i="6"/>
  <c r="G45" i="6" s="1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Y45" i="6" s="1"/>
  <c r="W45" i="6"/>
  <c r="X45" i="6"/>
  <c r="C46" i="6"/>
  <c r="F46" i="6"/>
  <c r="G46" i="6" s="1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Z46" i="6" s="1"/>
  <c r="X46" i="6"/>
  <c r="Y46" i="6"/>
  <c r="C47" i="6"/>
  <c r="F47" i="6"/>
  <c r="G47" i="6" s="1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C48" i="6"/>
  <c r="F48" i="6"/>
  <c r="G48" i="6" s="1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Z48" i="6" s="1"/>
  <c r="W48" i="6"/>
  <c r="X48" i="6"/>
  <c r="C49" i="6"/>
  <c r="F49" i="6"/>
  <c r="G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C50" i="6"/>
  <c r="F50" i="6"/>
  <c r="G50" i="6" s="1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 s="1"/>
  <c r="Z50" i="6"/>
  <c r="C51" i="6"/>
  <c r="F51" i="6"/>
  <c r="G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Y51" i="6" s="1"/>
  <c r="W51" i="6"/>
  <c r="X51" i="6"/>
  <c r="C52" i="6"/>
  <c r="F52" i="6"/>
  <c r="G52" i="6" s="1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C53" i="6"/>
  <c r="F53" i="6"/>
  <c r="G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Y53" i="6" s="1"/>
  <c r="W53" i="6"/>
  <c r="X53" i="6"/>
  <c r="C54" i="6"/>
  <c r="F54" i="6"/>
  <c r="G54" i="6" s="1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Z54" i="6" s="1"/>
  <c r="W54" i="6"/>
  <c r="X54" i="6"/>
  <c r="Y54" i="6"/>
  <c r="C55" i="6"/>
  <c r="F55" i="6"/>
  <c r="G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Y55" i="6" s="1"/>
  <c r="W55" i="6"/>
  <c r="X55" i="6"/>
  <c r="Z55" i="6"/>
  <c r="C56" i="6"/>
  <c r="F56" i="6"/>
  <c r="G56" i="6" s="1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Y56" i="6" s="1"/>
  <c r="W56" i="6"/>
  <c r="X56" i="6"/>
  <c r="C57" i="6"/>
  <c r="F57" i="6"/>
  <c r="G57" i="6" s="1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Y57" i="6" s="1"/>
  <c r="X57" i="6"/>
  <c r="Z57" i="6"/>
  <c r="C58" i="6"/>
  <c r="F58" i="6"/>
  <c r="G58" i="6" s="1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Y58" i="6" s="1"/>
  <c r="W58" i="6"/>
  <c r="X58" i="6"/>
  <c r="C59" i="6"/>
  <c r="F59" i="6"/>
  <c r="G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Y59" i="6" s="1"/>
  <c r="W59" i="6"/>
  <c r="X59" i="6"/>
  <c r="C60" i="6"/>
  <c r="F60" i="6"/>
  <c r="G60" i="6" s="1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Z60" i="6" s="1"/>
  <c r="Y60" i="6"/>
  <c r="C61" i="6"/>
  <c r="F61" i="6"/>
  <c r="G61" i="6" s="1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Y61" i="6" s="1"/>
  <c r="W61" i="6"/>
  <c r="X61" i="6"/>
  <c r="C62" i="6"/>
  <c r="F62" i="6"/>
  <c r="G62" i="6" s="1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Z62" i="6" s="1"/>
  <c r="X62" i="6"/>
  <c r="Y62" i="6"/>
  <c r="C63" i="6"/>
  <c r="F63" i="6"/>
  <c r="G63" i="6" s="1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C64" i="6"/>
  <c r="F64" i="6"/>
  <c r="G64" i="6" s="1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Z64" i="6" s="1"/>
  <c r="W64" i="6"/>
  <c r="X64" i="6"/>
  <c r="C65" i="6"/>
  <c r="F65" i="6"/>
  <c r="G65" i="6" s="1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C66" i="6"/>
  <c r="F66" i="6"/>
  <c r="G66" i="6" s="1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 s="1"/>
  <c r="Z66" i="6"/>
  <c r="C67" i="6"/>
  <c r="F67" i="6"/>
  <c r="G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Y67" i="6" s="1"/>
  <c r="W67" i="6"/>
  <c r="X67" i="6"/>
  <c r="C68" i="6"/>
  <c r="F68" i="6"/>
  <c r="G68" i="6" s="1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C69" i="6"/>
  <c r="F69" i="6"/>
  <c r="G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Y69" i="6" s="1"/>
  <c r="W69" i="6"/>
  <c r="X69" i="6"/>
  <c r="C70" i="6"/>
  <c r="F70" i="6"/>
  <c r="G70" i="6" s="1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Z70" i="6" s="1"/>
  <c r="W70" i="6"/>
  <c r="X70" i="6"/>
  <c r="Y70" i="6"/>
  <c r="C71" i="6"/>
  <c r="F71" i="6"/>
  <c r="G71" i="6" s="1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Y71" i="6" s="1"/>
  <c r="W71" i="6"/>
  <c r="X71" i="6"/>
  <c r="Z71" i="6"/>
  <c r="C72" i="6"/>
  <c r="F72" i="6"/>
  <c r="G72" i="6" s="1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Y72" i="6" s="1"/>
  <c r="W72" i="6"/>
  <c r="X72" i="6"/>
  <c r="C73" i="6"/>
  <c r="F73" i="6"/>
  <c r="G73" i="6" s="1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Y73" i="6" s="1"/>
  <c r="X73" i="6"/>
  <c r="Z73" i="6"/>
  <c r="C74" i="6"/>
  <c r="F74" i="6"/>
  <c r="G74" i="6" s="1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Y74" i="6" s="1"/>
  <c r="W74" i="6"/>
  <c r="X74" i="6"/>
  <c r="C75" i="6"/>
  <c r="F75" i="6"/>
  <c r="G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Y75" i="6" s="1"/>
  <c r="W75" i="6"/>
  <c r="X75" i="6"/>
  <c r="C76" i="6"/>
  <c r="F76" i="6"/>
  <c r="G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Z76" i="6" s="1"/>
  <c r="Y76" i="6"/>
  <c r="C77" i="6"/>
  <c r="F77" i="6"/>
  <c r="G77" i="6" s="1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Y77" i="6" s="1"/>
  <c r="W77" i="6"/>
  <c r="X77" i="6"/>
  <c r="C78" i="6"/>
  <c r="F78" i="6"/>
  <c r="G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Z78" i="6" s="1"/>
  <c r="X78" i="6"/>
  <c r="Y78" i="6"/>
  <c r="C79" i="6"/>
  <c r="F79" i="6"/>
  <c r="G79" i="6" s="1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C80" i="6"/>
  <c r="F80" i="6"/>
  <c r="G80" i="6" s="1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Z80" i="6" s="1"/>
  <c r="W80" i="6"/>
  <c r="X80" i="6"/>
  <c r="C81" i="6"/>
  <c r="F81" i="6"/>
  <c r="G81" i="6" s="1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C82" i="6"/>
  <c r="F82" i="6"/>
  <c r="G82" i="6" s="1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 s="1"/>
  <c r="Z82" i="6"/>
  <c r="C83" i="6"/>
  <c r="F83" i="6"/>
  <c r="G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Y83" i="6" s="1"/>
  <c r="W83" i="6"/>
  <c r="X83" i="6"/>
  <c r="C84" i="6"/>
  <c r="F84" i="6"/>
  <c r="G84" i="6" s="1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C85" i="6"/>
  <c r="F85" i="6"/>
  <c r="G85" i="6" s="1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Y85" i="6" s="1"/>
  <c r="W85" i="6"/>
  <c r="X85" i="6"/>
  <c r="C86" i="6"/>
  <c r="F86" i="6"/>
  <c r="G86" i="6" s="1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Z86" i="6" s="1"/>
  <c r="W86" i="6"/>
  <c r="X86" i="6"/>
  <c r="Y86" i="6"/>
  <c r="C87" i="6"/>
  <c r="F87" i="6"/>
  <c r="G87" i="6" s="1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Y87" i="6" s="1"/>
  <c r="W87" i="6"/>
  <c r="X87" i="6"/>
  <c r="Z87" i="6"/>
  <c r="C88" i="6"/>
  <c r="F88" i="6"/>
  <c r="G88" i="6" s="1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Y88" i="6" s="1"/>
  <c r="W88" i="6"/>
  <c r="X88" i="6"/>
  <c r="C89" i="6"/>
  <c r="F89" i="6"/>
  <c r="G89" i="6" s="1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Y89" i="6" s="1"/>
  <c r="X89" i="6"/>
  <c r="Z89" i="6"/>
  <c r="C90" i="6"/>
  <c r="F90" i="6"/>
  <c r="G90" i="6" s="1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Y90" i="6" s="1"/>
  <c r="W90" i="6"/>
  <c r="X90" i="6"/>
  <c r="C91" i="6"/>
  <c r="F91" i="6"/>
  <c r="G91" i="6" s="1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Y91" i="6" s="1"/>
  <c r="W91" i="6"/>
  <c r="X91" i="6"/>
  <c r="C92" i="6"/>
  <c r="F92" i="6"/>
  <c r="G92" i="6" s="1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Z92" i="6" s="1"/>
  <c r="Y92" i="6"/>
  <c r="C93" i="6"/>
  <c r="F93" i="6"/>
  <c r="G93" i="6" s="1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Y93" i="6" s="1"/>
  <c r="W93" i="6"/>
  <c r="X93" i="6"/>
  <c r="C94" i="6"/>
  <c r="F94" i="6"/>
  <c r="G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Z94" i="6" s="1"/>
  <c r="X94" i="6"/>
  <c r="Y94" i="6"/>
  <c r="C95" i="6"/>
  <c r="F95" i="6"/>
  <c r="G95" i="6" s="1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C96" i="6"/>
  <c r="F96" i="6"/>
  <c r="G96" i="6" s="1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Z96" i="6" s="1"/>
  <c r="W96" i="6"/>
  <c r="X96" i="6"/>
  <c r="C97" i="6"/>
  <c r="F97" i="6"/>
  <c r="G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C98" i="6"/>
  <c r="F98" i="6"/>
  <c r="G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 s="1"/>
  <c r="Z98" i="6"/>
  <c r="C99" i="6"/>
  <c r="F99" i="6"/>
  <c r="G99" i="6" s="1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Y99" i="6" s="1"/>
  <c r="W99" i="6"/>
  <c r="X99" i="6"/>
  <c r="C100" i="6"/>
  <c r="F100" i="6"/>
  <c r="G100" i="6" s="1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C101" i="6"/>
  <c r="F101" i="6"/>
  <c r="G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Y101" i="6" s="1"/>
  <c r="W101" i="6"/>
  <c r="X101" i="6"/>
  <c r="C102" i="6"/>
  <c r="F102" i="6"/>
  <c r="G102" i="6" s="1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Z102" i="6" s="1"/>
  <c r="W102" i="6"/>
  <c r="X102" i="6"/>
  <c r="Y102" i="6"/>
  <c r="C103" i="6"/>
  <c r="F103" i="6"/>
  <c r="G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Y103" i="6" s="1"/>
  <c r="W103" i="6"/>
  <c r="X103" i="6"/>
  <c r="Z103" i="6"/>
  <c r="C104" i="6"/>
  <c r="F104" i="6"/>
  <c r="G104" i="6" s="1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Y104" i="6" s="1"/>
  <c r="W104" i="6"/>
  <c r="X104" i="6"/>
  <c r="C105" i="6"/>
  <c r="F105" i="6"/>
  <c r="G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Y105" i="6" s="1"/>
  <c r="X105" i="6"/>
  <c r="Z105" i="6"/>
  <c r="C106" i="6"/>
  <c r="F106" i="6"/>
  <c r="G106" i="6" s="1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Y106" i="6" s="1"/>
  <c r="W106" i="6"/>
  <c r="X106" i="6"/>
  <c r="C107" i="6"/>
  <c r="F107" i="6"/>
  <c r="G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Y107" i="6" s="1"/>
  <c r="W107" i="6"/>
  <c r="X107" i="6"/>
  <c r="C108" i="6"/>
  <c r="F108" i="6"/>
  <c r="G108" i="6" s="1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Z108" i="6" s="1"/>
  <c r="Y108" i="6"/>
  <c r="C109" i="6"/>
  <c r="F109" i="6"/>
  <c r="G109" i="6" s="1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Y109" i="6" s="1"/>
  <c r="W109" i="6"/>
  <c r="X109" i="6"/>
  <c r="C110" i="6"/>
  <c r="F110" i="6"/>
  <c r="G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Z110" i="6" s="1"/>
  <c r="X110" i="6"/>
  <c r="Y110" i="6"/>
  <c r="C111" i="6"/>
  <c r="F111" i="6"/>
  <c r="G111" i="6" s="1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C112" i="6"/>
  <c r="F112" i="6"/>
  <c r="G112" i="6" s="1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Z112" i="6" s="1"/>
  <c r="W112" i="6"/>
  <c r="X112" i="6"/>
  <c r="C113" i="6"/>
  <c r="F113" i="6"/>
  <c r="G113" i="6" s="1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C114" i="6"/>
  <c r="F114" i="6"/>
  <c r="G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 s="1"/>
  <c r="Z114" i="6"/>
  <c r="C115" i="6"/>
  <c r="F115" i="6"/>
  <c r="G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Y115" i="6" s="1"/>
  <c r="W115" i="6"/>
  <c r="X115" i="6"/>
  <c r="C116" i="6"/>
  <c r="F116" i="6"/>
  <c r="G116" i="6" s="1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C117" i="6"/>
  <c r="F117" i="6"/>
  <c r="G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Y117" i="6" s="1"/>
  <c r="W117" i="6"/>
  <c r="X117" i="6"/>
  <c r="C118" i="6"/>
  <c r="F118" i="6"/>
  <c r="G118" i="6" s="1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Z118" i="6" s="1"/>
  <c r="W118" i="6"/>
  <c r="X118" i="6"/>
  <c r="Y118" i="6"/>
  <c r="C119" i="6"/>
  <c r="F119" i="6"/>
  <c r="G119" i="6" s="1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Y119" i="6" s="1"/>
  <c r="W119" i="6"/>
  <c r="X119" i="6"/>
  <c r="Z119" i="6"/>
  <c r="C120" i="6"/>
  <c r="F120" i="6"/>
  <c r="G120" i="6" s="1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Y120" i="6" s="1"/>
  <c r="W120" i="6"/>
  <c r="X120" i="6"/>
  <c r="C121" i="6"/>
  <c r="F121" i="6"/>
  <c r="G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Y121" i="6" s="1"/>
  <c r="X121" i="6"/>
  <c r="Z121" i="6"/>
  <c r="C122" i="6"/>
  <c r="F122" i="6"/>
  <c r="G122" i="6" s="1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Y122" i="6" s="1"/>
  <c r="W122" i="6"/>
  <c r="X122" i="6"/>
  <c r="C123" i="6"/>
  <c r="F123" i="6"/>
  <c r="G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Y123" i="6" s="1"/>
  <c r="W123" i="6"/>
  <c r="X123" i="6"/>
  <c r="C124" i="6"/>
  <c r="F124" i="6"/>
  <c r="G124" i="6" s="1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Z124" i="6" s="1"/>
  <c r="Y124" i="6"/>
  <c r="C125" i="6"/>
  <c r="F125" i="6"/>
  <c r="G125" i="6" s="1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Y125" i="6" s="1"/>
  <c r="W125" i="6"/>
  <c r="X125" i="6"/>
  <c r="C126" i="6"/>
  <c r="F126" i="6"/>
  <c r="G126" i="6" s="1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Z126" i="6" s="1"/>
  <c r="X126" i="6"/>
  <c r="Y126" i="6"/>
  <c r="C127" i="6"/>
  <c r="F127" i="6"/>
  <c r="G127" i="6" s="1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C128" i="6"/>
  <c r="F128" i="6"/>
  <c r="G128" i="6" s="1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Z128" i="6" s="1"/>
  <c r="W128" i="6"/>
  <c r="X128" i="6"/>
  <c r="C129" i="6"/>
  <c r="F129" i="6"/>
  <c r="G129" i="6" s="1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C130" i="6"/>
  <c r="F130" i="6"/>
  <c r="G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 s="1"/>
  <c r="Z130" i="6"/>
  <c r="C131" i="6"/>
  <c r="F131" i="6"/>
  <c r="G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Y131" i="6" s="1"/>
  <c r="W131" i="6"/>
  <c r="X131" i="6"/>
  <c r="C132" i="6"/>
  <c r="F132" i="6"/>
  <c r="G132" i="6" s="1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C133" i="6"/>
  <c r="F133" i="6"/>
  <c r="G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Y133" i="6" s="1"/>
  <c r="W133" i="6"/>
  <c r="X133" i="6"/>
  <c r="C134" i="6"/>
  <c r="F134" i="6"/>
  <c r="G134" i="6" s="1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Z134" i="6" s="1"/>
  <c r="W134" i="6"/>
  <c r="X134" i="6"/>
  <c r="Y134" i="6"/>
  <c r="C135" i="6"/>
  <c r="F135" i="6"/>
  <c r="G135" i="6" s="1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Y135" i="6" s="1"/>
  <c r="W135" i="6"/>
  <c r="X135" i="6"/>
  <c r="Z135" i="6"/>
  <c r="C136" i="6"/>
  <c r="F136" i="6"/>
  <c r="G136" i="6" s="1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Y136" i="6" s="1"/>
  <c r="W136" i="6"/>
  <c r="X136" i="6"/>
  <c r="C137" i="6"/>
  <c r="F137" i="6"/>
  <c r="G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Y137" i="6" s="1"/>
  <c r="X137" i="6"/>
  <c r="Z137" i="6"/>
  <c r="C138" i="6"/>
  <c r="F138" i="6"/>
  <c r="G138" i="6" s="1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Y138" i="6" s="1"/>
  <c r="W138" i="6"/>
  <c r="X138" i="6"/>
  <c r="C139" i="6"/>
  <c r="F139" i="6"/>
  <c r="G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Y139" i="6" s="1"/>
  <c r="W139" i="6"/>
  <c r="X139" i="6"/>
  <c r="C140" i="6"/>
  <c r="F140" i="6"/>
  <c r="G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Z140" i="6" s="1"/>
  <c r="Y140" i="6"/>
  <c r="C141" i="6"/>
  <c r="F141" i="6"/>
  <c r="G141" i="6" s="1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Y141" i="6" s="1"/>
  <c r="W141" i="6"/>
  <c r="X141" i="6"/>
  <c r="C142" i="6"/>
  <c r="F142" i="6"/>
  <c r="G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Z142" i="6" s="1"/>
  <c r="X142" i="6"/>
  <c r="Y142" i="6"/>
  <c r="C143" i="6"/>
  <c r="F143" i="6"/>
  <c r="G143" i="6" s="1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C144" i="6"/>
  <c r="F144" i="6"/>
  <c r="G144" i="6" s="1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Z144" i="6" s="1"/>
  <c r="W144" i="6"/>
  <c r="X144" i="6"/>
  <c r="C145" i="6"/>
  <c r="F145" i="6"/>
  <c r="G145" i="6" s="1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C146" i="6"/>
  <c r="F146" i="6"/>
  <c r="G146" i="6" s="1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 s="1"/>
  <c r="Z146" i="6"/>
  <c r="C147" i="6"/>
  <c r="F147" i="6"/>
  <c r="G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Y147" i="6" s="1"/>
  <c r="W147" i="6"/>
  <c r="X147" i="6"/>
  <c r="C148" i="6"/>
  <c r="F148" i="6"/>
  <c r="G148" i="6" s="1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C149" i="6"/>
  <c r="F149" i="6"/>
  <c r="G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Y149" i="6" s="1"/>
  <c r="W149" i="6"/>
  <c r="X149" i="6"/>
  <c r="C150" i="6"/>
  <c r="F150" i="6"/>
  <c r="G150" i="6" s="1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Z150" i="6" s="1"/>
  <c r="W150" i="6"/>
  <c r="X150" i="6"/>
  <c r="Y150" i="6"/>
  <c r="C151" i="6"/>
  <c r="F151" i="6"/>
  <c r="G151" i="6" s="1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Y151" i="6" s="1"/>
  <c r="W151" i="6"/>
  <c r="X151" i="6"/>
  <c r="Z151" i="6"/>
  <c r="C152" i="6"/>
  <c r="F152" i="6"/>
  <c r="G152" i="6" s="1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Y152" i="6" s="1"/>
  <c r="W152" i="6"/>
  <c r="X152" i="6"/>
  <c r="C153" i="6"/>
  <c r="F153" i="6"/>
  <c r="G153" i="6" s="1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Y153" i="6" s="1"/>
  <c r="X153" i="6"/>
  <c r="Z153" i="6"/>
  <c r="C154" i="6"/>
  <c r="F154" i="6"/>
  <c r="G154" i="6" s="1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Y154" i="6" s="1"/>
  <c r="W154" i="6"/>
  <c r="X154" i="6"/>
  <c r="C155" i="6"/>
  <c r="F155" i="6"/>
  <c r="G155" i="6" s="1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Y155" i="6" s="1"/>
  <c r="W155" i="6"/>
  <c r="X155" i="6"/>
  <c r="C156" i="6"/>
  <c r="F156" i="6"/>
  <c r="G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Z156" i="6" s="1"/>
  <c r="Y156" i="6"/>
  <c r="C157" i="6"/>
  <c r="F157" i="6"/>
  <c r="G157" i="6" s="1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Y157" i="6" s="1"/>
  <c r="W157" i="6"/>
  <c r="X157" i="6"/>
  <c r="C158" i="6"/>
  <c r="F158" i="6"/>
  <c r="G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Z158" i="6" s="1"/>
  <c r="X158" i="6"/>
  <c r="Y158" i="6"/>
  <c r="C159" i="6"/>
  <c r="F159" i="6"/>
  <c r="G159" i="6" s="1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C160" i="6"/>
  <c r="F160" i="6"/>
  <c r="G160" i="6" s="1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Z160" i="6" s="1"/>
  <c r="W160" i="6"/>
  <c r="X160" i="6"/>
  <c r="C161" i="6"/>
  <c r="F161" i="6"/>
  <c r="G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C162" i="6"/>
  <c r="F162" i="6"/>
  <c r="G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 s="1"/>
  <c r="Z162" i="6"/>
  <c r="C163" i="6"/>
  <c r="F163" i="6"/>
  <c r="G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Y163" i="6" s="1"/>
  <c r="W163" i="6"/>
  <c r="X163" i="6"/>
  <c r="C164" i="6"/>
  <c r="F164" i="6"/>
  <c r="G164" i="6" s="1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C165" i="6"/>
  <c r="F165" i="6"/>
  <c r="G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Y165" i="6" s="1"/>
  <c r="W165" i="6"/>
  <c r="X165" i="6"/>
  <c r="C166" i="6"/>
  <c r="F166" i="6"/>
  <c r="G166" i="6" s="1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Z166" i="6" s="1"/>
  <c r="W166" i="6"/>
  <c r="X166" i="6"/>
  <c r="Y166" i="6"/>
  <c r="C167" i="6"/>
  <c r="F167" i="6"/>
  <c r="G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Y167" i="6" s="1"/>
  <c r="W167" i="6"/>
  <c r="X167" i="6"/>
  <c r="Z167" i="6"/>
  <c r="C168" i="6"/>
  <c r="F168" i="6"/>
  <c r="G168" i="6" s="1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Y168" i="6" s="1"/>
  <c r="W168" i="6"/>
  <c r="X168" i="6"/>
  <c r="C169" i="6"/>
  <c r="F169" i="6"/>
  <c r="G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Y169" i="6" s="1"/>
  <c r="X169" i="6"/>
  <c r="Z169" i="6"/>
  <c r="C170" i="6"/>
  <c r="F170" i="6"/>
  <c r="G170" i="6" s="1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Y170" i="6" s="1"/>
  <c r="W170" i="6"/>
  <c r="X170" i="6"/>
  <c r="C171" i="6"/>
  <c r="F171" i="6"/>
  <c r="G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Y171" i="6" s="1"/>
  <c r="W171" i="6"/>
  <c r="X171" i="6"/>
  <c r="C172" i="6"/>
  <c r="F172" i="6"/>
  <c r="G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Z172" i="6" s="1"/>
  <c r="Y172" i="6"/>
  <c r="C173" i="6"/>
  <c r="F173" i="6"/>
  <c r="G173" i="6" s="1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Y173" i="6" s="1"/>
  <c r="W173" i="6"/>
  <c r="X173" i="6"/>
  <c r="C174" i="6"/>
  <c r="F174" i="6"/>
  <c r="G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Z174" i="6" s="1"/>
  <c r="X174" i="6"/>
  <c r="Y174" i="6"/>
  <c r="C175" i="6"/>
  <c r="F175" i="6"/>
  <c r="G175" i="6" s="1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C176" i="6"/>
  <c r="F176" i="6"/>
  <c r="G176" i="6" s="1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Z176" i="6" s="1"/>
  <c r="W176" i="6"/>
  <c r="X176" i="6"/>
  <c r="C177" i="6"/>
  <c r="F177" i="6"/>
  <c r="G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C178" i="6"/>
  <c r="F178" i="6"/>
  <c r="G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 s="1"/>
  <c r="Z178" i="6"/>
  <c r="C179" i="6"/>
  <c r="F179" i="6"/>
  <c r="G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Y179" i="6" s="1"/>
  <c r="W179" i="6"/>
  <c r="X179" i="6"/>
  <c r="C180" i="6"/>
  <c r="F180" i="6"/>
  <c r="G180" i="6" s="1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C181" i="6"/>
  <c r="F181" i="6"/>
  <c r="G181" i="6" s="1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Y181" i="6" s="1"/>
  <c r="W181" i="6"/>
  <c r="X181" i="6"/>
  <c r="C182" i="6"/>
  <c r="F182" i="6"/>
  <c r="G182" i="6" s="1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Z182" i="6" s="1"/>
  <c r="W182" i="6"/>
  <c r="X182" i="6"/>
  <c r="Y182" i="6"/>
  <c r="C183" i="6"/>
  <c r="F183" i="6"/>
  <c r="G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Y183" i="6" s="1"/>
  <c r="W183" i="6"/>
  <c r="X183" i="6"/>
  <c r="Z183" i="6"/>
  <c r="C184" i="6"/>
  <c r="F184" i="6"/>
  <c r="G184" i="6" s="1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Y184" i="6" s="1"/>
  <c r="W184" i="6"/>
  <c r="X184" i="6"/>
  <c r="C185" i="6"/>
  <c r="F185" i="6"/>
  <c r="G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Y185" i="6" s="1"/>
  <c r="X185" i="6"/>
  <c r="Z185" i="6"/>
  <c r="C186" i="6"/>
  <c r="F186" i="6"/>
  <c r="G186" i="6" s="1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Y186" i="6" s="1"/>
  <c r="W186" i="6"/>
  <c r="X186" i="6"/>
  <c r="C187" i="6"/>
  <c r="F187" i="6"/>
  <c r="G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Y187" i="6" s="1"/>
  <c r="W187" i="6"/>
  <c r="X187" i="6"/>
  <c r="C188" i="6"/>
  <c r="F188" i="6"/>
  <c r="G188" i="6" s="1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Z188" i="6" s="1"/>
  <c r="Y188" i="6"/>
  <c r="C189" i="6"/>
  <c r="F189" i="6"/>
  <c r="G189" i="6" s="1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Y189" i="6" s="1"/>
  <c r="W189" i="6"/>
  <c r="X189" i="6"/>
  <c r="C190" i="6"/>
  <c r="F190" i="6"/>
  <c r="G190" i="6" s="1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Z190" i="6" s="1"/>
  <c r="X190" i="6"/>
  <c r="Y190" i="6"/>
  <c r="C191" i="6"/>
  <c r="F191" i="6"/>
  <c r="G191" i="6" s="1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C192" i="6"/>
  <c r="F192" i="6"/>
  <c r="G192" i="6" s="1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Z192" i="6" s="1"/>
  <c r="W192" i="6"/>
  <c r="X192" i="6"/>
  <c r="C193" i="6"/>
  <c r="F193" i="6"/>
  <c r="G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C194" i="6"/>
  <c r="F194" i="6"/>
  <c r="G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 s="1"/>
  <c r="Z194" i="6"/>
  <c r="C195" i="6"/>
  <c r="F195" i="6"/>
  <c r="G195" i="6" s="1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Y195" i="6" s="1"/>
  <c r="W195" i="6"/>
  <c r="X195" i="6"/>
  <c r="C196" i="6"/>
  <c r="F196" i="6"/>
  <c r="G196" i="6" s="1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C197" i="6"/>
  <c r="F197" i="6"/>
  <c r="G197" i="6" s="1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Y197" i="6" s="1"/>
  <c r="W197" i="6"/>
  <c r="X197" i="6"/>
  <c r="C198" i="6"/>
  <c r="F198" i="6"/>
  <c r="G198" i="6" s="1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Z198" i="6" s="1"/>
  <c r="W198" i="6"/>
  <c r="X198" i="6"/>
  <c r="Y198" i="6"/>
  <c r="C199" i="6"/>
  <c r="F199" i="6"/>
  <c r="G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Y199" i="6" s="1"/>
  <c r="W199" i="6"/>
  <c r="X199" i="6"/>
  <c r="Z199" i="6"/>
  <c r="C200" i="6"/>
  <c r="F200" i="6"/>
  <c r="G200" i="6" s="1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Y200" i="6" s="1"/>
  <c r="W200" i="6"/>
  <c r="X200" i="6"/>
  <c r="C201" i="6"/>
  <c r="F201" i="6"/>
  <c r="G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Y201" i="6" s="1"/>
  <c r="X201" i="6"/>
  <c r="Z201" i="6"/>
  <c r="C202" i="6"/>
  <c r="F202" i="6"/>
  <c r="G202" i="6" s="1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Y202" i="6" s="1"/>
  <c r="W202" i="6"/>
  <c r="X202" i="6"/>
  <c r="C203" i="6"/>
  <c r="F203" i="6"/>
  <c r="G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Y203" i="6" s="1"/>
  <c r="W203" i="6"/>
  <c r="X203" i="6"/>
  <c r="C204" i="6"/>
  <c r="F204" i="6"/>
  <c r="G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Z204" i="6" s="1"/>
  <c r="Y204" i="6"/>
  <c r="C205" i="6"/>
  <c r="F205" i="6"/>
  <c r="G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Y205" i="6" s="1"/>
  <c r="W205" i="6"/>
  <c r="X205" i="6"/>
  <c r="C206" i="6"/>
  <c r="F206" i="6"/>
  <c r="G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Z206" i="6" s="1"/>
  <c r="X206" i="6"/>
  <c r="Y206" i="6"/>
  <c r="C207" i="6"/>
  <c r="F207" i="6"/>
  <c r="G207" i="6" s="1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C208" i="6"/>
  <c r="F208" i="6"/>
  <c r="G208" i="6" s="1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Z208" i="6" s="1"/>
  <c r="W208" i="6"/>
  <c r="X208" i="6"/>
  <c r="C209" i="6"/>
  <c r="F209" i="6"/>
  <c r="G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C210" i="6"/>
  <c r="F210" i="6"/>
  <c r="G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 s="1"/>
  <c r="Z210" i="6"/>
  <c r="C211" i="6"/>
  <c r="F211" i="6"/>
  <c r="G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Y211" i="6" s="1"/>
  <c r="W211" i="6"/>
  <c r="X211" i="6"/>
  <c r="C212" i="6"/>
  <c r="F212" i="6"/>
  <c r="G212" i="6" s="1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C213" i="6"/>
  <c r="F213" i="6"/>
  <c r="G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Y213" i="6" s="1"/>
  <c r="W213" i="6"/>
  <c r="X213" i="6"/>
  <c r="C214" i="6"/>
  <c r="F214" i="6"/>
  <c r="G214" i="6" s="1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Z214" i="6" s="1"/>
  <c r="W214" i="6"/>
  <c r="X214" i="6"/>
  <c r="Y214" i="6"/>
  <c r="C215" i="6"/>
  <c r="F215" i="6"/>
  <c r="G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Y215" i="6" s="1"/>
  <c r="W215" i="6"/>
  <c r="X215" i="6"/>
  <c r="Z215" i="6"/>
  <c r="C216" i="6"/>
  <c r="F216" i="6"/>
  <c r="G216" i="6" s="1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Y216" i="6" s="1"/>
  <c r="W216" i="6"/>
  <c r="X216" i="6"/>
  <c r="C217" i="6"/>
  <c r="F217" i="6"/>
  <c r="G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Y217" i="6" s="1"/>
  <c r="X217" i="6"/>
  <c r="Z217" i="6"/>
  <c r="C218" i="6"/>
  <c r="F218" i="6"/>
  <c r="G218" i="6" s="1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Y218" i="6" s="1"/>
  <c r="W218" i="6"/>
  <c r="X218" i="6"/>
  <c r="C219" i="6"/>
  <c r="F219" i="6"/>
  <c r="G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Y219" i="6" s="1"/>
  <c r="W219" i="6"/>
  <c r="X219" i="6"/>
  <c r="C220" i="6"/>
  <c r="F220" i="6"/>
  <c r="G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Z220" i="6" s="1"/>
  <c r="Y220" i="6"/>
  <c r="C221" i="6"/>
  <c r="F221" i="6"/>
  <c r="G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Y221" i="6" s="1"/>
  <c r="W221" i="6"/>
  <c r="X221" i="6"/>
  <c r="C222" i="6"/>
  <c r="F222" i="6"/>
  <c r="G222" i="6" s="1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Z222" i="6" s="1"/>
  <c r="X222" i="6"/>
  <c r="Y222" i="6"/>
  <c r="C223" i="6"/>
  <c r="F223" i="6"/>
  <c r="G223" i="6" s="1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C224" i="6"/>
  <c r="F224" i="6"/>
  <c r="G224" i="6" s="1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Z224" i="6" s="1"/>
  <c r="W224" i="6"/>
  <c r="X224" i="6"/>
  <c r="C225" i="6"/>
  <c r="F225" i="6"/>
  <c r="G225" i="6" s="1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C226" i="6"/>
  <c r="F226" i="6"/>
  <c r="G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 s="1"/>
  <c r="Z226" i="6"/>
  <c r="C227" i="6"/>
  <c r="F227" i="6"/>
  <c r="G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Y227" i="6" s="1"/>
  <c r="W227" i="6"/>
  <c r="X227" i="6"/>
  <c r="C228" i="6"/>
  <c r="F228" i="6"/>
  <c r="G228" i="6" s="1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C229" i="6"/>
  <c r="F229" i="6"/>
  <c r="G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Y229" i="6" s="1"/>
  <c r="W229" i="6"/>
  <c r="X229" i="6"/>
  <c r="C230" i="6"/>
  <c r="F230" i="6"/>
  <c r="G230" i="6" s="1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Z230" i="6" s="1"/>
  <c r="W230" i="6"/>
  <c r="X230" i="6"/>
  <c r="Y230" i="6"/>
  <c r="C231" i="6"/>
  <c r="F231" i="6"/>
  <c r="G231" i="6" s="1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Y231" i="6" s="1"/>
  <c r="W231" i="6"/>
  <c r="X231" i="6"/>
  <c r="Z231" i="6"/>
  <c r="C232" i="6"/>
  <c r="F232" i="6"/>
  <c r="G232" i="6" s="1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Y232" i="6" s="1"/>
  <c r="W232" i="6"/>
  <c r="X232" i="6"/>
  <c r="C233" i="6"/>
  <c r="F233" i="6"/>
  <c r="G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Y233" i="6" s="1"/>
  <c r="X233" i="6"/>
  <c r="Z233" i="6"/>
  <c r="C234" i="6"/>
  <c r="F234" i="6"/>
  <c r="G234" i="6" s="1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Y234" i="6" s="1"/>
  <c r="W234" i="6"/>
  <c r="X234" i="6"/>
  <c r="C235" i="6"/>
  <c r="F235" i="6"/>
  <c r="G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Y235" i="6" s="1"/>
  <c r="W235" i="6"/>
  <c r="X235" i="6"/>
  <c r="C236" i="6"/>
  <c r="F236" i="6"/>
  <c r="G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Z236" i="6" s="1"/>
  <c r="Y236" i="6"/>
  <c r="C237" i="6"/>
  <c r="F237" i="6"/>
  <c r="G237" i="6" s="1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Y237" i="6" s="1"/>
  <c r="W237" i="6"/>
  <c r="X237" i="6"/>
  <c r="C238" i="6"/>
  <c r="F238" i="6"/>
  <c r="G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Z238" i="6" s="1"/>
  <c r="X238" i="6"/>
  <c r="Y238" i="6"/>
  <c r="C239" i="6"/>
  <c r="F239" i="6"/>
  <c r="G239" i="6" s="1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C240" i="6"/>
  <c r="F240" i="6"/>
  <c r="G240" i="6" s="1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Z240" i="6" s="1"/>
  <c r="W240" i="6"/>
  <c r="X240" i="6"/>
  <c r="C241" i="6"/>
  <c r="F241" i="6"/>
  <c r="G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C242" i="6"/>
  <c r="F242" i="6"/>
  <c r="G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 s="1"/>
  <c r="Z242" i="6"/>
  <c r="C243" i="6"/>
  <c r="F243" i="6"/>
  <c r="G243" i="6" s="1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Y243" i="6" s="1"/>
  <c r="W243" i="6"/>
  <c r="X243" i="6"/>
  <c r="C244" i="6"/>
  <c r="F244" i="6"/>
  <c r="G244" i="6" s="1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C245" i="6"/>
  <c r="F245" i="6"/>
  <c r="G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Y245" i="6" s="1"/>
  <c r="W245" i="6"/>
  <c r="X245" i="6"/>
  <c r="C246" i="6"/>
  <c r="F246" i="6"/>
  <c r="G246" i="6" s="1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Z246" i="6" s="1"/>
  <c r="W246" i="6"/>
  <c r="X246" i="6"/>
  <c r="Y246" i="6"/>
  <c r="C247" i="6"/>
  <c r="F247" i="6"/>
  <c r="G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Y247" i="6" s="1"/>
  <c r="W247" i="6"/>
  <c r="X247" i="6"/>
  <c r="Z247" i="6"/>
  <c r="C248" i="6"/>
  <c r="F248" i="6"/>
  <c r="G248" i="6" s="1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Y248" i="6" s="1"/>
  <c r="W248" i="6"/>
  <c r="X248" i="6"/>
  <c r="C249" i="6"/>
  <c r="F249" i="6"/>
  <c r="G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Y249" i="6" s="1"/>
  <c r="X249" i="6"/>
  <c r="Z249" i="6"/>
  <c r="C250" i="6"/>
  <c r="F250" i="6"/>
  <c r="G250" i="6" s="1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Y250" i="6" s="1"/>
  <c r="W250" i="6"/>
  <c r="X250" i="6"/>
  <c r="C251" i="6"/>
  <c r="F251" i="6"/>
  <c r="G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Y251" i="6" s="1"/>
  <c r="W251" i="6"/>
  <c r="X251" i="6"/>
  <c r="C252" i="6"/>
  <c r="F252" i="6"/>
  <c r="G252" i="6" s="1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Z252" i="6" s="1"/>
  <c r="Y252" i="6"/>
  <c r="C253" i="6"/>
  <c r="F253" i="6"/>
  <c r="G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Y253" i="6" s="1"/>
  <c r="W253" i="6"/>
  <c r="X253" i="6"/>
  <c r="C254" i="6"/>
  <c r="F254" i="6"/>
  <c r="G254" i="6" s="1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Z254" i="6" s="1"/>
  <c r="X254" i="6"/>
  <c r="Y254" i="6"/>
  <c r="C255" i="6"/>
  <c r="F255" i="6"/>
  <c r="G255" i="6" s="1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C256" i="6"/>
  <c r="F256" i="6"/>
  <c r="G256" i="6" s="1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Z256" i="6" s="1"/>
  <c r="W256" i="6"/>
  <c r="X256" i="6"/>
  <c r="C257" i="6"/>
  <c r="F257" i="6"/>
  <c r="G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C258" i="6"/>
  <c r="F258" i="6"/>
  <c r="G258" i="6" s="1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 s="1"/>
  <c r="Z258" i="6"/>
  <c r="C259" i="6"/>
  <c r="F259" i="6"/>
  <c r="G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Y259" i="6" s="1"/>
  <c r="W259" i="6"/>
  <c r="X259" i="6"/>
  <c r="C260" i="6"/>
  <c r="F260" i="6"/>
  <c r="G260" i="6" s="1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Y260" i="6"/>
  <c r="Z260" i="6"/>
  <c r="C261" i="6"/>
  <c r="F261" i="6"/>
  <c r="G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Y261" i="6" s="1"/>
  <c r="W261" i="6"/>
  <c r="X261" i="6"/>
  <c r="C262" i="6"/>
  <c r="F262" i="6"/>
  <c r="G262" i="6" s="1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Z262" i="6" s="1"/>
  <c r="W262" i="6"/>
  <c r="X262" i="6"/>
  <c r="Y262" i="6"/>
  <c r="C263" i="6"/>
  <c r="F263" i="6"/>
  <c r="G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Y263" i="6" s="1"/>
  <c r="W263" i="6"/>
  <c r="X263" i="6"/>
  <c r="Z263" i="6"/>
  <c r="C264" i="6"/>
  <c r="F264" i="6"/>
  <c r="G264" i="6" s="1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Y264" i="6" s="1"/>
  <c r="W264" i="6"/>
  <c r="X264" i="6"/>
  <c r="C265" i="6"/>
  <c r="F265" i="6"/>
  <c r="G265" i="6" s="1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Y265" i="6" s="1"/>
  <c r="X265" i="6"/>
  <c r="Z265" i="6"/>
  <c r="C266" i="6"/>
  <c r="F266" i="6"/>
  <c r="G266" i="6" s="1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Y266" i="6" s="1"/>
  <c r="W266" i="6"/>
  <c r="X266" i="6"/>
  <c r="C267" i="6"/>
  <c r="F267" i="6"/>
  <c r="G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Y267" i="6" s="1"/>
  <c r="W267" i="6"/>
  <c r="X267" i="6"/>
  <c r="C268" i="6"/>
  <c r="F268" i="6"/>
  <c r="G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Z268" i="6" s="1"/>
  <c r="Y268" i="6"/>
  <c r="C269" i="6"/>
  <c r="F269" i="6"/>
  <c r="G269" i="6" s="1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Y269" i="6" s="1"/>
  <c r="W269" i="6"/>
  <c r="X269" i="6"/>
  <c r="C270" i="6"/>
  <c r="F270" i="6"/>
  <c r="G270" i="6" s="1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Z270" i="6" s="1"/>
  <c r="X270" i="6"/>
  <c r="Y270" i="6"/>
  <c r="C271" i="6"/>
  <c r="F271" i="6"/>
  <c r="G271" i="6" s="1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C272" i="6"/>
  <c r="F272" i="6"/>
  <c r="G272" i="6" s="1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Z272" i="6" s="1"/>
  <c r="W272" i="6"/>
  <c r="X272" i="6"/>
  <c r="C273" i="6"/>
  <c r="F273" i="6"/>
  <c r="G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C274" i="6"/>
  <c r="F274" i="6"/>
  <c r="G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 s="1"/>
  <c r="Z274" i="6"/>
  <c r="C275" i="6"/>
  <c r="F275" i="6"/>
  <c r="G275" i="6" s="1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Y275" i="6" s="1"/>
  <c r="W275" i="6"/>
  <c r="X275" i="6"/>
  <c r="C276" i="6"/>
  <c r="F276" i="6"/>
  <c r="G276" i="6" s="1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Y276" i="6"/>
  <c r="Z276" i="6"/>
  <c r="C277" i="6"/>
  <c r="F277" i="6"/>
  <c r="G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Y277" i="6" s="1"/>
  <c r="W277" i="6"/>
  <c r="X277" i="6"/>
  <c r="C278" i="6"/>
  <c r="F278" i="6"/>
  <c r="G278" i="6" s="1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Z278" i="6" s="1"/>
  <c r="W278" i="6"/>
  <c r="Y278" i="6" s="1"/>
  <c r="X278" i="6"/>
  <c r="C279" i="6"/>
  <c r="F279" i="6"/>
  <c r="G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Y279" i="6" s="1"/>
  <c r="W279" i="6"/>
  <c r="X279" i="6"/>
  <c r="Z279" i="6"/>
  <c r="C280" i="6"/>
  <c r="F280" i="6"/>
  <c r="G280" i="6" s="1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Y280" i="6" s="1"/>
  <c r="W280" i="6"/>
  <c r="X280" i="6"/>
  <c r="C281" i="6"/>
  <c r="F281" i="6"/>
  <c r="G281" i="6" s="1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Y281" i="6" s="1"/>
  <c r="X281" i="6"/>
  <c r="Z281" i="6" s="1"/>
  <c r="C282" i="6"/>
  <c r="F282" i="6"/>
  <c r="G282" i="6" s="1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Y282" i="6" s="1"/>
  <c r="W282" i="6"/>
  <c r="X282" i="6"/>
  <c r="C283" i="6"/>
  <c r="F283" i="6"/>
  <c r="G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Y283" i="6" s="1"/>
  <c r="W283" i="6"/>
  <c r="X283" i="6"/>
  <c r="C284" i="6"/>
  <c r="F284" i="6"/>
  <c r="G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Z284" i="6" s="1"/>
  <c r="Y284" i="6"/>
  <c r="C285" i="6"/>
  <c r="F285" i="6"/>
  <c r="G285" i="6" s="1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Y285" i="6" s="1"/>
  <c r="W285" i="6"/>
  <c r="X285" i="6"/>
  <c r="C286" i="6"/>
  <c r="F286" i="6"/>
  <c r="G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Z286" i="6" s="1"/>
  <c r="X286" i="6"/>
  <c r="Y286" i="6"/>
  <c r="C287" i="6"/>
  <c r="F287" i="6"/>
  <c r="G287" i="6" s="1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C288" i="6"/>
  <c r="F288" i="6"/>
  <c r="G288" i="6" s="1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Z288" i="6" s="1"/>
  <c r="W288" i="6"/>
  <c r="X288" i="6"/>
  <c r="C289" i="6"/>
  <c r="F289" i="6"/>
  <c r="G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C290" i="6"/>
  <c r="F290" i="6"/>
  <c r="G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 s="1"/>
  <c r="Z290" i="6"/>
  <c r="C291" i="6"/>
  <c r="F291" i="6"/>
  <c r="G291" i="6" s="1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Y291" i="6" s="1"/>
  <c r="W291" i="6"/>
  <c r="X291" i="6"/>
  <c r="C292" i="6"/>
  <c r="F292" i="6"/>
  <c r="G292" i="6" s="1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C293" i="6"/>
  <c r="F293" i="6"/>
  <c r="G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Y293" i="6" s="1"/>
  <c r="W293" i="6"/>
  <c r="X293" i="6"/>
  <c r="C294" i="6"/>
  <c r="F294" i="6"/>
  <c r="G294" i="6" s="1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Z294" i="6" s="1"/>
  <c r="W294" i="6"/>
  <c r="Y294" i="6" s="1"/>
  <c r="X294" i="6"/>
  <c r="C295" i="6"/>
  <c r="F295" i="6"/>
  <c r="G295" i="6" s="1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Y295" i="6" s="1"/>
  <c r="W295" i="6"/>
  <c r="X295" i="6"/>
  <c r="Z295" i="6"/>
  <c r="C296" i="6"/>
  <c r="F296" i="6"/>
  <c r="G296" i="6" s="1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Y296" i="6" s="1"/>
  <c r="W296" i="6"/>
  <c r="X296" i="6"/>
  <c r="C297" i="6"/>
  <c r="F297" i="6"/>
  <c r="G297" i="6" s="1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Y297" i="6" s="1"/>
  <c r="X297" i="6"/>
  <c r="Z297" i="6" s="1"/>
  <c r="C298" i="6"/>
  <c r="F298" i="6"/>
  <c r="G298" i="6" s="1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Y298" i="6" s="1"/>
  <c r="W298" i="6"/>
  <c r="X298" i="6"/>
  <c r="C299" i="6"/>
  <c r="F299" i="6"/>
  <c r="G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Y299" i="6" s="1"/>
  <c r="W299" i="6"/>
  <c r="X299" i="6"/>
  <c r="C300" i="6"/>
  <c r="F300" i="6"/>
  <c r="G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Z300" i="6" s="1"/>
  <c r="Y300" i="6"/>
  <c r="C301" i="6"/>
  <c r="F301" i="6"/>
  <c r="G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Y301" i="6" s="1"/>
  <c r="W301" i="6"/>
  <c r="X301" i="6"/>
  <c r="C302" i="6"/>
  <c r="F302" i="6"/>
  <c r="G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Z302" i="6" s="1"/>
  <c r="X302" i="6"/>
  <c r="Y302" i="6"/>
  <c r="C303" i="6"/>
  <c r="F303" i="6"/>
  <c r="G303" i="6" s="1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Z303" i="6"/>
  <c r="C304" i="6"/>
  <c r="F304" i="6"/>
  <c r="G304" i="6" s="1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Z304" i="6" s="1"/>
  <c r="W304" i="6"/>
  <c r="X304" i="6"/>
  <c r="C305" i="6"/>
  <c r="F305" i="6"/>
  <c r="G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Z305" i="6"/>
  <c r="C306" i="6"/>
  <c r="F306" i="6"/>
  <c r="G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 s="1"/>
  <c r="Z306" i="6"/>
  <c r="C307" i="6"/>
  <c r="F307" i="6"/>
  <c r="G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Y307" i="6" s="1"/>
  <c r="W307" i="6"/>
  <c r="X307" i="6"/>
  <c r="C308" i="6"/>
  <c r="F308" i="6"/>
  <c r="G308" i="6" s="1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C309" i="6"/>
  <c r="F309" i="6"/>
  <c r="G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Y309" i="6" s="1"/>
  <c r="W309" i="6"/>
  <c r="X309" i="6"/>
  <c r="C310" i="6"/>
  <c r="F310" i="6"/>
  <c r="G310" i="6" s="1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Z310" i="6" s="1"/>
  <c r="W310" i="6"/>
  <c r="Y310" i="6" s="1"/>
  <c r="X310" i="6"/>
  <c r="C311" i="6"/>
  <c r="F311" i="6"/>
  <c r="G311" i="6" s="1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Y311" i="6" s="1"/>
  <c r="W311" i="6"/>
  <c r="X311" i="6"/>
  <c r="Z311" i="6"/>
  <c r="C312" i="6"/>
  <c r="F312" i="6"/>
  <c r="G312" i="6" s="1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Y312" i="6" s="1"/>
  <c r="W312" i="6"/>
  <c r="X312" i="6"/>
  <c r="C313" i="6"/>
  <c r="F313" i="6"/>
  <c r="G313" i="6" s="1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Y313" i="6" s="1"/>
  <c r="X313" i="6"/>
  <c r="Z313" i="6" s="1"/>
  <c r="C314" i="6"/>
  <c r="F314" i="6"/>
  <c r="G314" i="6" s="1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Y314" i="6" s="1"/>
  <c r="W314" i="6"/>
  <c r="X314" i="6"/>
  <c r="C315" i="6"/>
  <c r="F315" i="6"/>
  <c r="G315" i="6" s="1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Y315" i="6" s="1"/>
  <c r="W315" i="6"/>
  <c r="X315" i="6"/>
  <c r="C316" i="6"/>
  <c r="F316" i="6"/>
  <c r="G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Z316" i="6" s="1"/>
  <c r="Y316" i="6"/>
  <c r="C317" i="6"/>
  <c r="F317" i="6"/>
  <c r="G317" i="6" s="1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Y317" i="6" s="1"/>
  <c r="W317" i="6"/>
  <c r="X317" i="6"/>
  <c r="C318" i="6"/>
  <c r="F318" i="6"/>
  <c r="G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Z318" i="6" s="1"/>
  <c r="X318" i="6"/>
  <c r="Y318" i="6"/>
  <c r="C319" i="6"/>
  <c r="F319" i="6"/>
  <c r="G319" i="6" s="1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C320" i="6"/>
  <c r="F320" i="6"/>
  <c r="G320" i="6" s="1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Z320" i="6" s="1"/>
  <c r="W320" i="6"/>
  <c r="X320" i="6"/>
  <c r="C321" i="6"/>
  <c r="F321" i="6"/>
  <c r="G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Z321" i="6"/>
  <c r="C322" i="6"/>
  <c r="F322" i="6"/>
  <c r="G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 s="1"/>
  <c r="Z322" i="6"/>
  <c r="C323" i="6"/>
  <c r="F323" i="6"/>
  <c r="G323" i="6" s="1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Y323" i="6" s="1"/>
  <c r="W323" i="6"/>
  <c r="X323" i="6"/>
  <c r="C324" i="6"/>
  <c r="F324" i="6"/>
  <c r="G324" i="6" s="1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Y324" i="6"/>
  <c r="Z324" i="6"/>
  <c r="C325" i="6"/>
  <c r="F325" i="6"/>
  <c r="G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Y325" i="6" s="1"/>
  <c r="W325" i="6"/>
  <c r="X325" i="6"/>
  <c r="C326" i="6"/>
  <c r="F326" i="6"/>
  <c r="G326" i="6" s="1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Z326" i="6" s="1"/>
  <c r="W326" i="6"/>
  <c r="Y326" i="6" s="1"/>
  <c r="X326" i="6"/>
  <c r="C327" i="6"/>
  <c r="F327" i="6"/>
  <c r="G327" i="6" s="1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Y327" i="6" s="1"/>
  <c r="W327" i="6"/>
  <c r="X327" i="6"/>
  <c r="Z327" i="6"/>
  <c r="C328" i="6"/>
  <c r="F328" i="6"/>
  <c r="G328" i="6" s="1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Y328" i="6" s="1"/>
  <c r="W328" i="6"/>
  <c r="X328" i="6"/>
  <c r="C329" i="6"/>
  <c r="F329" i="6"/>
  <c r="G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Y329" i="6" s="1"/>
  <c r="X329" i="6"/>
  <c r="Z329" i="6" s="1"/>
  <c r="C330" i="6"/>
  <c r="F330" i="6"/>
  <c r="G330" i="6" s="1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Y330" i="6" s="1"/>
  <c r="W330" i="6"/>
  <c r="X330" i="6"/>
  <c r="C331" i="6"/>
  <c r="F331" i="6"/>
  <c r="G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Y331" i="6" s="1"/>
  <c r="W331" i="6"/>
  <c r="X331" i="6"/>
  <c r="C332" i="6"/>
  <c r="F332" i="6"/>
  <c r="G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Z332" i="6" s="1"/>
  <c r="Y332" i="6"/>
  <c r="C333" i="6"/>
  <c r="F333" i="6"/>
  <c r="G333" i="6" s="1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Y333" i="6" s="1"/>
  <c r="W333" i="6"/>
  <c r="X333" i="6"/>
  <c r="C334" i="6"/>
  <c r="F334" i="6"/>
  <c r="G334" i="6" s="1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Z334" i="6" s="1"/>
  <c r="X334" i="6"/>
  <c r="Y334" i="6"/>
  <c r="C335" i="6"/>
  <c r="F335" i="6"/>
  <c r="G335" i="6" s="1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Z335" i="6"/>
  <c r="C336" i="6"/>
  <c r="F336" i="6"/>
  <c r="G336" i="6" s="1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Z336" i="6" s="1"/>
  <c r="W336" i="6"/>
  <c r="X336" i="6"/>
  <c r="C337" i="6"/>
  <c r="F337" i="6"/>
  <c r="G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C338" i="6"/>
  <c r="F338" i="6"/>
  <c r="G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 s="1"/>
  <c r="Z338" i="6"/>
  <c r="C339" i="6"/>
  <c r="F339" i="6"/>
  <c r="G339" i="6" s="1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Y339" i="6" s="1"/>
  <c r="W339" i="6"/>
  <c r="X339" i="6"/>
  <c r="C340" i="6"/>
  <c r="F340" i="6"/>
  <c r="G340" i="6" s="1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C341" i="6"/>
  <c r="F341" i="6"/>
  <c r="G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Y341" i="6" s="1"/>
  <c r="W341" i="6"/>
  <c r="X341" i="6"/>
  <c r="C342" i="6"/>
  <c r="F342" i="6"/>
  <c r="G342" i="6" s="1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Z342" i="6" s="1"/>
  <c r="W342" i="6"/>
  <c r="Y342" i="6" s="1"/>
  <c r="X342" i="6"/>
  <c r="C343" i="6"/>
  <c r="F343" i="6"/>
  <c r="G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Y343" i="6" s="1"/>
  <c r="W343" i="6"/>
  <c r="X343" i="6"/>
  <c r="Z343" i="6"/>
  <c r="C344" i="6"/>
  <c r="F344" i="6"/>
  <c r="G344" i="6" s="1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Y344" i="6" s="1"/>
  <c r="W344" i="6"/>
  <c r="X344" i="6"/>
  <c r="C345" i="6"/>
  <c r="F345" i="6"/>
  <c r="G345" i="6" s="1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Y345" i="6" s="1"/>
  <c r="X345" i="6"/>
  <c r="Z345" i="6" s="1"/>
  <c r="C346" i="6"/>
  <c r="F346" i="6"/>
  <c r="G346" i="6" s="1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Y346" i="6" s="1"/>
  <c r="W346" i="6"/>
  <c r="X346" i="6"/>
  <c r="C347" i="6"/>
  <c r="F347" i="6"/>
  <c r="G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Y347" i="6" s="1"/>
  <c r="W347" i="6"/>
  <c r="X347" i="6"/>
  <c r="C348" i="6"/>
  <c r="F348" i="6"/>
  <c r="G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Z348" i="6" s="1"/>
  <c r="Y348" i="6"/>
  <c r="C349" i="6"/>
  <c r="F349" i="6"/>
  <c r="G349" i="6" s="1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Y349" i="6" s="1"/>
  <c r="W349" i="6"/>
  <c r="X349" i="6"/>
  <c r="C350" i="6"/>
  <c r="F350" i="6"/>
  <c r="G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Z350" i="6" s="1"/>
  <c r="X350" i="6"/>
  <c r="Y350" i="6"/>
  <c r="C351" i="6"/>
  <c r="F351" i="6"/>
  <c r="G351" i="6" s="1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Y351" i="6"/>
  <c r="Z351" i="6"/>
  <c r="C352" i="6"/>
  <c r="F352" i="6"/>
  <c r="G352" i="6" s="1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Z352" i="6" s="1"/>
  <c r="W352" i="6"/>
  <c r="X352" i="6"/>
  <c r="C353" i="6"/>
  <c r="F353" i="6"/>
  <c r="G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Y353" i="6"/>
  <c r="Z353" i="6"/>
  <c r="C354" i="6"/>
  <c r="F354" i="6"/>
  <c r="G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 s="1"/>
  <c r="Z354" i="6"/>
  <c r="C355" i="6"/>
  <c r="F355" i="6"/>
  <c r="G355" i="6" s="1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Y355" i="6" s="1"/>
  <c r="W355" i="6"/>
  <c r="X355" i="6"/>
  <c r="C356" i="6"/>
  <c r="F356" i="6"/>
  <c r="G356" i="6" s="1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Y356" i="6"/>
  <c r="Z356" i="6"/>
  <c r="C357" i="6"/>
  <c r="F357" i="6"/>
  <c r="G357" i="6"/>
  <c r="J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Y357" i="6" s="1"/>
  <c r="W357" i="6"/>
  <c r="X357" i="6"/>
  <c r="C358" i="6"/>
  <c r="F358" i="6"/>
  <c r="G358" i="6" s="1"/>
  <c r="J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Z358" i="6" s="1"/>
  <c r="W358" i="6"/>
  <c r="Y358" i="6" s="1"/>
  <c r="X358" i="6"/>
  <c r="C359" i="6"/>
  <c r="F359" i="6"/>
  <c r="G359" i="6" s="1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Y359" i="6" s="1"/>
  <c r="W359" i="6"/>
  <c r="X359" i="6"/>
  <c r="Z359" i="6"/>
  <c r="C360" i="6"/>
  <c r="F360" i="6"/>
  <c r="G360" i="6" s="1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Y360" i="6" s="1"/>
  <c r="W360" i="6"/>
  <c r="X360" i="6"/>
  <c r="C361" i="6"/>
  <c r="F361" i="6"/>
  <c r="G361" i="6" s="1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Y361" i="6" s="1"/>
  <c r="X361" i="6"/>
  <c r="Z361" i="6" s="1"/>
  <c r="C362" i="6"/>
  <c r="F362" i="6"/>
  <c r="G362" i="6" s="1"/>
  <c r="J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Y362" i="6" s="1"/>
  <c r="W362" i="6"/>
  <c r="X362" i="6"/>
  <c r="C363" i="6"/>
  <c r="F363" i="6"/>
  <c r="G363" i="6"/>
  <c r="J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Y363" i="6" s="1"/>
  <c r="W363" i="6"/>
  <c r="X363" i="6"/>
  <c r="C364" i="6"/>
  <c r="F364" i="6"/>
  <c r="G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Z364" i="6" s="1"/>
  <c r="Y364" i="6"/>
  <c r="C365" i="6"/>
  <c r="F365" i="6"/>
  <c r="G365" i="6"/>
  <c r="J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Y365" i="6" s="1"/>
  <c r="W365" i="6"/>
  <c r="X365" i="6"/>
  <c r="A45" i="7"/>
  <c r="C45" i="7"/>
  <c r="F45" i="7"/>
  <c r="G45" i="7" s="1"/>
  <c r="H45" i="7"/>
  <c r="A46" i="7"/>
  <c r="C46" i="7"/>
  <c r="F46" i="7"/>
  <c r="G46" i="7"/>
  <c r="H46" i="7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H403" i="7" s="1"/>
  <c r="H404" i="7" s="1"/>
  <c r="H405" i="7" s="1"/>
  <c r="H406" i="7" s="1"/>
  <c r="H407" i="7" s="1"/>
  <c r="H408" i="7" s="1"/>
  <c r="H409" i="7" s="1"/>
  <c r="H410" i="7" s="1"/>
  <c r="H411" i="7" s="1"/>
  <c r="H412" i="7" s="1"/>
  <c r="H413" i="7" s="1"/>
  <c r="H414" i="7" s="1"/>
  <c r="H415" i="7" s="1"/>
  <c r="H416" i="7" s="1"/>
  <c r="H417" i="7" s="1"/>
  <c r="H418" i="7" s="1"/>
  <c r="H419" i="7" s="1"/>
  <c r="H420" i="7" s="1"/>
  <c r="H421" i="7" s="1"/>
  <c r="H422" i="7" s="1"/>
  <c r="H423" i="7" s="1"/>
  <c r="H424" i="7" s="1"/>
  <c r="H425" i="7" s="1"/>
  <c r="H426" i="7" s="1"/>
  <c r="H427" i="7" s="1"/>
  <c r="H428" i="7" s="1"/>
  <c r="H429" i="7" s="1"/>
  <c r="H430" i="7" s="1"/>
  <c r="H431" i="7" s="1"/>
  <c r="H432" i="7" s="1"/>
  <c r="H433" i="7" s="1"/>
  <c r="H434" i="7" s="1"/>
  <c r="H435" i="7" s="1"/>
  <c r="H436" i="7" s="1"/>
  <c r="H437" i="7" s="1"/>
  <c r="H438" i="7" s="1"/>
  <c r="H439" i="7" s="1"/>
  <c r="H440" i="7" s="1"/>
  <c r="H441" i="7" s="1"/>
  <c r="H442" i="7" s="1"/>
  <c r="H443" i="7" s="1"/>
  <c r="H444" i="7" s="1"/>
  <c r="H445" i="7" s="1"/>
  <c r="H446" i="7" s="1"/>
  <c r="H447" i="7" s="1"/>
  <c r="H448" i="7" s="1"/>
  <c r="H449" i="7" s="1"/>
  <c r="H450" i="7" s="1"/>
  <c r="H451" i="7" s="1"/>
  <c r="H452" i="7" s="1"/>
  <c r="H453" i="7" s="1"/>
  <c r="H454" i="7" s="1"/>
  <c r="H455" i="7" s="1"/>
  <c r="H456" i="7" s="1"/>
  <c r="H457" i="7" s="1"/>
  <c r="H458" i="7" s="1"/>
  <c r="H459" i="7" s="1"/>
  <c r="H460" i="7" s="1"/>
  <c r="H461" i="7" s="1"/>
  <c r="H462" i="7" s="1"/>
  <c r="H463" i="7" s="1"/>
  <c r="H464" i="7" s="1"/>
  <c r="H465" i="7" s="1"/>
  <c r="H466" i="7" s="1"/>
  <c r="H467" i="7" s="1"/>
  <c r="H468" i="7" s="1"/>
  <c r="H469" i="7" s="1"/>
  <c r="H470" i="7" s="1"/>
  <c r="H471" i="7" s="1"/>
  <c r="H472" i="7" s="1"/>
  <c r="H473" i="7" s="1"/>
  <c r="H474" i="7" s="1"/>
  <c r="H475" i="7" s="1"/>
  <c r="H476" i="7" s="1"/>
  <c r="H477" i="7" s="1"/>
  <c r="H478" i="7" s="1"/>
  <c r="A47" i="7"/>
  <c r="C47" i="7"/>
  <c r="F47" i="7"/>
  <c r="G47" i="7" s="1"/>
  <c r="A48" i="7"/>
  <c r="C48" i="7"/>
  <c r="F48" i="7"/>
  <c r="G48" i="7"/>
  <c r="A49" i="7"/>
  <c r="C49" i="7"/>
  <c r="F49" i="7"/>
  <c r="G49" i="7"/>
  <c r="A50" i="7"/>
  <c r="C50" i="7"/>
  <c r="F50" i="7"/>
  <c r="G50" i="7"/>
  <c r="A51" i="7"/>
  <c r="C51" i="7"/>
  <c r="F51" i="7"/>
  <c r="G51" i="7" s="1"/>
  <c r="A52" i="7"/>
  <c r="C52" i="7"/>
  <c r="F52" i="7"/>
  <c r="G52" i="7" s="1"/>
  <c r="A53" i="7"/>
  <c r="C53" i="7"/>
  <c r="F53" i="7"/>
  <c r="G53" i="7"/>
  <c r="A54" i="7"/>
  <c r="C54" i="7"/>
  <c r="F54" i="7"/>
  <c r="G54" i="7" s="1"/>
  <c r="A55" i="7"/>
  <c r="C55" i="7"/>
  <c r="F55" i="7"/>
  <c r="G55" i="7"/>
  <c r="A56" i="7"/>
  <c r="C56" i="7"/>
  <c r="F56" i="7"/>
  <c r="G56" i="7" s="1"/>
  <c r="A57" i="7"/>
  <c r="C57" i="7"/>
  <c r="F57" i="7"/>
  <c r="G57" i="7"/>
  <c r="A58" i="7"/>
  <c r="C58" i="7"/>
  <c r="F58" i="7"/>
  <c r="G58" i="7" s="1"/>
  <c r="A59" i="7"/>
  <c r="C59" i="7"/>
  <c r="F59" i="7"/>
  <c r="G59" i="7" s="1"/>
  <c r="A60" i="7"/>
  <c r="C60" i="7"/>
  <c r="F60" i="7"/>
  <c r="G60" i="7" s="1"/>
  <c r="A61" i="7"/>
  <c r="C61" i="7"/>
  <c r="F61" i="7"/>
  <c r="G61" i="7"/>
  <c r="A62" i="7"/>
  <c r="C62" i="7"/>
  <c r="F62" i="7"/>
  <c r="G62" i="7"/>
  <c r="A63" i="7"/>
  <c r="C63" i="7"/>
  <c r="F63" i="7"/>
  <c r="G63" i="7" s="1"/>
  <c r="A64" i="7"/>
  <c r="C64" i="7"/>
  <c r="F64" i="7"/>
  <c r="G64" i="7" s="1"/>
  <c r="A65" i="7"/>
  <c r="C65" i="7"/>
  <c r="F65" i="7"/>
  <c r="G65" i="7"/>
  <c r="A66" i="7"/>
  <c r="C66" i="7"/>
  <c r="F66" i="7"/>
  <c r="G66" i="7"/>
  <c r="A67" i="7"/>
  <c r="C67" i="7"/>
  <c r="F67" i="7"/>
  <c r="G67" i="7" s="1"/>
  <c r="A68" i="7"/>
  <c r="C68" i="7"/>
  <c r="F68" i="7"/>
  <c r="G68" i="7" s="1"/>
  <c r="A69" i="7"/>
  <c r="C69" i="7"/>
  <c r="F69" i="7"/>
  <c r="G69" i="7" s="1"/>
  <c r="A70" i="7"/>
  <c r="C70" i="7"/>
  <c r="F70" i="7"/>
  <c r="G70" i="7"/>
  <c r="A71" i="7"/>
  <c r="C71" i="7"/>
  <c r="F71" i="7"/>
  <c r="G71" i="7"/>
  <c r="A72" i="7"/>
  <c r="C72" i="7"/>
  <c r="F72" i="7"/>
  <c r="G72" i="7" s="1"/>
  <c r="A73" i="7"/>
  <c r="C73" i="7"/>
  <c r="F73" i="7"/>
  <c r="G73" i="7" s="1"/>
  <c r="A74" i="7"/>
  <c r="C74" i="7"/>
  <c r="F74" i="7"/>
  <c r="G74" i="7" s="1"/>
  <c r="A75" i="7"/>
  <c r="C75" i="7"/>
  <c r="F75" i="7"/>
  <c r="G75" i="7" s="1"/>
  <c r="A76" i="7"/>
  <c r="C76" i="7"/>
  <c r="F76" i="7"/>
  <c r="G76" i="7" s="1"/>
  <c r="A77" i="7"/>
  <c r="C77" i="7"/>
  <c r="F77" i="7"/>
  <c r="G77" i="7" s="1"/>
  <c r="A78" i="7"/>
  <c r="C78" i="7"/>
  <c r="F78" i="7"/>
  <c r="G78" i="7"/>
  <c r="A79" i="7"/>
  <c r="C79" i="7"/>
  <c r="F79" i="7"/>
  <c r="G79" i="7" s="1"/>
  <c r="A80" i="7"/>
  <c r="C80" i="7"/>
  <c r="F80" i="7"/>
  <c r="G80" i="7"/>
  <c r="A81" i="7"/>
  <c r="C81" i="7"/>
  <c r="F81" i="7"/>
  <c r="G81" i="7" s="1"/>
  <c r="A82" i="7"/>
  <c r="C82" i="7"/>
  <c r="F82" i="7"/>
  <c r="G82" i="7" s="1"/>
  <c r="A83" i="7"/>
  <c r="C83" i="7"/>
  <c r="F83" i="7"/>
  <c r="G83" i="7" s="1"/>
  <c r="A84" i="7"/>
  <c r="C84" i="7"/>
  <c r="F84" i="7"/>
  <c r="G84" i="7" s="1"/>
  <c r="A85" i="7"/>
  <c r="C85" i="7"/>
  <c r="F85" i="7"/>
  <c r="G85" i="7"/>
  <c r="A86" i="7"/>
  <c r="C86" i="7"/>
  <c r="F86" i="7"/>
  <c r="G86" i="7"/>
  <c r="A87" i="7"/>
  <c r="C87" i="7"/>
  <c r="F87" i="7"/>
  <c r="G87" i="7"/>
  <c r="A88" i="7"/>
  <c r="C88" i="7"/>
  <c r="F88" i="7"/>
  <c r="G88" i="7" s="1"/>
  <c r="A89" i="7"/>
  <c r="C89" i="7"/>
  <c r="F89" i="7"/>
  <c r="G89" i="7"/>
  <c r="A90" i="7"/>
  <c r="C90" i="7"/>
  <c r="F90" i="7"/>
  <c r="G90" i="7" s="1"/>
  <c r="A91" i="7"/>
  <c r="C91" i="7"/>
  <c r="F91" i="7"/>
  <c r="G91" i="7" s="1"/>
  <c r="A92" i="7"/>
  <c r="C92" i="7"/>
  <c r="F92" i="7"/>
  <c r="G92" i="7" s="1"/>
  <c r="A93" i="7"/>
  <c r="C93" i="7"/>
  <c r="F93" i="7"/>
  <c r="G93" i="7" s="1"/>
  <c r="A94" i="7"/>
  <c r="C94" i="7"/>
  <c r="F94" i="7"/>
  <c r="G94" i="7"/>
  <c r="A95" i="7"/>
  <c r="C95" i="7"/>
  <c r="F95" i="7"/>
  <c r="G95" i="7" s="1"/>
  <c r="A96" i="7"/>
  <c r="C96" i="7"/>
  <c r="F96" i="7"/>
  <c r="G96" i="7"/>
  <c r="A97" i="7"/>
  <c r="C97" i="7"/>
  <c r="F97" i="7"/>
  <c r="G97" i="7"/>
  <c r="A98" i="7"/>
  <c r="C98" i="7"/>
  <c r="F98" i="7"/>
  <c r="G98" i="7"/>
  <c r="A99" i="7"/>
  <c r="C99" i="7"/>
  <c r="F99" i="7"/>
  <c r="G99" i="7" s="1"/>
  <c r="A100" i="7"/>
  <c r="C100" i="7"/>
  <c r="F100" i="7"/>
  <c r="G100" i="7" s="1"/>
  <c r="A101" i="7"/>
  <c r="C101" i="7"/>
  <c r="F101" i="7"/>
  <c r="G101" i="7"/>
  <c r="A102" i="7"/>
  <c r="C102" i="7"/>
  <c r="F102" i="7"/>
  <c r="G102" i="7"/>
  <c r="A103" i="7"/>
  <c r="C103" i="7"/>
  <c r="F103" i="7"/>
  <c r="G103" i="7"/>
  <c r="A104" i="7"/>
  <c r="C104" i="7"/>
  <c r="F104" i="7"/>
  <c r="G104" i="7" s="1"/>
  <c r="A105" i="7"/>
  <c r="C105" i="7"/>
  <c r="F105" i="7"/>
  <c r="G105" i="7"/>
  <c r="A106" i="7"/>
  <c r="C106" i="7"/>
  <c r="F106" i="7"/>
  <c r="G106" i="7" s="1"/>
  <c r="A107" i="7"/>
  <c r="C107" i="7"/>
  <c r="F107" i="7"/>
  <c r="G107" i="7" s="1"/>
  <c r="A108" i="7"/>
  <c r="C108" i="7"/>
  <c r="F108" i="7"/>
  <c r="G108" i="7" s="1"/>
  <c r="A109" i="7"/>
  <c r="C109" i="7"/>
  <c r="F109" i="7"/>
  <c r="G109" i="7"/>
  <c r="A110" i="7"/>
  <c r="C110" i="7"/>
  <c r="F110" i="7"/>
  <c r="G110" i="7"/>
  <c r="A111" i="7"/>
  <c r="C111" i="7"/>
  <c r="F111" i="7"/>
  <c r="G111" i="7" s="1"/>
  <c r="A112" i="7"/>
  <c r="C112" i="7"/>
  <c r="F112" i="7"/>
  <c r="G112" i="7"/>
  <c r="A113" i="7"/>
  <c r="C113" i="7"/>
  <c r="F113" i="7"/>
  <c r="G113" i="7"/>
  <c r="A114" i="7"/>
  <c r="C114" i="7"/>
  <c r="F114" i="7"/>
  <c r="G114" i="7"/>
  <c r="A115" i="7"/>
  <c r="C115" i="7"/>
  <c r="F115" i="7"/>
  <c r="G115" i="7" s="1"/>
  <c r="A116" i="7"/>
  <c r="C116" i="7"/>
  <c r="F116" i="7"/>
  <c r="G116" i="7" s="1"/>
  <c r="A117" i="7"/>
  <c r="C117" i="7"/>
  <c r="F117" i="7"/>
  <c r="G117" i="7" s="1"/>
  <c r="A118" i="7"/>
  <c r="C118" i="7"/>
  <c r="F118" i="7"/>
  <c r="G118" i="7" s="1"/>
  <c r="A119" i="7"/>
  <c r="C119" i="7"/>
  <c r="F119" i="7"/>
  <c r="G119" i="7"/>
  <c r="A120" i="7"/>
  <c r="C120" i="7"/>
  <c r="F120" i="7"/>
  <c r="G120" i="7" s="1"/>
  <c r="A121" i="7"/>
  <c r="C121" i="7"/>
  <c r="F121" i="7"/>
  <c r="G121" i="7"/>
  <c r="A122" i="7"/>
  <c r="C122" i="7"/>
  <c r="F122" i="7"/>
  <c r="G122" i="7" s="1"/>
  <c r="A123" i="7"/>
  <c r="C123" i="7"/>
  <c r="F123" i="7"/>
  <c r="G123" i="7" s="1"/>
  <c r="A124" i="7"/>
  <c r="C124" i="7"/>
  <c r="F124" i="7"/>
  <c r="G124" i="7" s="1"/>
  <c r="A125" i="7"/>
  <c r="C125" i="7"/>
  <c r="F125" i="7"/>
  <c r="G125" i="7"/>
  <c r="A126" i="7"/>
  <c r="C126" i="7"/>
  <c r="F126" i="7"/>
  <c r="G126" i="7" s="1"/>
  <c r="A127" i="7"/>
  <c r="C127" i="7"/>
  <c r="F127" i="7"/>
  <c r="G127" i="7" s="1"/>
  <c r="A128" i="7"/>
  <c r="C128" i="7"/>
  <c r="F128" i="7"/>
  <c r="G128" i="7"/>
  <c r="A129" i="7"/>
  <c r="C129" i="7"/>
  <c r="F129" i="7"/>
  <c r="G129" i="7"/>
  <c r="A130" i="7"/>
  <c r="C130" i="7"/>
  <c r="F130" i="7"/>
  <c r="G130" i="7"/>
  <c r="A131" i="7"/>
  <c r="C131" i="7"/>
  <c r="F131" i="7"/>
  <c r="G131" i="7" s="1"/>
  <c r="A132" i="7"/>
  <c r="C132" i="7"/>
  <c r="F132" i="7"/>
  <c r="G132" i="7" s="1"/>
  <c r="A133" i="7"/>
  <c r="C133" i="7"/>
  <c r="F133" i="7"/>
  <c r="G133" i="7"/>
  <c r="A134" i="7"/>
  <c r="C134" i="7"/>
  <c r="F134" i="7"/>
  <c r="G134" i="7"/>
  <c r="A135" i="7"/>
  <c r="C135" i="7"/>
  <c r="F135" i="7"/>
  <c r="G135" i="7" s="1"/>
  <c r="A136" i="7"/>
  <c r="C136" i="7"/>
  <c r="F136" i="7"/>
  <c r="G136" i="7" s="1"/>
  <c r="A137" i="7"/>
  <c r="C137" i="7"/>
  <c r="F137" i="7"/>
  <c r="G137" i="7"/>
  <c r="A138" i="7"/>
  <c r="C138" i="7"/>
  <c r="F138" i="7"/>
  <c r="G138" i="7" s="1"/>
  <c r="A139" i="7"/>
  <c r="C139" i="7"/>
  <c r="F139" i="7"/>
  <c r="G139" i="7" s="1"/>
  <c r="A140" i="7"/>
  <c r="C140" i="7"/>
  <c r="F140" i="7"/>
  <c r="G140" i="7" s="1"/>
  <c r="A141" i="7"/>
  <c r="C141" i="7"/>
  <c r="F141" i="7"/>
  <c r="G141" i="7"/>
  <c r="A142" i="7"/>
  <c r="C142" i="7"/>
  <c r="F142" i="7"/>
  <c r="G142" i="7"/>
  <c r="A143" i="7"/>
  <c r="C143" i="7"/>
  <c r="F143" i="7"/>
  <c r="G143" i="7" s="1"/>
  <c r="A144" i="7"/>
  <c r="C144" i="7"/>
  <c r="F144" i="7"/>
  <c r="G144" i="7" s="1"/>
  <c r="A145" i="7"/>
  <c r="C145" i="7"/>
  <c r="F145" i="7"/>
  <c r="G145" i="7" s="1"/>
  <c r="A146" i="7"/>
  <c r="C146" i="7"/>
  <c r="F146" i="7"/>
  <c r="G146" i="7"/>
  <c r="A147" i="7"/>
  <c r="C147" i="7"/>
  <c r="F147" i="7"/>
  <c r="G147" i="7" s="1"/>
  <c r="A148" i="7"/>
  <c r="C148" i="7"/>
  <c r="F148" i="7"/>
  <c r="G148" i="7" s="1"/>
  <c r="A149" i="7"/>
  <c r="C149" i="7"/>
  <c r="F149" i="7"/>
  <c r="G149" i="7"/>
  <c r="A150" i="7"/>
  <c r="C150" i="7"/>
  <c r="F150" i="7"/>
  <c r="G150" i="7"/>
  <c r="A151" i="7"/>
  <c r="C151" i="7"/>
  <c r="F151" i="7"/>
  <c r="G151" i="7" s="1"/>
  <c r="A152" i="7"/>
  <c r="C152" i="7"/>
  <c r="F152" i="7"/>
  <c r="G152" i="7" s="1"/>
  <c r="A153" i="7"/>
  <c r="C153" i="7"/>
  <c r="F153" i="7"/>
  <c r="G153" i="7" s="1"/>
  <c r="A154" i="7"/>
  <c r="C154" i="7"/>
  <c r="F154" i="7"/>
  <c r="G154" i="7" s="1"/>
  <c r="A155" i="7"/>
  <c r="C155" i="7"/>
  <c r="F155" i="7"/>
  <c r="G155" i="7" s="1"/>
  <c r="A156" i="7"/>
  <c r="C156" i="7"/>
  <c r="F156" i="7"/>
  <c r="G156" i="7" s="1"/>
  <c r="A157" i="7"/>
  <c r="C157" i="7"/>
  <c r="F157" i="7"/>
  <c r="G157" i="7"/>
  <c r="A158" i="7"/>
  <c r="C158" i="7"/>
  <c r="F158" i="7"/>
  <c r="G158" i="7"/>
  <c r="A159" i="7"/>
  <c r="C159" i="7"/>
  <c r="F159" i="7"/>
  <c r="G159" i="7" s="1"/>
  <c r="A160" i="7"/>
  <c r="C160" i="7"/>
  <c r="F160" i="7"/>
  <c r="G160" i="7"/>
  <c r="A161" i="7"/>
  <c r="C161" i="7"/>
  <c r="F161" i="7"/>
  <c r="G161" i="7"/>
  <c r="A162" i="7"/>
  <c r="C162" i="7"/>
  <c r="F162" i="7"/>
  <c r="G162" i="7" s="1"/>
  <c r="A163" i="7"/>
  <c r="C163" i="7"/>
  <c r="F163" i="7"/>
  <c r="G163" i="7" s="1"/>
  <c r="A164" i="7"/>
  <c r="C164" i="7"/>
  <c r="F164" i="7"/>
  <c r="G164" i="7" s="1"/>
  <c r="A165" i="7"/>
  <c r="C165" i="7"/>
  <c r="F165" i="7"/>
  <c r="G165" i="7"/>
  <c r="A166" i="7"/>
  <c r="C166" i="7"/>
  <c r="F166" i="7"/>
  <c r="G166" i="7"/>
  <c r="A167" i="7"/>
  <c r="C167" i="7"/>
  <c r="F167" i="7"/>
  <c r="G167" i="7"/>
  <c r="A168" i="7"/>
  <c r="C168" i="7"/>
  <c r="F168" i="7"/>
  <c r="G168" i="7" s="1"/>
  <c r="A169" i="7"/>
  <c r="C169" i="7"/>
  <c r="F169" i="7"/>
  <c r="G169" i="7" s="1"/>
  <c r="A170" i="7"/>
  <c r="C170" i="7"/>
  <c r="F170" i="7"/>
  <c r="G170" i="7" s="1"/>
  <c r="A171" i="7"/>
  <c r="C171" i="7"/>
  <c r="F171" i="7"/>
  <c r="G171" i="7" s="1"/>
  <c r="A172" i="7"/>
  <c r="C172" i="7"/>
  <c r="F172" i="7"/>
  <c r="G172" i="7" s="1"/>
  <c r="A173" i="7"/>
  <c r="C173" i="7"/>
  <c r="F173" i="7"/>
  <c r="G173" i="7"/>
  <c r="A174" i="7"/>
  <c r="C174" i="7"/>
  <c r="F174" i="7"/>
  <c r="G174" i="7"/>
  <c r="A175" i="7"/>
  <c r="C175" i="7"/>
  <c r="F175" i="7"/>
  <c r="G175" i="7" s="1"/>
  <c r="A176" i="7"/>
  <c r="C176" i="7"/>
  <c r="F176" i="7"/>
  <c r="G176" i="7"/>
  <c r="A177" i="7"/>
  <c r="C177" i="7"/>
  <c r="F177" i="7"/>
  <c r="G177" i="7"/>
  <c r="A178" i="7"/>
  <c r="C178" i="7"/>
  <c r="F178" i="7"/>
  <c r="G178" i="7" s="1"/>
  <c r="A179" i="7"/>
  <c r="C179" i="7"/>
  <c r="F179" i="7"/>
  <c r="G179" i="7" s="1"/>
  <c r="A180" i="7"/>
  <c r="C180" i="7"/>
  <c r="F180" i="7"/>
  <c r="G180" i="7" s="1"/>
  <c r="A181" i="7"/>
  <c r="C181" i="7"/>
  <c r="F181" i="7"/>
  <c r="G181" i="7" s="1"/>
  <c r="A182" i="7"/>
  <c r="C182" i="7"/>
  <c r="F182" i="7"/>
  <c r="G182" i="7"/>
  <c r="A183" i="7"/>
  <c r="C183" i="7"/>
  <c r="F183" i="7"/>
  <c r="G183" i="7"/>
  <c r="A184" i="7"/>
  <c r="C184" i="7"/>
  <c r="F184" i="7"/>
  <c r="G184" i="7" s="1"/>
  <c r="A185" i="7"/>
  <c r="C185" i="7"/>
  <c r="F185" i="7"/>
  <c r="G185" i="7"/>
  <c r="A186" i="7"/>
  <c r="C186" i="7"/>
  <c r="F186" i="7"/>
  <c r="G186" i="7" s="1"/>
  <c r="A187" i="7"/>
  <c r="C187" i="7"/>
  <c r="F187" i="7"/>
  <c r="G187" i="7" s="1"/>
  <c r="A188" i="7"/>
  <c r="C188" i="7"/>
  <c r="F188" i="7"/>
  <c r="G188" i="7" s="1"/>
  <c r="A189" i="7"/>
  <c r="C189" i="7"/>
  <c r="F189" i="7"/>
  <c r="G189" i="7" s="1"/>
  <c r="A190" i="7"/>
  <c r="C190" i="7"/>
  <c r="F190" i="7"/>
  <c r="G190" i="7" s="1"/>
  <c r="A191" i="7"/>
  <c r="C191" i="7"/>
  <c r="F191" i="7"/>
  <c r="G191" i="7" s="1"/>
  <c r="A192" i="7"/>
  <c r="C192" i="7"/>
  <c r="F192" i="7"/>
  <c r="G192" i="7"/>
  <c r="A193" i="7"/>
  <c r="C193" i="7"/>
  <c r="F193" i="7"/>
  <c r="G193" i="7"/>
  <c r="A194" i="7"/>
  <c r="C194" i="7"/>
  <c r="F194" i="7"/>
  <c r="G194" i="7"/>
  <c r="A195" i="7"/>
  <c r="C195" i="7"/>
  <c r="F195" i="7"/>
  <c r="G195" i="7" s="1"/>
  <c r="A196" i="7"/>
  <c r="C196" i="7"/>
  <c r="F196" i="7"/>
  <c r="G196" i="7" s="1"/>
  <c r="A197" i="7"/>
  <c r="C197" i="7"/>
  <c r="F197" i="7"/>
  <c r="G197" i="7"/>
  <c r="A198" i="7"/>
  <c r="C198" i="7"/>
  <c r="F198" i="7"/>
  <c r="G198" i="7" s="1"/>
  <c r="A199" i="7"/>
  <c r="C199" i="7"/>
  <c r="F199" i="7"/>
  <c r="G199" i="7"/>
  <c r="A200" i="7"/>
  <c r="C200" i="7"/>
  <c r="F200" i="7"/>
  <c r="G200" i="7" s="1"/>
  <c r="A201" i="7"/>
  <c r="C201" i="7"/>
  <c r="F201" i="7"/>
  <c r="G201" i="7"/>
  <c r="A202" i="7"/>
  <c r="C202" i="7"/>
  <c r="F202" i="7"/>
  <c r="G202" i="7" s="1"/>
  <c r="A203" i="7"/>
  <c r="C203" i="7"/>
  <c r="F203" i="7"/>
  <c r="G203" i="7" s="1"/>
  <c r="A204" i="7"/>
  <c r="C204" i="7"/>
  <c r="F204" i="7"/>
  <c r="G204" i="7" s="1"/>
  <c r="A205" i="7"/>
  <c r="C205" i="7"/>
  <c r="F205" i="7"/>
  <c r="G205" i="7"/>
  <c r="A206" i="7"/>
  <c r="C206" i="7"/>
  <c r="F206" i="7"/>
  <c r="G206" i="7"/>
  <c r="A207" i="7"/>
  <c r="C207" i="7"/>
  <c r="F207" i="7"/>
  <c r="G207" i="7" s="1"/>
  <c r="A208" i="7"/>
  <c r="C208" i="7"/>
  <c r="F208" i="7"/>
  <c r="G208" i="7" s="1"/>
  <c r="A209" i="7"/>
  <c r="C209" i="7"/>
  <c r="F209" i="7"/>
  <c r="G209" i="7"/>
  <c r="A210" i="7"/>
  <c r="C210" i="7"/>
  <c r="F210" i="7"/>
  <c r="G210" i="7"/>
  <c r="A211" i="7"/>
  <c r="C211" i="7"/>
  <c r="F211" i="7"/>
  <c r="G211" i="7" s="1"/>
  <c r="A212" i="7"/>
  <c r="C212" i="7"/>
  <c r="F212" i="7"/>
  <c r="G212" i="7" s="1"/>
  <c r="A213" i="7"/>
  <c r="C213" i="7"/>
  <c r="F213" i="7"/>
  <c r="G213" i="7"/>
  <c r="A214" i="7"/>
  <c r="C214" i="7"/>
  <c r="F214" i="7"/>
  <c r="G214" i="7" s="1"/>
  <c r="A215" i="7"/>
  <c r="C215" i="7"/>
  <c r="F215" i="7"/>
  <c r="G215" i="7"/>
  <c r="A216" i="7"/>
  <c r="C216" i="7"/>
  <c r="F216" i="7"/>
  <c r="G216" i="7" s="1"/>
  <c r="A217" i="7"/>
  <c r="C217" i="7"/>
  <c r="F217" i="7"/>
  <c r="G217" i="7"/>
  <c r="A218" i="7"/>
  <c r="C218" i="7"/>
  <c r="F218" i="7"/>
  <c r="G218" i="7" s="1"/>
  <c r="A219" i="7"/>
  <c r="C219" i="7"/>
  <c r="F219" i="7"/>
  <c r="G219" i="7" s="1"/>
  <c r="A220" i="7"/>
  <c r="C220" i="7"/>
  <c r="F220" i="7"/>
  <c r="G220" i="7" s="1"/>
  <c r="A221" i="7"/>
  <c r="C221" i="7"/>
  <c r="F221" i="7"/>
  <c r="G221" i="7"/>
  <c r="A222" i="7"/>
  <c r="C222" i="7"/>
  <c r="F222" i="7"/>
  <c r="G222" i="7"/>
  <c r="A223" i="7"/>
  <c r="C223" i="7"/>
  <c r="F223" i="7"/>
  <c r="G223" i="7" s="1"/>
  <c r="A224" i="7"/>
  <c r="C224" i="7"/>
  <c r="F224" i="7"/>
  <c r="G224" i="7"/>
  <c r="A225" i="7"/>
  <c r="C225" i="7"/>
  <c r="F225" i="7"/>
  <c r="G225" i="7" s="1"/>
  <c r="A226" i="7"/>
  <c r="C226" i="7"/>
  <c r="F226" i="7"/>
  <c r="G226" i="7"/>
  <c r="A227" i="7"/>
  <c r="C227" i="7"/>
  <c r="F227" i="7"/>
  <c r="G227" i="7" s="1"/>
  <c r="A228" i="7"/>
  <c r="C228" i="7"/>
  <c r="F228" i="7"/>
  <c r="G228" i="7" s="1"/>
  <c r="A229" i="7"/>
  <c r="C229" i="7"/>
  <c r="F229" i="7"/>
  <c r="G229" i="7"/>
  <c r="A230" i="7"/>
  <c r="C230" i="7"/>
  <c r="F230" i="7"/>
  <c r="G230" i="7"/>
  <c r="A231" i="7"/>
  <c r="C231" i="7"/>
  <c r="F231" i="7"/>
  <c r="G231" i="7"/>
  <c r="A232" i="7"/>
  <c r="C232" i="7"/>
  <c r="F232" i="7"/>
  <c r="G232" i="7" s="1"/>
  <c r="A233" i="7"/>
  <c r="C233" i="7"/>
  <c r="F233" i="7"/>
  <c r="G233" i="7"/>
  <c r="A234" i="7"/>
  <c r="C234" i="7"/>
  <c r="F234" i="7"/>
  <c r="G234" i="7" s="1"/>
  <c r="A235" i="7"/>
  <c r="C235" i="7"/>
  <c r="F235" i="7"/>
  <c r="G235" i="7" s="1"/>
  <c r="A236" i="7"/>
  <c r="C236" i="7"/>
  <c r="F236" i="7"/>
  <c r="G236" i="7" s="1"/>
  <c r="A237" i="7"/>
  <c r="C237" i="7"/>
  <c r="F237" i="7"/>
  <c r="G237" i="7"/>
  <c r="A238" i="7"/>
  <c r="C238" i="7"/>
  <c r="F238" i="7"/>
  <c r="G238" i="7"/>
  <c r="A239" i="7"/>
  <c r="C239" i="7"/>
  <c r="F239" i="7"/>
  <c r="G239" i="7" s="1"/>
  <c r="A240" i="7"/>
  <c r="C240" i="7"/>
  <c r="F240" i="7"/>
  <c r="G240" i="7"/>
  <c r="A241" i="7"/>
  <c r="C241" i="7"/>
  <c r="F241" i="7"/>
  <c r="G241" i="7" s="1"/>
  <c r="A242" i="7"/>
  <c r="C242" i="7"/>
  <c r="F242" i="7"/>
  <c r="G242" i="7"/>
  <c r="A243" i="7"/>
  <c r="C243" i="7"/>
  <c r="F243" i="7"/>
  <c r="G243" i="7" s="1"/>
  <c r="A244" i="7"/>
  <c r="C244" i="7"/>
  <c r="F244" i="7"/>
  <c r="G244" i="7" s="1"/>
  <c r="A245" i="7"/>
  <c r="C245" i="7"/>
  <c r="F245" i="7"/>
  <c r="G245" i="7" s="1"/>
  <c r="A246" i="7"/>
  <c r="C246" i="7"/>
  <c r="F246" i="7"/>
  <c r="G246" i="7"/>
  <c r="A247" i="7"/>
  <c r="C247" i="7"/>
  <c r="F247" i="7"/>
  <c r="G247" i="7"/>
  <c r="A248" i="7"/>
  <c r="C248" i="7"/>
  <c r="F248" i="7"/>
  <c r="G248" i="7" s="1"/>
  <c r="A249" i="7"/>
  <c r="C249" i="7"/>
  <c r="F249" i="7"/>
  <c r="G249" i="7"/>
  <c r="A250" i="7"/>
  <c r="C250" i="7"/>
  <c r="F250" i="7"/>
  <c r="G250" i="7" s="1"/>
  <c r="A251" i="7"/>
  <c r="C251" i="7"/>
  <c r="F251" i="7"/>
  <c r="G251" i="7" s="1"/>
  <c r="A252" i="7"/>
  <c r="C252" i="7"/>
  <c r="F252" i="7"/>
  <c r="G252" i="7" s="1"/>
  <c r="A253" i="7"/>
  <c r="C253" i="7"/>
  <c r="F253" i="7"/>
  <c r="G253" i="7"/>
  <c r="A254" i="7"/>
  <c r="C254" i="7"/>
  <c r="F254" i="7"/>
  <c r="G254" i="7"/>
  <c r="A255" i="7"/>
  <c r="C255" i="7"/>
  <c r="F255" i="7"/>
  <c r="G255" i="7" s="1"/>
  <c r="A256" i="7"/>
  <c r="C256" i="7"/>
  <c r="F256" i="7"/>
  <c r="G256" i="7"/>
  <c r="A257" i="7"/>
  <c r="C257" i="7"/>
  <c r="F257" i="7"/>
  <c r="G257" i="7"/>
  <c r="A258" i="7"/>
  <c r="C258" i="7"/>
  <c r="F258" i="7"/>
  <c r="G258" i="7"/>
  <c r="A259" i="7"/>
  <c r="C259" i="7"/>
  <c r="F259" i="7"/>
  <c r="G259" i="7" s="1"/>
  <c r="A260" i="7"/>
  <c r="C260" i="7"/>
  <c r="F260" i="7"/>
  <c r="G260" i="7" s="1"/>
  <c r="A261" i="7"/>
  <c r="C261" i="7"/>
  <c r="F261" i="7"/>
  <c r="G261" i="7" s="1"/>
  <c r="A262" i="7"/>
  <c r="C262" i="7"/>
  <c r="F262" i="7"/>
  <c r="G262" i="7"/>
  <c r="A263" i="7"/>
  <c r="C263" i="7"/>
  <c r="F263" i="7"/>
  <c r="G263" i="7"/>
  <c r="A264" i="7"/>
  <c r="C264" i="7"/>
  <c r="F264" i="7"/>
  <c r="G264" i="7" s="1"/>
  <c r="A265" i="7"/>
  <c r="C265" i="7"/>
  <c r="F265" i="7"/>
  <c r="G265" i="7"/>
  <c r="A266" i="7"/>
  <c r="C266" i="7"/>
  <c r="F266" i="7"/>
  <c r="G266" i="7" s="1"/>
  <c r="A267" i="7"/>
  <c r="C267" i="7"/>
  <c r="F267" i="7"/>
  <c r="G267" i="7" s="1"/>
  <c r="A268" i="7"/>
  <c r="C268" i="7"/>
  <c r="F268" i="7"/>
  <c r="G268" i="7" s="1"/>
  <c r="A269" i="7"/>
  <c r="C269" i="7"/>
  <c r="F269" i="7"/>
  <c r="G269" i="7"/>
  <c r="A270" i="7"/>
  <c r="C270" i="7"/>
  <c r="F270" i="7"/>
  <c r="G270" i="7"/>
  <c r="A271" i="7"/>
  <c r="C271" i="7"/>
  <c r="F271" i="7"/>
  <c r="G271" i="7" s="1"/>
  <c r="A272" i="7"/>
  <c r="C272" i="7"/>
  <c r="F272" i="7"/>
  <c r="G272" i="7"/>
  <c r="A273" i="7"/>
  <c r="C273" i="7"/>
  <c r="F273" i="7"/>
  <c r="G273" i="7" s="1"/>
  <c r="A274" i="7"/>
  <c r="C274" i="7"/>
  <c r="F274" i="7"/>
  <c r="G274" i="7"/>
  <c r="A275" i="7"/>
  <c r="C275" i="7"/>
  <c r="F275" i="7"/>
  <c r="G275" i="7" s="1"/>
  <c r="A276" i="7"/>
  <c r="C276" i="7"/>
  <c r="F276" i="7"/>
  <c r="G276" i="7" s="1"/>
  <c r="A277" i="7"/>
  <c r="C277" i="7"/>
  <c r="F277" i="7"/>
  <c r="G277" i="7" s="1"/>
  <c r="A278" i="7"/>
  <c r="C278" i="7"/>
  <c r="F278" i="7"/>
  <c r="G278" i="7"/>
  <c r="A279" i="7"/>
  <c r="C279" i="7"/>
  <c r="F279" i="7"/>
  <c r="G279" i="7"/>
  <c r="A280" i="7"/>
  <c r="C280" i="7"/>
  <c r="F280" i="7"/>
  <c r="G280" i="7" s="1"/>
  <c r="A281" i="7"/>
  <c r="C281" i="7"/>
  <c r="F281" i="7"/>
  <c r="G281" i="7"/>
  <c r="A282" i="7"/>
  <c r="C282" i="7"/>
  <c r="F282" i="7"/>
  <c r="G282" i="7" s="1"/>
  <c r="A283" i="7"/>
  <c r="C283" i="7"/>
  <c r="F283" i="7"/>
  <c r="G283" i="7" s="1"/>
  <c r="A284" i="7"/>
  <c r="C284" i="7"/>
  <c r="F284" i="7"/>
  <c r="G284" i="7" s="1"/>
  <c r="A285" i="7"/>
  <c r="C285" i="7"/>
  <c r="F285" i="7"/>
  <c r="G285" i="7"/>
  <c r="A286" i="7"/>
  <c r="C286" i="7"/>
  <c r="F286" i="7"/>
  <c r="G286" i="7"/>
  <c r="A287" i="7"/>
  <c r="C287" i="7"/>
  <c r="F287" i="7"/>
  <c r="G287" i="7" s="1"/>
  <c r="A288" i="7"/>
  <c r="C288" i="7"/>
  <c r="F288" i="7"/>
  <c r="G288" i="7"/>
  <c r="A289" i="7"/>
  <c r="C289" i="7"/>
  <c r="F289" i="7"/>
  <c r="G289" i="7"/>
  <c r="A290" i="7"/>
  <c r="C290" i="7"/>
  <c r="F290" i="7"/>
  <c r="G290" i="7"/>
  <c r="A291" i="7"/>
  <c r="C291" i="7"/>
  <c r="F291" i="7"/>
  <c r="G291" i="7" s="1"/>
  <c r="A292" i="7"/>
  <c r="C292" i="7"/>
  <c r="F292" i="7"/>
  <c r="G292" i="7" s="1"/>
  <c r="A293" i="7"/>
  <c r="C293" i="7"/>
  <c r="F293" i="7"/>
  <c r="G293" i="7" s="1"/>
  <c r="A294" i="7"/>
  <c r="C294" i="7"/>
  <c r="F294" i="7"/>
  <c r="G294" i="7" s="1"/>
  <c r="A295" i="7"/>
  <c r="C295" i="7"/>
  <c r="F295" i="7"/>
  <c r="G295" i="7"/>
  <c r="A296" i="7"/>
  <c r="C296" i="7"/>
  <c r="F296" i="7"/>
  <c r="G296" i="7" s="1"/>
  <c r="A297" i="7"/>
  <c r="C297" i="7"/>
  <c r="F297" i="7"/>
  <c r="G297" i="7"/>
  <c r="A298" i="7"/>
  <c r="C298" i="7"/>
  <c r="F298" i="7"/>
  <c r="G298" i="7" s="1"/>
  <c r="A299" i="7"/>
  <c r="C299" i="7"/>
  <c r="F299" i="7"/>
  <c r="G299" i="7" s="1"/>
  <c r="A300" i="7"/>
  <c r="C300" i="7"/>
  <c r="F300" i="7"/>
  <c r="G300" i="7" s="1"/>
  <c r="A301" i="7"/>
  <c r="C301" i="7"/>
  <c r="F301" i="7"/>
  <c r="G301" i="7"/>
  <c r="A302" i="7"/>
  <c r="C302" i="7"/>
  <c r="F302" i="7"/>
  <c r="G302" i="7" s="1"/>
  <c r="A303" i="7"/>
  <c r="C303" i="7"/>
  <c r="F303" i="7"/>
  <c r="G303" i="7" s="1"/>
  <c r="A304" i="7"/>
  <c r="C304" i="7"/>
  <c r="F304" i="7"/>
  <c r="G304" i="7"/>
  <c r="A305" i="7"/>
  <c r="C305" i="7"/>
  <c r="F305" i="7"/>
  <c r="G305" i="7"/>
  <c r="A306" i="7"/>
  <c r="C306" i="7"/>
  <c r="F306" i="7"/>
  <c r="G306" i="7"/>
  <c r="A307" i="7"/>
  <c r="C307" i="7"/>
  <c r="F307" i="7"/>
  <c r="G307" i="7" s="1"/>
  <c r="A308" i="7"/>
  <c r="C308" i="7"/>
  <c r="F308" i="7"/>
  <c r="G308" i="7" s="1"/>
  <c r="A309" i="7"/>
  <c r="C309" i="7"/>
  <c r="F309" i="7"/>
  <c r="G309" i="7"/>
  <c r="A310" i="7"/>
  <c r="C310" i="7"/>
  <c r="F310" i="7"/>
  <c r="G310" i="7"/>
  <c r="A311" i="7"/>
  <c r="C311" i="7"/>
  <c r="F311" i="7"/>
  <c r="G311" i="7" s="1"/>
  <c r="A312" i="7"/>
  <c r="C312" i="7"/>
  <c r="F312" i="7"/>
  <c r="G312" i="7" s="1"/>
  <c r="A313" i="7"/>
  <c r="C313" i="7"/>
  <c r="F313" i="7"/>
  <c r="G313" i="7"/>
  <c r="A314" i="7"/>
  <c r="C314" i="7"/>
  <c r="F314" i="7"/>
  <c r="G314" i="7" s="1"/>
  <c r="A315" i="7"/>
  <c r="C315" i="7"/>
  <c r="F315" i="7"/>
  <c r="G315" i="7" s="1"/>
  <c r="A316" i="7"/>
  <c r="C316" i="7"/>
  <c r="F316" i="7"/>
  <c r="G316" i="7" s="1"/>
  <c r="A317" i="7"/>
  <c r="C317" i="7"/>
  <c r="F317" i="7"/>
  <c r="G317" i="7"/>
  <c r="A318" i="7"/>
  <c r="C318" i="7"/>
  <c r="F318" i="7"/>
  <c r="G318" i="7"/>
  <c r="A319" i="7"/>
  <c r="C319" i="7"/>
  <c r="F319" i="7"/>
  <c r="G319" i="7" s="1"/>
  <c r="A320" i="7"/>
  <c r="C320" i="7"/>
  <c r="F320" i="7"/>
  <c r="G320" i="7" s="1"/>
  <c r="A321" i="7"/>
  <c r="C321" i="7"/>
  <c r="F321" i="7"/>
  <c r="G321" i="7" s="1"/>
  <c r="A322" i="7"/>
  <c r="C322" i="7"/>
  <c r="F322" i="7"/>
  <c r="G322" i="7"/>
  <c r="A323" i="7"/>
  <c r="C323" i="7"/>
  <c r="F323" i="7"/>
  <c r="G323" i="7" s="1"/>
  <c r="A324" i="7"/>
  <c r="C324" i="7"/>
  <c r="F324" i="7"/>
  <c r="G324" i="7" s="1"/>
  <c r="A325" i="7"/>
  <c r="C325" i="7"/>
  <c r="F325" i="7"/>
  <c r="G325" i="7" s="1"/>
  <c r="A326" i="7"/>
  <c r="C326" i="7"/>
  <c r="F326" i="7"/>
  <c r="G326" i="7"/>
  <c r="A327" i="7"/>
  <c r="C327" i="7"/>
  <c r="F327" i="7"/>
  <c r="G327" i="7"/>
  <c r="A328" i="7"/>
  <c r="C328" i="7"/>
  <c r="F328" i="7"/>
  <c r="G328" i="7" s="1"/>
  <c r="A329" i="7"/>
  <c r="C329" i="7"/>
  <c r="F329" i="7"/>
  <c r="G329" i="7" s="1"/>
  <c r="A330" i="7"/>
  <c r="C330" i="7"/>
  <c r="F330" i="7"/>
  <c r="G330" i="7" s="1"/>
  <c r="A331" i="7"/>
  <c r="C331" i="7"/>
  <c r="F331" i="7"/>
  <c r="G331" i="7" s="1"/>
  <c r="A332" i="7"/>
  <c r="C332" i="7"/>
  <c r="F332" i="7"/>
  <c r="G332" i="7" s="1"/>
  <c r="A333" i="7"/>
  <c r="C333" i="7"/>
  <c r="F333" i="7"/>
  <c r="G333" i="7"/>
  <c r="A334" i="7"/>
  <c r="C334" i="7"/>
  <c r="F334" i="7"/>
  <c r="G334" i="7" s="1"/>
  <c r="A335" i="7"/>
  <c r="C335" i="7"/>
  <c r="F335" i="7"/>
  <c r="G335" i="7" s="1"/>
  <c r="A336" i="7"/>
  <c r="C336" i="7"/>
  <c r="F336" i="7"/>
  <c r="G336" i="7"/>
  <c r="A337" i="7"/>
  <c r="C337" i="7"/>
  <c r="F337" i="7"/>
  <c r="G337" i="7"/>
  <c r="A338" i="7"/>
  <c r="C338" i="7"/>
  <c r="F338" i="7"/>
  <c r="G338" i="7" s="1"/>
  <c r="A339" i="7"/>
  <c r="C339" i="7"/>
  <c r="F339" i="7"/>
  <c r="G339" i="7" s="1"/>
  <c r="A340" i="7"/>
  <c r="C340" i="7"/>
  <c r="F340" i="7"/>
  <c r="G340" i="7" s="1"/>
  <c r="A341" i="7"/>
  <c r="C341" i="7"/>
  <c r="F341" i="7"/>
  <c r="G341" i="7" s="1"/>
  <c r="A342" i="7"/>
  <c r="C342" i="7"/>
  <c r="F342" i="7"/>
  <c r="G342" i="7"/>
  <c r="A343" i="7"/>
  <c r="C343" i="7"/>
  <c r="F343" i="7"/>
  <c r="G343" i="7" s="1"/>
  <c r="A344" i="7"/>
  <c r="C344" i="7"/>
  <c r="F344" i="7"/>
  <c r="G344" i="7" s="1"/>
  <c r="A345" i="7"/>
  <c r="C345" i="7"/>
  <c r="F345" i="7"/>
  <c r="G345" i="7"/>
  <c r="A346" i="7"/>
  <c r="C346" i="7"/>
  <c r="F346" i="7"/>
  <c r="G346" i="7" s="1"/>
  <c r="A347" i="7"/>
  <c r="C347" i="7"/>
  <c r="F347" i="7"/>
  <c r="G347" i="7" s="1"/>
  <c r="A348" i="7"/>
  <c r="C348" i="7"/>
  <c r="F348" i="7"/>
  <c r="G348" i="7" s="1"/>
  <c r="A349" i="7"/>
  <c r="C349" i="7"/>
  <c r="F349" i="7"/>
  <c r="G349" i="7"/>
  <c r="A350" i="7"/>
  <c r="C350" i="7"/>
  <c r="F350" i="7"/>
  <c r="G350" i="7"/>
  <c r="A351" i="7"/>
  <c r="C351" i="7"/>
  <c r="F351" i="7"/>
  <c r="G351" i="7"/>
  <c r="A352" i="7"/>
  <c r="C352" i="7"/>
  <c r="F352" i="7"/>
  <c r="G352" i="7" s="1"/>
  <c r="A353" i="7"/>
  <c r="C353" i="7"/>
  <c r="F353" i="7"/>
  <c r="G353" i="7"/>
  <c r="A354" i="7"/>
  <c r="C354" i="7"/>
  <c r="F354" i="7"/>
  <c r="G354" i="7"/>
  <c r="A355" i="7"/>
  <c r="C355" i="7"/>
  <c r="F355" i="7"/>
  <c r="G355" i="7" s="1"/>
  <c r="A356" i="7"/>
  <c r="C356" i="7"/>
  <c r="F356" i="7"/>
  <c r="G356" i="7" s="1"/>
  <c r="A357" i="7"/>
  <c r="C357" i="7"/>
  <c r="F357" i="7"/>
  <c r="G357" i="7" s="1"/>
  <c r="A358" i="7"/>
  <c r="C358" i="7"/>
  <c r="F358" i="7"/>
  <c r="G358" i="7"/>
  <c r="A359" i="7"/>
  <c r="C359" i="7"/>
  <c r="F359" i="7"/>
  <c r="G359" i="7" s="1"/>
  <c r="A360" i="7"/>
  <c r="C360" i="7"/>
  <c r="F360" i="7"/>
  <c r="G360" i="7" s="1"/>
  <c r="A361" i="7"/>
  <c r="C361" i="7"/>
  <c r="F361" i="7"/>
  <c r="G361" i="7" s="1"/>
  <c r="A362" i="7"/>
  <c r="C362" i="7"/>
  <c r="F362" i="7"/>
  <c r="G362" i="7" s="1"/>
  <c r="A363" i="7"/>
  <c r="C363" i="7"/>
  <c r="F363" i="7"/>
  <c r="G363" i="7" s="1"/>
  <c r="A364" i="7"/>
  <c r="C364" i="7"/>
  <c r="F364" i="7"/>
  <c r="G364" i="7" s="1"/>
  <c r="A365" i="7"/>
  <c r="C365" i="7"/>
  <c r="F365" i="7"/>
  <c r="G365" i="7"/>
  <c r="A366" i="7"/>
  <c r="C366" i="7"/>
  <c r="F366" i="7"/>
  <c r="G366" i="7"/>
  <c r="A367" i="7"/>
  <c r="C367" i="7"/>
  <c r="F367" i="7"/>
  <c r="G367" i="7"/>
  <c r="A368" i="7"/>
  <c r="C368" i="7"/>
  <c r="F368" i="7"/>
  <c r="G368" i="7" s="1"/>
  <c r="A369" i="7"/>
  <c r="C369" i="7"/>
  <c r="F369" i="7"/>
  <c r="G369" i="7"/>
  <c r="A370" i="7"/>
  <c r="C370" i="7"/>
  <c r="F370" i="7"/>
  <c r="G370" i="7"/>
  <c r="A371" i="7"/>
  <c r="C371" i="7"/>
  <c r="F371" i="7"/>
  <c r="G371" i="7" s="1"/>
  <c r="A372" i="7"/>
  <c r="C372" i="7"/>
  <c r="F372" i="7"/>
  <c r="G372" i="7" s="1"/>
  <c r="A373" i="7"/>
  <c r="C373" i="7"/>
  <c r="F373" i="7"/>
  <c r="G373" i="7" s="1"/>
  <c r="A374" i="7"/>
  <c r="C374" i="7"/>
  <c r="F374" i="7"/>
  <c r="G374" i="7"/>
  <c r="A375" i="7"/>
  <c r="C375" i="7"/>
  <c r="F375" i="7"/>
  <c r="G375" i="7"/>
  <c r="A376" i="7"/>
  <c r="C376" i="7"/>
  <c r="F376" i="7"/>
  <c r="G376" i="7" s="1"/>
  <c r="A377" i="7"/>
  <c r="C377" i="7"/>
  <c r="F377" i="7"/>
  <c r="G377" i="7" s="1"/>
  <c r="A378" i="7"/>
  <c r="C378" i="7"/>
  <c r="F378" i="7"/>
  <c r="G378" i="7" s="1"/>
  <c r="A379" i="7"/>
  <c r="C379" i="7"/>
  <c r="F379" i="7"/>
  <c r="G379" i="7" s="1"/>
  <c r="A380" i="7"/>
  <c r="C380" i="7"/>
  <c r="F380" i="7"/>
  <c r="G380" i="7" s="1"/>
  <c r="A381" i="7"/>
  <c r="C381" i="7"/>
  <c r="F381" i="7"/>
  <c r="G381" i="7"/>
  <c r="A382" i="7"/>
  <c r="C382" i="7"/>
  <c r="F382" i="7"/>
  <c r="G382" i="7"/>
  <c r="A383" i="7"/>
  <c r="C383" i="7"/>
  <c r="F383" i="7"/>
  <c r="G383" i="7"/>
  <c r="A384" i="7"/>
  <c r="C384" i="7"/>
  <c r="F384" i="7"/>
  <c r="G384" i="7"/>
  <c r="A385" i="7"/>
  <c r="C385" i="7"/>
  <c r="F385" i="7"/>
  <c r="G385" i="7"/>
  <c r="A386" i="7"/>
  <c r="C386" i="7"/>
  <c r="F386" i="7"/>
  <c r="G386" i="7"/>
  <c r="A387" i="7"/>
  <c r="C387" i="7"/>
  <c r="F387" i="7"/>
  <c r="G387" i="7" s="1"/>
  <c r="A388" i="7"/>
  <c r="C388" i="7"/>
  <c r="F388" i="7"/>
  <c r="G388" i="7" s="1"/>
  <c r="A389" i="7"/>
  <c r="C389" i="7"/>
  <c r="F389" i="7"/>
  <c r="G389" i="7" s="1"/>
  <c r="A390" i="7"/>
  <c r="C390" i="7"/>
  <c r="F390" i="7"/>
  <c r="G390" i="7"/>
  <c r="A391" i="7"/>
  <c r="C391" i="7"/>
  <c r="F391" i="7"/>
  <c r="G391" i="7"/>
  <c r="A392" i="7"/>
  <c r="C392" i="7"/>
  <c r="F392" i="7"/>
  <c r="G392" i="7" s="1"/>
  <c r="A393" i="7"/>
  <c r="C393" i="7"/>
  <c r="F393" i="7"/>
  <c r="G393" i="7"/>
  <c r="A394" i="7"/>
  <c r="C394" i="7"/>
  <c r="F394" i="7"/>
  <c r="G394" i="7" s="1"/>
  <c r="A395" i="7"/>
  <c r="C395" i="7"/>
  <c r="F395" i="7"/>
  <c r="G395" i="7" s="1"/>
  <c r="A396" i="7"/>
  <c r="C396" i="7"/>
  <c r="F396" i="7"/>
  <c r="G396" i="7" s="1"/>
  <c r="A397" i="7"/>
  <c r="C397" i="7"/>
  <c r="F397" i="7"/>
  <c r="G397" i="7" s="1"/>
  <c r="A398" i="7"/>
  <c r="C398" i="7"/>
  <c r="F398" i="7"/>
  <c r="G398" i="7" s="1"/>
  <c r="A399" i="7"/>
  <c r="C399" i="7"/>
  <c r="F399" i="7"/>
  <c r="G399" i="7"/>
  <c r="A400" i="7"/>
  <c r="C400" i="7"/>
  <c r="F400" i="7"/>
  <c r="G400" i="7"/>
  <c r="A401" i="7"/>
  <c r="C401" i="7"/>
  <c r="F401" i="7"/>
  <c r="G401" i="7" s="1"/>
  <c r="A402" i="7"/>
  <c r="C402" i="7"/>
  <c r="F402" i="7"/>
  <c r="G402" i="7" s="1"/>
  <c r="A403" i="7"/>
  <c r="C403" i="7"/>
  <c r="F403" i="7"/>
  <c r="G403" i="7" s="1"/>
  <c r="A404" i="7"/>
  <c r="C404" i="7"/>
  <c r="F404" i="7"/>
  <c r="G404" i="7" s="1"/>
  <c r="A405" i="7"/>
  <c r="C405" i="7"/>
  <c r="F405" i="7"/>
  <c r="G405" i="7" s="1"/>
  <c r="A406" i="7"/>
  <c r="C406" i="7"/>
  <c r="F406" i="7"/>
  <c r="G406" i="7" s="1"/>
  <c r="A407" i="7"/>
  <c r="C407" i="7"/>
  <c r="F407" i="7"/>
  <c r="G407" i="7"/>
  <c r="A408" i="7"/>
  <c r="C408" i="7"/>
  <c r="F408" i="7"/>
  <c r="G408" i="7" s="1"/>
  <c r="A409" i="7"/>
  <c r="C409" i="7"/>
  <c r="F409" i="7"/>
  <c r="G409" i="7"/>
  <c r="A410" i="7"/>
  <c r="C410" i="7"/>
  <c r="F410" i="7"/>
  <c r="G410" i="7" s="1"/>
  <c r="A411" i="7"/>
  <c r="C411" i="7"/>
  <c r="F411" i="7"/>
  <c r="G411" i="7" s="1"/>
  <c r="A412" i="7"/>
  <c r="C412" i="7"/>
  <c r="F412" i="7"/>
  <c r="G412" i="7" s="1"/>
  <c r="A413" i="7"/>
  <c r="C413" i="7"/>
  <c r="F413" i="7"/>
  <c r="G413" i="7"/>
  <c r="A414" i="7"/>
  <c r="C414" i="7"/>
  <c r="F414" i="7"/>
  <c r="G414" i="7"/>
  <c r="A415" i="7"/>
  <c r="C415" i="7"/>
  <c r="F415" i="7"/>
  <c r="G415" i="7" s="1"/>
  <c r="A416" i="7"/>
  <c r="C416" i="7"/>
  <c r="F416" i="7"/>
  <c r="G416" i="7"/>
  <c r="A417" i="7"/>
  <c r="C417" i="7"/>
  <c r="F417" i="7"/>
  <c r="G417" i="7"/>
  <c r="A418" i="7"/>
  <c r="C418" i="7"/>
  <c r="F418" i="7"/>
  <c r="G418" i="7"/>
  <c r="A419" i="7"/>
  <c r="C419" i="7"/>
  <c r="F419" i="7"/>
  <c r="G419" i="7" s="1"/>
  <c r="A420" i="7"/>
  <c r="C420" i="7"/>
  <c r="F420" i="7"/>
  <c r="G420" i="7" s="1"/>
  <c r="A421" i="7"/>
  <c r="C421" i="7"/>
  <c r="F421" i="7"/>
  <c r="G421" i="7" s="1"/>
  <c r="A422" i="7"/>
  <c r="C422" i="7"/>
  <c r="F422" i="7"/>
  <c r="G422" i="7" s="1"/>
  <c r="A423" i="7"/>
  <c r="C423" i="7"/>
  <c r="F423" i="7"/>
  <c r="G423" i="7"/>
  <c r="A424" i="7"/>
  <c r="C424" i="7"/>
  <c r="F424" i="7"/>
  <c r="G424" i="7" s="1"/>
  <c r="A425" i="7"/>
  <c r="C425" i="7"/>
  <c r="F425" i="7"/>
  <c r="G425" i="7"/>
  <c r="A426" i="7"/>
  <c r="C426" i="7"/>
  <c r="F426" i="7"/>
  <c r="G426" i="7" s="1"/>
  <c r="A427" i="7"/>
  <c r="C427" i="7"/>
  <c r="F427" i="7"/>
  <c r="G427" i="7" s="1"/>
  <c r="A428" i="7"/>
  <c r="C428" i="7"/>
  <c r="F428" i="7"/>
  <c r="G428" i="7" s="1"/>
  <c r="A429" i="7"/>
  <c r="C429" i="7"/>
  <c r="F429" i="7"/>
  <c r="G429" i="7"/>
  <c r="A430" i="7"/>
  <c r="C430" i="7"/>
  <c r="F430" i="7"/>
  <c r="G430" i="7"/>
  <c r="A431" i="7"/>
  <c r="C431" i="7"/>
  <c r="F431" i="7"/>
  <c r="G431" i="7" s="1"/>
  <c r="A432" i="7"/>
  <c r="C432" i="7"/>
  <c r="F432" i="7"/>
  <c r="G432" i="7"/>
  <c r="A433" i="7"/>
  <c r="C433" i="7"/>
  <c r="F433" i="7"/>
  <c r="G433" i="7"/>
  <c r="A434" i="7"/>
  <c r="C434" i="7"/>
  <c r="F434" i="7"/>
  <c r="G434" i="7"/>
  <c r="A435" i="7"/>
  <c r="C435" i="7"/>
  <c r="F435" i="7"/>
  <c r="G435" i="7" s="1"/>
  <c r="A436" i="7"/>
  <c r="C436" i="7"/>
  <c r="F436" i="7"/>
  <c r="G436" i="7" s="1"/>
  <c r="A437" i="7"/>
  <c r="C437" i="7"/>
  <c r="F437" i="7"/>
  <c r="G437" i="7" s="1"/>
  <c r="A438" i="7"/>
  <c r="C438" i="7"/>
  <c r="F438" i="7"/>
  <c r="G438" i="7"/>
  <c r="A439" i="7"/>
  <c r="C439" i="7"/>
  <c r="F439" i="7"/>
  <c r="G439" i="7"/>
  <c r="A440" i="7"/>
  <c r="C440" i="7"/>
  <c r="F440" i="7"/>
  <c r="G440" i="7" s="1"/>
  <c r="A441" i="7"/>
  <c r="C441" i="7"/>
  <c r="F441" i="7"/>
  <c r="G441" i="7"/>
  <c r="A442" i="7"/>
  <c r="C442" i="7"/>
  <c r="F442" i="7"/>
  <c r="G442" i="7" s="1"/>
  <c r="A443" i="7"/>
  <c r="C443" i="7"/>
  <c r="F443" i="7"/>
  <c r="G443" i="7" s="1"/>
  <c r="A444" i="7"/>
  <c r="C444" i="7"/>
  <c r="F444" i="7"/>
  <c r="G444" i="7" s="1"/>
  <c r="A445" i="7"/>
  <c r="C445" i="7"/>
  <c r="F445" i="7"/>
  <c r="G445" i="7"/>
  <c r="A446" i="7"/>
  <c r="C446" i="7"/>
  <c r="F446" i="7"/>
  <c r="G446" i="7"/>
  <c r="A447" i="7"/>
  <c r="C447" i="7"/>
  <c r="F447" i="7"/>
  <c r="G447" i="7"/>
  <c r="A448" i="7"/>
  <c r="C448" i="7"/>
  <c r="F448" i="7"/>
  <c r="G448" i="7"/>
  <c r="A449" i="7"/>
  <c r="C449" i="7"/>
  <c r="F449" i="7"/>
  <c r="G449" i="7"/>
  <c r="A450" i="7"/>
  <c r="C450" i="7"/>
  <c r="F450" i="7"/>
  <c r="G450" i="7"/>
  <c r="A451" i="7"/>
  <c r="C451" i="7"/>
  <c r="F451" i="7"/>
  <c r="G451" i="7" s="1"/>
  <c r="A452" i="7"/>
  <c r="C452" i="7"/>
  <c r="F452" i="7"/>
  <c r="G452" i="7" s="1"/>
  <c r="A453" i="7"/>
  <c r="C453" i="7"/>
  <c r="F453" i="7"/>
  <c r="G453" i="7" s="1"/>
  <c r="A454" i="7"/>
  <c r="C454" i="7"/>
  <c r="F454" i="7"/>
  <c r="G454" i="7"/>
  <c r="A455" i="7"/>
  <c r="C455" i="7"/>
  <c r="F455" i="7"/>
  <c r="G455" i="7" s="1"/>
  <c r="A456" i="7"/>
  <c r="C456" i="7"/>
  <c r="F456" i="7"/>
  <c r="G456" i="7" s="1"/>
  <c r="A457" i="7"/>
  <c r="C457" i="7"/>
  <c r="F457" i="7"/>
  <c r="G457" i="7"/>
  <c r="A458" i="7"/>
  <c r="C458" i="7"/>
  <c r="F458" i="7"/>
  <c r="G458" i="7" s="1"/>
  <c r="A459" i="7"/>
  <c r="C459" i="7"/>
  <c r="F459" i="7"/>
  <c r="G459" i="7" s="1"/>
  <c r="A460" i="7"/>
  <c r="C460" i="7"/>
  <c r="F460" i="7"/>
  <c r="G460" i="7" s="1"/>
  <c r="A461" i="7"/>
  <c r="C461" i="7"/>
  <c r="F461" i="7"/>
  <c r="G461" i="7" s="1"/>
  <c r="A462" i="7"/>
  <c r="C462" i="7"/>
  <c r="F462" i="7"/>
  <c r="G462" i="7"/>
  <c r="A463" i="7"/>
  <c r="C463" i="7"/>
  <c r="F463" i="7"/>
  <c r="G463" i="7"/>
  <c r="A464" i="7"/>
  <c r="C464" i="7"/>
  <c r="F464" i="7"/>
  <c r="G464" i="7" s="1"/>
  <c r="A465" i="7"/>
  <c r="C465" i="7"/>
  <c r="F465" i="7"/>
  <c r="G465" i="7" s="1"/>
  <c r="A466" i="7"/>
  <c r="C466" i="7"/>
  <c r="F466" i="7"/>
  <c r="G466" i="7"/>
  <c r="A467" i="7"/>
  <c r="C467" i="7"/>
  <c r="F467" i="7"/>
  <c r="G467" i="7" s="1"/>
  <c r="A468" i="7"/>
  <c r="C468" i="7"/>
  <c r="F468" i="7"/>
  <c r="G468" i="7" s="1"/>
  <c r="A469" i="7"/>
  <c r="C469" i="7"/>
  <c r="F469" i="7"/>
  <c r="G469" i="7" s="1"/>
  <c r="A470" i="7"/>
  <c r="C470" i="7"/>
  <c r="F470" i="7"/>
  <c r="G470" i="7"/>
  <c r="A471" i="7"/>
  <c r="C471" i="7"/>
  <c r="F471" i="7"/>
  <c r="G471" i="7"/>
  <c r="A472" i="7"/>
  <c r="C472" i="7"/>
  <c r="F472" i="7"/>
  <c r="G472" i="7" s="1"/>
  <c r="A473" i="7"/>
  <c r="C473" i="7"/>
  <c r="F473" i="7"/>
  <c r="G473" i="7" s="1"/>
  <c r="A474" i="7"/>
  <c r="C474" i="7"/>
  <c r="F474" i="7"/>
  <c r="G474" i="7" s="1"/>
  <c r="A475" i="7"/>
  <c r="C475" i="7"/>
  <c r="F475" i="7"/>
  <c r="G475" i="7" s="1"/>
  <c r="A476" i="7"/>
  <c r="C476" i="7"/>
  <c r="F476" i="7"/>
  <c r="G476" i="7" s="1"/>
  <c r="A477" i="7"/>
  <c r="C477" i="7"/>
  <c r="F477" i="7"/>
  <c r="G477" i="7"/>
  <c r="A478" i="7"/>
  <c r="C478" i="7"/>
  <c r="F478" i="7"/>
  <c r="G478" i="7" s="1"/>
  <c r="AK110" i="1"/>
  <c r="Y110" i="1"/>
  <c r="X110" i="1"/>
  <c r="W110" i="1"/>
  <c r="G110" i="1"/>
  <c r="A110" i="1"/>
  <c r="B110" i="1"/>
  <c r="E110" i="1"/>
  <c r="F110" i="1" s="1"/>
  <c r="AJ110" i="1"/>
  <c r="AL110" i="1" s="1"/>
  <c r="AM110" i="1"/>
  <c r="H109" i="1"/>
  <c r="H110" i="1"/>
  <c r="P59" i="11"/>
  <c r="M59" i="11"/>
  <c r="B59" i="11"/>
  <c r="C59" i="11"/>
  <c r="F59" i="11"/>
  <c r="G59" i="11"/>
  <c r="AD59" i="11"/>
  <c r="Y59" i="11"/>
  <c r="AB59" i="11" s="1"/>
  <c r="AK109" i="1"/>
  <c r="Y109" i="1"/>
  <c r="X109" i="1"/>
  <c r="W109" i="1"/>
  <c r="AJ109" i="1"/>
  <c r="AM109" i="1"/>
  <c r="P58" i="11"/>
  <c r="M58" i="11"/>
  <c r="AD58" i="11" s="1"/>
  <c r="B58" i="11"/>
  <c r="C58" i="11"/>
  <c r="F58" i="11"/>
  <c r="G58" i="11" s="1"/>
  <c r="Y58" i="11"/>
  <c r="AK108" i="1"/>
  <c r="Y108" i="1"/>
  <c r="X108" i="1"/>
  <c r="W108" i="1"/>
  <c r="H107" i="1"/>
  <c r="H108" i="1"/>
  <c r="AJ108" i="1"/>
  <c r="AM108" i="1"/>
  <c r="AK107" i="1"/>
  <c r="Y107" i="1"/>
  <c r="X107" i="1"/>
  <c r="W107" i="1"/>
  <c r="AJ107" i="1"/>
  <c r="AL107" i="1" s="1"/>
  <c r="AM107" i="1"/>
  <c r="AK106" i="1"/>
  <c r="Y106" i="1"/>
  <c r="X106" i="1"/>
  <c r="W106" i="1"/>
  <c r="H106" i="1"/>
  <c r="AJ106" i="1"/>
  <c r="AM106" i="1"/>
  <c r="AK105" i="1"/>
  <c r="Y105" i="1"/>
  <c r="X105" i="1"/>
  <c r="W105" i="1"/>
  <c r="H104" i="1"/>
  <c r="H105" i="1"/>
  <c r="AJ105" i="1"/>
  <c r="AM105" i="1"/>
  <c r="AK104" i="1"/>
  <c r="Y104" i="1"/>
  <c r="X104" i="1"/>
  <c r="W104" i="1"/>
  <c r="AJ104" i="1"/>
  <c r="AL104" i="1" s="1"/>
  <c r="AM104" i="1"/>
  <c r="P57" i="11"/>
  <c r="M57" i="11"/>
  <c r="AD57" i="11" s="1"/>
  <c r="B57" i="11"/>
  <c r="C57" i="11"/>
  <c r="F57" i="11"/>
  <c r="G57" i="11" s="1"/>
  <c r="Y57" i="11"/>
  <c r="AK103" i="1"/>
  <c r="Y103" i="1"/>
  <c r="X103" i="1"/>
  <c r="W103" i="1"/>
  <c r="H102" i="1"/>
  <c r="H103" i="1"/>
  <c r="AJ103" i="1"/>
  <c r="AM103" i="1"/>
  <c r="W102" i="1"/>
  <c r="X102" i="1"/>
  <c r="Y102" i="1"/>
  <c r="AJ102" i="1"/>
  <c r="AK102" i="1"/>
  <c r="AM102" i="1"/>
  <c r="AK101" i="1"/>
  <c r="Y101" i="1"/>
  <c r="X101" i="1"/>
  <c r="W101" i="1"/>
  <c r="H101" i="1"/>
  <c r="AJ101" i="1"/>
  <c r="AM101" i="1"/>
  <c r="Z355" i="6" l="1"/>
  <c r="Y352" i="6"/>
  <c r="Z339" i="6"/>
  <c r="Y336" i="6"/>
  <c r="Z323" i="6"/>
  <c r="Y320" i="6"/>
  <c r="Z307" i="6"/>
  <c r="Y304" i="6"/>
  <c r="Z291" i="6"/>
  <c r="Y288" i="6"/>
  <c r="Z275" i="6"/>
  <c r="Y272" i="6"/>
  <c r="Z259" i="6"/>
  <c r="Y256" i="6"/>
  <c r="Z243" i="6"/>
  <c r="Y240" i="6"/>
  <c r="Z227" i="6"/>
  <c r="Y224" i="6"/>
  <c r="Z211" i="6"/>
  <c r="Y208" i="6"/>
  <c r="Z195" i="6"/>
  <c r="Y192" i="6"/>
  <c r="Z179" i="6"/>
  <c r="Y176" i="6"/>
  <c r="Z163" i="6"/>
  <c r="Y160" i="6"/>
  <c r="Z147" i="6"/>
  <c r="Y144" i="6"/>
  <c r="Z131" i="6"/>
  <c r="Y128" i="6"/>
  <c r="Z115" i="6"/>
  <c r="Y112" i="6"/>
  <c r="Z99" i="6"/>
  <c r="Y96" i="6"/>
  <c r="Z83" i="6"/>
  <c r="Y80" i="6"/>
  <c r="Z67" i="6"/>
  <c r="Y64" i="6"/>
  <c r="Z51" i="6"/>
  <c r="Y48" i="6"/>
  <c r="Z357" i="6"/>
  <c r="Z341" i="6"/>
  <c r="Z325" i="6"/>
  <c r="Z309" i="6"/>
  <c r="Z293" i="6"/>
  <c r="Z277" i="6"/>
  <c r="Z261" i="6"/>
  <c r="Z245" i="6"/>
  <c r="Z229" i="6"/>
  <c r="Z213" i="6"/>
  <c r="Z197" i="6"/>
  <c r="Z181" i="6"/>
  <c r="Z165" i="6"/>
  <c r="Z149" i="6"/>
  <c r="Z133" i="6"/>
  <c r="Z117" i="6"/>
  <c r="Z101" i="6"/>
  <c r="Z85" i="6"/>
  <c r="Z69" i="6"/>
  <c r="Z53" i="6"/>
  <c r="Z37" i="6"/>
  <c r="Z360" i="6"/>
  <c r="Z344" i="6"/>
  <c r="Z328" i="6"/>
  <c r="Z312" i="6"/>
  <c r="Z296" i="6"/>
  <c r="Z280" i="6"/>
  <c r="Z264" i="6"/>
  <c r="Z248" i="6"/>
  <c r="Z232" i="6"/>
  <c r="Z216" i="6"/>
  <c r="Z200" i="6"/>
  <c r="Z184" i="6"/>
  <c r="Z168" i="6"/>
  <c r="Z152" i="6"/>
  <c r="Z136" i="6"/>
  <c r="Z120" i="6"/>
  <c r="Z104" i="6"/>
  <c r="Z88" i="6"/>
  <c r="Z72" i="6"/>
  <c r="Z56" i="6"/>
  <c r="Z40" i="6"/>
  <c r="Z363" i="6"/>
  <c r="Z347" i="6"/>
  <c r="Z331" i="6"/>
  <c r="Z315" i="6"/>
  <c r="Z299" i="6"/>
  <c r="Z283" i="6"/>
  <c r="Z267" i="6"/>
  <c r="Z251" i="6"/>
  <c r="Z235" i="6"/>
  <c r="Z219" i="6"/>
  <c r="Z203" i="6"/>
  <c r="Z187" i="6"/>
  <c r="Z171" i="6"/>
  <c r="Z155" i="6"/>
  <c r="Z139" i="6"/>
  <c r="Z123" i="6"/>
  <c r="Z107" i="6"/>
  <c r="Z91" i="6"/>
  <c r="Z75" i="6"/>
  <c r="Z59" i="6"/>
  <c r="Z43" i="6"/>
  <c r="Z362" i="6"/>
  <c r="Z346" i="6"/>
  <c r="Z330" i="6"/>
  <c r="Z314" i="6"/>
  <c r="Z298" i="6"/>
  <c r="Z282" i="6"/>
  <c r="Z266" i="6"/>
  <c r="Z250" i="6"/>
  <c r="Z234" i="6"/>
  <c r="Z218" i="6"/>
  <c r="Z202" i="6"/>
  <c r="Z186" i="6"/>
  <c r="Z170" i="6"/>
  <c r="Z154" i="6"/>
  <c r="Z138" i="6"/>
  <c r="Z122" i="6"/>
  <c r="Z106" i="6"/>
  <c r="Z90" i="6"/>
  <c r="Z74" i="6"/>
  <c r="Z58" i="6"/>
  <c r="Z42" i="6"/>
  <c r="Z365" i="6"/>
  <c r="Z349" i="6"/>
  <c r="Z333" i="6"/>
  <c r="Z317" i="6"/>
  <c r="Z301" i="6"/>
  <c r="Z285" i="6"/>
  <c r="Z269" i="6"/>
  <c r="Z253" i="6"/>
  <c r="Z237" i="6"/>
  <c r="Z221" i="6"/>
  <c r="Z205" i="6"/>
  <c r="Z189" i="6"/>
  <c r="Z173" i="6"/>
  <c r="Z157" i="6"/>
  <c r="Z141" i="6"/>
  <c r="Z125" i="6"/>
  <c r="Z109" i="6"/>
  <c r="Z93" i="6"/>
  <c r="Z77" i="6"/>
  <c r="Z61" i="6"/>
  <c r="Z45" i="6"/>
  <c r="AI110" i="1"/>
  <c r="AI109" i="1"/>
  <c r="AL109" i="1"/>
  <c r="AB58" i="11"/>
  <c r="AL108" i="1"/>
  <c r="AI108" i="1"/>
  <c r="AL105" i="1"/>
  <c r="AL106" i="1"/>
  <c r="AI107" i="1"/>
  <c r="AI106" i="1"/>
  <c r="AI105" i="1"/>
  <c r="AI104" i="1"/>
  <c r="AL103" i="1"/>
  <c r="AI103" i="1"/>
  <c r="AB57" i="11"/>
  <c r="AL101" i="1"/>
  <c r="AI102" i="1"/>
  <c r="AL102" i="1"/>
  <c r="AI101" i="1"/>
  <c r="P56" i="11" l="1"/>
  <c r="M56" i="11"/>
  <c r="AD56" i="11" s="1"/>
  <c r="B56" i="11"/>
  <c r="C56" i="11"/>
  <c r="F56" i="11"/>
  <c r="G56" i="11" s="1"/>
  <c r="Y56" i="11"/>
  <c r="AK100" i="1"/>
  <c r="Y100" i="1"/>
  <c r="X100" i="1"/>
  <c r="W100" i="1"/>
  <c r="H98" i="1"/>
  <c r="H99" i="1"/>
  <c r="H100" i="1"/>
  <c r="AJ100" i="1"/>
  <c r="AM100" i="1"/>
  <c r="AK99" i="1"/>
  <c r="Y99" i="1"/>
  <c r="X99" i="1"/>
  <c r="W99" i="1"/>
  <c r="AJ99" i="1"/>
  <c r="AL99" i="1" s="1"/>
  <c r="AM99" i="1"/>
  <c r="AK98" i="1"/>
  <c r="W98" i="1"/>
  <c r="Y98" i="1"/>
  <c r="X98" i="1"/>
  <c r="AJ98" i="1"/>
  <c r="AM98" i="1"/>
  <c r="AK97" i="1"/>
  <c r="Y97" i="1"/>
  <c r="X97" i="1"/>
  <c r="W97" i="1"/>
  <c r="H97" i="1"/>
  <c r="AJ97" i="1"/>
  <c r="AM97" i="1"/>
  <c r="AK96" i="1"/>
  <c r="Y96" i="1"/>
  <c r="X96" i="1"/>
  <c r="W96" i="1"/>
  <c r="H96" i="1"/>
  <c r="AJ96" i="1"/>
  <c r="AM96" i="1"/>
  <c r="AB56" i="11" l="1"/>
  <c r="AL100" i="1"/>
  <c r="AI100" i="1"/>
  <c r="AL98" i="1"/>
  <c r="AI99" i="1"/>
  <c r="AL97" i="1"/>
  <c r="AI98" i="1"/>
  <c r="AI97" i="1"/>
  <c r="AL96" i="1"/>
  <c r="AI96" i="1"/>
  <c r="AK95" i="1" l="1"/>
  <c r="P55" i="11"/>
  <c r="M55" i="11"/>
  <c r="AD55" i="11" s="1"/>
  <c r="B55" i="11"/>
  <c r="C55" i="11"/>
  <c r="F55" i="11"/>
  <c r="G55" i="11" s="1"/>
  <c r="Y55" i="11"/>
  <c r="AB55" i="11" s="1"/>
  <c r="Y95" i="1"/>
  <c r="X95" i="1"/>
  <c r="W95" i="1"/>
  <c r="H95" i="1"/>
  <c r="AJ95" i="1"/>
  <c r="AM95" i="1"/>
  <c r="AK94" i="1"/>
  <c r="Y94" i="1"/>
  <c r="X94" i="1"/>
  <c r="W94" i="1"/>
  <c r="H94" i="1"/>
  <c r="H93" i="1"/>
  <c r="H92" i="1"/>
  <c r="H91" i="1"/>
  <c r="AJ94" i="1"/>
  <c r="AL94" i="1" s="1"/>
  <c r="AM94" i="1"/>
  <c r="AK93" i="1"/>
  <c r="Y93" i="1"/>
  <c r="X93" i="1"/>
  <c r="W93" i="1"/>
  <c r="AJ93" i="1"/>
  <c r="AL93" i="1" s="1"/>
  <c r="AM93" i="1"/>
  <c r="C54" i="11"/>
  <c r="B54" i="11"/>
  <c r="F54" i="11"/>
  <c r="G54" i="11" s="1"/>
  <c r="Y54" i="11"/>
  <c r="P54" i="11"/>
  <c r="M54" i="11"/>
  <c r="AD54" i="11" s="1"/>
  <c r="P53" i="11"/>
  <c r="M53" i="11"/>
  <c r="B53" i="11"/>
  <c r="C53" i="11"/>
  <c r="F53" i="11"/>
  <c r="G53" i="11" s="1"/>
  <c r="Y53" i="11"/>
  <c r="AD53" i="11"/>
  <c r="AK92" i="1"/>
  <c r="Y92" i="1"/>
  <c r="X92" i="1"/>
  <c r="W92" i="1"/>
  <c r="AJ92" i="1"/>
  <c r="AM92" i="1"/>
  <c r="AK91" i="1"/>
  <c r="AL95" i="1" l="1"/>
  <c r="AI95" i="1"/>
  <c r="AB53" i="11"/>
  <c r="AI94" i="1"/>
  <c r="AI93" i="1"/>
  <c r="AL92" i="1"/>
  <c r="AI92" i="1"/>
  <c r="AB54" i="11"/>
  <c r="P52" i="11"/>
  <c r="M52" i="11"/>
  <c r="AD52" i="11" s="1"/>
  <c r="B52" i="11"/>
  <c r="C52" i="11"/>
  <c r="F52" i="11"/>
  <c r="G52" i="11" s="1"/>
  <c r="Y52" i="11"/>
  <c r="Y91" i="1"/>
  <c r="X91" i="1"/>
  <c r="W91" i="1"/>
  <c r="AJ91" i="1"/>
  <c r="AL91" i="1" s="1"/>
  <c r="AM91" i="1"/>
  <c r="H83" i="1"/>
  <c r="H84" i="1"/>
  <c r="H85" i="1"/>
  <c r="H86" i="1"/>
  <c r="H87" i="1"/>
  <c r="H88" i="1"/>
  <c r="H89" i="1"/>
  <c r="H90" i="1"/>
  <c r="AK90" i="1"/>
  <c r="Y90" i="1"/>
  <c r="X90" i="1"/>
  <c r="W90" i="1"/>
  <c r="AJ90" i="1"/>
  <c r="AL90" i="1" s="1"/>
  <c r="AM90" i="1"/>
  <c r="AK89" i="1"/>
  <c r="Y89" i="1"/>
  <c r="X89" i="1"/>
  <c r="W89" i="1"/>
  <c r="AJ89" i="1"/>
  <c r="AL89" i="1" s="1"/>
  <c r="AM89" i="1"/>
  <c r="AK88" i="1"/>
  <c r="Y88" i="1"/>
  <c r="X88" i="1"/>
  <c r="W88" i="1"/>
  <c r="AJ88" i="1"/>
  <c r="AM88" i="1"/>
  <c r="AK87" i="1"/>
  <c r="Y87" i="1"/>
  <c r="X87" i="1"/>
  <c r="W87" i="1"/>
  <c r="AJ87" i="1"/>
  <c r="AM87" i="1"/>
  <c r="P51" i="11"/>
  <c r="M51" i="11"/>
  <c r="AD51" i="11" s="1"/>
  <c r="B51" i="11"/>
  <c r="C51" i="11"/>
  <c r="F51" i="11"/>
  <c r="G51" i="11" s="1"/>
  <c r="Y51" i="11"/>
  <c r="AK86" i="1"/>
  <c r="Y86" i="1"/>
  <c r="X86" i="1"/>
  <c r="W86" i="1"/>
  <c r="AJ86" i="1"/>
  <c r="AM86" i="1"/>
  <c r="P50" i="11"/>
  <c r="M50" i="11"/>
  <c r="AD50" i="11" s="1"/>
  <c r="B50" i="11"/>
  <c r="C50" i="11"/>
  <c r="F50" i="11"/>
  <c r="G50" i="11" s="1"/>
  <c r="Y50" i="11"/>
  <c r="AK85" i="1"/>
  <c r="Y85" i="1"/>
  <c r="X85" i="1"/>
  <c r="W85" i="1"/>
  <c r="AJ85" i="1"/>
  <c r="AM85" i="1"/>
  <c r="P49" i="11"/>
  <c r="M49" i="11"/>
  <c r="AD49" i="11" s="1"/>
  <c r="P48" i="11"/>
  <c r="M48" i="11"/>
  <c r="AD48" i="11" s="1"/>
  <c r="P47" i="11"/>
  <c r="M47" i="11"/>
  <c r="AD47" i="11" s="1"/>
  <c r="B47" i="11"/>
  <c r="B48" i="11"/>
  <c r="B49" i="11"/>
  <c r="C47" i="11"/>
  <c r="C48" i="11"/>
  <c r="C49" i="11"/>
  <c r="F47" i="11"/>
  <c r="G47" i="11" s="1"/>
  <c r="F48" i="11"/>
  <c r="G48" i="11" s="1"/>
  <c r="F49" i="11"/>
  <c r="G49" i="11" s="1"/>
  <c r="Y47" i="11"/>
  <c r="Y48" i="11"/>
  <c r="Y49" i="11"/>
  <c r="AK84" i="1"/>
  <c r="Y84" i="1"/>
  <c r="X84" i="1"/>
  <c r="W84" i="1"/>
  <c r="AK83" i="1"/>
  <c r="Y83" i="1"/>
  <c r="X83" i="1"/>
  <c r="W83" i="1"/>
  <c r="AJ83" i="1"/>
  <c r="AJ84" i="1"/>
  <c r="AM83" i="1"/>
  <c r="AM84" i="1"/>
  <c r="AK82" i="1"/>
  <c r="AK81" i="1"/>
  <c r="Y82" i="1"/>
  <c r="X82" i="1"/>
  <c r="W82" i="1"/>
  <c r="B78" i="19"/>
  <c r="B79" i="19"/>
  <c r="B80" i="19"/>
  <c r="C78" i="19"/>
  <c r="C79" i="19"/>
  <c r="C80" i="19"/>
  <c r="F78" i="19"/>
  <c r="G78" i="19" s="1"/>
  <c r="F79" i="19"/>
  <c r="G79" i="19" s="1"/>
  <c r="F80" i="19"/>
  <c r="G80" i="19"/>
  <c r="W78" i="19"/>
  <c r="W79" i="19"/>
  <c r="W80" i="19"/>
  <c r="H78" i="19"/>
  <c r="H79" i="19" s="1"/>
  <c r="H80" i="19" s="1"/>
  <c r="P46" i="11"/>
  <c r="M46" i="11"/>
  <c r="AD46" i="11" s="1"/>
  <c r="B46" i="11"/>
  <c r="C46" i="11"/>
  <c r="F46" i="11"/>
  <c r="G46" i="11" s="1"/>
  <c r="Y46" i="11"/>
  <c r="P45" i="11"/>
  <c r="M45" i="11"/>
  <c r="AD45" i="11" s="1"/>
  <c r="Y81" i="1"/>
  <c r="X81" i="1"/>
  <c r="W81" i="1"/>
  <c r="H79" i="1"/>
  <c r="H80" i="1"/>
  <c r="H81" i="1"/>
  <c r="H82" i="1"/>
  <c r="AJ81" i="1"/>
  <c r="AJ82" i="1"/>
  <c r="AM81" i="1"/>
  <c r="AM82" i="1"/>
  <c r="W80" i="1"/>
  <c r="X80" i="1"/>
  <c r="AK80" i="1"/>
  <c r="Y80" i="1"/>
  <c r="AJ80" i="1"/>
  <c r="AK79" i="1"/>
  <c r="Y79" i="1"/>
  <c r="X79" i="1"/>
  <c r="W79" i="1"/>
  <c r="AJ79" i="1"/>
  <c r="AM79" i="1"/>
  <c r="H71" i="1"/>
  <c r="H72" i="1"/>
  <c r="H73" i="1"/>
  <c r="H74" i="1"/>
  <c r="H75" i="1"/>
  <c r="H76" i="1"/>
  <c r="H77" i="1"/>
  <c r="H78" i="1"/>
  <c r="B77" i="19"/>
  <c r="C77" i="19"/>
  <c r="F77" i="19"/>
  <c r="G77" i="19" s="1"/>
  <c r="W77" i="19"/>
  <c r="H77" i="19"/>
  <c r="AK78" i="1"/>
  <c r="Y78" i="1"/>
  <c r="X78" i="1"/>
  <c r="W78" i="1"/>
  <c r="AJ78" i="1"/>
  <c r="AL78" i="1" s="1"/>
  <c r="AM78" i="1"/>
  <c r="B76" i="19"/>
  <c r="C76" i="19"/>
  <c r="F76" i="19"/>
  <c r="G76" i="19" s="1"/>
  <c r="W76" i="19"/>
  <c r="H76" i="19"/>
  <c r="AK77" i="1"/>
  <c r="Y77" i="1"/>
  <c r="X77" i="1"/>
  <c r="W77" i="1"/>
  <c r="AJ77" i="1"/>
  <c r="AL77" i="1" s="1"/>
  <c r="AM77" i="1"/>
  <c r="B75" i="19"/>
  <c r="C75" i="19"/>
  <c r="F75" i="19"/>
  <c r="G75" i="19" s="1"/>
  <c r="W75" i="19"/>
  <c r="H75" i="19"/>
  <c r="P44" i="11"/>
  <c r="M44" i="11"/>
  <c r="AD44" i="11" s="1"/>
  <c r="C45" i="11"/>
  <c r="B45" i="11"/>
  <c r="C44" i="11"/>
  <c r="B44" i="11"/>
  <c r="F45" i="11"/>
  <c r="G45" i="11" s="1"/>
  <c r="Y45" i="11"/>
  <c r="F44" i="11"/>
  <c r="G44" i="11" s="1"/>
  <c r="Y44" i="11"/>
  <c r="AK76" i="1"/>
  <c r="Y76" i="1"/>
  <c r="X76" i="1"/>
  <c r="W76" i="1"/>
  <c r="AJ76" i="1"/>
  <c r="AM76" i="1"/>
  <c r="B74" i="19"/>
  <c r="C74" i="19"/>
  <c r="F74" i="19"/>
  <c r="G74" i="19" s="1"/>
  <c r="W74" i="19"/>
  <c r="H74" i="19"/>
  <c r="AK75" i="1"/>
  <c r="Y75" i="1"/>
  <c r="X75" i="1"/>
  <c r="W75" i="1"/>
  <c r="AJ75" i="1"/>
  <c r="AL75" i="1" s="1"/>
  <c r="AM75" i="1"/>
  <c r="P43" i="11"/>
  <c r="M43" i="11"/>
  <c r="AD43" i="11" s="1"/>
  <c r="P42" i="11"/>
  <c r="M42" i="11"/>
  <c r="AD42" i="11" s="1"/>
  <c r="P41" i="11"/>
  <c r="M41" i="11"/>
  <c r="AD41" i="11" s="1"/>
  <c r="C43" i="11"/>
  <c r="B43" i="11"/>
  <c r="C42" i="11"/>
  <c r="B42" i="11"/>
  <c r="C41" i="11"/>
  <c r="B41" i="11"/>
  <c r="F42" i="11"/>
  <c r="G42" i="11" s="1"/>
  <c r="F43" i="11"/>
  <c r="G43" i="11" s="1"/>
  <c r="Y42" i="11"/>
  <c r="Y43" i="11"/>
  <c r="F41" i="11"/>
  <c r="G41" i="11" s="1"/>
  <c r="Y41" i="11"/>
  <c r="AK74" i="1"/>
  <c r="Y74" i="1"/>
  <c r="X74" i="1"/>
  <c r="W74" i="1"/>
  <c r="AJ74" i="1"/>
  <c r="AM74" i="1"/>
  <c r="H61" i="19"/>
  <c r="AK73" i="1"/>
  <c r="Y73" i="1"/>
  <c r="X73" i="1"/>
  <c r="W73" i="1"/>
  <c r="AJ73" i="1"/>
  <c r="AM73" i="1"/>
  <c r="P40" i="11"/>
  <c r="M40" i="11"/>
  <c r="AD40" i="11" s="1"/>
  <c r="B40" i="11"/>
  <c r="C40" i="11"/>
  <c r="F40" i="11"/>
  <c r="G40" i="11" s="1"/>
  <c r="Y40" i="11"/>
  <c r="AK72" i="1"/>
  <c r="Y72" i="1"/>
  <c r="X72" i="1"/>
  <c r="W72" i="1"/>
  <c r="AJ72" i="1"/>
  <c r="AM72" i="1"/>
  <c r="AK71" i="1"/>
  <c r="Y71" i="1"/>
  <c r="X71" i="1"/>
  <c r="W71" i="1"/>
  <c r="AJ71" i="1"/>
  <c r="AM71" i="1"/>
  <c r="AK70" i="1"/>
  <c r="Y70" i="1"/>
  <c r="X70" i="1"/>
  <c r="W70" i="1"/>
  <c r="AB50" i="11" l="1"/>
  <c r="AI91" i="1"/>
  <c r="AB52" i="11"/>
  <c r="AB51" i="11"/>
  <c r="AI90" i="1"/>
  <c r="AL88" i="1"/>
  <c r="AI89" i="1"/>
  <c r="AL86" i="1"/>
  <c r="AI88" i="1"/>
  <c r="AL87" i="1"/>
  <c r="AI87" i="1"/>
  <c r="AI86" i="1"/>
  <c r="AL85" i="1"/>
  <c r="AB49" i="11"/>
  <c r="AB48" i="11"/>
  <c r="AL81" i="1"/>
  <c r="AI85" i="1"/>
  <c r="AB44" i="11"/>
  <c r="AL84" i="1"/>
  <c r="AL83" i="1"/>
  <c r="AB47" i="11"/>
  <c r="AB45" i="11"/>
  <c r="AB46" i="11"/>
  <c r="AI84" i="1"/>
  <c r="AI83" i="1"/>
  <c r="AI81" i="1"/>
  <c r="AI82" i="1"/>
  <c r="AL82" i="1"/>
  <c r="AM80" i="1"/>
  <c r="AL79" i="1"/>
  <c r="AL80" i="1"/>
  <c r="AI80" i="1"/>
  <c r="AI79" i="1"/>
  <c r="AI78" i="1"/>
  <c r="AI77" i="1"/>
  <c r="AI76" i="1"/>
  <c r="AL73" i="1"/>
  <c r="AL74" i="1"/>
  <c r="AB43" i="11"/>
  <c r="AB41" i="11"/>
  <c r="AL76" i="1"/>
  <c r="AI75" i="1"/>
  <c r="AI74" i="1"/>
  <c r="AB42" i="11"/>
  <c r="AB40" i="11"/>
  <c r="AL72" i="1"/>
  <c r="AI73" i="1"/>
  <c r="AL71" i="1"/>
  <c r="AI72" i="1"/>
  <c r="AI71" i="1"/>
  <c r="Y69" i="1"/>
  <c r="X69" i="1"/>
  <c r="W69" i="1"/>
  <c r="AK69" i="1" l="1"/>
  <c r="AI70" i="1"/>
  <c r="AJ70" i="1"/>
  <c r="AL70" i="1" s="1"/>
  <c r="AM70" i="1"/>
  <c r="H64" i="1"/>
  <c r="H65" i="1"/>
  <c r="H66" i="1"/>
  <c r="H67" i="1"/>
  <c r="H68" i="1"/>
  <c r="H69" i="1"/>
  <c r="H70" i="1"/>
  <c r="AI69" i="1"/>
  <c r="AJ69" i="1"/>
  <c r="AL69" i="1" s="1"/>
  <c r="AM69" i="1"/>
  <c r="AK68" i="1"/>
  <c r="Y68" i="1"/>
  <c r="X68" i="1"/>
  <c r="W68" i="1"/>
  <c r="AJ68" i="1"/>
  <c r="AM68" i="1"/>
  <c r="P39" i="11"/>
  <c r="M39" i="11"/>
  <c r="AD39" i="11" s="1"/>
  <c r="B39" i="11"/>
  <c r="C39" i="11"/>
  <c r="F39" i="11"/>
  <c r="G39" i="11" s="1"/>
  <c r="Y39" i="11"/>
  <c r="AK67" i="1"/>
  <c r="Y67" i="1"/>
  <c r="X67" i="1"/>
  <c r="W67" i="1"/>
  <c r="AJ67" i="1"/>
  <c r="AM67" i="1"/>
  <c r="AK66" i="1"/>
  <c r="Y66" i="1"/>
  <c r="X66" i="1"/>
  <c r="W66" i="1"/>
  <c r="AJ66" i="1"/>
  <c r="AM66" i="1"/>
  <c r="AK65" i="1"/>
  <c r="Y65" i="1"/>
  <c r="X65" i="1"/>
  <c r="W65" i="1"/>
  <c r="AJ65" i="1"/>
  <c r="AM65" i="1"/>
  <c r="P38" i="11"/>
  <c r="M38" i="11"/>
  <c r="AD38" i="11" s="1"/>
  <c r="B38" i="11"/>
  <c r="C38" i="11"/>
  <c r="F38" i="11"/>
  <c r="G38" i="11" s="1"/>
  <c r="Y38" i="11"/>
  <c r="Y64" i="1"/>
  <c r="X64" i="1"/>
  <c r="W64" i="1"/>
  <c r="AL68" i="1" l="1"/>
  <c r="AB39" i="11"/>
  <c r="AL67" i="1"/>
  <c r="AI68" i="1"/>
  <c r="AL66" i="1"/>
  <c r="AI67" i="1"/>
  <c r="AI66" i="1"/>
  <c r="AI65" i="1"/>
  <c r="AL65" i="1"/>
  <c r="AB38" i="11"/>
  <c r="AK64" i="1" l="1"/>
  <c r="AI64" i="1"/>
  <c r="AJ64" i="1"/>
  <c r="AM64" i="1"/>
  <c r="AK63" i="1"/>
  <c r="Y63" i="1"/>
  <c r="X63" i="1"/>
  <c r="W63" i="1"/>
  <c r="H56" i="1"/>
  <c r="H57" i="1"/>
  <c r="H58" i="1"/>
  <c r="H59" i="1"/>
  <c r="H60" i="1"/>
  <c r="H61" i="1"/>
  <c r="H62" i="1"/>
  <c r="H63" i="1"/>
  <c r="AJ63" i="1"/>
  <c r="AL63" i="1" s="1"/>
  <c r="AM63" i="1"/>
  <c r="AK62" i="1"/>
  <c r="AJ62" i="1"/>
  <c r="Y62" i="1"/>
  <c r="X62" i="1"/>
  <c r="W62" i="1"/>
  <c r="AM62" i="1"/>
  <c r="P37" i="11"/>
  <c r="M37" i="11"/>
  <c r="AD37" i="11" s="1"/>
  <c r="B37" i="11"/>
  <c r="C37" i="11"/>
  <c r="F37" i="11"/>
  <c r="G37" i="11" s="1"/>
  <c r="Y37" i="11"/>
  <c r="AB37" i="11" s="1"/>
  <c r="C219" i="3"/>
  <c r="B219" i="3"/>
  <c r="F219" i="3"/>
  <c r="G219" i="3"/>
  <c r="M219" i="3"/>
  <c r="AE219" i="3" s="1"/>
  <c r="N219" i="3"/>
  <c r="W219" i="3"/>
  <c r="X219" i="3"/>
  <c r="Y219" i="3"/>
  <c r="Z219" i="3"/>
  <c r="AK61" i="1"/>
  <c r="Y61" i="1"/>
  <c r="X61" i="1"/>
  <c r="W61" i="1"/>
  <c r="AJ61" i="1"/>
  <c r="AM61" i="1"/>
  <c r="Y60" i="1"/>
  <c r="X60" i="1"/>
  <c r="W60" i="1"/>
  <c r="P36" i="11"/>
  <c r="M36" i="11"/>
  <c r="AD36" i="11" s="1"/>
  <c r="P35" i="11"/>
  <c r="M35" i="11"/>
  <c r="AD35" i="11" s="1"/>
  <c r="C36" i="11"/>
  <c r="B36" i="11"/>
  <c r="C35" i="11"/>
  <c r="B35" i="11"/>
  <c r="F36" i="11"/>
  <c r="G36" i="11" s="1"/>
  <c r="Y36" i="11"/>
  <c r="F35" i="11"/>
  <c r="G35" i="11" s="1"/>
  <c r="Y35" i="11"/>
  <c r="AK60" i="1"/>
  <c r="AJ60" i="1"/>
  <c r="AM60" i="1"/>
  <c r="AK59" i="1"/>
  <c r="Y59" i="1"/>
  <c r="X59" i="1"/>
  <c r="W59" i="1"/>
  <c r="AJ59" i="1"/>
  <c r="AM59" i="1"/>
  <c r="C218" i="3"/>
  <c r="B218" i="3"/>
  <c r="F218" i="3"/>
  <c r="G218" i="3" s="1"/>
  <c r="M218" i="3"/>
  <c r="N218" i="3"/>
  <c r="W218" i="3"/>
  <c r="X218" i="3"/>
  <c r="Y218" i="3"/>
  <c r="Z218" i="3"/>
  <c r="P34" i="11"/>
  <c r="M34" i="11"/>
  <c r="AD34" i="11" s="1"/>
  <c r="P33" i="11"/>
  <c r="M33" i="11"/>
  <c r="AD33" i="11" s="1"/>
  <c r="P32" i="11"/>
  <c r="M32" i="11"/>
  <c r="AD32" i="11" s="1"/>
  <c r="C34" i="11"/>
  <c r="B34" i="11"/>
  <c r="C33" i="11"/>
  <c r="B33" i="11"/>
  <c r="C32" i="11"/>
  <c r="B32" i="11"/>
  <c r="F34" i="11"/>
  <c r="G34" i="11" s="1"/>
  <c r="Y34" i="11"/>
  <c r="F33" i="11"/>
  <c r="G33" i="11" s="1"/>
  <c r="Y33" i="11"/>
  <c r="F32" i="11"/>
  <c r="G32" i="11" s="1"/>
  <c r="Y32" i="11"/>
  <c r="C217" i="3"/>
  <c r="B217" i="3"/>
  <c r="F217" i="3"/>
  <c r="G217" i="3" s="1"/>
  <c r="M217" i="3"/>
  <c r="N217" i="3"/>
  <c r="W217" i="3"/>
  <c r="X217" i="3"/>
  <c r="Y217" i="3"/>
  <c r="Z217" i="3"/>
  <c r="AK58" i="1"/>
  <c r="Y58" i="1"/>
  <c r="X58" i="1"/>
  <c r="W58" i="1"/>
  <c r="AJ58" i="1"/>
  <c r="AM58" i="1"/>
  <c r="AL58" i="1" l="1"/>
  <c r="AL64" i="1"/>
  <c r="AI63" i="1"/>
  <c r="AI61" i="1"/>
  <c r="AL59" i="1"/>
  <c r="AL62" i="1"/>
  <c r="AI62" i="1"/>
  <c r="AL61" i="1"/>
  <c r="AB36" i="11"/>
  <c r="AC219" i="3"/>
  <c r="AE218" i="3"/>
  <c r="AI60" i="1"/>
  <c r="AL60" i="1"/>
  <c r="AB35" i="11"/>
  <c r="AB34" i="11"/>
  <c r="AI59" i="1"/>
  <c r="AB33" i="11"/>
  <c r="AI58" i="1"/>
  <c r="AC218" i="3"/>
  <c r="AE217" i="3"/>
  <c r="AB32" i="11"/>
  <c r="AC217" i="3"/>
  <c r="P31" i="11" l="1"/>
  <c r="M31" i="11"/>
  <c r="AD31" i="11" s="1"/>
  <c r="B31" i="11"/>
  <c r="C31" i="11"/>
  <c r="F31" i="11"/>
  <c r="G31" i="11" s="1"/>
  <c r="Y31" i="11"/>
  <c r="AK57" i="1"/>
  <c r="Y57" i="1"/>
  <c r="X57" i="1"/>
  <c r="W57" i="1"/>
  <c r="AJ57" i="1"/>
  <c r="AM57" i="1"/>
  <c r="C216" i="3"/>
  <c r="B216" i="3"/>
  <c r="F216" i="3"/>
  <c r="M216" i="3"/>
  <c r="N216" i="3"/>
  <c r="W216" i="3"/>
  <c r="X216" i="3"/>
  <c r="Y216" i="3"/>
  <c r="Z216" i="3"/>
  <c r="AK56" i="1"/>
  <c r="Y56" i="1"/>
  <c r="X56" i="1"/>
  <c r="W56" i="1"/>
  <c r="AJ56" i="1"/>
  <c r="AM56" i="1"/>
  <c r="P30" i="11"/>
  <c r="M30" i="11"/>
  <c r="AD30" i="11" s="1"/>
  <c r="B30" i="11"/>
  <c r="C30" i="11"/>
  <c r="F30" i="11"/>
  <c r="G30" i="11" s="1"/>
  <c r="Y30" i="11"/>
  <c r="Y55" i="1"/>
  <c r="X55" i="1"/>
  <c r="W55" i="1"/>
  <c r="P29" i="11"/>
  <c r="M29" i="11"/>
  <c r="AD29" i="11" s="1"/>
  <c r="P28" i="11"/>
  <c r="M28" i="11"/>
  <c r="AD28" i="11" s="1"/>
  <c r="P27" i="11"/>
  <c r="M27" i="11"/>
  <c r="AD27" i="11" s="1"/>
  <c r="C29" i="11"/>
  <c r="B29" i="11"/>
  <c r="C28" i="11"/>
  <c r="B28" i="11"/>
  <c r="C27" i="11"/>
  <c r="B27" i="11"/>
  <c r="F29" i="11"/>
  <c r="G29" i="11" s="1"/>
  <c r="Y29" i="11"/>
  <c r="F28" i="11"/>
  <c r="G28" i="11" s="1"/>
  <c r="Y28" i="11"/>
  <c r="F27" i="11"/>
  <c r="G27" i="11" s="1"/>
  <c r="Y27" i="11"/>
  <c r="Y54" i="1"/>
  <c r="X54" i="1"/>
  <c r="W54" i="1"/>
  <c r="Y53" i="1"/>
  <c r="X53" i="1"/>
  <c r="W53" i="1"/>
  <c r="P26" i="11"/>
  <c r="M26" i="11"/>
  <c r="AD26" i="11" s="1"/>
  <c r="C26" i="11"/>
  <c r="B26" i="11"/>
  <c r="F26" i="11"/>
  <c r="G26" i="11" s="1"/>
  <c r="Y26" i="11"/>
  <c r="AE216" i="3" l="1"/>
  <c r="AB29" i="11"/>
  <c r="AC216" i="3"/>
  <c r="G216" i="3"/>
  <c r="AL57" i="1"/>
  <c r="AI57" i="1"/>
  <c r="AB31" i="11"/>
  <c r="AB30" i="11"/>
  <c r="AL56" i="1"/>
  <c r="AI56" i="1"/>
  <c r="AB28" i="11"/>
  <c r="AB27" i="11"/>
  <c r="AB26" i="11"/>
  <c r="P25" i="11" l="1"/>
  <c r="M25" i="11"/>
  <c r="AD25" i="11" s="1"/>
  <c r="B25" i="11"/>
  <c r="C25" i="11"/>
  <c r="F25" i="11"/>
  <c r="G25" i="11" s="1"/>
  <c r="Y25" i="11"/>
  <c r="P24" i="11"/>
  <c r="M24" i="11"/>
  <c r="AD24" i="11" s="1"/>
  <c r="P23" i="11"/>
  <c r="M23" i="11"/>
  <c r="AD23" i="11" s="1"/>
  <c r="C24" i="11"/>
  <c r="B24" i="11"/>
  <c r="C23" i="11"/>
  <c r="B23" i="11"/>
  <c r="F24" i="11"/>
  <c r="G24" i="11" s="1"/>
  <c r="Y24" i="11"/>
  <c r="F23" i="11"/>
  <c r="G23" i="11" s="1"/>
  <c r="Y23" i="11"/>
  <c r="C215" i="3"/>
  <c r="B215" i="3"/>
  <c r="F215" i="3"/>
  <c r="G215" i="3" s="1"/>
  <c r="M215" i="3"/>
  <c r="AE215" i="3" s="1"/>
  <c r="N215" i="3"/>
  <c r="W215" i="3"/>
  <c r="X215" i="3"/>
  <c r="Y215" i="3"/>
  <c r="Z215" i="3"/>
  <c r="Y52" i="1"/>
  <c r="X52" i="1"/>
  <c r="W52" i="1"/>
  <c r="P22" i="11"/>
  <c r="M22" i="11"/>
  <c r="AD22" i="11" s="1"/>
  <c r="B22" i="11"/>
  <c r="C22" i="11"/>
  <c r="F22" i="11"/>
  <c r="G22" i="11" s="1"/>
  <c r="Y22" i="11"/>
  <c r="AB24" i="11" l="1"/>
  <c r="AB25" i="11"/>
  <c r="AB23" i="11"/>
  <c r="AB22" i="11"/>
  <c r="AC215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F211" i="3"/>
  <c r="AE211" i="3" s="1"/>
  <c r="F212" i="3"/>
  <c r="F213" i="3"/>
  <c r="G213" i="3" s="1"/>
  <c r="F214" i="3"/>
  <c r="G211" i="3"/>
  <c r="G212" i="3"/>
  <c r="G214" i="3"/>
  <c r="M211" i="3"/>
  <c r="M212" i="3"/>
  <c r="M213" i="3"/>
  <c r="M214" i="3"/>
  <c r="AE214" i="3" s="1"/>
  <c r="N211" i="3"/>
  <c r="N212" i="3"/>
  <c r="N213" i="3"/>
  <c r="N214" i="3"/>
  <c r="W211" i="3"/>
  <c r="W212" i="3"/>
  <c r="W213" i="3"/>
  <c r="W214" i="3"/>
  <c r="X211" i="3"/>
  <c r="X212" i="3"/>
  <c r="X213" i="3"/>
  <c r="X214" i="3"/>
  <c r="Y211" i="3"/>
  <c r="Y212" i="3"/>
  <c r="Y213" i="3"/>
  <c r="Y214" i="3"/>
  <c r="Z211" i="3"/>
  <c r="Z212" i="3"/>
  <c r="Z213" i="3"/>
  <c r="Z214" i="3"/>
  <c r="F208" i="3"/>
  <c r="G208" i="3" s="1"/>
  <c r="F209" i="3"/>
  <c r="G209" i="3" s="1"/>
  <c r="F210" i="3"/>
  <c r="G210" i="3" s="1"/>
  <c r="M208" i="3"/>
  <c r="M209" i="3"/>
  <c r="M210" i="3"/>
  <c r="N208" i="3"/>
  <c r="N209" i="3"/>
  <c r="N210" i="3"/>
  <c r="W208" i="3"/>
  <c r="W209" i="3"/>
  <c r="W210" i="3"/>
  <c r="X208" i="3"/>
  <c r="X209" i="3"/>
  <c r="X210" i="3"/>
  <c r="Y208" i="3"/>
  <c r="Y209" i="3"/>
  <c r="Y210" i="3"/>
  <c r="Z208" i="3"/>
  <c r="Z209" i="3"/>
  <c r="Z210" i="3"/>
  <c r="F207" i="3"/>
  <c r="G207" i="3" s="1"/>
  <c r="M207" i="3"/>
  <c r="N207" i="3"/>
  <c r="W207" i="3"/>
  <c r="X207" i="3"/>
  <c r="Y207" i="3"/>
  <c r="Z207" i="3"/>
  <c r="Y51" i="1"/>
  <c r="X51" i="1"/>
  <c r="W51" i="1"/>
  <c r="P21" i="11"/>
  <c r="M21" i="11"/>
  <c r="AD21" i="11" s="1"/>
  <c r="B21" i="11"/>
  <c r="C21" i="11"/>
  <c r="F21" i="11"/>
  <c r="G21" i="11" s="1"/>
  <c r="Y21" i="11"/>
  <c r="M20" i="11"/>
  <c r="P20" i="11"/>
  <c r="Y50" i="1"/>
  <c r="X50" i="1"/>
  <c r="W50" i="1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7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5" i="19"/>
  <c r="C73" i="19"/>
  <c r="F47" i="19"/>
  <c r="G47" i="19" s="1"/>
  <c r="F48" i="19"/>
  <c r="F49" i="19"/>
  <c r="F50" i="19"/>
  <c r="F51" i="19"/>
  <c r="G51" i="19" s="1"/>
  <c r="F52" i="19"/>
  <c r="G52" i="19" s="1"/>
  <c r="F53" i="19"/>
  <c r="F54" i="19"/>
  <c r="G54" i="19" s="1"/>
  <c r="F55" i="19"/>
  <c r="G55" i="19" s="1"/>
  <c r="F56" i="19"/>
  <c r="G56" i="19" s="1"/>
  <c r="F57" i="19"/>
  <c r="F58" i="19"/>
  <c r="G58" i="19" s="1"/>
  <c r="F59" i="19"/>
  <c r="G59" i="19" s="1"/>
  <c r="F60" i="19"/>
  <c r="G60" i="19" s="1"/>
  <c r="F61" i="19"/>
  <c r="G61" i="19" s="1"/>
  <c r="F62" i="19"/>
  <c r="G62" i="19" s="1"/>
  <c r="F70" i="19"/>
  <c r="G70" i="19" s="1"/>
  <c r="G48" i="19"/>
  <c r="G49" i="19"/>
  <c r="G50" i="19"/>
  <c r="G53" i="19"/>
  <c r="G57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H47" i="19"/>
  <c r="H48" i="19"/>
  <c r="H49" i="19"/>
  <c r="H50" i="19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B73" i="19" s="1"/>
  <c r="B46" i="19"/>
  <c r="C46" i="19"/>
  <c r="F46" i="19"/>
  <c r="G46" i="19" s="1"/>
  <c r="W46" i="19"/>
  <c r="H46" i="19"/>
  <c r="B45" i="19"/>
  <c r="C45" i="19"/>
  <c r="F45" i="19"/>
  <c r="G45" i="19" s="1"/>
  <c r="W45" i="19"/>
  <c r="H45" i="19"/>
  <c r="B44" i="19"/>
  <c r="C44" i="19"/>
  <c r="F44" i="19"/>
  <c r="G44" i="19" s="1"/>
  <c r="W44" i="19"/>
  <c r="H44" i="19"/>
  <c r="B43" i="19"/>
  <c r="C43" i="19"/>
  <c r="F43" i="19"/>
  <c r="G43" i="19" s="1"/>
  <c r="W43" i="19"/>
  <c r="H43" i="19"/>
  <c r="C72" i="19" l="1"/>
  <c r="C64" i="19"/>
  <c r="B72" i="19"/>
  <c r="B64" i="19"/>
  <c r="F66" i="19"/>
  <c r="G66" i="19" s="1"/>
  <c r="C69" i="19"/>
  <c r="B71" i="19"/>
  <c r="B63" i="19"/>
  <c r="F69" i="19"/>
  <c r="G69" i="19" s="1"/>
  <c r="F73" i="19"/>
  <c r="G73" i="19" s="1"/>
  <c r="F65" i="19"/>
  <c r="G65" i="19" s="1"/>
  <c r="C68" i="19"/>
  <c r="B68" i="19"/>
  <c r="F72" i="19"/>
  <c r="G72" i="19" s="1"/>
  <c r="F68" i="19"/>
  <c r="G68" i="19" s="1"/>
  <c r="F64" i="19"/>
  <c r="G64" i="19" s="1"/>
  <c r="C71" i="19"/>
  <c r="C67" i="19"/>
  <c r="C63" i="19"/>
  <c r="B70" i="19"/>
  <c r="B66" i="19"/>
  <c r="B62" i="19"/>
  <c r="F71" i="19"/>
  <c r="G71" i="19" s="1"/>
  <c r="F67" i="19"/>
  <c r="G67" i="19" s="1"/>
  <c r="F63" i="19"/>
  <c r="G63" i="19" s="1"/>
  <c r="C70" i="19"/>
  <c r="C66" i="19"/>
  <c r="C62" i="19"/>
  <c r="B69" i="19"/>
  <c r="B65" i="19"/>
  <c r="AE212" i="3"/>
  <c r="AE208" i="3"/>
  <c r="AE213" i="3"/>
  <c r="AE210" i="3"/>
  <c r="AB21" i="11"/>
  <c r="AC214" i="3"/>
  <c r="AC211" i="3"/>
  <c r="AC210" i="3"/>
  <c r="AC213" i="3"/>
  <c r="AC212" i="3"/>
  <c r="AC209" i="3"/>
  <c r="AC208" i="3"/>
  <c r="AE209" i="3"/>
  <c r="AC207" i="3"/>
  <c r="AE207" i="3"/>
  <c r="B20" i="11"/>
  <c r="C20" i="11"/>
  <c r="F20" i="11"/>
  <c r="G20" i="11" s="1"/>
  <c r="Y20" i="11"/>
  <c r="AB20" i="11" s="1"/>
  <c r="AD20" i="11"/>
  <c r="P19" i="11"/>
  <c r="M19" i="11"/>
  <c r="AD19" i="11" s="1"/>
  <c r="B19" i="11"/>
  <c r="C19" i="11"/>
  <c r="F19" i="11"/>
  <c r="G19" i="11" s="1"/>
  <c r="Y19" i="11"/>
  <c r="B42" i="19"/>
  <c r="C42" i="19"/>
  <c r="F42" i="19"/>
  <c r="G42" i="19" s="1"/>
  <c r="W42" i="19"/>
  <c r="H42" i="19"/>
  <c r="B3" i="16"/>
  <c r="B4" i="16"/>
  <c r="B5" i="16"/>
  <c r="B6" i="16"/>
  <c r="B7" i="16"/>
  <c r="B8" i="16"/>
  <c r="B2" i="16"/>
  <c r="A4" i="16"/>
  <c r="A5" i="16" s="1"/>
  <c r="A6" i="16" s="1"/>
  <c r="A7" i="16" s="1"/>
  <c r="A8" i="16" s="1"/>
  <c r="A3" i="16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3" i="15"/>
  <c r="A14" i="15"/>
  <c r="A15" i="15" s="1"/>
  <c r="A16" i="15" s="1"/>
  <c r="A17" i="15" s="1"/>
  <c r="A18" i="15" s="1"/>
  <c r="A19" i="15" s="1"/>
  <c r="A20" i="15" s="1"/>
  <c r="A21" i="15" s="1"/>
  <c r="A22" i="15" s="1"/>
  <c r="A23" i="15" s="1"/>
  <c r="G14" i="15"/>
  <c r="G15" i="15"/>
  <c r="G16" i="15"/>
  <c r="G17" i="15"/>
  <c r="G18" i="15"/>
  <c r="G19" i="15"/>
  <c r="G20" i="15"/>
  <c r="G21" i="15"/>
  <c r="G22" i="15"/>
  <c r="G23" i="15"/>
  <c r="F14" i="15"/>
  <c r="F15" i="15"/>
  <c r="H14" i="15"/>
  <c r="C14" i="15" s="1"/>
  <c r="H15" i="15"/>
  <c r="C15" i="15" s="1"/>
  <c r="B14" i="15"/>
  <c r="B15" i="15"/>
  <c r="A5" i="15"/>
  <c r="A6" i="15" s="1"/>
  <c r="A7" i="15" s="1"/>
  <c r="A8" i="15" s="1"/>
  <c r="A9" i="15" s="1"/>
  <c r="A10" i="15" s="1"/>
  <c r="A11" i="15" s="1"/>
  <c r="A12" i="15" s="1"/>
  <c r="A13" i="15" s="1"/>
  <c r="A4" i="15"/>
  <c r="H5" i="19"/>
  <c r="H6" i="19"/>
  <c r="H7" i="19" s="1"/>
  <c r="H4" i="19"/>
  <c r="A5" i="19"/>
  <c r="A6" i="19"/>
  <c r="A7" i="19"/>
  <c r="A8" i="19"/>
  <c r="A9" i="19"/>
  <c r="A10" i="19"/>
  <c r="A11" i="19"/>
  <c r="A12" i="19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" i="19"/>
  <c r="C3" i="19"/>
  <c r="C4" i="19"/>
  <c r="C5" i="19"/>
  <c r="B3" i="19"/>
  <c r="B4" i="19"/>
  <c r="B5" i="19"/>
  <c r="B6" i="19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2" i="7"/>
  <c r="G5" i="1"/>
  <c r="A4" i="1"/>
  <c r="W41" i="19"/>
  <c r="W40" i="19"/>
  <c r="P18" i="11"/>
  <c r="M18" i="11"/>
  <c r="AD18" i="11" s="1"/>
  <c r="C18" i="11"/>
  <c r="F18" i="11"/>
  <c r="G18" i="11" s="1"/>
  <c r="Y18" i="11"/>
  <c r="W39" i="19"/>
  <c r="W38" i="19"/>
  <c r="A5" i="1" l="1"/>
  <c r="G6" i="1"/>
  <c r="AB19" i="11"/>
  <c r="H16" i="15"/>
  <c r="H8" i="19"/>
  <c r="B7" i="19"/>
  <c r="C7" i="19"/>
  <c r="C6" i="19"/>
  <c r="AB18" i="11"/>
  <c r="G7" i="1" l="1"/>
  <c r="A6" i="1"/>
  <c r="F16" i="15"/>
  <c r="C16" i="15"/>
  <c r="B16" i="15"/>
  <c r="H17" i="15"/>
  <c r="H9" i="19"/>
  <c r="C8" i="19"/>
  <c r="B8" i="19"/>
  <c r="AR2" i="21"/>
  <c r="AR3" i="21"/>
  <c r="AR4" i="21"/>
  <c r="AR5" i="21"/>
  <c r="AR6" i="21"/>
  <c r="AR7" i="21"/>
  <c r="AR8" i="21"/>
  <c r="AR9" i="21"/>
  <c r="AR10" i="21"/>
  <c r="AR11" i="21"/>
  <c r="AR12" i="21"/>
  <c r="AR13" i="21"/>
  <c r="AR14" i="21"/>
  <c r="AR15" i="21"/>
  <c r="AR16" i="21"/>
  <c r="AR17" i="21"/>
  <c r="AR18" i="21"/>
  <c r="AR19" i="21"/>
  <c r="AR20" i="21"/>
  <c r="AR21" i="21"/>
  <c r="AR22" i="21"/>
  <c r="AR23" i="21"/>
  <c r="AR24" i="21"/>
  <c r="AR25" i="21"/>
  <c r="AR26" i="21"/>
  <c r="AR27" i="21"/>
  <c r="AR28" i="21"/>
  <c r="AR29" i="21"/>
  <c r="AR30" i="21"/>
  <c r="AR31" i="21"/>
  <c r="AR32" i="21"/>
  <c r="AR33" i="21"/>
  <c r="AR34" i="21"/>
  <c r="AR35" i="21"/>
  <c r="AR36" i="21"/>
  <c r="AR37" i="21"/>
  <c r="AR38" i="21"/>
  <c r="AR39" i="21"/>
  <c r="AR40" i="21"/>
  <c r="AR41" i="21"/>
  <c r="AR42" i="21"/>
  <c r="AR43" i="21"/>
  <c r="AR44" i="21"/>
  <c r="AR45" i="21"/>
  <c r="AR46" i="21"/>
  <c r="AR47" i="21"/>
  <c r="AR48" i="21"/>
  <c r="AR49" i="21"/>
  <c r="AR50" i="21"/>
  <c r="AR51" i="21"/>
  <c r="AR52" i="21"/>
  <c r="AR53" i="21"/>
  <c r="AR54" i="21"/>
  <c r="AR55" i="21"/>
  <c r="AR56" i="21"/>
  <c r="AR57" i="21"/>
  <c r="AR58" i="21"/>
  <c r="AR59" i="21"/>
  <c r="AR60" i="21"/>
  <c r="AR61" i="21"/>
  <c r="AR62" i="21"/>
  <c r="AR63" i="21"/>
  <c r="AR64" i="21"/>
  <c r="AR65" i="21"/>
  <c r="AR66" i="21"/>
  <c r="AR67" i="21"/>
  <c r="AR68" i="21"/>
  <c r="AR69" i="21"/>
  <c r="AR70" i="21"/>
  <c r="AR71" i="21"/>
  <c r="AR72" i="21"/>
  <c r="AR73" i="21"/>
  <c r="AR74" i="21"/>
  <c r="AR75" i="21"/>
  <c r="AR76" i="21"/>
  <c r="AR77" i="21"/>
  <c r="AR78" i="21"/>
  <c r="AR79" i="21"/>
  <c r="AR80" i="21"/>
  <c r="AR81" i="21"/>
  <c r="AR82" i="21"/>
  <c r="AR83" i="21"/>
  <c r="AR84" i="21"/>
  <c r="AR85" i="21"/>
  <c r="AR86" i="21"/>
  <c r="AR87" i="21"/>
  <c r="AR88" i="21"/>
  <c r="AR89" i="21"/>
  <c r="AR90" i="21"/>
  <c r="AR91" i="21"/>
  <c r="AR92" i="21"/>
  <c r="AR93" i="21"/>
  <c r="AR94" i="21"/>
  <c r="AR95" i="21"/>
  <c r="AR96" i="21"/>
  <c r="AR97" i="21"/>
  <c r="AR98" i="21"/>
  <c r="AR99" i="21"/>
  <c r="AR100" i="21"/>
  <c r="AR101" i="21"/>
  <c r="AR102" i="21"/>
  <c r="AR103" i="21"/>
  <c r="AR104" i="21"/>
  <c r="AR105" i="21"/>
  <c r="AR106" i="21"/>
  <c r="AR107" i="21"/>
  <c r="AR108" i="21"/>
  <c r="AR109" i="21"/>
  <c r="AR110" i="21"/>
  <c r="AR111" i="21"/>
  <c r="AR112" i="21"/>
  <c r="AR113" i="21"/>
  <c r="AR114" i="21"/>
  <c r="AR115" i="21"/>
  <c r="AR116" i="21"/>
  <c r="AR117" i="21"/>
  <c r="AR118" i="21"/>
  <c r="AR119" i="21"/>
  <c r="AR120" i="21"/>
  <c r="AR121" i="21"/>
  <c r="AR122" i="21"/>
  <c r="AR123" i="21"/>
  <c r="AR124" i="21"/>
  <c r="AR125" i="21"/>
  <c r="AR126" i="21"/>
  <c r="AR127" i="21"/>
  <c r="AR128" i="21"/>
  <c r="AR129" i="21"/>
  <c r="AR130" i="21"/>
  <c r="AR131" i="21"/>
  <c r="AR132" i="21"/>
  <c r="AR133" i="21"/>
  <c r="AR134" i="21"/>
  <c r="AR135" i="21"/>
  <c r="AR136" i="21"/>
  <c r="AR137" i="21"/>
  <c r="AR138" i="21"/>
  <c r="AR139" i="21"/>
  <c r="AR140" i="21"/>
  <c r="AR141" i="21"/>
  <c r="AR142" i="21"/>
  <c r="AR143" i="21"/>
  <c r="AR144" i="21"/>
  <c r="AR145" i="21"/>
  <c r="AR146" i="21"/>
  <c r="AR147" i="21"/>
  <c r="AR148" i="21"/>
  <c r="AR149" i="21"/>
  <c r="AR150" i="21"/>
  <c r="AR151" i="21"/>
  <c r="AR152" i="21"/>
  <c r="AR153" i="21"/>
  <c r="AR154" i="21"/>
  <c r="AR155" i="21"/>
  <c r="AR156" i="21"/>
  <c r="AR157" i="21"/>
  <c r="AR158" i="21"/>
  <c r="AR159" i="21"/>
  <c r="AR160" i="21"/>
  <c r="AR161" i="21"/>
  <c r="AR162" i="21"/>
  <c r="AR163" i="21"/>
  <c r="AR164" i="21"/>
  <c r="AR165" i="21"/>
  <c r="AR166" i="21"/>
  <c r="AR167" i="21"/>
  <c r="AR168" i="21"/>
  <c r="AR169" i="21"/>
  <c r="AR170" i="21"/>
  <c r="AR171" i="21"/>
  <c r="AR172" i="21"/>
  <c r="AR173" i="21"/>
  <c r="AR174" i="21"/>
  <c r="AR175" i="21"/>
  <c r="AR176" i="21"/>
  <c r="AR177" i="21"/>
  <c r="AR178" i="21"/>
  <c r="AR179" i="21"/>
  <c r="AR180" i="21"/>
  <c r="AR181" i="21"/>
  <c r="AR182" i="21"/>
  <c r="AR183" i="21"/>
  <c r="AR184" i="21"/>
  <c r="AR185" i="21"/>
  <c r="AR186" i="21"/>
  <c r="AR187" i="21"/>
  <c r="AR188" i="21"/>
  <c r="AR189" i="21"/>
  <c r="AR190" i="21"/>
  <c r="AR191" i="21"/>
  <c r="AR192" i="21"/>
  <c r="AR193" i="21"/>
  <c r="AR194" i="21"/>
  <c r="AR195" i="21"/>
  <c r="AR196" i="21"/>
  <c r="AR197" i="21"/>
  <c r="AR198" i="21"/>
  <c r="AR199" i="21"/>
  <c r="AR200" i="21"/>
  <c r="AR201" i="21"/>
  <c r="AR202" i="21"/>
  <c r="AR203" i="21"/>
  <c r="AR204" i="21"/>
  <c r="AR205" i="21"/>
  <c r="AR206" i="21"/>
  <c r="AR207" i="21"/>
  <c r="AR208" i="21"/>
  <c r="AR209" i="21"/>
  <c r="AR210" i="21"/>
  <c r="AR211" i="21"/>
  <c r="AR212" i="21"/>
  <c r="AR213" i="21"/>
  <c r="AR214" i="21"/>
  <c r="AR215" i="21"/>
  <c r="AR216" i="21"/>
  <c r="AR217" i="21"/>
  <c r="AR218" i="21"/>
  <c r="AR219" i="21"/>
  <c r="AR220" i="21"/>
  <c r="AR221" i="21"/>
  <c r="AR222" i="21"/>
  <c r="AR223" i="21"/>
  <c r="AR224" i="21"/>
  <c r="AR225" i="21"/>
  <c r="AR226" i="21"/>
  <c r="AR227" i="21"/>
  <c r="AR228" i="21"/>
  <c r="AR229" i="21"/>
  <c r="AR230" i="21"/>
  <c r="AR231" i="21"/>
  <c r="AR232" i="21"/>
  <c r="AR233" i="21"/>
  <c r="AR234" i="21"/>
  <c r="AR235" i="21"/>
  <c r="AR236" i="21"/>
  <c r="AR237" i="21"/>
  <c r="AR238" i="21"/>
  <c r="AR239" i="21"/>
  <c r="AR240" i="21"/>
  <c r="AR241" i="21"/>
  <c r="AR242" i="21"/>
  <c r="AR243" i="21"/>
  <c r="AR244" i="21"/>
  <c r="AR245" i="21"/>
  <c r="AR246" i="21"/>
  <c r="AR247" i="21"/>
  <c r="AR248" i="21"/>
  <c r="AR249" i="21"/>
  <c r="AR250" i="21"/>
  <c r="AR251" i="21"/>
  <c r="AR252" i="21"/>
  <c r="AR253" i="21"/>
  <c r="AR254" i="21"/>
  <c r="AR255" i="21"/>
  <c r="AR256" i="21"/>
  <c r="AR257" i="21"/>
  <c r="AR258" i="21"/>
  <c r="AR259" i="21"/>
  <c r="AR260" i="21"/>
  <c r="AR261" i="21"/>
  <c r="AR262" i="21"/>
  <c r="AR263" i="21"/>
  <c r="AR264" i="21"/>
  <c r="AR265" i="21"/>
  <c r="AR266" i="21"/>
  <c r="AR267" i="21"/>
  <c r="AR268" i="21"/>
  <c r="AR269" i="21"/>
  <c r="AR270" i="21"/>
  <c r="AR271" i="21"/>
  <c r="AR272" i="21"/>
  <c r="AR273" i="21"/>
  <c r="AR274" i="21"/>
  <c r="AR275" i="21"/>
  <c r="AR276" i="21"/>
  <c r="AR277" i="21"/>
  <c r="AR278" i="21"/>
  <c r="AR279" i="21"/>
  <c r="AR280" i="21"/>
  <c r="AR281" i="21"/>
  <c r="AR282" i="21"/>
  <c r="AR283" i="21"/>
  <c r="AR284" i="21"/>
  <c r="AR285" i="21"/>
  <c r="AR286" i="21"/>
  <c r="AR287" i="21"/>
  <c r="AR288" i="21"/>
  <c r="AR289" i="21"/>
  <c r="AR290" i="21"/>
  <c r="AR291" i="21"/>
  <c r="AR292" i="21"/>
  <c r="AR293" i="21"/>
  <c r="AR294" i="21"/>
  <c r="AR295" i="21"/>
  <c r="AR296" i="21"/>
  <c r="AR297" i="21"/>
  <c r="AR298" i="21"/>
  <c r="AR299" i="21"/>
  <c r="AR300" i="21"/>
  <c r="AR301" i="21"/>
  <c r="AR302" i="21"/>
  <c r="AR303" i="21"/>
  <c r="AR304" i="21"/>
  <c r="AR305" i="21"/>
  <c r="AR306" i="21"/>
  <c r="AR307" i="21"/>
  <c r="AR308" i="21"/>
  <c r="AR309" i="21"/>
  <c r="AR310" i="21"/>
  <c r="AR311" i="21"/>
  <c r="AR312" i="21"/>
  <c r="AR313" i="21"/>
  <c r="AR314" i="21"/>
  <c r="AR315" i="21"/>
  <c r="AR316" i="21"/>
  <c r="AR317" i="21"/>
  <c r="AR318" i="21"/>
  <c r="AR319" i="21"/>
  <c r="AR320" i="21"/>
  <c r="AR321" i="21"/>
  <c r="AR322" i="21"/>
  <c r="AR323" i="21"/>
  <c r="AR324" i="21"/>
  <c r="AR325" i="21"/>
  <c r="AR326" i="21"/>
  <c r="AR327" i="21"/>
  <c r="AR328" i="21"/>
  <c r="AR329" i="21"/>
  <c r="AR330" i="21"/>
  <c r="AR331" i="21"/>
  <c r="AR332" i="21"/>
  <c r="AR333" i="21"/>
  <c r="AR334" i="21"/>
  <c r="AR335" i="21"/>
  <c r="AR336" i="21"/>
  <c r="AR337" i="21"/>
  <c r="AR338" i="21"/>
  <c r="AR339" i="21"/>
  <c r="AR340" i="21"/>
  <c r="AR341" i="21"/>
  <c r="AR342" i="21"/>
  <c r="AR343" i="21"/>
  <c r="AR344" i="21"/>
  <c r="AR345" i="21"/>
  <c r="AR346" i="21"/>
  <c r="AR347" i="21"/>
  <c r="AR348" i="21"/>
  <c r="AR349" i="21"/>
  <c r="AR350" i="21"/>
  <c r="AR351" i="21"/>
  <c r="AR352" i="21"/>
  <c r="AR353" i="21"/>
  <c r="AR354" i="21"/>
  <c r="AR355" i="21"/>
  <c r="AR356" i="21"/>
  <c r="AR357" i="21"/>
  <c r="AR358" i="21"/>
  <c r="AR359" i="21"/>
  <c r="AR360" i="21"/>
  <c r="AR361" i="21"/>
  <c r="AR362" i="21"/>
  <c r="AR363" i="21"/>
  <c r="AR364" i="21"/>
  <c r="AR365" i="21"/>
  <c r="AR366" i="21"/>
  <c r="AR367" i="21"/>
  <c r="AR368" i="21"/>
  <c r="AR369" i="21"/>
  <c r="W37" i="19"/>
  <c r="P17" i="11"/>
  <c r="M17" i="11"/>
  <c r="AD17" i="11" s="1"/>
  <c r="C17" i="11"/>
  <c r="F17" i="11"/>
  <c r="G17" i="11" s="1"/>
  <c r="Y17" i="11"/>
  <c r="W36" i="19"/>
  <c r="P16" i="11"/>
  <c r="M16" i="11"/>
  <c r="AD16" i="11" s="1"/>
  <c r="C16" i="11"/>
  <c r="F16" i="11"/>
  <c r="G16" i="11" s="1"/>
  <c r="Y16" i="11"/>
  <c r="W35" i="19"/>
  <c r="W34" i="19"/>
  <c r="F206" i="3"/>
  <c r="G206" i="3" s="1"/>
  <c r="M206" i="3"/>
  <c r="N206" i="3"/>
  <c r="W206" i="3"/>
  <c r="X206" i="3"/>
  <c r="Y206" i="3"/>
  <c r="Z206" i="3"/>
  <c r="W32" i="19"/>
  <c r="W33" i="19"/>
  <c r="W31" i="19"/>
  <c r="P15" i="11"/>
  <c r="M15" i="11"/>
  <c r="AD15" i="11" s="1"/>
  <c r="C15" i="11"/>
  <c r="F15" i="11"/>
  <c r="G15" i="11" s="1"/>
  <c r="Y15" i="11"/>
  <c r="W30" i="19"/>
  <c r="P14" i="11"/>
  <c r="M14" i="11"/>
  <c r="AD14" i="11" s="1"/>
  <c r="C14" i="11"/>
  <c r="F14" i="11"/>
  <c r="G14" i="11" s="1"/>
  <c r="Y14" i="11"/>
  <c r="P13" i="11"/>
  <c r="M13" i="11"/>
  <c r="AD13" i="11" s="1"/>
  <c r="C13" i="11"/>
  <c r="F13" i="11"/>
  <c r="G13" i="11" s="1"/>
  <c r="Y13" i="11"/>
  <c r="W29" i="19"/>
  <c r="W27" i="19"/>
  <c r="W28" i="19"/>
  <c r="W26" i="19"/>
  <c r="P12" i="11"/>
  <c r="M12" i="11"/>
  <c r="AD12" i="11" s="1"/>
  <c r="C12" i="11"/>
  <c r="F12" i="11"/>
  <c r="G12" i="11" s="1"/>
  <c r="Y12" i="11"/>
  <c r="A7" i="1" l="1"/>
  <c r="G8" i="1"/>
  <c r="F17" i="15"/>
  <c r="C17" i="15"/>
  <c r="B17" i="15"/>
  <c r="H18" i="15"/>
  <c r="H10" i="19"/>
  <c r="C9" i="19"/>
  <c r="B9" i="19"/>
  <c r="AC206" i="3"/>
  <c r="AE206" i="3"/>
  <c r="AB17" i="11"/>
  <c r="AB16" i="11"/>
  <c r="AB15" i="11"/>
  <c r="AB14" i="11"/>
  <c r="AB13" i="11"/>
  <c r="AB12" i="11"/>
  <c r="W25" i="19"/>
  <c r="P11" i="11"/>
  <c r="M11" i="11"/>
  <c r="AD11" i="11" s="1"/>
  <c r="P10" i="11"/>
  <c r="M10" i="11"/>
  <c r="AD10" i="11" s="1"/>
  <c r="C11" i="11"/>
  <c r="C10" i="11"/>
  <c r="F11" i="11"/>
  <c r="G11" i="11" s="1"/>
  <c r="Y11" i="11"/>
  <c r="F10" i="11"/>
  <c r="G10" i="11" s="1"/>
  <c r="Y10" i="11"/>
  <c r="W24" i="19"/>
  <c r="W23" i="19"/>
  <c r="A8" i="1" l="1"/>
  <c r="G9" i="1"/>
  <c r="F18" i="15"/>
  <c r="C18" i="15"/>
  <c r="B18" i="15"/>
  <c r="H19" i="15"/>
  <c r="H11" i="19"/>
  <c r="C10" i="19"/>
  <c r="B10" i="19"/>
  <c r="AB11" i="11"/>
  <c r="AB10" i="11"/>
  <c r="W21" i="19"/>
  <c r="W22" i="19"/>
  <c r="P9" i="11"/>
  <c r="M9" i="11"/>
  <c r="AD9" i="11" s="1"/>
  <c r="P8" i="11"/>
  <c r="M8" i="11"/>
  <c r="AD8" i="11" s="1"/>
  <c r="C9" i="11"/>
  <c r="C8" i="11"/>
  <c r="F9" i="11"/>
  <c r="G9" i="11" s="1"/>
  <c r="Y9" i="11"/>
  <c r="F8" i="11"/>
  <c r="G8" i="11" s="1"/>
  <c r="Y8" i="11"/>
  <c r="A9" i="1" l="1"/>
  <c r="G10" i="1"/>
  <c r="H20" i="15"/>
  <c r="F19" i="15"/>
  <c r="C19" i="15"/>
  <c r="B19" i="15"/>
  <c r="H12" i="19"/>
  <c r="C11" i="19"/>
  <c r="B11" i="19"/>
  <c r="AB9" i="11"/>
  <c r="AB8" i="11"/>
  <c r="A10" i="1" l="1"/>
  <c r="G11" i="1"/>
  <c r="H21" i="15"/>
  <c r="F20" i="15"/>
  <c r="C20" i="15"/>
  <c r="B20" i="15"/>
  <c r="H13" i="19"/>
  <c r="C12" i="19"/>
  <c r="B12" i="19"/>
  <c r="F205" i="3"/>
  <c r="G205" i="3" s="1"/>
  <c r="M205" i="3"/>
  <c r="AE205" i="3" s="1"/>
  <c r="N205" i="3"/>
  <c r="W205" i="3"/>
  <c r="X205" i="3"/>
  <c r="Y205" i="3"/>
  <c r="Z205" i="3"/>
  <c r="W20" i="19"/>
  <c r="N204" i="3"/>
  <c r="M204" i="3"/>
  <c r="F204" i="3"/>
  <c r="G204" i="3" s="1"/>
  <c r="W204" i="3"/>
  <c r="X204" i="3"/>
  <c r="Y204" i="3"/>
  <c r="Z204" i="3"/>
  <c r="P7" i="11"/>
  <c r="M7" i="11"/>
  <c r="AD7" i="11" s="1"/>
  <c r="C7" i="11"/>
  <c r="F7" i="11"/>
  <c r="G7" i="11" s="1"/>
  <c r="Y7" i="1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A11" i="1" l="1"/>
  <c r="G12" i="1"/>
  <c r="H22" i="15"/>
  <c r="F21" i="15"/>
  <c r="C21" i="15"/>
  <c r="B21" i="15"/>
  <c r="H14" i="19"/>
  <c r="C13" i="19"/>
  <c r="B13" i="19"/>
  <c r="AC204" i="3"/>
  <c r="AB7" i="11"/>
  <c r="AC205" i="3"/>
  <c r="AE204" i="3"/>
  <c r="W19" i="19"/>
  <c r="N203" i="3"/>
  <c r="M203" i="3"/>
  <c r="AE203" i="3" s="1"/>
  <c r="N202" i="3"/>
  <c r="M202" i="3"/>
  <c r="AE202" i="3" s="1"/>
  <c r="G203" i="3"/>
  <c r="W203" i="3"/>
  <c r="X203" i="3"/>
  <c r="Y203" i="3"/>
  <c r="Z203" i="3"/>
  <c r="G202" i="3"/>
  <c r="W202" i="3"/>
  <c r="X202" i="3"/>
  <c r="Y202" i="3"/>
  <c r="Z202" i="3"/>
  <c r="W18" i="19"/>
  <c r="G201" i="3"/>
  <c r="M201" i="3"/>
  <c r="AE201" i="3" s="1"/>
  <c r="N201" i="3"/>
  <c r="W201" i="3"/>
  <c r="X201" i="3"/>
  <c r="Y201" i="3"/>
  <c r="Z201" i="3"/>
  <c r="G200" i="3"/>
  <c r="M200" i="3"/>
  <c r="AE200" i="3" s="1"/>
  <c r="N200" i="3"/>
  <c r="W200" i="3"/>
  <c r="X200" i="3"/>
  <c r="Y200" i="3"/>
  <c r="Z200" i="3"/>
  <c r="G199" i="3"/>
  <c r="M199" i="3"/>
  <c r="AE199" i="3" s="1"/>
  <c r="N199" i="3"/>
  <c r="W199" i="3"/>
  <c r="X199" i="3"/>
  <c r="Y199" i="3"/>
  <c r="Z199" i="3"/>
  <c r="P6" i="11"/>
  <c r="M6" i="11"/>
  <c r="AD6" i="11" s="1"/>
  <c r="C6" i="11"/>
  <c r="F6" i="11"/>
  <c r="G6" i="11" s="1"/>
  <c r="Y6" i="11"/>
  <c r="W17" i="19"/>
  <c r="N198" i="3"/>
  <c r="M198" i="3"/>
  <c r="AE198" i="3" s="1"/>
  <c r="N197" i="3"/>
  <c r="M197" i="3"/>
  <c r="AE197" i="3" s="1"/>
  <c r="AC199" i="3" l="1"/>
  <c r="G13" i="1"/>
  <c r="I184" i="3" s="1"/>
  <c r="A12" i="1"/>
  <c r="AC201" i="3"/>
  <c r="H23" i="15"/>
  <c r="F22" i="15"/>
  <c r="C22" i="15"/>
  <c r="B22" i="15"/>
  <c r="B14" i="19"/>
  <c r="H15" i="19"/>
  <c r="C14" i="19"/>
  <c r="AC203" i="3"/>
  <c r="AC202" i="3"/>
  <c r="AC200" i="3"/>
  <c r="AB6" i="11"/>
  <c r="G198" i="3"/>
  <c r="W198" i="3"/>
  <c r="X198" i="3"/>
  <c r="Y198" i="3"/>
  <c r="Z198" i="3"/>
  <c r="AC198" i="3" s="1"/>
  <c r="G197" i="3"/>
  <c r="W197" i="3"/>
  <c r="X197" i="3"/>
  <c r="Y197" i="3"/>
  <c r="Z197" i="3"/>
  <c r="AC197" i="3" s="1"/>
  <c r="G196" i="3"/>
  <c r="M196" i="3"/>
  <c r="AE196" i="3" s="1"/>
  <c r="N196" i="3"/>
  <c r="W196" i="3"/>
  <c r="X196" i="3"/>
  <c r="Y196" i="3"/>
  <c r="Z196" i="3"/>
  <c r="G195" i="3"/>
  <c r="M195" i="3"/>
  <c r="AE195" i="3" s="1"/>
  <c r="N195" i="3"/>
  <c r="W195" i="3"/>
  <c r="X195" i="3"/>
  <c r="Y195" i="3"/>
  <c r="Z195" i="3"/>
  <c r="W16" i="19"/>
  <c r="F14" i="19"/>
  <c r="G14" i="19" s="1"/>
  <c r="F15" i="19"/>
  <c r="G15" i="19" s="1"/>
  <c r="W14" i="19"/>
  <c r="W15" i="19"/>
  <c r="P5" i="11"/>
  <c r="M5" i="11"/>
  <c r="AD5" i="11" s="1"/>
  <c r="C5" i="11"/>
  <c r="F5" i="11"/>
  <c r="G5" i="11" s="1"/>
  <c r="Y5" i="11"/>
  <c r="G190" i="3"/>
  <c r="G191" i="3"/>
  <c r="G192" i="3"/>
  <c r="G193" i="3"/>
  <c r="G194" i="3"/>
  <c r="M190" i="3"/>
  <c r="AE190" i="3" s="1"/>
  <c r="M191" i="3"/>
  <c r="AE191" i="3" s="1"/>
  <c r="M192" i="3"/>
  <c r="AE192" i="3" s="1"/>
  <c r="M193" i="3"/>
  <c r="AE193" i="3" s="1"/>
  <c r="M194" i="3"/>
  <c r="AE194" i="3" s="1"/>
  <c r="N190" i="3"/>
  <c r="N191" i="3"/>
  <c r="N192" i="3"/>
  <c r="N193" i="3"/>
  <c r="N194" i="3"/>
  <c r="W190" i="3"/>
  <c r="W191" i="3"/>
  <c r="W192" i="3"/>
  <c r="W193" i="3"/>
  <c r="W194" i="3"/>
  <c r="X190" i="3"/>
  <c r="X191" i="3"/>
  <c r="X192" i="3"/>
  <c r="X193" i="3"/>
  <c r="X194" i="3"/>
  <c r="Y190" i="3"/>
  <c r="Y191" i="3"/>
  <c r="Y192" i="3"/>
  <c r="Y193" i="3"/>
  <c r="Y194" i="3"/>
  <c r="Z190" i="3"/>
  <c r="Z191" i="3"/>
  <c r="Z192" i="3"/>
  <c r="Z193" i="3"/>
  <c r="Z194" i="3"/>
  <c r="G189" i="3"/>
  <c r="M189" i="3"/>
  <c r="AE189" i="3" s="1"/>
  <c r="N189" i="3"/>
  <c r="W189" i="3"/>
  <c r="X189" i="3"/>
  <c r="Y189" i="3"/>
  <c r="Z189" i="3"/>
  <c r="G188" i="3"/>
  <c r="M188" i="3"/>
  <c r="AE188" i="3" s="1"/>
  <c r="N188" i="3"/>
  <c r="W188" i="3"/>
  <c r="X188" i="3"/>
  <c r="Y188" i="3"/>
  <c r="Z188" i="3"/>
  <c r="G187" i="3"/>
  <c r="M187" i="3"/>
  <c r="AE187" i="3" s="1"/>
  <c r="N187" i="3"/>
  <c r="W187" i="3"/>
  <c r="X187" i="3"/>
  <c r="Y187" i="3"/>
  <c r="Z187" i="3"/>
  <c r="F11" i="19"/>
  <c r="G11" i="19" s="1"/>
  <c r="F12" i="19"/>
  <c r="G12" i="19" s="1"/>
  <c r="F13" i="19"/>
  <c r="G13" i="19" s="1"/>
  <c r="W11" i="19"/>
  <c r="W12" i="19"/>
  <c r="W13" i="19"/>
  <c r="G184" i="3"/>
  <c r="G185" i="3"/>
  <c r="G186" i="3"/>
  <c r="M184" i="3"/>
  <c r="AE184" i="3" s="1"/>
  <c r="M185" i="3"/>
  <c r="AE185" i="3" s="1"/>
  <c r="M186" i="3"/>
  <c r="AE186" i="3" s="1"/>
  <c r="N184" i="3"/>
  <c r="N185" i="3"/>
  <c r="N186" i="3"/>
  <c r="W184" i="3"/>
  <c r="W185" i="3"/>
  <c r="W186" i="3"/>
  <c r="X184" i="3"/>
  <c r="X185" i="3"/>
  <c r="X186" i="3"/>
  <c r="Y184" i="3"/>
  <c r="Y185" i="3"/>
  <c r="Y186" i="3"/>
  <c r="Z184" i="3"/>
  <c r="Z185" i="3"/>
  <c r="AC185" i="3" s="1"/>
  <c r="Z186" i="3"/>
  <c r="AC186" i="3" s="1"/>
  <c r="G183" i="3"/>
  <c r="J183" i="3"/>
  <c r="M183" i="3"/>
  <c r="AE183" i="3" s="1"/>
  <c r="N183" i="3"/>
  <c r="W183" i="3"/>
  <c r="X183" i="3"/>
  <c r="Y183" i="3"/>
  <c r="Z183" i="3"/>
  <c r="G182" i="3"/>
  <c r="I182" i="3"/>
  <c r="J182" i="3"/>
  <c r="M182" i="3"/>
  <c r="AE182" i="3" s="1"/>
  <c r="N182" i="3"/>
  <c r="W182" i="3"/>
  <c r="X182" i="3"/>
  <c r="Y182" i="3"/>
  <c r="Z182" i="3"/>
  <c r="G181" i="3"/>
  <c r="I181" i="3"/>
  <c r="M181" i="3"/>
  <c r="AE181" i="3" s="1"/>
  <c r="N181" i="3"/>
  <c r="W181" i="3"/>
  <c r="X181" i="3"/>
  <c r="Y181" i="3"/>
  <c r="Z181" i="3"/>
  <c r="G180" i="3"/>
  <c r="J180" i="3"/>
  <c r="M180" i="3"/>
  <c r="AE180" i="3" s="1"/>
  <c r="N180" i="3"/>
  <c r="W180" i="3"/>
  <c r="X180" i="3"/>
  <c r="Y180" i="3"/>
  <c r="Z180" i="3"/>
  <c r="G179" i="3"/>
  <c r="I179" i="3"/>
  <c r="M179" i="3"/>
  <c r="AE179" i="3" s="1"/>
  <c r="N179" i="3"/>
  <c r="W179" i="3"/>
  <c r="X179" i="3"/>
  <c r="Y179" i="3"/>
  <c r="Z179" i="3"/>
  <c r="G178" i="3"/>
  <c r="J178" i="3"/>
  <c r="M178" i="3"/>
  <c r="AE178" i="3" s="1"/>
  <c r="N178" i="3"/>
  <c r="W178" i="3"/>
  <c r="X178" i="3"/>
  <c r="Y178" i="3"/>
  <c r="Z178" i="3"/>
  <c r="M149" i="3"/>
  <c r="AE149" i="3" s="1"/>
  <c r="M148" i="3"/>
  <c r="AE148" i="3" s="1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M150" i="3"/>
  <c r="AE150" i="3" s="1"/>
  <c r="M151" i="3"/>
  <c r="AE151" i="3" s="1"/>
  <c r="M152" i="3"/>
  <c r="AE152" i="3" s="1"/>
  <c r="M153" i="3"/>
  <c r="AE153" i="3" s="1"/>
  <c r="M154" i="3"/>
  <c r="AE154" i="3" s="1"/>
  <c r="M155" i="3"/>
  <c r="AE155" i="3" s="1"/>
  <c r="M156" i="3"/>
  <c r="AE156" i="3" s="1"/>
  <c r="M157" i="3"/>
  <c r="AE157" i="3" s="1"/>
  <c r="M158" i="3"/>
  <c r="AE158" i="3" s="1"/>
  <c r="M159" i="3"/>
  <c r="AE159" i="3" s="1"/>
  <c r="M160" i="3"/>
  <c r="AE160" i="3" s="1"/>
  <c r="M161" i="3"/>
  <c r="AE161" i="3" s="1"/>
  <c r="M162" i="3"/>
  <c r="AE162" i="3" s="1"/>
  <c r="M163" i="3"/>
  <c r="AE163" i="3" s="1"/>
  <c r="M164" i="3"/>
  <c r="AE164" i="3" s="1"/>
  <c r="M165" i="3"/>
  <c r="AE165" i="3" s="1"/>
  <c r="M166" i="3"/>
  <c r="AE166" i="3" s="1"/>
  <c r="M167" i="3"/>
  <c r="AE167" i="3" s="1"/>
  <c r="M168" i="3"/>
  <c r="AE168" i="3" s="1"/>
  <c r="M169" i="3"/>
  <c r="AE169" i="3" s="1"/>
  <c r="M170" i="3"/>
  <c r="AE170" i="3" s="1"/>
  <c r="M171" i="3"/>
  <c r="AE171" i="3" s="1"/>
  <c r="M172" i="3"/>
  <c r="AE172" i="3" s="1"/>
  <c r="M173" i="3"/>
  <c r="AE173" i="3" s="1"/>
  <c r="M174" i="3"/>
  <c r="AE174" i="3" s="1"/>
  <c r="M175" i="3"/>
  <c r="AE175" i="3" s="1"/>
  <c r="M176" i="3"/>
  <c r="AE176" i="3" s="1"/>
  <c r="M177" i="3"/>
  <c r="AE177" i="3" s="1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G148" i="3"/>
  <c r="I148" i="3"/>
  <c r="J148" i="3"/>
  <c r="N148" i="3"/>
  <c r="W148" i="3"/>
  <c r="X148" i="3"/>
  <c r="Y148" i="3"/>
  <c r="Z148" i="3"/>
  <c r="F10" i="19"/>
  <c r="G10" i="19" s="1"/>
  <c r="W10" i="19"/>
  <c r="G124" i="3"/>
  <c r="I124" i="3"/>
  <c r="J124" i="3"/>
  <c r="M124" i="3"/>
  <c r="AE124" i="3" s="1"/>
  <c r="N124" i="3"/>
  <c r="W124" i="3"/>
  <c r="X124" i="3"/>
  <c r="Y124" i="3"/>
  <c r="Z124" i="3"/>
  <c r="G147" i="3"/>
  <c r="I147" i="3"/>
  <c r="J147" i="3"/>
  <c r="M147" i="3"/>
  <c r="AE147" i="3" s="1"/>
  <c r="N147" i="3"/>
  <c r="W147" i="3"/>
  <c r="X147" i="3"/>
  <c r="Y147" i="3"/>
  <c r="Z147" i="3"/>
  <c r="G146" i="3"/>
  <c r="I146" i="3"/>
  <c r="J146" i="3"/>
  <c r="M146" i="3"/>
  <c r="AE146" i="3" s="1"/>
  <c r="N146" i="3"/>
  <c r="W146" i="3"/>
  <c r="X146" i="3"/>
  <c r="Y146" i="3"/>
  <c r="Z146" i="3"/>
  <c r="G145" i="3"/>
  <c r="I145" i="3"/>
  <c r="J145" i="3"/>
  <c r="M145" i="3"/>
  <c r="AE145" i="3" s="1"/>
  <c r="N145" i="3"/>
  <c r="W145" i="3"/>
  <c r="X145" i="3"/>
  <c r="Y145" i="3"/>
  <c r="Z145" i="3"/>
  <c r="G144" i="3"/>
  <c r="I144" i="3"/>
  <c r="J144" i="3"/>
  <c r="M144" i="3"/>
  <c r="AE144" i="3" s="1"/>
  <c r="N144" i="3"/>
  <c r="W144" i="3"/>
  <c r="X144" i="3"/>
  <c r="Y144" i="3"/>
  <c r="Z144" i="3"/>
  <c r="G143" i="3"/>
  <c r="I143" i="3"/>
  <c r="J143" i="3"/>
  <c r="M143" i="3"/>
  <c r="AE143" i="3" s="1"/>
  <c r="N143" i="3"/>
  <c r="W143" i="3"/>
  <c r="X143" i="3"/>
  <c r="Y143" i="3"/>
  <c r="Z143" i="3"/>
  <c r="G142" i="3"/>
  <c r="I142" i="3"/>
  <c r="J142" i="3"/>
  <c r="M142" i="3"/>
  <c r="AE142" i="3" s="1"/>
  <c r="N142" i="3"/>
  <c r="W142" i="3"/>
  <c r="X142" i="3"/>
  <c r="Y142" i="3"/>
  <c r="Z142" i="3"/>
  <c r="G141" i="3"/>
  <c r="I141" i="3"/>
  <c r="J141" i="3"/>
  <c r="M141" i="3"/>
  <c r="AE141" i="3" s="1"/>
  <c r="N141" i="3"/>
  <c r="W141" i="3"/>
  <c r="X141" i="3"/>
  <c r="Y141" i="3"/>
  <c r="Z141" i="3"/>
  <c r="G140" i="3"/>
  <c r="I140" i="3"/>
  <c r="J140" i="3"/>
  <c r="M140" i="3"/>
  <c r="AE140" i="3" s="1"/>
  <c r="N140" i="3"/>
  <c r="W140" i="3"/>
  <c r="X140" i="3"/>
  <c r="Y140" i="3"/>
  <c r="Z140" i="3"/>
  <c r="G139" i="3"/>
  <c r="I139" i="3"/>
  <c r="J139" i="3"/>
  <c r="M139" i="3"/>
  <c r="AE139" i="3" s="1"/>
  <c r="N139" i="3"/>
  <c r="W139" i="3"/>
  <c r="X139" i="3"/>
  <c r="Y139" i="3"/>
  <c r="Z139" i="3"/>
  <c r="G138" i="3"/>
  <c r="I138" i="3"/>
  <c r="J138" i="3"/>
  <c r="M138" i="3"/>
  <c r="AE138" i="3" s="1"/>
  <c r="N138" i="3"/>
  <c r="W138" i="3"/>
  <c r="X138" i="3"/>
  <c r="Y138" i="3"/>
  <c r="Z138" i="3"/>
  <c r="G137" i="3"/>
  <c r="I137" i="3"/>
  <c r="J137" i="3"/>
  <c r="M137" i="3"/>
  <c r="AE137" i="3" s="1"/>
  <c r="N137" i="3"/>
  <c r="W137" i="3"/>
  <c r="X137" i="3"/>
  <c r="Y137" i="3"/>
  <c r="Z137" i="3"/>
  <c r="G136" i="3"/>
  <c r="I136" i="3"/>
  <c r="J136" i="3"/>
  <c r="M136" i="3"/>
  <c r="AE136" i="3" s="1"/>
  <c r="N136" i="3"/>
  <c r="W136" i="3"/>
  <c r="X136" i="3"/>
  <c r="Y136" i="3"/>
  <c r="Z136" i="3"/>
  <c r="G134" i="3"/>
  <c r="G135" i="3"/>
  <c r="I134" i="3"/>
  <c r="I135" i="3"/>
  <c r="J134" i="3"/>
  <c r="J135" i="3"/>
  <c r="M134" i="3"/>
  <c r="AE134" i="3" s="1"/>
  <c r="M135" i="3"/>
  <c r="AE135" i="3" s="1"/>
  <c r="N134" i="3"/>
  <c r="N135" i="3"/>
  <c r="W134" i="3"/>
  <c r="W135" i="3"/>
  <c r="X134" i="3"/>
  <c r="X135" i="3"/>
  <c r="Y134" i="3"/>
  <c r="Y135" i="3"/>
  <c r="Z134" i="3"/>
  <c r="Z135" i="3"/>
  <c r="G133" i="3"/>
  <c r="I133" i="3"/>
  <c r="J133" i="3"/>
  <c r="M133" i="3"/>
  <c r="AE133" i="3" s="1"/>
  <c r="N133" i="3"/>
  <c r="W133" i="3"/>
  <c r="X133" i="3"/>
  <c r="Y133" i="3"/>
  <c r="Z133" i="3"/>
  <c r="G132" i="3"/>
  <c r="I132" i="3"/>
  <c r="J132" i="3"/>
  <c r="M132" i="3"/>
  <c r="AE132" i="3" s="1"/>
  <c r="N132" i="3"/>
  <c r="W132" i="3"/>
  <c r="X132" i="3"/>
  <c r="Y132" i="3"/>
  <c r="Z132" i="3"/>
  <c r="G131" i="3"/>
  <c r="I131" i="3"/>
  <c r="J131" i="3"/>
  <c r="M131" i="3"/>
  <c r="AE131" i="3" s="1"/>
  <c r="N131" i="3"/>
  <c r="W131" i="3"/>
  <c r="X131" i="3"/>
  <c r="Y131" i="3"/>
  <c r="Z131" i="3"/>
  <c r="G123" i="3"/>
  <c r="I123" i="3"/>
  <c r="J123" i="3"/>
  <c r="M123" i="3"/>
  <c r="AE123" i="3" s="1"/>
  <c r="N123" i="3"/>
  <c r="W123" i="3"/>
  <c r="X123" i="3"/>
  <c r="Y123" i="3"/>
  <c r="Z123" i="3"/>
  <c r="G125" i="3"/>
  <c r="G126" i="3"/>
  <c r="G127" i="3"/>
  <c r="G128" i="3"/>
  <c r="G129" i="3"/>
  <c r="G130" i="3"/>
  <c r="I125" i="3"/>
  <c r="I126" i="3"/>
  <c r="I127" i="3"/>
  <c r="I128" i="3"/>
  <c r="I129" i="3"/>
  <c r="I130" i="3"/>
  <c r="J125" i="3"/>
  <c r="J126" i="3"/>
  <c r="J127" i="3"/>
  <c r="J128" i="3"/>
  <c r="J129" i="3"/>
  <c r="J130" i="3"/>
  <c r="M125" i="3"/>
  <c r="AE125" i="3" s="1"/>
  <c r="M126" i="3"/>
  <c r="AE126" i="3" s="1"/>
  <c r="M127" i="3"/>
  <c r="AE127" i="3" s="1"/>
  <c r="M128" i="3"/>
  <c r="AE128" i="3" s="1"/>
  <c r="M129" i="3"/>
  <c r="AE129" i="3" s="1"/>
  <c r="M130" i="3"/>
  <c r="AE130" i="3" s="1"/>
  <c r="N125" i="3"/>
  <c r="N126" i="3"/>
  <c r="N127" i="3"/>
  <c r="N128" i="3"/>
  <c r="N129" i="3"/>
  <c r="N130" i="3"/>
  <c r="W125" i="3"/>
  <c r="W126" i="3"/>
  <c r="W127" i="3"/>
  <c r="W128" i="3"/>
  <c r="W129" i="3"/>
  <c r="W130" i="3"/>
  <c r="X125" i="3"/>
  <c r="X126" i="3"/>
  <c r="X127" i="3"/>
  <c r="X128" i="3"/>
  <c r="X129" i="3"/>
  <c r="X130" i="3"/>
  <c r="Y125" i="3"/>
  <c r="Y126" i="3"/>
  <c r="Y127" i="3"/>
  <c r="Y128" i="3"/>
  <c r="Y129" i="3"/>
  <c r="Y130" i="3"/>
  <c r="Z125" i="3"/>
  <c r="AC125" i="3" s="1"/>
  <c r="Z126" i="3"/>
  <c r="Z127" i="3"/>
  <c r="Z128" i="3"/>
  <c r="Z129" i="3"/>
  <c r="AC129" i="3" s="1"/>
  <c r="Z130" i="3"/>
  <c r="AC130" i="3" s="1"/>
  <c r="G122" i="3"/>
  <c r="I122" i="3"/>
  <c r="J122" i="3"/>
  <c r="M122" i="3"/>
  <c r="AE122" i="3" s="1"/>
  <c r="N122" i="3"/>
  <c r="W122" i="3"/>
  <c r="X122" i="3"/>
  <c r="Y122" i="3"/>
  <c r="Z122" i="3"/>
  <c r="G120" i="3"/>
  <c r="G121" i="3"/>
  <c r="I120" i="3"/>
  <c r="I121" i="3"/>
  <c r="J120" i="3"/>
  <c r="J121" i="3"/>
  <c r="M120" i="3"/>
  <c r="AE120" i="3" s="1"/>
  <c r="M121" i="3"/>
  <c r="AE121" i="3" s="1"/>
  <c r="N120" i="3"/>
  <c r="N121" i="3"/>
  <c r="W120" i="3"/>
  <c r="W121" i="3"/>
  <c r="X120" i="3"/>
  <c r="X121" i="3"/>
  <c r="Y120" i="3"/>
  <c r="Y121" i="3"/>
  <c r="Z120" i="3"/>
  <c r="Z121" i="3"/>
  <c r="G119" i="3"/>
  <c r="I119" i="3"/>
  <c r="J119" i="3"/>
  <c r="M119" i="3"/>
  <c r="AE119" i="3" s="1"/>
  <c r="N119" i="3"/>
  <c r="W119" i="3"/>
  <c r="X119" i="3"/>
  <c r="Y119" i="3"/>
  <c r="Z119" i="3"/>
  <c r="G117" i="3"/>
  <c r="G118" i="3"/>
  <c r="I117" i="3"/>
  <c r="I118" i="3"/>
  <c r="J117" i="3"/>
  <c r="J118" i="3"/>
  <c r="M117" i="3"/>
  <c r="AE117" i="3" s="1"/>
  <c r="M118" i="3"/>
  <c r="AE118" i="3" s="1"/>
  <c r="N117" i="3"/>
  <c r="N118" i="3"/>
  <c r="W117" i="3"/>
  <c r="W118" i="3"/>
  <c r="X117" i="3"/>
  <c r="X118" i="3"/>
  <c r="Y117" i="3"/>
  <c r="Y118" i="3"/>
  <c r="Z117" i="3"/>
  <c r="Z118" i="3"/>
  <c r="G116" i="3"/>
  <c r="I116" i="3"/>
  <c r="J116" i="3"/>
  <c r="M116" i="3"/>
  <c r="AE116" i="3" s="1"/>
  <c r="N116" i="3"/>
  <c r="W116" i="3"/>
  <c r="X116" i="3"/>
  <c r="Y116" i="3"/>
  <c r="Z116" i="3"/>
  <c r="G114" i="3"/>
  <c r="G115" i="3"/>
  <c r="I114" i="3"/>
  <c r="I115" i="3"/>
  <c r="J114" i="3"/>
  <c r="J115" i="3"/>
  <c r="M114" i="3"/>
  <c r="AE114" i="3" s="1"/>
  <c r="M115" i="3"/>
  <c r="AE115" i="3" s="1"/>
  <c r="N114" i="3"/>
  <c r="N115" i="3"/>
  <c r="W114" i="3"/>
  <c r="W115" i="3"/>
  <c r="X114" i="3"/>
  <c r="X115" i="3"/>
  <c r="Y114" i="3"/>
  <c r="Y115" i="3"/>
  <c r="Z114" i="3"/>
  <c r="Z115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M99" i="3"/>
  <c r="AE99" i="3" s="1"/>
  <c r="M100" i="3"/>
  <c r="AE100" i="3" s="1"/>
  <c r="M101" i="3"/>
  <c r="AE101" i="3" s="1"/>
  <c r="M102" i="3"/>
  <c r="AE102" i="3" s="1"/>
  <c r="M103" i="3"/>
  <c r="AE103" i="3" s="1"/>
  <c r="M104" i="3"/>
  <c r="AE104" i="3" s="1"/>
  <c r="M105" i="3"/>
  <c r="AE105" i="3" s="1"/>
  <c r="M106" i="3"/>
  <c r="AE106" i="3" s="1"/>
  <c r="M107" i="3"/>
  <c r="AE107" i="3" s="1"/>
  <c r="M108" i="3"/>
  <c r="AE108" i="3" s="1"/>
  <c r="M109" i="3"/>
  <c r="AE109" i="3" s="1"/>
  <c r="M110" i="3"/>
  <c r="AE110" i="3" s="1"/>
  <c r="M111" i="3"/>
  <c r="AE111" i="3" s="1"/>
  <c r="M112" i="3"/>
  <c r="AE112" i="3" s="1"/>
  <c r="M113" i="3"/>
  <c r="AE113" i="3" s="1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Z99" i="3"/>
  <c r="AC99" i="3" s="1"/>
  <c r="Z100" i="3"/>
  <c r="Z101" i="3"/>
  <c r="Z102" i="3"/>
  <c r="AC102" i="3" s="1"/>
  <c r="Z103" i="3"/>
  <c r="Z104" i="3"/>
  <c r="Z105" i="3"/>
  <c r="Z106" i="3"/>
  <c r="Z107" i="3"/>
  <c r="Z108" i="3"/>
  <c r="Z109" i="3"/>
  <c r="Z110" i="3"/>
  <c r="AC110" i="3" s="1"/>
  <c r="Z111" i="3"/>
  <c r="Z112" i="3"/>
  <c r="Z113" i="3"/>
  <c r="G98" i="3"/>
  <c r="I98" i="3"/>
  <c r="J98" i="3"/>
  <c r="M98" i="3"/>
  <c r="AE98" i="3" s="1"/>
  <c r="N98" i="3"/>
  <c r="W98" i="3"/>
  <c r="X98" i="3"/>
  <c r="Y98" i="3"/>
  <c r="Z98" i="3"/>
  <c r="N81" i="3"/>
  <c r="M81" i="3"/>
  <c r="AE81" i="3" s="1"/>
  <c r="N79" i="3"/>
  <c r="M79" i="3"/>
  <c r="AE79" i="3" s="1"/>
  <c r="N77" i="3"/>
  <c r="M77" i="3"/>
  <c r="AE77" i="3" s="1"/>
  <c r="N84" i="3"/>
  <c r="M84" i="3"/>
  <c r="AE84" i="3" s="1"/>
  <c r="N83" i="3"/>
  <c r="M83" i="3"/>
  <c r="AE83" i="3" s="1"/>
  <c r="N89" i="3"/>
  <c r="M89" i="3"/>
  <c r="AE89" i="3" s="1"/>
  <c r="N88" i="3"/>
  <c r="M88" i="3"/>
  <c r="AE88" i="3" s="1"/>
  <c r="G89" i="3"/>
  <c r="I89" i="3"/>
  <c r="J89" i="3"/>
  <c r="W89" i="3"/>
  <c r="X89" i="3"/>
  <c r="Y89" i="3"/>
  <c r="Z89" i="3"/>
  <c r="G90" i="3"/>
  <c r="I90" i="3"/>
  <c r="J90" i="3"/>
  <c r="M90" i="3"/>
  <c r="AE90" i="3" s="1"/>
  <c r="N90" i="3"/>
  <c r="W90" i="3"/>
  <c r="X90" i="3"/>
  <c r="Y90" i="3"/>
  <c r="Z90" i="3"/>
  <c r="N92" i="3"/>
  <c r="M92" i="3"/>
  <c r="AE92" i="3" s="1"/>
  <c r="N91" i="3"/>
  <c r="M91" i="3"/>
  <c r="AE91" i="3" s="1"/>
  <c r="G92" i="3"/>
  <c r="I92" i="3"/>
  <c r="J92" i="3"/>
  <c r="W92" i="3"/>
  <c r="X92" i="3"/>
  <c r="Y92" i="3"/>
  <c r="Z92" i="3"/>
  <c r="N95" i="3"/>
  <c r="M95" i="3"/>
  <c r="AE95" i="3" s="1"/>
  <c r="N94" i="3"/>
  <c r="M94" i="3"/>
  <c r="AE94" i="3" s="1"/>
  <c r="G95" i="3"/>
  <c r="I95" i="3"/>
  <c r="J95" i="3"/>
  <c r="W95" i="3"/>
  <c r="X95" i="3"/>
  <c r="Y95" i="3"/>
  <c r="Z95" i="3"/>
  <c r="G96" i="3"/>
  <c r="I96" i="3"/>
  <c r="J96" i="3"/>
  <c r="M96" i="3"/>
  <c r="AE96" i="3" s="1"/>
  <c r="N96" i="3"/>
  <c r="W96" i="3"/>
  <c r="X96" i="3"/>
  <c r="Y96" i="3"/>
  <c r="Z96" i="3"/>
  <c r="N93" i="3"/>
  <c r="M93" i="3"/>
  <c r="AE93" i="3" s="1"/>
  <c r="N86" i="3"/>
  <c r="M86" i="3"/>
  <c r="AE86" i="3" s="1"/>
  <c r="N82" i="3"/>
  <c r="M82" i="3"/>
  <c r="AE82" i="3" s="1"/>
  <c r="N80" i="3"/>
  <c r="M80" i="3"/>
  <c r="AE80" i="3" s="1"/>
  <c r="N78" i="3"/>
  <c r="M78" i="3"/>
  <c r="AE78" i="3" s="1"/>
  <c r="G75" i="3"/>
  <c r="I75" i="3"/>
  <c r="J75" i="3"/>
  <c r="M75" i="3"/>
  <c r="AE75" i="3" s="1"/>
  <c r="N75" i="3"/>
  <c r="W75" i="3"/>
  <c r="X75" i="3"/>
  <c r="Y75" i="3"/>
  <c r="Z75" i="3"/>
  <c r="G97" i="3"/>
  <c r="I97" i="3"/>
  <c r="J97" i="3"/>
  <c r="M97" i="3"/>
  <c r="AE97" i="3" s="1"/>
  <c r="N97" i="3"/>
  <c r="W97" i="3"/>
  <c r="X97" i="3"/>
  <c r="Y97" i="3"/>
  <c r="Z97" i="3"/>
  <c r="G94" i="3"/>
  <c r="I94" i="3"/>
  <c r="J94" i="3"/>
  <c r="W94" i="3"/>
  <c r="X94" i="3"/>
  <c r="Y94" i="3"/>
  <c r="Z94" i="3"/>
  <c r="G93" i="3"/>
  <c r="I93" i="3"/>
  <c r="J93" i="3"/>
  <c r="W93" i="3"/>
  <c r="X93" i="3"/>
  <c r="Y93" i="3"/>
  <c r="Z93" i="3"/>
  <c r="G91" i="3"/>
  <c r="I91" i="3"/>
  <c r="J91" i="3"/>
  <c r="W91" i="3"/>
  <c r="X91" i="3"/>
  <c r="Y91" i="3"/>
  <c r="Z91" i="3"/>
  <c r="G88" i="3"/>
  <c r="I88" i="3"/>
  <c r="J88" i="3"/>
  <c r="W88" i="3"/>
  <c r="X88" i="3"/>
  <c r="Y88" i="3"/>
  <c r="Z88" i="3"/>
  <c r="G87" i="3"/>
  <c r="I87" i="3"/>
  <c r="J87" i="3"/>
  <c r="M87" i="3"/>
  <c r="AE87" i="3" s="1"/>
  <c r="N87" i="3"/>
  <c r="W87" i="3"/>
  <c r="X87" i="3"/>
  <c r="Y87" i="3"/>
  <c r="Z87" i="3"/>
  <c r="G86" i="3"/>
  <c r="I86" i="3"/>
  <c r="J86" i="3"/>
  <c r="W86" i="3"/>
  <c r="X86" i="3"/>
  <c r="Y86" i="3"/>
  <c r="Z86" i="3"/>
  <c r="G85" i="3"/>
  <c r="I85" i="3"/>
  <c r="J85" i="3"/>
  <c r="M85" i="3"/>
  <c r="AE85" i="3" s="1"/>
  <c r="N85" i="3"/>
  <c r="W85" i="3"/>
  <c r="X85" i="3"/>
  <c r="Y85" i="3"/>
  <c r="Z85" i="3"/>
  <c r="G84" i="3"/>
  <c r="I84" i="3"/>
  <c r="J84" i="3"/>
  <c r="W84" i="3"/>
  <c r="X84" i="3"/>
  <c r="Y84" i="3"/>
  <c r="Z84" i="3"/>
  <c r="G83" i="3"/>
  <c r="I83" i="3"/>
  <c r="J83" i="3"/>
  <c r="W83" i="3"/>
  <c r="X83" i="3"/>
  <c r="Y83" i="3"/>
  <c r="Z83" i="3"/>
  <c r="G82" i="3"/>
  <c r="I82" i="3"/>
  <c r="J82" i="3"/>
  <c r="W82" i="3"/>
  <c r="X82" i="3"/>
  <c r="Y82" i="3"/>
  <c r="Z82" i="3"/>
  <c r="G81" i="3"/>
  <c r="I81" i="3"/>
  <c r="J81" i="3"/>
  <c r="W81" i="3"/>
  <c r="X81" i="3"/>
  <c r="Y81" i="3"/>
  <c r="Z81" i="3"/>
  <c r="G80" i="3"/>
  <c r="I80" i="3"/>
  <c r="J80" i="3"/>
  <c r="W80" i="3"/>
  <c r="X80" i="3"/>
  <c r="Y80" i="3"/>
  <c r="Z80" i="3"/>
  <c r="G79" i="3"/>
  <c r="I79" i="3"/>
  <c r="J79" i="3"/>
  <c r="W79" i="3"/>
  <c r="X79" i="3"/>
  <c r="Y79" i="3"/>
  <c r="Z79" i="3"/>
  <c r="G78" i="3"/>
  <c r="I78" i="3"/>
  <c r="J78" i="3"/>
  <c r="W78" i="3"/>
  <c r="X78" i="3"/>
  <c r="Y78" i="3"/>
  <c r="Z78" i="3"/>
  <c r="G77" i="3"/>
  <c r="I77" i="3"/>
  <c r="J77" i="3"/>
  <c r="W77" i="3"/>
  <c r="X77" i="3"/>
  <c r="Y77" i="3"/>
  <c r="Z77" i="3"/>
  <c r="G76" i="3"/>
  <c r="I76" i="3"/>
  <c r="J76" i="3"/>
  <c r="M76" i="3"/>
  <c r="AE76" i="3" s="1"/>
  <c r="N76" i="3"/>
  <c r="W76" i="3"/>
  <c r="X76" i="3"/>
  <c r="Y76" i="3"/>
  <c r="Z76" i="3"/>
  <c r="F9" i="19"/>
  <c r="G9" i="19" s="1"/>
  <c r="W9" i="19"/>
  <c r="N73" i="3"/>
  <c r="M73" i="3"/>
  <c r="AE73" i="3" s="1"/>
  <c r="N72" i="3"/>
  <c r="M72" i="3"/>
  <c r="AE72" i="3" s="1"/>
  <c r="G73" i="3"/>
  <c r="G74" i="3"/>
  <c r="I73" i="3"/>
  <c r="I74" i="3"/>
  <c r="J73" i="3"/>
  <c r="J74" i="3"/>
  <c r="M74" i="3"/>
  <c r="AE74" i="3" s="1"/>
  <c r="N74" i="3"/>
  <c r="W73" i="3"/>
  <c r="W74" i="3"/>
  <c r="X73" i="3"/>
  <c r="X74" i="3"/>
  <c r="Y73" i="3"/>
  <c r="Y74" i="3"/>
  <c r="Z73" i="3"/>
  <c r="Z74" i="3"/>
  <c r="G72" i="3"/>
  <c r="I72" i="3"/>
  <c r="J72" i="3"/>
  <c r="W72" i="3"/>
  <c r="X72" i="3"/>
  <c r="Y72" i="3"/>
  <c r="Z72" i="3"/>
  <c r="AC72" i="3" s="1"/>
  <c r="G70" i="3"/>
  <c r="G71" i="3"/>
  <c r="I70" i="3"/>
  <c r="I71" i="3"/>
  <c r="J70" i="3"/>
  <c r="J71" i="3"/>
  <c r="W70" i="3"/>
  <c r="W71" i="3"/>
  <c r="X70" i="3"/>
  <c r="X71" i="3"/>
  <c r="Y70" i="3"/>
  <c r="Y71" i="3"/>
  <c r="Z70" i="3"/>
  <c r="Z71" i="3"/>
  <c r="N71" i="3"/>
  <c r="M71" i="3"/>
  <c r="AE71" i="3" s="1"/>
  <c r="N70" i="3"/>
  <c r="M70" i="3"/>
  <c r="AE70" i="3" s="1"/>
  <c r="G69" i="3"/>
  <c r="I69" i="3"/>
  <c r="J69" i="3"/>
  <c r="W69" i="3"/>
  <c r="X69" i="3"/>
  <c r="Y69" i="3"/>
  <c r="Z69" i="3"/>
  <c r="N69" i="3"/>
  <c r="M69" i="3"/>
  <c r="AE69" i="3" s="1"/>
  <c r="G68" i="3"/>
  <c r="I68" i="3"/>
  <c r="J68" i="3"/>
  <c r="W68" i="3"/>
  <c r="X68" i="3"/>
  <c r="Y68" i="3"/>
  <c r="Z68" i="3"/>
  <c r="N68" i="3"/>
  <c r="M68" i="3"/>
  <c r="AE68" i="3" s="1"/>
  <c r="N67" i="3"/>
  <c r="M67" i="3"/>
  <c r="AE67" i="3" s="1"/>
  <c r="G67" i="3"/>
  <c r="I67" i="3"/>
  <c r="J67" i="3"/>
  <c r="W67" i="3"/>
  <c r="X67" i="3"/>
  <c r="Y67" i="3"/>
  <c r="Z67" i="3"/>
  <c r="P4" i="11"/>
  <c r="M4" i="11"/>
  <c r="AD4" i="11" s="1"/>
  <c r="C4" i="11"/>
  <c r="F4" i="11"/>
  <c r="G4" i="11" s="1"/>
  <c r="I4" i="11"/>
  <c r="J4" i="11"/>
  <c r="Y4" i="11"/>
  <c r="F8" i="19"/>
  <c r="G8" i="19" s="1"/>
  <c r="W8" i="19"/>
  <c r="I185" i="3" l="1"/>
  <c r="I183" i="3"/>
  <c r="K183" i="3" s="1"/>
  <c r="J186" i="3"/>
  <c r="I186" i="3"/>
  <c r="I178" i="3"/>
  <c r="K178" i="3" s="1"/>
  <c r="J179" i="3"/>
  <c r="K179" i="3" s="1"/>
  <c r="J184" i="3"/>
  <c r="K184" i="3" s="1"/>
  <c r="AC184" i="3"/>
  <c r="I180" i="3"/>
  <c r="K180" i="3" s="1"/>
  <c r="J181" i="3"/>
  <c r="K181" i="3" s="1"/>
  <c r="J185" i="3"/>
  <c r="G14" i="1"/>
  <c r="A13" i="1"/>
  <c r="F23" i="15"/>
  <c r="B23" i="15"/>
  <c r="C23" i="15"/>
  <c r="B15" i="19"/>
  <c r="H16" i="19"/>
  <c r="C15" i="19"/>
  <c r="AC170" i="3"/>
  <c r="AC158" i="3"/>
  <c r="AC176" i="3"/>
  <c r="AC164" i="3"/>
  <c r="AC152" i="3"/>
  <c r="AC175" i="3"/>
  <c r="AC163" i="3"/>
  <c r="AC151" i="3"/>
  <c r="AC167" i="3"/>
  <c r="AC155" i="3"/>
  <c r="AC165" i="3"/>
  <c r="AC153" i="3"/>
  <c r="AC172" i="3"/>
  <c r="AC160" i="3"/>
  <c r="AC193" i="3"/>
  <c r="AC189" i="3"/>
  <c r="AC131" i="3"/>
  <c r="AC169" i="3"/>
  <c r="AC157" i="3"/>
  <c r="AC190" i="3"/>
  <c r="AC156" i="3"/>
  <c r="AC188" i="3"/>
  <c r="AC162" i="3"/>
  <c r="AC195" i="3"/>
  <c r="AC173" i="3"/>
  <c r="AC161" i="3"/>
  <c r="AC149" i="3"/>
  <c r="AC180" i="3"/>
  <c r="AC171" i="3"/>
  <c r="AC192" i="3"/>
  <c r="AB5" i="11"/>
  <c r="AC117" i="3"/>
  <c r="AC196" i="3"/>
  <c r="AC114" i="3"/>
  <c r="AC191" i="3"/>
  <c r="AC194" i="3"/>
  <c r="AC136" i="3"/>
  <c r="AC133" i="3"/>
  <c r="AC128" i="3"/>
  <c r="AC138" i="3"/>
  <c r="AC146" i="3"/>
  <c r="AC159" i="3"/>
  <c r="AC187" i="3"/>
  <c r="K177" i="3"/>
  <c r="K173" i="3"/>
  <c r="K169" i="3"/>
  <c r="K165" i="3"/>
  <c r="K161" i="3"/>
  <c r="K157" i="3"/>
  <c r="K153" i="3"/>
  <c r="K149" i="3"/>
  <c r="K182" i="3"/>
  <c r="AC183" i="3"/>
  <c r="AC182" i="3"/>
  <c r="K152" i="3"/>
  <c r="AC181" i="3"/>
  <c r="AC179" i="3"/>
  <c r="AC120" i="3"/>
  <c r="AC145" i="3"/>
  <c r="AC118" i="3"/>
  <c r="AC140" i="3"/>
  <c r="AC178" i="3"/>
  <c r="K163" i="3"/>
  <c r="AC143" i="3"/>
  <c r="K174" i="3"/>
  <c r="K170" i="3"/>
  <c r="K166" i="3"/>
  <c r="K162" i="3"/>
  <c r="K158" i="3"/>
  <c r="K154" i="3"/>
  <c r="K150" i="3"/>
  <c r="K172" i="3"/>
  <c r="K164" i="3"/>
  <c r="K160" i="3"/>
  <c r="K156" i="3"/>
  <c r="K176" i="3"/>
  <c r="K168" i="3"/>
  <c r="K171" i="3"/>
  <c r="K167" i="3"/>
  <c r="K159" i="3"/>
  <c r="K155" i="3"/>
  <c r="K151" i="3"/>
  <c r="AC177" i="3"/>
  <c r="AC174" i="3"/>
  <c r="AC168" i="3"/>
  <c r="AC166" i="3"/>
  <c r="AC154" i="3"/>
  <c r="K175" i="3"/>
  <c r="AC150" i="3"/>
  <c r="AC148" i="3"/>
  <c r="AC90" i="3"/>
  <c r="K148" i="3"/>
  <c r="K124" i="3"/>
  <c r="K140" i="3"/>
  <c r="K143" i="3"/>
  <c r="K147" i="3"/>
  <c r="AC124" i="3"/>
  <c r="AC115" i="3"/>
  <c r="AC112" i="3"/>
  <c r="AC109" i="3"/>
  <c r="K146" i="3"/>
  <c r="AC147" i="3"/>
  <c r="AC144" i="3"/>
  <c r="AC141" i="3"/>
  <c r="AC137" i="3"/>
  <c r="AC134" i="3"/>
  <c r="AC135" i="3"/>
  <c r="AC132" i="3"/>
  <c r="AC126" i="3"/>
  <c r="AC121" i="3"/>
  <c r="AC111" i="3"/>
  <c r="AC142" i="3"/>
  <c r="AC139" i="3"/>
  <c r="AC127" i="3"/>
  <c r="AC122" i="3"/>
  <c r="AC119" i="3"/>
  <c r="AC116" i="3"/>
  <c r="AC113" i="3"/>
  <c r="AC107" i="3"/>
  <c r="AC101" i="3"/>
  <c r="AC103" i="3"/>
  <c r="AC104" i="3"/>
  <c r="AC105" i="3"/>
  <c r="AC100" i="3"/>
  <c r="K144" i="3"/>
  <c r="K142" i="3"/>
  <c r="K145" i="3"/>
  <c r="K141" i="3"/>
  <c r="K135" i="3"/>
  <c r="K125" i="3"/>
  <c r="K131" i="3"/>
  <c r="K134" i="3"/>
  <c r="K136" i="3"/>
  <c r="K138" i="3"/>
  <c r="K137" i="3"/>
  <c r="K139" i="3"/>
  <c r="K133" i="3"/>
  <c r="K107" i="3"/>
  <c r="K103" i="3"/>
  <c r="K130" i="3"/>
  <c r="K126" i="3"/>
  <c r="K128" i="3"/>
  <c r="K129" i="3"/>
  <c r="K132" i="3"/>
  <c r="K119" i="3"/>
  <c r="K114" i="3"/>
  <c r="K117" i="3"/>
  <c r="K127" i="3"/>
  <c r="K123" i="3"/>
  <c r="AC123" i="3"/>
  <c r="K111" i="3"/>
  <c r="K99" i="3"/>
  <c r="AC98" i="3"/>
  <c r="AC108" i="3"/>
  <c r="K110" i="3"/>
  <c r="K106" i="3"/>
  <c r="K102" i="3"/>
  <c r="K100" i="3"/>
  <c r="K115" i="3"/>
  <c r="K120" i="3"/>
  <c r="AC75" i="3"/>
  <c r="K122" i="3"/>
  <c r="K121" i="3"/>
  <c r="K109" i="3"/>
  <c r="K105" i="3"/>
  <c r="K101" i="3"/>
  <c r="K112" i="3"/>
  <c r="K108" i="3"/>
  <c r="K104" i="3"/>
  <c r="K118" i="3"/>
  <c r="K116" i="3"/>
  <c r="K113" i="3"/>
  <c r="AC106" i="3"/>
  <c r="AC74" i="3"/>
  <c r="K98" i="3"/>
  <c r="AC79" i="3"/>
  <c r="AC89" i="3"/>
  <c r="AC97" i="3"/>
  <c r="K76" i="3"/>
  <c r="AC80" i="3"/>
  <c r="K90" i="3"/>
  <c r="K89" i="3"/>
  <c r="AC81" i="3"/>
  <c r="AC83" i="3"/>
  <c r="AC87" i="3"/>
  <c r="K83" i="3"/>
  <c r="AC92" i="3"/>
  <c r="K80" i="3"/>
  <c r="K96" i="3"/>
  <c r="AC95" i="3"/>
  <c r="K95" i="3"/>
  <c r="K92" i="3"/>
  <c r="AC94" i="3"/>
  <c r="K87" i="3"/>
  <c r="K97" i="3"/>
  <c r="AC96" i="3"/>
  <c r="AC84" i="3"/>
  <c r="K75" i="3"/>
  <c r="AC77" i="3"/>
  <c r="K84" i="3"/>
  <c r="AC91" i="3"/>
  <c r="K88" i="3"/>
  <c r="AC93" i="3"/>
  <c r="AC88" i="3"/>
  <c r="AC86" i="3"/>
  <c r="AC82" i="3"/>
  <c r="AC76" i="3"/>
  <c r="K78" i="3"/>
  <c r="K94" i="3"/>
  <c r="K81" i="3"/>
  <c r="K86" i="3"/>
  <c r="K82" i="3"/>
  <c r="K91" i="3"/>
  <c r="AC85" i="3"/>
  <c r="K77" i="3"/>
  <c r="K79" i="3"/>
  <c r="K85" i="3"/>
  <c r="K93" i="3"/>
  <c r="AC78" i="3"/>
  <c r="AC69" i="3"/>
  <c r="K70" i="3"/>
  <c r="AC70" i="3"/>
  <c r="AC71" i="3"/>
  <c r="AC73" i="3"/>
  <c r="K73" i="3"/>
  <c r="K74" i="3"/>
  <c r="K4" i="11"/>
  <c r="K67" i="3"/>
  <c r="K71" i="3"/>
  <c r="K72" i="3"/>
  <c r="AC67" i="3"/>
  <c r="K69" i="3"/>
  <c r="AC68" i="3"/>
  <c r="K68" i="3"/>
  <c r="AB4" i="11"/>
  <c r="G63" i="3"/>
  <c r="G64" i="3"/>
  <c r="I63" i="3"/>
  <c r="I64" i="3"/>
  <c r="J63" i="3"/>
  <c r="J64" i="3"/>
  <c r="M63" i="3"/>
  <c r="AE63" i="3" s="1"/>
  <c r="M64" i="3"/>
  <c r="AE64" i="3" s="1"/>
  <c r="N63" i="3"/>
  <c r="N64" i="3"/>
  <c r="W63" i="3"/>
  <c r="W64" i="3"/>
  <c r="X63" i="3"/>
  <c r="X64" i="3"/>
  <c r="Y63" i="3"/>
  <c r="Y64" i="3"/>
  <c r="Z63" i="3"/>
  <c r="Z64" i="3"/>
  <c r="G60" i="3"/>
  <c r="I60" i="3"/>
  <c r="J60" i="3"/>
  <c r="M60" i="3"/>
  <c r="AE60" i="3" s="1"/>
  <c r="N60" i="3"/>
  <c r="W60" i="3"/>
  <c r="X60" i="3"/>
  <c r="Y60" i="3"/>
  <c r="Z60" i="3"/>
  <c r="G61" i="3"/>
  <c r="I61" i="3"/>
  <c r="J61" i="3"/>
  <c r="M61" i="3"/>
  <c r="AE61" i="3" s="1"/>
  <c r="N61" i="3"/>
  <c r="W61" i="3"/>
  <c r="X61" i="3"/>
  <c r="Y61" i="3"/>
  <c r="Z61" i="3"/>
  <c r="G57" i="3"/>
  <c r="G58" i="3"/>
  <c r="G59" i="3"/>
  <c r="G62" i="3"/>
  <c r="I57" i="3"/>
  <c r="I58" i="3"/>
  <c r="I59" i="3"/>
  <c r="I62" i="3"/>
  <c r="J57" i="3"/>
  <c r="J58" i="3"/>
  <c r="J59" i="3"/>
  <c r="J62" i="3"/>
  <c r="M57" i="3"/>
  <c r="AE57" i="3" s="1"/>
  <c r="M58" i="3"/>
  <c r="AE58" i="3" s="1"/>
  <c r="M59" i="3"/>
  <c r="AE59" i="3" s="1"/>
  <c r="M62" i="3"/>
  <c r="AE62" i="3" s="1"/>
  <c r="N57" i="3"/>
  <c r="N58" i="3"/>
  <c r="N59" i="3"/>
  <c r="N62" i="3"/>
  <c r="W57" i="3"/>
  <c r="W58" i="3"/>
  <c r="W59" i="3"/>
  <c r="W62" i="3"/>
  <c r="X57" i="3"/>
  <c r="X58" i="3"/>
  <c r="X59" i="3"/>
  <c r="X62" i="3"/>
  <c r="Y57" i="3"/>
  <c r="Y58" i="3"/>
  <c r="Y59" i="3"/>
  <c r="Y62" i="3"/>
  <c r="Z57" i="3"/>
  <c r="Z58" i="3"/>
  <c r="Z59" i="3"/>
  <c r="Z62" i="3"/>
  <c r="G54" i="3"/>
  <c r="G55" i="3"/>
  <c r="G56" i="3"/>
  <c r="I54" i="3"/>
  <c r="I55" i="3"/>
  <c r="I56" i="3"/>
  <c r="J54" i="3"/>
  <c r="J55" i="3"/>
  <c r="J56" i="3"/>
  <c r="M54" i="3"/>
  <c r="AE54" i="3" s="1"/>
  <c r="M55" i="3"/>
  <c r="AE55" i="3" s="1"/>
  <c r="M56" i="3"/>
  <c r="AE56" i="3" s="1"/>
  <c r="N54" i="3"/>
  <c r="N55" i="3"/>
  <c r="N56" i="3"/>
  <c r="W54" i="3"/>
  <c r="W55" i="3"/>
  <c r="W56" i="3"/>
  <c r="X54" i="3"/>
  <c r="X55" i="3"/>
  <c r="X56" i="3"/>
  <c r="Y54" i="3"/>
  <c r="Y55" i="3"/>
  <c r="Y56" i="3"/>
  <c r="Z54" i="3"/>
  <c r="Z55" i="3"/>
  <c r="Z56" i="3"/>
  <c r="G53" i="3"/>
  <c r="I53" i="3"/>
  <c r="J53" i="3"/>
  <c r="M53" i="3"/>
  <c r="AE53" i="3" s="1"/>
  <c r="N53" i="3"/>
  <c r="W53" i="3"/>
  <c r="X53" i="3"/>
  <c r="Y53" i="3"/>
  <c r="Z53" i="3"/>
  <c r="G51" i="3"/>
  <c r="G52" i="3"/>
  <c r="I51" i="3"/>
  <c r="I52" i="3"/>
  <c r="J51" i="3"/>
  <c r="J52" i="3"/>
  <c r="M51" i="3"/>
  <c r="AE51" i="3" s="1"/>
  <c r="M52" i="3"/>
  <c r="AE52" i="3" s="1"/>
  <c r="N51" i="3"/>
  <c r="N52" i="3"/>
  <c r="W51" i="3"/>
  <c r="W52" i="3"/>
  <c r="X51" i="3"/>
  <c r="X52" i="3"/>
  <c r="Y51" i="3"/>
  <c r="Y52" i="3"/>
  <c r="Z51" i="3"/>
  <c r="Z52" i="3"/>
  <c r="G46" i="3"/>
  <c r="G47" i="3"/>
  <c r="G48" i="3"/>
  <c r="G49" i="3"/>
  <c r="G50" i="3"/>
  <c r="G65" i="3"/>
  <c r="G66" i="3"/>
  <c r="I46" i="3"/>
  <c r="I47" i="3"/>
  <c r="I48" i="3"/>
  <c r="I49" i="3"/>
  <c r="I50" i="3"/>
  <c r="I65" i="3"/>
  <c r="I66" i="3"/>
  <c r="J46" i="3"/>
  <c r="J47" i="3"/>
  <c r="J48" i="3"/>
  <c r="J49" i="3"/>
  <c r="J50" i="3"/>
  <c r="J65" i="3"/>
  <c r="J66" i="3"/>
  <c r="W46" i="3"/>
  <c r="W47" i="3"/>
  <c r="W48" i="3"/>
  <c r="W49" i="3"/>
  <c r="W50" i="3"/>
  <c r="W65" i="3"/>
  <c r="W66" i="3"/>
  <c r="X46" i="3"/>
  <c r="X47" i="3"/>
  <c r="X48" i="3"/>
  <c r="X49" i="3"/>
  <c r="X50" i="3"/>
  <c r="X65" i="3"/>
  <c r="X66" i="3"/>
  <c r="Y46" i="3"/>
  <c r="Y47" i="3"/>
  <c r="Y48" i="3"/>
  <c r="Y49" i="3"/>
  <c r="Y50" i="3"/>
  <c r="Y65" i="3"/>
  <c r="Y66" i="3"/>
  <c r="Z46" i="3"/>
  <c r="Z47" i="3"/>
  <c r="Z48" i="3"/>
  <c r="Z49" i="3"/>
  <c r="Z50" i="3"/>
  <c r="Z65" i="3"/>
  <c r="Z66" i="3"/>
  <c r="N66" i="3"/>
  <c r="M66" i="3"/>
  <c r="AE66" i="3" s="1"/>
  <c r="N65" i="3"/>
  <c r="M65" i="3"/>
  <c r="AE65" i="3" s="1"/>
  <c r="N50" i="3"/>
  <c r="M50" i="3"/>
  <c r="AE50" i="3" s="1"/>
  <c r="N49" i="3"/>
  <c r="M49" i="3"/>
  <c r="AE49" i="3" s="1"/>
  <c r="N48" i="3"/>
  <c r="M48" i="3"/>
  <c r="AE48" i="3" s="1"/>
  <c r="N47" i="3"/>
  <c r="M47" i="3"/>
  <c r="AE47" i="3" s="1"/>
  <c r="N46" i="3"/>
  <c r="M46" i="3"/>
  <c r="AE46" i="3" s="1"/>
  <c r="F3" i="19"/>
  <c r="G3" i="19" s="1"/>
  <c r="F4" i="19"/>
  <c r="G4" i="19" s="1"/>
  <c r="F5" i="19"/>
  <c r="G5" i="19" s="1"/>
  <c r="F6" i="19"/>
  <c r="G6" i="19" s="1"/>
  <c r="F7" i="19"/>
  <c r="G7" i="19" s="1"/>
  <c r="W3" i="19"/>
  <c r="W4" i="19"/>
  <c r="W5" i="19"/>
  <c r="W6" i="19"/>
  <c r="W7" i="19"/>
  <c r="P3" i="11"/>
  <c r="M3" i="11"/>
  <c r="AD3" i="11" s="1"/>
  <c r="C3" i="11"/>
  <c r="F3" i="11"/>
  <c r="G3" i="11" s="1"/>
  <c r="I3" i="11"/>
  <c r="J3" i="11"/>
  <c r="Y3" i="11"/>
  <c r="AJ8" i="1"/>
  <c r="K185" i="3" l="1"/>
  <c r="K186" i="3"/>
  <c r="I188" i="3"/>
  <c r="A14" i="1"/>
  <c r="J188" i="3"/>
  <c r="I187" i="3"/>
  <c r="G15" i="1"/>
  <c r="J187" i="3"/>
  <c r="C16" i="19"/>
  <c r="H17" i="19"/>
  <c r="B16" i="19"/>
  <c r="F16" i="19"/>
  <c r="G16" i="19" s="1"/>
  <c r="AC54" i="3"/>
  <c r="K57" i="3"/>
  <c r="AC59" i="3"/>
  <c r="AC60" i="3"/>
  <c r="K62" i="3"/>
  <c r="AC63" i="3"/>
  <c r="AC61" i="3"/>
  <c r="AC57" i="3"/>
  <c r="K58" i="3"/>
  <c r="AC58" i="3"/>
  <c r="K63" i="3"/>
  <c r="AB3" i="11"/>
  <c r="K64" i="3"/>
  <c r="K59" i="3"/>
  <c r="K56" i="3"/>
  <c r="AC56" i="3"/>
  <c r="AC64" i="3"/>
  <c r="AC55" i="3"/>
  <c r="AC52" i="3"/>
  <c r="K61" i="3"/>
  <c r="K54" i="3"/>
  <c r="K60" i="3"/>
  <c r="AC62" i="3"/>
  <c r="AC51" i="3"/>
  <c r="K55" i="3"/>
  <c r="AC53" i="3"/>
  <c r="K51" i="3"/>
  <c r="K53" i="3"/>
  <c r="K49" i="3"/>
  <c r="K48" i="3"/>
  <c r="AC66" i="3"/>
  <c r="AC48" i="3"/>
  <c r="K66" i="3"/>
  <c r="K52" i="3"/>
  <c r="K50" i="3"/>
  <c r="K65" i="3"/>
  <c r="AC50" i="3"/>
  <c r="AC46" i="3"/>
  <c r="K46" i="3"/>
  <c r="AC47" i="3"/>
  <c r="AC65" i="3"/>
  <c r="AC49" i="3"/>
  <c r="K47" i="3"/>
  <c r="K3" i="11"/>
  <c r="G4" i="3"/>
  <c r="G5" i="3"/>
  <c r="G6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M4" i="3"/>
  <c r="AE4" i="3" s="1"/>
  <c r="M5" i="3"/>
  <c r="AE5" i="3" s="1"/>
  <c r="M6" i="3"/>
  <c r="AE6" i="3" s="1"/>
  <c r="M7" i="3"/>
  <c r="AE7" i="3" s="1"/>
  <c r="M8" i="3"/>
  <c r="AE8" i="3" s="1"/>
  <c r="M9" i="3"/>
  <c r="AE9" i="3" s="1"/>
  <c r="M10" i="3"/>
  <c r="AE10" i="3" s="1"/>
  <c r="M11" i="3"/>
  <c r="AE11" i="3" s="1"/>
  <c r="M12" i="3"/>
  <c r="AE12" i="3" s="1"/>
  <c r="M13" i="3"/>
  <c r="AE13" i="3" s="1"/>
  <c r="M14" i="3"/>
  <c r="AE14" i="3" s="1"/>
  <c r="M15" i="3"/>
  <c r="AE15" i="3" s="1"/>
  <c r="M16" i="3"/>
  <c r="AE16" i="3" s="1"/>
  <c r="M17" i="3"/>
  <c r="AE17" i="3" s="1"/>
  <c r="M18" i="3"/>
  <c r="AE18" i="3" s="1"/>
  <c r="M19" i="3"/>
  <c r="AE19" i="3" s="1"/>
  <c r="M20" i="3"/>
  <c r="AE20" i="3" s="1"/>
  <c r="M21" i="3"/>
  <c r="AE21" i="3" s="1"/>
  <c r="M22" i="3"/>
  <c r="AE22" i="3" s="1"/>
  <c r="M23" i="3"/>
  <c r="AE23" i="3" s="1"/>
  <c r="M24" i="3"/>
  <c r="AE24" i="3" s="1"/>
  <c r="M25" i="3"/>
  <c r="AE25" i="3" s="1"/>
  <c r="M26" i="3"/>
  <c r="AE26" i="3" s="1"/>
  <c r="M27" i="3"/>
  <c r="AE27" i="3" s="1"/>
  <c r="M28" i="3"/>
  <c r="AE28" i="3" s="1"/>
  <c r="M29" i="3"/>
  <c r="AE29" i="3" s="1"/>
  <c r="M30" i="3"/>
  <c r="AE30" i="3" s="1"/>
  <c r="M31" i="3"/>
  <c r="AE31" i="3" s="1"/>
  <c r="M32" i="3"/>
  <c r="AE32" i="3" s="1"/>
  <c r="M33" i="3"/>
  <c r="AE33" i="3" s="1"/>
  <c r="M34" i="3"/>
  <c r="AE34" i="3" s="1"/>
  <c r="M35" i="3"/>
  <c r="AE35" i="3" s="1"/>
  <c r="M36" i="3"/>
  <c r="AE36" i="3" s="1"/>
  <c r="M37" i="3"/>
  <c r="AE37" i="3" s="1"/>
  <c r="M38" i="3"/>
  <c r="AE38" i="3" s="1"/>
  <c r="M39" i="3"/>
  <c r="AE39" i="3" s="1"/>
  <c r="M40" i="3"/>
  <c r="AE40" i="3" s="1"/>
  <c r="M41" i="3"/>
  <c r="AE41" i="3" s="1"/>
  <c r="M42" i="3"/>
  <c r="AE42" i="3" s="1"/>
  <c r="M43" i="3"/>
  <c r="AE43" i="3" s="1"/>
  <c r="M44" i="3"/>
  <c r="AE44" i="3" s="1"/>
  <c r="M45" i="3"/>
  <c r="AE45" i="3" s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Z4" i="3"/>
  <c r="Z5" i="3"/>
  <c r="Z6" i="3"/>
  <c r="Z7" i="3"/>
  <c r="Z8" i="3"/>
  <c r="Z9" i="3"/>
  <c r="AC9" i="3" s="1"/>
  <c r="Z10" i="3"/>
  <c r="Z11" i="3"/>
  <c r="Z12" i="3"/>
  <c r="Z13" i="3"/>
  <c r="Z14" i="3"/>
  <c r="Z15" i="3"/>
  <c r="Z16" i="3"/>
  <c r="Z17" i="3"/>
  <c r="AC17" i="3" s="1"/>
  <c r="Z18" i="3"/>
  <c r="Z19" i="3"/>
  <c r="Z20" i="3"/>
  <c r="Z21" i="3"/>
  <c r="Z22" i="3"/>
  <c r="Z23" i="3"/>
  <c r="Z24" i="3"/>
  <c r="Z25" i="3"/>
  <c r="AC25" i="3" s="1"/>
  <c r="Z26" i="3"/>
  <c r="Z27" i="3"/>
  <c r="Z28" i="3"/>
  <c r="Z29" i="3"/>
  <c r="Z30" i="3"/>
  <c r="Z31" i="3"/>
  <c r="Z32" i="3"/>
  <c r="Z33" i="3"/>
  <c r="AC33" i="3" s="1"/>
  <c r="Z34" i="3"/>
  <c r="Z35" i="3"/>
  <c r="Z36" i="3"/>
  <c r="Z37" i="3"/>
  <c r="Z38" i="3"/>
  <c r="Z39" i="3"/>
  <c r="Z40" i="3"/>
  <c r="Z41" i="3"/>
  <c r="Z42" i="3"/>
  <c r="Z43" i="3"/>
  <c r="Z44" i="3"/>
  <c r="Z45" i="3"/>
  <c r="U35" i="6"/>
  <c r="T35" i="6"/>
  <c r="S35" i="6"/>
  <c r="R35" i="6"/>
  <c r="Q35" i="6"/>
  <c r="P35" i="6"/>
  <c r="O35" i="6"/>
  <c r="N35" i="6"/>
  <c r="M35" i="6"/>
  <c r="L35" i="6"/>
  <c r="K35" i="6"/>
  <c r="J35" i="6"/>
  <c r="U34" i="6"/>
  <c r="T34" i="6"/>
  <c r="S34" i="6"/>
  <c r="R34" i="6"/>
  <c r="Q34" i="6"/>
  <c r="P34" i="6"/>
  <c r="O34" i="6"/>
  <c r="N34" i="6"/>
  <c r="M34" i="6"/>
  <c r="L34" i="6"/>
  <c r="K34" i="6"/>
  <c r="J34" i="6"/>
  <c r="U33" i="6"/>
  <c r="T33" i="6"/>
  <c r="S33" i="6"/>
  <c r="R33" i="6"/>
  <c r="Q33" i="6"/>
  <c r="P33" i="6"/>
  <c r="O33" i="6"/>
  <c r="N33" i="6"/>
  <c r="M33" i="6"/>
  <c r="L33" i="6"/>
  <c r="K33" i="6"/>
  <c r="J33" i="6"/>
  <c r="U32" i="6"/>
  <c r="T32" i="6"/>
  <c r="S32" i="6"/>
  <c r="R32" i="6"/>
  <c r="Q32" i="6"/>
  <c r="P32" i="6"/>
  <c r="O32" i="6"/>
  <c r="N32" i="6"/>
  <c r="M32" i="6"/>
  <c r="L32" i="6"/>
  <c r="K32" i="6"/>
  <c r="J32" i="6"/>
  <c r="U31" i="6"/>
  <c r="T31" i="6"/>
  <c r="S31" i="6"/>
  <c r="R31" i="6"/>
  <c r="Q31" i="6"/>
  <c r="P31" i="6"/>
  <c r="O31" i="6"/>
  <c r="N31" i="6"/>
  <c r="M31" i="6"/>
  <c r="L31" i="6"/>
  <c r="K31" i="6"/>
  <c r="J31" i="6"/>
  <c r="U30" i="6"/>
  <c r="T30" i="6"/>
  <c r="S30" i="6"/>
  <c r="R30" i="6"/>
  <c r="Q30" i="6"/>
  <c r="P30" i="6"/>
  <c r="O30" i="6"/>
  <c r="N30" i="6"/>
  <c r="M30" i="6"/>
  <c r="L30" i="6"/>
  <c r="K30" i="6"/>
  <c r="J30" i="6"/>
  <c r="U29" i="6"/>
  <c r="T29" i="6"/>
  <c r="S29" i="6"/>
  <c r="R29" i="6"/>
  <c r="Q29" i="6"/>
  <c r="P29" i="6"/>
  <c r="O29" i="6"/>
  <c r="N29" i="6"/>
  <c r="M29" i="6"/>
  <c r="L29" i="6"/>
  <c r="K29" i="6"/>
  <c r="J29" i="6"/>
  <c r="U28" i="6"/>
  <c r="T28" i="6"/>
  <c r="S28" i="6"/>
  <c r="R28" i="6"/>
  <c r="Q28" i="6"/>
  <c r="P28" i="6"/>
  <c r="O28" i="6"/>
  <c r="N28" i="6"/>
  <c r="M28" i="6"/>
  <c r="L28" i="6"/>
  <c r="K28" i="6"/>
  <c r="J28" i="6"/>
  <c r="U27" i="6"/>
  <c r="T27" i="6"/>
  <c r="S27" i="6"/>
  <c r="R27" i="6"/>
  <c r="Q27" i="6"/>
  <c r="P27" i="6"/>
  <c r="O27" i="6"/>
  <c r="N27" i="6"/>
  <c r="M27" i="6"/>
  <c r="L27" i="6"/>
  <c r="K27" i="6"/>
  <c r="J27" i="6"/>
  <c r="U26" i="6"/>
  <c r="T26" i="6"/>
  <c r="S26" i="6"/>
  <c r="R26" i="6"/>
  <c r="Q26" i="6"/>
  <c r="P26" i="6"/>
  <c r="O26" i="6"/>
  <c r="N26" i="6"/>
  <c r="M26" i="6"/>
  <c r="L26" i="6"/>
  <c r="K26" i="6"/>
  <c r="J26" i="6"/>
  <c r="U25" i="6"/>
  <c r="T25" i="6"/>
  <c r="S25" i="6"/>
  <c r="R25" i="6"/>
  <c r="Q25" i="6"/>
  <c r="P25" i="6"/>
  <c r="O25" i="6"/>
  <c r="N25" i="6"/>
  <c r="M25" i="6"/>
  <c r="L25" i="6"/>
  <c r="K25" i="6"/>
  <c r="J25" i="6"/>
  <c r="U24" i="6"/>
  <c r="T24" i="6"/>
  <c r="S24" i="6"/>
  <c r="R24" i="6"/>
  <c r="Q24" i="6"/>
  <c r="P24" i="6"/>
  <c r="O24" i="6"/>
  <c r="N24" i="6"/>
  <c r="M24" i="6"/>
  <c r="L24" i="6"/>
  <c r="K24" i="6"/>
  <c r="J24" i="6"/>
  <c r="U23" i="6"/>
  <c r="T23" i="6"/>
  <c r="S23" i="6"/>
  <c r="R23" i="6"/>
  <c r="Q23" i="6"/>
  <c r="P23" i="6"/>
  <c r="O23" i="6"/>
  <c r="N23" i="6"/>
  <c r="M23" i="6"/>
  <c r="L23" i="6"/>
  <c r="K23" i="6"/>
  <c r="J23" i="6"/>
  <c r="U22" i="6"/>
  <c r="T22" i="6"/>
  <c r="S22" i="6"/>
  <c r="R22" i="6"/>
  <c r="Q22" i="6"/>
  <c r="P22" i="6"/>
  <c r="O22" i="6"/>
  <c r="N22" i="6"/>
  <c r="M22" i="6"/>
  <c r="L22" i="6"/>
  <c r="K22" i="6"/>
  <c r="J22" i="6"/>
  <c r="U21" i="6"/>
  <c r="T21" i="6"/>
  <c r="S21" i="6"/>
  <c r="R21" i="6"/>
  <c r="Q21" i="6"/>
  <c r="P21" i="6"/>
  <c r="O21" i="6"/>
  <c r="N21" i="6"/>
  <c r="M21" i="6"/>
  <c r="L21" i="6"/>
  <c r="K21" i="6"/>
  <c r="J21" i="6"/>
  <c r="U20" i="6"/>
  <c r="T20" i="6"/>
  <c r="S20" i="6"/>
  <c r="R20" i="6"/>
  <c r="Q20" i="6"/>
  <c r="P20" i="6"/>
  <c r="O20" i="6"/>
  <c r="N20" i="6"/>
  <c r="M20" i="6"/>
  <c r="L20" i="6"/>
  <c r="K20" i="6"/>
  <c r="J20" i="6"/>
  <c r="U19" i="6"/>
  <c r="T19" i="6"/>
  <c r="S19" i="6"/>
  <c r="R19" i="6"/>
  <c r="Q19" i="6"/>
  <c r="P19" i="6"/>
  <c r="O19" i="6"/>
  <c r="N19" i="6"/>
  <c r="M19" i="6"/>
  <c r="L19" i="6"/>
  <c r="K19" i="6"/>
  <c r="J19" i="6"/>
  <c r="U18" i="6"/>
  <c r="T18" i="6"/>
  <c r="S18" i="6"/>
  <c r="R18" i="6"/>
  <c r="Q18" i="6"/>
  <c r="P18" i="6"/>
  <c r="O18" i="6"/>
  <c r="N18" i="6"/>
  <c r="M18" i="6"/>
  <c r="L18" i="6"/>
  <c r="K18" i="6"/>
  <c r="J18" i="6"/>
  <c r="U17" i="6"/>
  <c r="T17" i="6"/>
  <c r="S17" i="6"/>
  <c r="R17" i="6"/>
  <c r="Q17" i="6"/>
  <c r="P17" i="6"/>
  <c r="O17" i="6"/>
  <c r="N17" i="6"/>
  <c r="M17" i="6"/>
  <c r="L17" i="6"/>
  <c r="K17" i="6"/>
  <c r="J17" i="6"/>
  <c r="U16" i="6"/>
  <c r="T16" i="6"/>
  <c r="S16" i="6"/>
  <c r="R16" i="6"/>
  <c r="Q16" i="6"/>
  <c r="P16" i="6"/>
  <c r="O16" i="6"/>
  <c r="N16" i="6"/>
  <c r="M16" i="6"/>
  <c r="L16" i="6"/>
  <c r="K16" i="6"/>
  <c r="J16" i="6"/>
  <c r="U15" i="6"/>
  <c r="T15" i="6"/>
  <c r="S15" i="6"/>
  <c r="R15" i="6"/>
  <c r="Q15" i="6"/>
  <c r="P15" i="6"/>
  <c r="O15" i="6"/>
  <c r="N15" i="6"/>
  <c r="M15" i="6"/>
  <c r="L15" i="6"/>
  <c r="K15" i="6"/>
  <c r="J15" i="6"/>
  <c r="U14" i="6"/>
  <c r="T14" i="6"/>
  <c r="S14" i="6"/>
  <c r="R14" i="6"/>
  <c r="Q14" i="6"/>
  <c r="P14" i="6"/>
  <c r="O14" i="6"/>
  <c r="N14" i="6"/>
  <c r="M14" i="6"/>
  <c r="L14" i="6"/>
  <c r="K14" i="6"/>
  <c r="J14" i="6"/>
  <c r="U13" i="6"/>
  <c r="T13" i="6"/>
  <c r="S13" i="6"/>
  <c r="R13" i="6"/>
  <c r="Q13" i="6"/>
  <c r="P13" i="6"/>
  <c r="O13" i="6"/>
  <c r="N13" i="6"/>
  <c r="M13" i="6"/>
  <c r="L13" i="6"/>
  <c r="K13" i="6"/>
  <c r="J13" i="6"/>
  <c r="U12" i="6"/>
  <c r="T12" i="6"/>
  <c r="S12" i="6"/>
  <c r="R12" i="6"/>
  <c r="Q12" i="6"/>
  <c r="P12" i="6"/>
  <c r="O12" i="6"/>
  <c r="N12" i="6"/>
  <c r="M12" i="6"/>
  <c r="L12" i="6"/>
  <c r="K12" i="6"/>
  <c r="J12" i="6"/>
  <c r="U11" i="6"/>
  <c r="T11" i="6"/>
  <c r="S11" i="6"/>
  <c r="R11" i="6"/>
  <c r="Q11" i="6"/>
  <c r="P11" i="6"/>
  <c r="O11" i="6"/>
  <c r="N11" i="6"/>
  <c r="M11" i="6"/>
  <c r="L11" i="6"/>
  <c r="K11" i="6"/>
  <c r="J11" i="6"/>
  <c r="U10" i="6"/>
  <c r="T10" i="6"/>
  <c r="S10" i="6"/>
  <c r="R10" i="6"/>
  <c r="Q10" i="6"/>
  <c r="P10" i="6"/>
  <c r="O10" i="6"/>
  <c r="N10" i="6"/>
  <c r="M10" i="6"/>
  <c r="L10" i="6"/>
  <c r="K10" i="6"/>
  <c r="J10" i="6"/>
  <c r="U9" i="6"/>
  <c r="T9" i="6"/>
  <c r="S9" i="6"/>
  <c r="R9" i="6"/>
  <c r="Q9" i="6"/>
  <c r="P9" i="6"/>
  <c r="O9" i="6"/>
  <c r="N9" i="6"/>
  <c r="M9" i="6"/>
  <c r="L9" i="6"/>
  <c r="K9" i="6"/>
  <c r="J9" i="6"/>
  <c r="U8" i="6"/>
  <c r="T8" i="6"/>
  <c r="S8" i="6"/>
  <c r="R8" i="6"/>
  <c r="Q8" i="6"/>
  <c r="P8" i="6"/>
  <c r="O8" i="6"/>
  <c r="N8" i="6"/>
  <c r="M8" i="6"/>
  <c r="L8" i="6"/>
  <c r="K8" i="6"/>
  <c r="J8" i="6"/>
  <c r="U7" i="6"/>
  <c r="T7" i="6"/>
  <c r="S7" i="6"/>
  <c r="R7" i="6"/>
  <c r="Q7" i="6"/>
  <c r="P7" i="6"/>
  <c r="O7" i="6"/>
  <c r="N7" i="6"/>
  <c r="M7" i="6"/>
  <c r="L7" i="6"/>
  <c r="K7" i="6"/>
  <c r="J7" i="6"/>
  <c r="U6" i="6"/>
  <c r="T6" i="6"/>
  <c r="S6" i="6"/>
  <c r="R6" i="6"/>
  <c r="Q6" i="6"/>
  <c r="P6" i="6"/>
  <c r="O6" i="6"/>
  <c r="N6" i="6"/>
  <c r="M6" i="6"/>
  <c r="L6" i="6"/>
  <c r="K6" i="6"/>
  <c r="J6" i="6"/>
  <c r="U5" i="6"/>
  <c r="T5" i="6"/>
  <c r="S5" i="6"/>
  <c r="R5" i="6"/>
  <c r="Q5" i="6"/>
  <c r="P5" i="6"/>
  <c r="O5" i="6"/>
  <c r="N5" i="6"/>
  <c r="M5" i="6"/>
  <c r="L5" i="6"/>
  <c r="K5" i="6"/>
  <c r="J5" i="6"/>
  <c r="U4" i="6"/>
  <c r="T4" i="6"/>
  <c r="S4" i="6"/>
  <c r="R4" i="6"/>
  <c r="Q4" i="6"/>
  <c r="P4" i="6"/>
  <c r="O4" i="6"/>
  <c r="N4" i="6"/>
  <c r="M4" i="6"/>
  <c r="L4" i="6"/>
  <c r="K4" i="6"/>
  <c r="J4" i="6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K188" i="3" l="1"/>
  <c r="K187" i="3"/>
  <c r="G16" i="1"/>
  <c r="I5" i="11" s="1"/>
  <c r="A15" i="1"/>
  <c r="J193" i="3"/>
  <c r="J194" i="3"/>
  <c r="J192" i="3"/>
  <c r="J189" i="3"/>
  <c r="I189" i="3"/>
  <c r="I194" i="3"/>
  <c r="J190" i="3"/>
  <c r="I193" i="3"/>
  <c r="J191" i="3"/>
  <c r="I191" i="3"/>
  <c r="I190" i="3"/>
  <c r="I192" i="3"/>
  <c r="B17" i="19"/>
  <c r="H18" i="19"/>
  <c r="C17" i="19"/>
  <c r="F17" i="19"/>
  <c r="G17" i="19" s="1"/>
  <c r="AC41" i="3"/>
  <c r="K45" i="3"/>
  <c r="K41" i="3"/>
  <c r="K33" i="3"/>
  <c r="K29" i="3"/>
  <c r="K21" i="3"/>
  <c r="K17" i="3"/>
  <c r="K13" i="3"/>
  <c r="K9" i="3"/>
  <c r="K5" i="3"/>
  <c r="K32" i="3"/>
  <c r="K24" i="3"/>
  <c r="K16" i="3"/>
  <c r="K8" i="3"/>
  <c r="K31" i="3"/>
  <c r="K23" i="3"/>
  <c r="K15" i="3"/>
  <c r="K7" i="3"/>
  <c r="K42" i="3"/>
  <c r="K10" i="3"/>
  <c r="K26" i="3"/>
  <c r="K18" i="3"/>
  <c r="K34" i="3"/>
  <c r="K37" i="3"/>
  <c r="K20" i="3"/>
  <c r="K12" i="3"/>
  <c r="K4" i="3"/>
  <c r="K40" i="3"/>
  <c r="AC31" i="3"/>
  <c r="G31" i="3"/>
  <c r="K38" i="3"/>
  <c r="K30" i="3"/>
  <c r="K22" i="3"/>
  <c r="K14" i="3"/>
  <c r="K6" i="3"/>
  <c r="K43" i="3"/>
  <c r="K35" i="3"/>
  <c r="K27" i="3"/>
  <c r="K19" i="3"/>
  <c r="K11" i="3"/>
  <c r="G7" i="3"/>
  <c r="K25" i="3"/>
  <c r="AC44" i="3"/>
  <c r="AC36" i="3"/>
  <c r="AC28" i="3"/>
  <c r="AC20" i="3"/>
  <c r="AC12" i="3"/>
  <c r="AC4" i="3"/>
  <c r="AC43" i="3"/>
  <c r="AC35" i="3"/>
  <c r="AC27" i="3"/>
  <c r="AC19" i="3"/>
  <c r="AC11" i="3"/>
  <c r="AC42" i="3"/>
  <c r="AC34" i="3"/>
  <c r="AC26" i="3"/>
  <c r="AC18" i="3"/>
  <c r="AC10" i="3"/>
  <c r="AC38" i="3"/>
  <c r="AC30" i="3"/>
  <c r="AC22" i="3"/>
  <c r="AC14" i="3"/>
  <c r="AC6" i="3"/>
  <c r="AC32" i="3"/>
  <c r="AC24" i="3"/>
  <c r="AC16" i="3"/>
  <c r="AC8" i="3"/>
  <c r="AC23" i="3"/>
  <c r="AC15" i="3"/>
  <c r="AC7" i="3"/>
  <c r="AC45" i="3"/>
  <c r="AC37" i="3"/>
  <c r="AC29" i="3"/>
  <c r="AC21" i="3"/>
  <c r="AC13" i="3"/>
  <c r="AC5" i="3"/>
  <c r="K39" i="3"/>
  <c r="AC39" i="3"/>
  <c r="AC40" i="3"/>
  <c r="K44" i="3"/>
  <c r="K36" i="3"/>
  <c r="K28" i="3"/>
  <c r="J5" i="11" l="1"/>
  <c r="K5" i="11" s="1"/>
  <c r="K189" i="3"/>
  <c r="K193" i="3"/>
  <c r="K190" i="3"/>
  <c r="K191" i="3"/>
  <c r="K192" i="3"/>
  <c r="K194" i="3"/>
  <c r="A16" i="1"/>
  <c r="G17" i="1"/>
  <c r="J195" i="3" s="1"/>
  <c r="H19" i="19"/>
  <c r="C18" i="19"/>
  <c r="B18" i="19"/>
  <c r="F18" i="19"/>
  <c r="G18" i="19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C25" i="13"/>
  <c r="C26" i="13"/>
  <c r="C24" i="13"/>
  <c r="C22" i="13"/>
  <c r="C23" i="13"/>
  <c r="C21" i="13"/>
  <c r="M11" i="12"/>
  <c r="M12" i="12"/>
  <c r="M13" i="12"/>
  <c r="M14" i="12"/>
  <c r="M15" i="12"/>
  <c r="M16" i="12"/>
  <c r="M17" i="12"/>
  <c r="M18" i="12"/>
  <c r="M19" i="12"/>
  <c r="M20" i="12"/>
  <c r="M21" i="12"/>
  <c r="M10" i="12"/>
  <c r="K11" i="12"/>
  <c r="K12" i="12"/>
  <c r="K13" i="12"/>
  <c r="K14" i="12"/>
  <c r="K15" i="12"/>
  <c r="K16" i="12"/>
  <c r="K17" i="12"/>
  <c r="K18" i="12"/>
  <c r="K19" i="12"/>
  <c r="K20" i="12"/>
  <c r="K21" i="12"/>
  <c r="K10" i="12"/>
  <c r="J196" i="3" l="1"/>
  <c r="I195" i="3"/>
  <c r="K195" i="3" s="1"/>
  <c r="I196" i="3"/>
  <c r="A17" i="1"/>
  <c r="G18" i="1"/>
  <c r="C19" i="19"/>
  <c r="B19" i="19"/>
  <c r="H20" i="19"/>
  <c r="F19" i="19"/>
  <c r="G19" i="19" s="1"/>
  <c r="C1" i="12"/>
  <c r="K196" i="3" l="1"/>
  <c r="I198" i="3"/>
  <c r="J197" i="3"/>
  <c r="I197" i="3"/>
  <c r="A18" i="1"/>
  <c r="J198" i="3"/>
  <c r="G19" i="1"/>
  <c r="J200" i="3" s="1"/>
  <c r="B20" i="19"/>
  <c r="H21" i="19"/>
  <c r="C20" i="19"/>
  <c r="F20" i="19"/>
  <c r="G20" i="19" s="1"/>
  <c r="M4" i="12"/>
  <c r="K4" i="12"/>
  <c r="B1" i="12"/>
  <c r="B4" i="12" s="1"/>
  <c r="B1" i="10"/>
  <c r="K198" i="3" l="1"/>
  <c r="I6" i="11"/>
  <c r="I199" i="3"/>
  <c r="K197" i="3"/>
  <c r="J201" i="3"/>
  <c r="J199" i="3"/>
  <c r="G20" i="1"/>
  <c r="J203" i="3" s="1"/>
  <c r="A19" i="1"/>
  <c r="I201" i="3"/>
  <c r="J6" i="11"/>
  <c r="I200" i="3"/>
  <c r="K200" i="3" s="1"/>
  <c r="H22" i="19"/>
  <c r="C21" i="19"/>
  <c r="B21" i="19"/>
  <c r="F21" i="19"/>
  <c r="G21" i="19" s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A97" i="22"/>
  <c r="T97" i="22"/>
  <c r="W97" i="22" s="1"/>
  <c r="G97" i="22"/>
  <c r="E97" i="22"/>
  <c r="AA96" i="22"/>
  <c r="G96" i="22"/>
  <c r="E96" i="22"/>
  <c r="AA95" i="22"/>
  <c r="T95" i="22"/>
  <c r="W95" i="22" s="1"/>
  <c r="G95" i="22"/>
  <c r="E95" i="22"/>
  <c r="AA94" i="22"/>
  <c r="T94" i="22"/>
  <c r="W94" i="22" s="1"/>
  <c r="G94" i="22"/>
  <c r="E94" i="22"/>
  <c r="AA93" i="22"/>
  <c r="G93" i="22"/>
  <c r="E93" i="22"/>
  <c r="AA92" i="22"/>
  <c r="G92" i="22"/>
  <c r="E92" i="22"/>
  <c r="AA91" i="22"/>
  <c r="T91" i="22"/>
  <c r="W91" i="22" s="1"/>
  <c r="G91" i="22"/>
  <c r="E91" i="22"/>
  <c r="AA90" i="22"/>
  <c r="G90" i="22"/>
  <c r="E90" i="22"/>
  <c r="AA89" i="22"/>
  <c r="T89" i="22"/>
  <c r="W89" i="22" s="1"/>
  <c r="G89" i="22"/>
  <c r="E89" i="22"/>
  <c r="AA88" i="22"/>
  <c r="T88" i="22"/>
  <c r="W88" i="22" s="1"/>
  <c r="G88" i="22"/>
  <c r="E88" i="22"/>
  <c r="AA87" i="22"/>
  <c r="G87" i="22"/>
  <c r="E87" i="22"/>
  <c r="AA86" i="22"/>
  <c r="T86" i="22"/>
  <c r="W86" i="22" s="1"/>
  <c r="G86" i="22"/>
  <c r="E86" i="22"/>
  <c r="AA85" i="22"/>
  <c r="G85" i="22"/>
  <c r="E85" i="22"/>
  <c r="AA84" i="22"/>
  <c r="G84" i="22"/>
  <c r="E84" i="22"/>
  <c r="AA83" i="22"/>
  <c r="G83" i="22"/>
  <c r="E83" i="22"/>
  <c r="AA82" i="22"/>
  <c r="G82" i="22"/>
  <c r="E82" i="22"/>
  <c r="AA81" i="22"/>
  <c r="G81" i="22"/>
  <c r="E81" i="22"/>
  <c r="AA80" i="22"/>
  <c r="G80" i="22"/>
  <c r="E80" i="22"/>
  <c r="AA79" i="22"/>
  <c r="G79" i="22"/>
  <c r="E79" i="22"/>
  <c r="AA78" i="22"/>
  <c r="G78" i="22"/>
  <c r="E78" i="22"/>
  <c r="AA77" i="22"/>
  <c r="G77" i="22"/>
  <c r="E77" i="22"/>
  <c r="AA76" i="22"/>
  <c r="G76" i="22"/>
  <c r="E76" i="22"/>
  <c r="AA75" i="22"/>
  <c r="G75" i="22"/>
  <c r="E75" i="22"/>
  <c r="AA74" i="22"/>
  <c r="G74" i="22"/>
  <c r="E74" i="22"/>
  <c r="AA73" i="22"/>
  <c r="G73" i="22"/>
  <c r="E73" i="22"/>
  <c r="AA72" i="22"/>
  <c r="G72" i="22"/>
  <c r="E72" i="22"/>
  <c r="AA71" i="22"/>
  <c r="G71" i="22"/>
  <c r="E71" i="22"/>
  <c r="AA70" i="22"/>
  <c r="G70" i="22"/>
  <c r="E70" i="22"/>
  <c r="AA69" i="22"/>
  <c r="G69" i="22"/>
  <c r="E69" i="22"/>
  <c r="AA68" i="22"/>
  <c r="G68" i="22"/>
  <c r="E68" i="22"/>
  <c r="AA67" i="22"/>
  <c r="G67" i="22"/>
  <c r="E67" i="22"/>
  <c r="AA66" i="22"/>
  <c r="G66" i="22"/>
  <c r="E66" i="22"/>
  <c r="AA65" i="22"/>
  <c r="G65" i="22"/>
  <c r="E65" i="22"/>
  <c r="AA64" i="22"/>
  <c r="G64" i="22"/>
  <c r="E64" i="22"/>
  <c r="AA63" i="22"/>
  <c r="G63" i="22"/>
  <c r="E63" i="22"/>
  <c r="AA62" i="22"/>
  <c r="G62" i="22"/>
  <c r="E62" i="22"/>
  <c r="AA61" i="22"/>
  <c r="G61" i="22"/>
  <c r="E61" i="22"/>
  <c r="AA60" i="22"/>
  <c r="G60" i="22"/>
  <c r="E60" i="22"/>
  <c r="AA59" i="22"/>
  <c r="G59" i="22"/>
  <c r="E59" i="22"/>
  <c r="AA58" i="22"/>
  <c r="G58" i="22"/>
  <c r="E58" i="22"/>
  <c r="AA57" i="22"/>
  <c r="G57" i="22"/>
  <c r="E57" i="22"/>
  <c r="AA56" i="22"/>
  <c r="G56" i="22"/>
  <c r="E56" i="22"/>
  <c r="AA55" i="22"/>
  <c r="G55" i="22"/>
  <c r="E55" i="22"/>
  <c r="AA54" i="22"/>
  <c r="G54" i="22"/>
  <c r="E54" i="22"/>
  <c r="AA53" i="22"/>
  <c r="G53" i="22"/>
  <c r="E53" i="22"/>
  <c r="AA52" i="22"/>
  <c r="G52" i="22"/>
  <c r="E52" i="22"/>
  <c r="AA51" i="22"/>
  <c r="G51" i="22"/>
  <c r="E51" i="22"/>
  <c r="AA50" i="22"/>
  <c r="G50" i="22"/>
  <c r="E50" i="22"/>
  <c r="C50" i="22"/>
  <c r="C62" i="22" s="1"/>
  <c r="C74" i="22" s="1"/>
  <c r="C86" i="22" s="1"/>
  <c r="AA49" i="22"/>
  <c r="G49" i="22"/>
  <c r="E49" i="22"/>
  <c r="B49" i="22"/>
  <c r="B61" i="22" s="1"/>
  <c r="B73" i="22" s="1"/>
  <c r="B85" i="22" s="1"/>
  <c r="B97" i="22" s="1"/>
  <c r="AA48" i="22"/>
  <c r="G48" i="22"/>
  <c r="E48" i="22"/>
  <c r="AA47" i="22"/>
  <c r="H47" i="22"/>
  <c r="H59" i="22" s="1"/>
  <c r="H71" i="22" s="1"/>
  <c r="H83" i="22" s="1"/>
  <c r="H95" i="22" s="1"/>
  <c r="G47" i="22"/>
  <c r="E47" i="22"/>
  <c r="AA46" i="22"/>
  <c r="G46" i="22"/>
  <c r="E46" i="22"/>
  <c r="AA45" i="22"/>
  <c r="G45" i="22"/>
  <c r="E45" i="22"/>
  <c r="AA44" i="22"/>
  <c r="G44" i="22"/>
  <c r="E44" i="22"/>
  <c r="C44" i="22"/>
  <c r="C56" i="22" s="1"/>
  <c r="C68" i="22" s="1"/>
  <c r="C80" i="22" s="1"/>
  <c r="C92" i="22" s="1"/>
  <c r="B44" i="22"/>
  <c r="B56" i="22" s="1"/>
  <c r="B68" i="22" s="1"/>
  <c r="B80" i="22" s="1"/>
  <c r="B92" i="22" s="1"/>
  <c r="AA43" i="22"/>
  <c r="G43" i="22"/>
  <c r="E43" i="22"/>
  <c r="AA42" i="22"/>
  <c r="G42" i="22"/>
  <c r="E42" i="22"/>
  <c r="AA41" i="22"/>
  <c r="G41" i="22"/>
  <c r="E41" i="22"/>
  <c r="AA40" i="22"/>
  <c r="G40" i="22"/>
  <c r="E40" i="22"/>
  <c r="AA39" i="22"/>
  <c r="G39" i="22"/>
  <c r="E39" i="22"/>
  <c r="C39" i="22"/>
  <c r="C51" i="22" s="1"/>
  <c r="C63" i="22" s="1"/>
  <c r="C75" i="22" s="1"/>
  <c r="C87" i="22" s="1"/>
  <c r="AA38" i="22"/>
  <c r="G38" i="22"/>
  <c r="E38" i="22"/>
  <c r="AA37" i="22"/>
  <c r="G37" i="22"/>
  <c r="E37" i="22"/>
  <c r="C37" i="22"/>
  <c r="C49" i="22" s="1"/>
  <c r="C61" i="22" s="1"/>
  <c r="C73" i="22" s="1"/>
  <c r="C85" i="22" s="1"/>
  <c r="C97" i="22" s="1"/>
  <c r="B37" i="22"/>
  <c r="AA36" i="22"/>
  <c r="M36" i="22"/>
  <c r="G36" i="22"/>
  <c r="E36" i="22"/>
  <c r="B36" i="22"/>
  <c r="B48" i="22" s="1"/>
  <c r="B60" i="22" s="1"/>
  <c r="B72" i="22" s="1"/>
  <c r="B84" i="22" s="1"/>
  <c r="B96" i="22" s="1"/>
  <c r="AA35" i="22"/>
  <c r="G35" i="22"/>
  <c r="E35" i="22"/>
  <c r="C35" i="22"/>
  <c r="C47" i="22" s="1"/>
  <c r="C59" i="22" s="1"/>
  <c r="C71" i="22" s="1"/>
  <c r="C83" i="22" s="1"/>
  <c r="C95" i="22" s="1"/>
  <c r="B35" i="22"/>
  <c r="B47" i="22" s="1"/>
  <c r="B59" i="22" s="1"/>
  <c r="B71" i="22" s="1"/>
  <c r="B83" i="22" s="1"/>
  <c r="B95" i="22" s="1"/>
  <c r="AA34" i="22"/>
  <c r="G34" i="22"/>
  <c r="E34" i="22"/>
  <c r="AA33" i="22"/>
  <c r="M33" i="22"/>
  <c r="M45" i="22" s="1"/>
  <c r="T45" i="22" s="1"/>
  <c r="W45" i="22" s="1"/>
  <c r="G33" i="22"/>
  <c r="E33" i="22"/>
  <c r="C33" i="22"/>
  <c r="C45" i="22" s="1"/>
  <c r="C57" i="22" s="1"/>
  <c r="C69" i="22" s="1"/>
  <c r="C81" i="22" s="1"/>
  <c r="C93" i="22" s="1"/>
  <c r="AA32" i="22"/>
  <c r="G32" i="22"/>
  <c r="E32" i="22"/>
  <c r="C32" i="22"/>
  <c r="B32" i="22"/>
  <c r="AA31" i="22"/>
  <c r="G31" i="22"/>
  <c r="E31" i="22"/>
  <c r="B31" i="22"/>
  <c r="B43" i="22" s="1"/>
  <c r="B55" i="22" s="1"/>
  <c r="B67" i="22" s="1"/>
  <c r="B79" i="22" s="1"/>
  <c r="B91" i="22" s="1"/>
  <c r="AA30" i="22"/>
  <c r="G30" i="22"/>
  <c r="E30" i="22"/>
  <c r="B30" i="22"/>
  <c r="B42" i="22" s="1"/>
  <c r="B54" i="22" s="1"/>
  <c r="B66" i="22" s="1"/>
  <c r="B78" i="22" s="1"/>
  <c r="B90" i="22" s="1"/>
  <c r="AA29" i="22"/>
  <c r="G29" i="22"/>
  <c r="AA28" i="22"/>
  <c r="G28" i="22"/>
  <c r="AA27" i="22"/>
  <c r="G27" i="22"/>
  <c r="AA26" i="22"/>
  <c r="G26" i="22"/>
  <c r="AA25" i="22"/>
  <c r="M25" i="22"/>
  <c r="M37" i="22" s="1"/>
  <c r="I25" i="22"/>
  <c r="P25" i="22" s="1"/>
  <c r="H25" i="22"/>
  <c r="H37" i="22" s="1"/>
  <c r="H49" i="22" s="1"/>
  <c r="H61" i="22" s="1"/>
  <c r="H73" i="22" s="1"/>
  <c r="H85" i="22" s="1"/>
  <c r="H97" i="22" s="1"/>
  <c r="G25" i="22"/>
  <c r="C25" i="22"/>
  <c r="B25" i="22"/>
  <c r="AA24" i="22"/>
  <c r="M24" i="22"/>
  <c r="I24" i="22"/>
  <c r="I36" i="22" s="1"/>
  <c r="P36" i="22" s="1"/>
  <c r="H24" i="22"/>
  <c r="H36" i="22" s="1"/>
  <c r="H48" i="22" s="1"/>
  <c r="H60" i="22" s="1"/>
  <c r="H72" i="22" s="1"/>
  <c r="H84" i="22" s="1"/>
  <c r="H96" i="22" s="1"/>
  <c r="G24" i="22"/>
  <c r="T24" i="22" s="1"/>
  <c r="W24" i="22" s="1"/>
  <c r="C24" i="22"/>
  <c r="C36" i="22" s="1"/>
  <c r="C48" i="22" s="1"/>
  <c r="C60" i="22" s="1"/>
  <c r="C72" i="22" s="1"/>
  <c r="C84" i="22" s="1"/>
  <c r="C96" i="22" s="1"/>
  <c r="B24" i="22"/>
  <c r="AA23" i="22"/>
  <c r="M23" i="22"/>
  <c r="I23" i="22"/>
  <c r="H23" i="22"/>
  <c r="H35" i="22" s="1"/>
  <c r="G23" i="22"/>
  <c r="C23" i="22"/>
  <c r="B23" i="22"/>
  <c r="AA22" i="22"/>
  <c r="M22" i="22"/>
  <c r="I22" i="22"/>
  <c r="H22" i="22"/>
  <c r="H34" i="22" s="1"/>
  <c r="H46" i="22" s="1"/>
  <c r="H58" i="22" s="1"/>
  <c r="H70" i="22" s="1"/>
  <c r="H82" i="22" s="1"/>
  <c r="H94" i="22" s="1"/>
  <c r="G22" i="22"/>
  <c r="C22" i="22"/>
  <c r="C34" i="22" s="1"/>
  <c r="C46" i="22" s="1"/>
  <c r="C58" i="22" s="1"/>
  <c r="C70" i="22" s="1"/>
  <c r="C82" i="22" s="1"/>
  <c r="C94" i="22" s="1"/>
  <c r="B22" i="22"/>
  <c r="B34" i="22" s="1"/>
  <c r="B46" i="22" s="1"/>
  <c r="B58" i="22" s="1"/>
  <c r="B70" i="22" s="1"/>
  <c r="B82" i="22" s="1"/>
  <c r="B94" i="22" s="1"/>
  <c r="AA21" i="22"/>
  <c r="M21" i="22"/>
  <c r="T21" i="22" s="1"/>
  <c r="W21" i="22" s="1"/>
  <c r="I21" i="22"/>
  <c r="H21" i="22"/>
  <c r="H33" i="22" s="1"/>
  <c r="H45" i="22" s="1"/>
  <c r="H57" i="22" s="1"/>
  <c r="H69" i="22" s="1"/>
  <c r="H81" i="22" s="1"/>
  <c r="H93" i="22" s="1"/>
  <c r="G21" i="22"/>
  <c r="C21" i="22"/>
  <c r="B21" i="22"/>
  <c r="B33" i="22" s="1"/>
  <c r="B45" i="22" s="1"/>
  <c r="B57" i="22" s="1"/>
  <c r="B69" i="22" s="1"/>
  <c r="B81" i="22" s="1"/>
  <c r="B93" i="22" s="1"/>
  <c r="AA20" i="22"/>
  <c r="M20" i="22"/>
  <c r="M32" i="22" s="1"/>
  <c r="I20" i="22"/>
  <c r="I32" i="22" s="1"/>
  <c r="I44" i="22" s="1"/>
  <c r="H20" i="22"/>
  <c r="H32" i="22" s="1"/>
  <c r="H44" i="22" s="1"/>
  <c r="H56" i="22" s="1"/>
  <c r="H68" i="22" s="1"/>
  <c r="H80" i="22" s="1"/>
  <c r="H92" i="22" s="1"/>
  <c r="G20" i="22"/>
  <c r="C20" i="22"/>
  <c r="B20" i="22"/>
  <c r="AA19" i="22"/>
  <c r="M19" i="22"/>
  <c r="M31" i="22" s="1"/>
  <c r="I19" i="22"/>
  <c r="O19" i="22" s="1"/>
  <c r="H19" i="22"/>
  <c r="H31" i="22" s="1"/>
  <c r="H43" i="22" s="1"/>
  <c r="H55" i="22" s="1"/>
  <c r="H67" i="22" s="1"/>
  <c r="H79" i="22" s="1"/>
  <c r="H91" i="22" s="1"/>
  <c r="G19" i="22"/>
  <c r="C19" i="22"/>
  <c r="C31" i="22" s="1"/>
  <c r="C43" i="22" s="1"/>
  <c r="C55" i="22" s="1"/>
  <c r="C67" i="22" s="1"/>
  <c r="C79" i="22" s="1"/>
  <c r="C91" i="22" s="1"/>
  <c r="B19" i="22"/>
  <c r="AA18" i="22"/>
  <c r="M18" i="22"/>
  <c r="T18" i="22" s="1"/>
  <c r="W18" i="22" s="1"/>
  <c r="I18" i="22"/>
  <c r="P18" i="22" s="1"/>
  <c r="H18" i="22"/>
  <c r="H30" i="22" s="1"/>
  <c r="H42" i="22" s="1"/>
  <c r="H54" i="22" s="1"/>
  <c r="H66" i="22" s="1"/>
  <c r="H78" i="22" s="1"/>
  <c r="H90" i="22" s="1"/>
  <c r="G18" i="22"/>
  <c r="C18" i="22"/>
  <c r="C30" i="22" s="1"/>
  <c r="C42" i="22" s="1"/>
  <c r="C54" i="22" s="1"/>
  <c r="C66" i="22" s="1"/>
  <c r="C78" i="22" s="1"/>
  <c r="C90" i="22" s="1"/>
  <c r="B18" i="22"/>
  <c r="AA17" i="22"/>
  <c r="M17" i="22"/>
  <c r="M29" i="22" s="1"/>
  <c r="M41" i="22" s="1"/>
  <c r="I17" i="22"/>
  <c r="H17" i="22"/>
  <c r="H29" i="22" s="1"/>
  <c r="H41" i="22" s="1"/>
  <c r="H53" i="22" s="1"/>
  <c r="H65" i="22" s="1"/>
  <c r="H77" i="22" s="1"/>
  <c r="H89" i="22" s="1"/>
  <c r="G17" i="22"/>
  <c r="E17" i="22"/>
  <c r="C17" i="22"/>
  <c r="C29" i="22" s="1"/>
  <c r="C41" i="22" s="1"/>
  <c r="C53" i="22" s="1"/>
  <c r="C65" i="22" s="1"/>
  <c r="C77" i="22" s="1"/>
  <c r="C89" i="22" s="1"/>
  <c r="B17" i="22"/>
  <c r="B29" i="22" s="1"/>
  <c r="B41" i="22" s="1"/>
  <c r="B53" i="22" s="1"/>
  <c r="B65" i="22" s="1"/>
  <c r="B77" i="22" s="1"/>
  <c r="B89" i="22" s="1"/>
  <c r="AA16" i="22"/>
  <c r="T16" i="22"/>
  <c r="W16" i="22" s="1"/>
  <c r="M16" i="22"/>
  <c r="M28" i="22" s="1"/>
  <c r="T28" i="22" s="1"/>
  <c r="W28" i="22" s="1"/>
  <c r="I16" i="22"/>
  <c r="I28" i="22" s="1"/>
  <c r="I40" i="22" s="1"/>
  <c r="H16" i="22"/>
  <c r="H28" i="22" s="1"/>
  <c r="H40" i="22" s="1"/>
  <c r="H52" i="22" s="1"/>
  <c r="H64" i="22" s="1"/>
  <c r="H76" i="22" s="1"/>
  <c r="H88" i="22" s="1"/>
  <c r="G16" i="22"/>
  <c r="E16" i="22"/>
  <c r="C16" i="22"/>
  <c r="C28" i="22" s="1"/>
  <c r="C40" i="22" s="1"/>
  <c r="C52" i="22" s="1"/>
  <c r="C64" i="22" s="1"/>
  <c r="C76" i="22" s="1"/>
  <c r="C88" i="22" s="1"/>
  <c r="B16" i="22"/>
  <c r="B28" i="22" s="1"/>
  <c r="B40" i="22" s="1"/>
  <c r="B52" i="22" s="1"/>
  <c r="B64" i="22" s="1"/>
  <c r="B76" i="22" s="1"/>
  <c r="B88" i="22" s="1"/>
  <c r="AA15" i="22"/>
  <c r="M15" i="22"/>
  <c r="I15" i="22"/>
  <c r="I27" i="22" s="1"/>
  <c r="H15" i="22"/>
  <c r="H27" i="22" s="1"/>
  <c r="H39" i="22" s="1"/>
  <c r="H51" i="22" s="1"/>
  <c r="H63" i="22" s="1"/>
  <c r="H75" i="22" s="1"/>
  <c r="H87" i="22" s="1"/>
  <c r="G15" i="22"/>
  <c r="E15" i="22"/>
  <c r="C15" i="22"/>
  <c r="C27" i="22" s="1"/>
  <c r="B15" i="22"/>
  <c r="B27" i="22" s="1"/>
  <c r="B39" i="22" s="1"/>
  <c r="B51" i="22" s="1"/>
  <c r="B63" i="22" s="1"/>
  <c r="B75" i="22" s="1"/>
  <c r="B87" i="22" s="1"/>
  <c r="AA14" i="22"/>
  <c r="M14" i="22"/>
  <c r="M26" i="22" s="1"/>
  <c r="I14" i="22"/>
  <c r="I26" i="22" s="1"/>
  <c r="H14" i="22"/>
  <c r="H26" i="22" s="1"/>
  <c r="H38" i="22" s="1"/>
  <c r="H50" i="22" s="1"/>
  <c r="H62" i="22" s="1"/>
  <c r="H74" i="22" s="1"/>
  <c r="H86" i="22" s="1"/>
  <c r="G14" i="22"/>
  <c r="E14" i="22"/>
  <c r="C14" i="22"/>
  <c r="C26" i="22" s="1"/>
  <c r="C38" i="22" s="1"/>
  <c r="B14" i="22"/>
  <c r="B26" i="22" s="1"/>
  <c r="B38" i="22" s="1"/>
  <c r="B50" i="22" s="1"/>
  <c r="B62" i="22" s="1"/>
  <c r="B74" i="22" s="1"/>
  <c r="B86" i="22" s="1"/>
  <c r="AA13" i="22"/>
  <c r="O13" i="22"/>
  <c r="G13" i="22"/>
  <c r="E13" i="22"/>
  <c r="AA12" i="22"/>
  <c r="T12" i="22"/>
  <c r="W12" i="22" s="1"/>
  <c r="P12" i="22"/>
  <c r="O12" i="22"/>
  <c r="G12" i="22"/>
  <c r="E12" i="22"/>
  <c r="AA11" i="22"/>
  <c r="O11" i="22"/>
  <c r="G11" i="22"/>
  <c r="E11" i="22"/>
  <c r="AA10" i="22"/>
  <c r="T10" i="22"/>
  <c r="W10" i="22" s="1"/>
  <c r="P10" i="22"/>
  <c r="O10" i="22"/>
  <c r="G10" i="22"/>
  <c r="E10" i="22"/>
  <c r="AA9" i="22"/>
  <c r="T9" i="22"/>
  <c r="W9" i="22" s="1"/>
  <c r="P9" i="22"/>
  <c r="O9" i="22"/>
  <c r="G9" i="22"/>
  <c r="E9" i="22"/>
  <c r="AA8" i="22"/>
  <c r="T8" i="22"/>
  <c r="W8" i="22" s="1"/>
  <c r="O8" i="22"/>
  <c r="G8" i="22"/>
  <c r="E8" i="22"/>
  <c r="AA7" i="22"/>
  <c r="O7" i="22"/>
  <c r="G7" i="22"/>
  <c r="P7" i="22" s="1"/>
  <c r="E7" i="22"/>
  <c r="AA6" i="22"/>
  <c r="T6" i="22"/>
  <c r="W6" i="22" s="1"/>
  <c r="P6" i="22"/>
  <c r="O6" i="22"/>
  <c r="G6" i="22"/>
  <c r="E6" i="22"/>
  <c r="AA5" i="22"/>
  <c r="P5" i="22"/>
  <c r="O5" i="22"/>
  <c r="G5" i="22"/>
  <c r="E5" i="22"/>
  <c r="A5" i="22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A4" i="22"/>
  <c r="O4" i="22"/>
  <c r="G4" i="22"/>
  <c r="E4" i="22"/>
  <c r="AA3" i="22"/>
  <c r="T3" i="22"/>
  <c r="W3" i="22" s="1"/>
  <c r="P3" i="22"/>
  <c r="O3" i="22"/>
  <c r="G3" i="22"/>
  <c r="E3" i="22"/>
  <c r="A3" i="22"/>
  <c r="A4" i="22" s="1"/>
  <c r="AA2" i="22"/>
  <c r="T2" i="22"/>
  <c r="W2" i="22" s="1"/>
  <c r="P2" i="22"/>
  <c r="O2" i="22"/>
  <c r="G2" i="22"/>
  <c r="E2" i="22"/>
  <c r="K199" i="3" l="1"/>
  <c r="I203" i="3"/>
  <c r="K203" i="3" s="1"/>
  <c r="I202" i="3"/>
  <c r="K6" i="11"/>
  <c r="K201" i="3"/>
  <c r="G21" i="1"/>
  <c r="J204" i="3" s="1"/>
  <c r="A20" i="1"/>
  <c r="J202" i="3"/>
  <c r="H23" i="19"/>
  <c r="C22" i="19"/>
  <c r="B22" i="19"/>
  <c r="F22" i="19"/>
  <c r="G22" i="19" s="1"/>
  <c r="M30" i="22"/>
  <c r="T30" i="22" s="1"/>
  <c r="W30" i="22" s="1"/>
  <c r="T20" i="22"/>
  <c r="W20" i="22" s="1"/>
  <c r="M57" i="22"/>
  <c r="O14" i="22"/>
  <c r="M40" i="22"/>
  <c r="T33" i="22"/>
  <c r="W33" i="22" s="1"/>
  <c r="O16" i="22"/>
  <c r="O25" i="22"/>
  <c r="P16" i="22"/>
  <c r="P32" i="22"/>
  <c r="O20" i="22"/>
  <c r="P20" i="22"/>
  <c r="O24" i="22"/>
  <c r="P40" i="22"/>
  <c r="I52" i="22"/>
  <c r="P44" i="22"/>
  <c r="I56" i="22"/>
  <c r="T11" i="22"/>
  <c r="W11" i="22" s="1"/>
  <c r="P11" i="22"/>
  <c r="I33" i="22"/>
  <c r="M49" i="22"/>
  <c r="O26" i="22"/>
  <c r="M38" i="22"/>
  <c r="P13" i="22"/>
  <c r="I29" i="22"/>
  <c r="P17" i="22"/>
  <c r="O17" i="22"/>
  <c r="O21" i="22"/>
  <c r="P4" i="22"/>
  <c r="T4" i="22"/>
  <c r="W4" i="22" s="1"/>
  <c r="T41" i="22"/>
  <c r="W41" i="22" s="1"/>
  <c r="M53" i="22"/>
  <c r="P21" i="22"/>
  <c r="I34" i="22"/>
  <c r="P22" i="22"/>
  <c r="M44" i="22"/>
  <c r="O32" i="22"/>
  <c r="T32" i="22"/>
  <c r="W32" i="22" s="1"/>
  <c r="T7" i="22"/>
  <c r="W7" i="22" s="1"/>
  <c r="T13" i="22"/>
  <c r="W13" i="22" s="1"/>
  <c r="P14" i="22"/>
  <c r="T17" i="22"/>
  <c r="W17" i="22" s="1"/>
  <c r="M35" i="22"/>
  <c r="T23" i="22"/>
  <c r="W23" i="22" s="1"/>
  <c r="I30" i="22"/>
  <c r="O18" i="22"/>
  <c r="T26" i="22"/>
  <c r="W26" i="22" s="1"/>
  <c r="I35" i="22"/>
  <c r="P23" i="22"/>
  <c r="T5" i="22"/>
  <c r="W5" i="22" s="1"/>
  <c r="O23" i="22"/>
  <c r="I48" i="22"/>
  <c r="O36" i="22"/>
  <c r="M48" i="22"/>
  <c r="T36" i="22"/>
  <c r="W36" i="22" s="1"/>
  <c r="T37" i="22"/>
  <c r="W37" i="22" s="1"/>
  <c r="M27" i="22"/>
  <c r="T15" i="22"/>
  <c r="W15" i="22" s="1"/>
  <c r="T22" i="22"/>
  <c r="W22" i="22" s="1"/>
  <c r="O22" i="22"/>
  <c r="M42" i="22"/>
  <c r="T25" i="22"/>
  <c r="W25" i="22" s="1"/>
  <c r="P28" i="22"/>
  <c r="O28" i="22"/>
  <c r="T29" i="22"/>
  <c r="W29" i="22" s="1"/>
  <c r="T14" i="22"/>
  <c r="W14" i="22" s="1"/>
  <c r="O15" i="22"/>
  <c r="P24" i="22"/>
  <c r="M69" i="22"/>
  <c r="T19" i="22"/>
  <c r="W19" i="22" s="1"/>
  <c r="I37" i="22"/>
  <c r="I39" i="22"/>
  <c r="P27" i="22"/>
  <c r="M34" i="22"/>
  <c r="P15" i="22"/>
  <c r="T31" i="22"/>
  <c r="W31" i="22" s="1"/>
  <c r="M43" i="22"/>
  <c r="T90" i="22"/>
  <c r="W90" i="22" s="1"/>
  <c r="I38" i="22"/>
  <c r="I31" i="22"/>
  <c r="O31" i="22" s="1"/>
  <c r="P8" i="22"/>
  <c r="P19" i="22"/>
  <c r="P26" i="22"/>
  <c r="T93" i="22"/>
  <c r="W93" i="22" s="1"/>
  <c r="T92" i="22"/>
  <c r="W92" i="22" s="1"/>
  <c r="T96" i="22"/>
  <c r="W96" i="22" s="1"/>
  <c r="T87" i="22"/>
  <c r="W87" i="22" s="1"/>
  <c r="K202" i="3" l="1"/>
  <c r="I7" i="11"/>
  <c r="J7" i="11"/>
  <c r="I204" i="3"/>
  <c r="K204" i="3" s="1"/>
  <c r="G22" i="1"/>
  <c r="A21" i="1"/>
  <c r="H24" i="19"/>
  <c r="C23" i="19"/>
  <c r="B23" i="19"/>
  <c r="F23" i="19"/>
  <c r="G23" i="19" s="1"/>
  <c r="T57" i="22"/>
  <c r="W57" i="22" s="1"/>
  <c r="M52" i="22"/>
  <c r="T40" i="22"/>
  <c r="W40" i="22" s="1"/>
  <c r="O40" i="22"/>
  <c r="O52" i="22"/>
  <c r="M81" i="22"/>
  <c r="T69" i="22"/>
  <c r="W69" i="22" s="1"/>
  <c r="T38" i="22"/>
  <c r="W38" i="22" s="1"/>
  <c r="M50" i="22"/>
  <c r="O38" i="22"/>
  <c r="T48" i="22"/>
  <c r="W48" i="22" s="1"/>
  <c r="O48" i="22"/>
  <c r="M60" i="22"/>
  <c r="I46" i="22"/>
  <c r="P34" i="22"/>
  <c r="I41" i="22"/>
  <c r="P29" i="22"/>
  <c r="I68" i="22"/>
  <c r="P56" i="22"/>
  <c r="M39" i="22"/>
  <c r="T27" i="22"/>
  <c r="W27" i="22" s="1"/>
  <c r="O27" i="22"/>
  <c r="T34" i="22"/>
  <c r="W34" i="22" s="1"/>
  <c r="M46" i="22"/>
  <c r="O34" i="22"/>
  <c r="I42" i="22"/>
  <c r="P30" i="22"/>
  <c r="T53" i="22"/>
  <c r="W53" i="22" s="1"/>
  <c r="M65" i="22"/>
  <c r="I51" i="22"/>
  <c r="P39" i="22"/>
  <c r="T43" i="22"/>
  <c r="W43" i="22" s="1"/>
  <c r="M55" i="22"/>
  <c r="O49" i="22"/>
  <c r="M61" i="22"/>
  <c r="T49" i="22"/>
  <c r="W49" i="22" s="1"/>
  <c r="P48" i="22"/>
  <c r="I60" i="22"/>
  <c r="P31" i="22"/>
  <c r="I43" i="22"/>
  <c r="I49" i="22"/>
  <c r="P37" i="22"/>
  <c r="M54" i="22"/>
  <c r="T42" i="22"/>
  <c r="W42" i="22" s="1"/>
  <c r="I47" i="22"/>
  <c r="P35" i="22"/>
  <c r="O29" i="22"/>
  <c r="O37" i="22"/>
  <c r="I64" i="22"/>
  <c r="P52" i="22"/>
  <c r="O33" i="22"/>
  <c r="I45" i="22"/>
  <c r="P33" i="22"/>
  <c r="O35" i="22"/>
  <c r="T35" i="22"/>
  <c r="W35" i="22" s="1"/>
  <c r="M47" i="22"/>
  <c r="T44" i="22"/>
  <c r="W44" i="22" s="1"/>
  <c r="O44" i="22"/>
  <c r="M56" i="22"/>
  <c r="I50" i="22"/>
  <c r="P38" i="22"/>
  <c r="O30" i="22"/>
  <c r="K7" i="11" l="1"/>
  <c r="A22" i="1"/>
  <c r="G23" i="1"/>
  <c r="J205" i="3"/>
  <c r="I205" i="3"/>
  <c r="H25" i="19"/>
  <c r="C24" i="19"/>
  <c r="B24" i="19"/>
  <c r="F24" i="19"/>
  <c r="G24" i="19" s="1"/>
  <c r="O64" i="22"/>
  <c r="M64" i="22"/>
  <c r="T52" i="22"/>
  <c r="W52" i="22" s="1"/>
  <c r="I61" i="22"/>
  <c r="O61" i="22" s="1"/>
  <c r="P49" i="22"/>
  <c r="I58" i="22"/>
  <c r="P46" i="22"/>
  <c r="M67" i="22"/>
  <c r="O55" i="22"/>
  <c r="T55" i="22"/>
  <c r="W55" i="22" s="1"/>
  <c r="M72" i="22"/>
  <c r="O60" i="22"/>
  <c r="T60" i="22"/>
  <c r="W60" i="22" s="1"/>
  <c r="I57" i="22"/>
  <c r="O45" i="22"/>
  <c r="P45" i="22"/>
  <c r="P43" i="22"/>
  <c r="I55" i="22"/>
  <c r="O43" i="22"/>
  <c r="M68" i="22"/>
  <c r="T56" i="22"/>
  <c r="W56" i="22" s="1"/>
  <c r="O56" i="22"/>
  <c r="I54" i="22"/>
  <c r="O54" i="22" s="1"/>
  <c r="P42" i="22"/>
  <c r="T39" i="22"/>
  <c r="W39" i="22" s="1"/>
  <c r="O39" i="22"/>
  <c r="M51" i="22"/>
  <c r="P47" i="22"/>
  <c r="I59" i="22"/>
  <c r="I72" i="22"/>
  <c r="P60" i="22"/>
  <c r="T46" i="22"/>
  <c r="W46" i="22" s="1"/>
  <c r="O46" i="22"/>
  <c r="M58" i="22"/>
  <c r="I80" i="22"/>
  <c r="P68" i="22"/>
  <c r="T50" i="22"/>
  <c r="W50" i="22" s="1"/>
  <c r="O50" i="22"/>
  <c r="M62" i="22"/>
  <c r="O42" i="22"/>
  <c r="M59" i="22"/>
  <c r="T47" i="22"/>
  <c r="W47" i="22" s="1"/>
  <c r="O47" i="22"/>
  <c r="T54" i="22"/>
  <c r="W54" i="22" s="1"/>
  <c r="M66" i="22"/>
  <c r="P51" i="22"/>
  <c r="I63" i="22"/>
  <c r="I53" i="22"/>
  <c r="P41" i="22"/>
  <c r="O41" i="22"/>
  <c r="T81" i="22"/>
  <c r="W81" i="22" s="1"/>
  <c r="I62" i="22"/>
  <c r="P50" i="22"/>
  <c r="M73" i="22"/>
  <c r="T61" i="22"/>
  <c r="W61" i="22" s="1"/>
  <c r="M77" i="22"/>
  <c r="T65" i="22"/>
  <c r="W65" i="22" s="1"/>
  <c r="I76" i="22"/>
  <c r="P64" i="22"/>
  <c r="K205" i="3" l="1"/>
  <c r="G24" i="1"/>
  <c r="A23" i="1"/>
  <c r="B25" i="19"/>
  <c r="H26" i="19"/>
  <c r="C25" i="19"/>
  <c r="F25" i="19"/>
  <c r="G25" i="19" s="1"/>
  <c r="O76" i="22"/>
  <c r="T64" i="22"/>
  <c r="W64" i="22" s="1"/>
  <c r="M76" i="22"/>
  <c r="I92" i="22"/>
  <c r="P80" i="22"/>
  <c r="M70" i="22"/>
  <c r="T58" i="22"/>
  <c r="W58" i="22" s="1"/>
  <c r="O58" i="22"/>
  <c r="M63" i="22"/>
  <c r="T51" i="22"/>
  <c r="W51" i="22" s="1"/>
  <c r="O51" i="22"/>
  <c r="P55" i="22"/>
  <c r="I67" i="22"/>
  <c r="M79" i="22"/>
  <c r="T67" i="22"/>
  <c r="W67" i="22" s="1"/>
  <c r="M71" i="22"/>
  <c r="O59" i="22"/>
  <c r="T59" i="22"/>
  <c r="W59" i="22" s="1"/>
  <c r="M85" i="22"/>
  <c r="T73" i="22"/>
  <c r="W73" i="22" s="1"/>
  <c r="P53" i="22"/>
  <c r="I65" i="22"/>
  <c r="O53" i="22"/>
  <c r="P63" i="22"/>
  <c r="I75" i="22"/>
  <c r="I69" i="22"/>
  <c r="P57" i="22"/>
  <c r="O57" i="22"/>
  <c r="M74" i="22"/>
  <c r="T62" i="22"/>
  <c r="W62" i="22" s="1"/>
  <c r="O62" i="22"/>
  <c r="I66" i="22"/>
  <c r="P54" i="22"/>
  <c r="I74" i="22"/>
  <c r="P62" i="22"/>
  <c r="I84" i="22"/>
  <c r="P72" i="22"/>
  <c r="I70" i="22"/>
  <c r="P58" i="22"/>
  <c r="T66" i="22"/>
  <c r="W66" i="22" s="1"/>
  <c r="M78" i="22"/>
  <c r="O66" i="22"/>
  <c r="O72" i="22"/>
  <c r="T72" i="22"/>
  <c r="W72" i="22" s="1"/>
  <c r="M84" i="22"/>
  <c r="P59" i="22"/>
  <c r="I71" i="22"/>
  <c r="I73" i="22"/>
  <c r="P61" i="22"/>
  <c r="I88" i="22"/>
  <c r="P76" i="22"/>
  <c r="T77" i="22"/>
  <c r="W77" i="22" s="1"/>
  <c r="O68" i="22"/>
  <c r="M80" i="22"/>
  <c r="T68" i="22"/>
  <c r="W68" i="22" s="1"/>
  <c r="G25" i="1" l="1"/>
  <c r="A24" i="1"/>
  <c r="H27" i="19"/>
  <c r="C26" i="19"/>
  <c r="B26" i="19"/>
  <c r="F26" i="19"/>
  <c r="G26" i="19" s="1"/>
  <c r="T76" i="22"/>
  <c r="W76" i="22" s="1"/>
  <c r="P75" i="22"/>
  <c r="I87" i="22"/>
  <c r="P92" i="22"/>
  <c r="O92" i="22"/>
  <c r="I81" i="22"/>
  <c r="P69" i="22"/>
  <c r="O69" i="22"/>
  <c r="I85" i="22"/>
  <c r="P73" i="22"/>
  <c r="O85" i="22"/>
  <c r="T85" i="22"/>
  <c r="W85" i="22" s="1"/>
  <c r="P67" i="22"/>
  <c r="I79" i="22"/>
  <c r="O79" i="22" s="1"/>
  <c r="I78" i="22"/>
  <c r="P66" i="22"/>
  <c r="P71" i="22"/>
  <c r="I83" i="22"/>
  <c r="I82" i="22"/>
  <c r="P70" i="22"/>
  <c r="O74" i="22"/>
  <c r="T74" i="22"/>
  <c r="W74" i="22" s="1"/>
  <c r="I77" i="22"/>
  <c r="P65" i="22"/>
  <c r="O65" i="22"/>
  <c r="M75" i="22"/>
  <c r="O63" i="22"/>
  <c r="T63" i="22"/>
  <c r="W63" i="22" s="1"/>
  <c r="O88" i="22"/>
  <c r="P88" i="22"/>
  <c r="I86" i="22"/>
  <c r="P74" i="22"/>
  <c r="O78" i="22"/>
  <c r="T78" i="22"/>
  <c r="W78" i="22" s="1"/>
  <c r="O71" i="22"/>
  <c r="M83" i="22"/>
  <c r="T71" i="22"/>
  <c r="W71" i="22" s="1"/>
  <c r="O73" i="22"/>
  <c r="O80" i="22"/>
  <c r="T80" i="22"/>
  <c r="W80" i="22" s="1"/>
  <c r="T84" i="22"/>
  <c r="W84" i="22" s="1"/>
  <c r="O84" i="22"/>
  <c r="T79" i="22"/>
  <c r="W79" i="22" s="1"/>
  <c r="O67" i="22"/>
  <c r="O70" i="22"/>
  <c r="T70" i="22"/>
  <c r="W70" i="22" s="1"/>
  <c r="M82" i="22"/>
  <c r="P84" i="22"/>
  <c r="I96" i="22"/>
  <c r="A25" i="1" l="1"/>
  <c r="G26" i="1"/>
  <c r="H28" i="19"/>
  <c r="C27" i="19"/>
  <c r="B27" i="19"/>
  <c r="F27" i="19"/>
  <c r="G27" i="19" s="1"/>
  <c r="O96" i="22"/>
  <c r="P96" i="22"/>
  <c r="I89" i="22"/>
  <c r="P77" i="22"/>
  <c r="O77" i="22"/>
  <c r="O75" i="22"/>
  <c r="T75" i="22"/>
  <c r="W75" i="22" s="1"/>
  <c r="O82" i="22"/>
  <c r="T82" i="22"/>
  <c r="W82" i="22" s="1"/>
  <c r="P86" i="22"/>
  <c r="O86" i="22"/>
  <c r="I90" i="22"/>
  <c r="P78" i="22"/>
  <c r="T83" i="22"/>
  <c r="W83" i="22" s="1"/>
  <c r="O83" i="22"/>
  <c r="I94" i="22"/>
  <c r="P82" i="22"/>
  <c r="I93" i="22"/>
  <c r="P81" i="22"/>
  <c r="O81" i="22"/>
  <c r="I91" i="22"/>
  <c r="P79" i="22"/>
  <c r="I95" i="22"/>
  <c r="P83" i="22"/>
  <c r="O87" i="22"/>
  <c r="P87" i="22"/>
  <c r="I97" i="22"/>
  <c r="P85" i="22"/>
  <c r="G27" i="1" l="1"/>
  <c r="A26" i="1"/>
  <c r="B28" i="19"/>
  <c r="H29" i="19"/>
  <c r="C28" i="19"/>
  <c r="F28" i="19"/>
  <c r="G28" i="19" s="1"/>
  <c r="O93" i="22"/>
  <c r="P93" i="22"/>
  <c r="O90" i="22"/>
  <c r="P90" i="22"/>
  <c r="P95" i="22"/>
  <c r="O95" i="22"/>
  <c r="O94" i="22"/>
  <c r="P94" i="22"/>
  <c r="P89" i="22"/>
  <c r="O89" i="22"/>
  <c r="O91" i="22"/>
  <c r="P91" i="22"/>
  <c r="O97" i="22"/>
  <c r="P97" i="22"/>
  <c r="G28" i="1" l="1"/>
  <c r="A27" i="1"/>
  <c r="B29" i="19"/>
  <c r="H30" i="19"/>
  <c r="C29" i="19"/>
  <c r="F29" i="19"/>
  <c r="G29" i="19" s="1"/>
  <c r="Z2" i="21"/>
  <c r="L2" i="21"/>
  <c r="M2" i="21"/>
  <c r="N2" i="21"/>
  <c r="K2" i="21"/>
  <c r="I2" i="21"/>
  <c r="G2" i="21"/>
  <c r="F2" i="21"/>
  <c r="E2" i="21"/>
  <c r="D2" i="21"/>
  <c r="AD2" i="21" s="1"/>
  <c r="A3" i="21"/>
  <c r="C2" i="21"/>
  <c r="B2" i="21"/>
  <c r="G29" i="1" l="1"/>
  <c r="A28" i="1"/>
  <c r="B30" i="19"/>
  <c r="C30" i="19"/>
  <c r="H31" i="19"/>
  <c r="F30" i="19"/>
  <c r="G30" i="19" s="1"/>
  <c r="Z3" i="21"/>
  <c r="L3" i="21"/>
  <c r="M3" i="21"/>
  <c r="N3" i="21"/>
  <c r="K3" i="21"/>
  <c r="I3" i="21"/>
  <c r="G3" i="21"/>
  <c r="F3" i="21"/>
  <c r="AH2" i="21"/>
  <c r="AG2" i="21"/>
  <c r="AF2" i="21"/>
  <c r="AE2" i="21"/>
  <c r="AC2" i="21"/>
  <c r="B3" i="21"/>
  <c r="C3" i="21"/>
  <c r="A4" i="21"/>
  <c r="E3" i="21"/>
  <c r="D3" i="21"/>
  <c r="AD3" i="21" s="1"/>
  <c r="G30" i="1" l="1"/>
  <c r="A29" i="1"/>
  <c r="B31" i="19"/>
  <c r="H32" i="19"/>
  <c r="C31" i="19"/>
  <c r="F31" i="19"/>
  <c r="G31" i="19" s="1"/>
  <c r="AH3" i="21"/>
  <c r="AG3" i="21"/>
  <c r="AF3" i="21"/>
  <c r="AE3" i="21"/>
  <c r="AC3" i="21"/>
  <c r="Z4" i="21"/>
  <c r="L4" i="21"/>
  <c r="M4" i="21"/>
  <c r="N4" i="21"/>
  <c r="G4" i="21"/>
  <c r="K4" i="21"/>
  <c r="I4" i="21"/>
  <c r="F4" i="21"/>
  <c r="A5" i="21"/>
  <c r="C4" i="21"/>
  <c r="E4" i="21"/>
  <c r="D4" i="21"/>
  <c r="AD4" i="21" s="1"/>
  <c r="B4" i="21"/>
  <c r="G31" i="1" l="1"/>
  <c r="A30" i="1"/>
  <c r="C32" i="19"/>
  <c r="B32" i="19"/>
  <c r="H33" i="19"/>
  <c r="F32" i="19"/>
  <c r="G32" i="19" s="1"/>
  <c r="AH4" i="21"/>
  <c r="AG4" i="21"/>
  <c r="AF4" i="21"/>
  <c r="AE4" i="21"/>
  <c r="AC4" i="21"/>
  <c r="Z5" i="21"/>
  <c r="L5" i="21"/>
  <c r="M5" i="21"/>
  <c r="N5" i="21"/>
  <c r="I5" i="21"/>
  <c r="K5" i="21"/>
  <c r="G5" i="21"/>
  <c r="F5" i="21"/>
  <c r="C5" i="21"/>
  <c r="B5" i="21"/>
  <c r="D5" i="21"/>
  <c r="AD5" i="21" s="1"/>
  <c r="A6" i="21"/>
  <c r="E5" i="21"/>
  <c r="G32" i="1" l="1"/>
  <c r="A31" i="1"/>
  <c r="H34" i="19"/>
  <c r="C33" i="19"/>
  <c r="B33" i="19"/>
  <c r="F33" i="19"/>
  <c r="G33" i="19" s="1"/>
  <c r="AH5" i="21"/>
  <c r="AG5" i="21"/>
  <c r="AF5" i="21"/>
  <c r="AE5" i="21"/>
  <c r="AC5" i="21"/>
  <c r="Z6" i="21"/>
  <c r="L6" i="21"/>
  <c r="M6" i="21"/>
  <c r="N6" i="21"/>
  <c r="I6" i="21"/>
  <c r="K6" i="21"/>
  <c r="G6" i="21"/>
  <c r="F6" i="21"/>
  <c r="B6" i="21"/>
  <c r="C6" i="21"/>
  <c r="A7" i="21"/>
  <c r="E6" i="21"/>
  <c r="D6" i="21"/>
  <c r="AD6" i="21" s="1"/>
  <c r="A32" i="1" l="1"/>
  <c r="G33" i="1"/>
  <c r="H35" i="19"/>
  <c r="C34" i="19"/>
  <c r="B34" i="19"/>
  <c r="F34" i="19"/>
  <c r="G34" i="19" s="1"/>
  <c r="AH6" i="21"/>
  <c r="AG6" i="21"/>
  <c r="AF6" i="21"/>
  <c r="AE6" i="21"/>
  <c r="AC6" i="21"/>
  <c r="Z7" i="21"/>
  <c r="N7" i="21"/>
  <c r="L7" i="21"/>
  <c r="M7" i="21"/>
  <c r="I7" i="21"/>
  <c r="K7" i="21"/>
  <c r="G7" i="21"/>
  <c r="F7" i="21"/>
  <c r="C7" i="21"/>
  <c r="D7" i="21"/>
  <c r="AD7" i="21" s="1"/>
  <c r="A8" i="21"/>
  <c r="E7" i="21"/>
  <c r="B7" i="21"/>
  <c r="A33" i="1" l="1"/>
  <c r="G34" i="1"/>
  <c r="H36" i="19"/>
  <c r="C35" i="19"/>
  <c r="B35" i="19"/>
  <c r="F35" i="19"/>
  <c r="G35" i="19" s="1"/>
  <c r="Z8" i="21"/>
  <c r="M8" i="21"/>
  <c r="N8" i="21"/>
  <c r="L8" i="21"/>
  <c r="I8" i="21"/>
  <c r="K8" i="21"/>
  <c r="G8" i="21"/>
  <c r="F8" i="21"/>
  <c r="AH7" i="21"/>
  <c r="AG7" i="21"/>
  <c r="AF7" i="21"/>
  <c r="AE7" i="21"/>
  <c r="AC7" i="21"/>
  <c r="C8" i="21"/>
  <c r="E8" i="21"/>
  <c r="A9" i="21"/>
  <c r="D8" i="21"/>
  <c r="AD8" i="21" s="1"/>
  <c r="B8" i="21"/>
  <c r="A34" i="1" l="1"/>
  <c r="G35" i="1"/>
  <c r="H37" i="19"/>
  <c r="C36" i="19"/>
  <c r="B36" i="19"/>
  <c r="F36" i="19"/>
  <c r="G36" i="19" s="1"/>
  <c r="AH8" i="21"/>
  <c r="AG8" i="21"/>
  <c r="AF8" i="21"/>
  <c r="AC8" i="21"/>
  <c r="AE8" i="21"/>
  <c r="Z9" i="21"/>
  <c r="M9" i="21"/>
  <c r="N9" i="21"/>
  <c r="L9" i="21"/>
  <c r="I9" i="21"/>
  <c r="K9" i="21"/>
  <c r="G9" i="21"/>
  <c r="F9" i="21"/>
  <c r="C9" i="21"/>
  <c r="A10" i="21"/>
  <c r="E9" i="21"/>
  <c r="B9" i="21"/>
  <c r="D9" i="21"/>
  <c r="AD9" i="21" s="1"/>
  <c r="A35" i="1" l="1"/>
  <c r="G36" i="1"/>
  <c r="H38" i="19"/>
  <c r="C37" i="19"/>
  <c r="B37" i="19"/>
  <c r="F37" i="19"/>
  <c r="G37" i="19" s="1"/>
  <c r="AH9" i="21"/>
  <c r="AG9" i="21"/>
  <c r="AF9" i="21"/>
  <c r="AE9" i="21"/>
  <c r="AC9" i="21"/>
  <c r="Z10" i="21"/>
  <c r="M10" i="21"/>
  <c r="N10" i="21"/>
  <c r="L10" i="21"/>
  <c r="I10" i="21"/>
  <c r="K10" i="21"/>
  <c r="G10" i="21"/>
  <c r="F10" i="21"/>
  <c r="D10" i="21"/>
  <c r="AD10" i="21" s="1"/>
  <c r="C10" i="21"/>
  <c r="B10" i="21"/>
  <c r="A11" i="21"/>
  <c r="E10" i="21"/>
  <c r="A36" i="1" l="1"/>
  <c r="G37" i="1"/>
  <c r="F38" i="19"/>
  <c r="G38" i="19" s="1"/>
  <c r="C38" i="19"/>
  <c r="B38" i="19"/>
  <c r="H39" i="19"/>
  <c r="Z11" i="21"/>
  <c r="M11" i="21"/>
  <c r="N11" i="21"/>
  <c r="L11" i="21"/>
  <c r="I11" i="21"/>
  <c r="K11" i="21"/>
  <c r="G11" i="21"/>
  <c r="F11" i="21"/>
  <c r="AH10" i="21"/>
  <c r="AG10" i="21"/>
  <c r="AF10" i="21"/>
  <c r="AE10" i="21"/>
  <c r="AC10" i="21"/>
  <c r="C11" i="21"/>
  <c r="A12" i="21"/>
  <c r="E11" i="21"/>
  <c r="D11" i="21"/>
  <c r="AD11" i="21" s="1"/>
  <c r="B11" i="21"/>
  <c r="G38" i="1" l="1"/>
  <c r="A37" i="1"/>
  <c r="C39" i="19"/>
  <c r="B39" i="19"/>
  <c r="H40" i="19"/>
  <c r="F39" i="19"/>
  <c r="G39" i="19" s="1"/>
  <c r="AH11" i="21"/>
  <c r="AG11" i="21"/>
  <c r="AF11" i="21"/>
  <c r="AE11" i="21"/>
  <c r="AC11" i="21"/>
  <c r="Z12" i="21"/>
  <c r="M12" i="21"/>
  <c r="N12" i="21"/>
  <c r="L12" i="21"/>
  <c r="I12" i="21"/>
  <c r="K12" i="21"/>
  <c r="G12" i="21"/>
  <c r="F12" i="21"/>
  <c r="C12" i="21"/>
  <c r="A13" i="21"/>
  <c r="E12" i="21"/>
  <c r="D12" i="21"/>
  <c r="AD12" i="21" s="1"/>
  <c r="B12" i="21"/>
  <c r="G39" i="1" l="1"/>
  <c r="A38" i="1"/>
  <c r="F40" i="19"/>
  <c r="G40" i="19" s="1"/>
  <c r="B40" i="19"/>
  <c r="H41" i="19"/>
  <c r="C40" i="19"/>
  <c r="AH12" i="21"/>
  <c r="AG12" i="21"/>
  <c r="AF12" i="21"/>
  <c r="AE12" i="21"/>
  <c r="AC12" i="21"/>
  <c r="Z13" i="21"/>
  <c r="N13" i="21"/>
  <c r="K13" i="21"/>
  <c r="M13" i="21"/>
  <c r="L13" i="21"/>
  <c r="I13" i="21"/>
  <c r="G13" i="21"/>
  <c r="F13" i="21"/>
  <c r="A14" i="21"/>
  <c r="B13" i="21"/>
  <c r="E13" i="21"/>
  <c r="D13" i="21"/>
  <c r="AD13" i="21" s="1"/>
  <c r="C13" i="21"/>
  <c r="G40" i="1" l="1"/>
  <c r="A39" i="1"/>
  <c r="B41" i="19"/>
  <c r="F41" i="19"/>
  <c r="G41" i="19" s="1"/>
  <c r="C41" i="19"/>
  <c r="AH13" i="21"/>
  <c r="AG13" i="21"/>
  <c r="AF13" i="21"/>
  <c r="AE13" i="21"/>
  <c r="AC13" i="21"/>
  <c r="Z14" i="21"/>
  <c r="L14" i="21"/>
  <c r="M14" i="21"/>
  <c r="N14" i="21"/>
  <c r="I14" i="21"/>
  <c r="G14" i="21"/>
  <c r="K14" i="21"/>
  <c r="F14" i="21"/>
  <c r="B14" i="21"/>
  <c r="A15" i="21"/>
  <c r="E14" i="21"/>
  <c r="D14" i="21"/>
  <c r="AD14" i="21" s="1"/>
  <c r="C14" i="21"/>
  <c r="A40" i="1" l="1"/>
  <c r="G41" i="1"/>
  <c r="Z15" i="21"/>
  <c r="L15" i="21"/>
  <c r="M15" i="21"/>
  <c r="N15" i="21"/>
  <c r="K15" i="21"/>
  <c r="I15" i="21"/>
  <c r="G15" i="21"/>
  <c r="F15" i="21"/>
  <c r="AH14" i="21"/>
  <c r="AG14" i="21"/>
  <c r="AF14" i="21"/>
  <c r="AE14" i="21"/>
  <c r="AC14" i="21"/>
  <c r="C15" i="21"/>
  <c r="D15" i="21"/>
  <c r="AD15" i="21" s="1"/>
  <c r="B15" i="21"/>
  <c r="A16" i="21"/>
  <c r="E15" i="21"/>
  <c r="A41" i="1" l="1"/>
  <c r="G42" i="1"/>
  <c r="Z16" i="21"/>
  <c r="L16" i="21"/>
  <c r="M16" i="21"/>
  <c r="N16" i="21"/>
  <c r="G16" i="21"/>
  <c r="K16" i="21"/>
  <c r="I16" i="21"/>
  <c r="F16" i="21"/>
  <c r="AH15" i="21"/>
  <c r="AG15" i="21"/>
  <c r="AF15" i="21"/>
  <c r="AE15" i="21"/>
  <c r="AC15" i="21"/>
  <c r="C16" i="21"/>
  <c r="E16" i="21"/>
  <c r="A17" i="21"/>
  <c r="D16" i="21"/>
  <c r="AD16" i="21" s="1"/>
  <c r="B16" i="21"/>
  <c r="G43" i="1" l="1"/>
  <c r="A42" i="1"/>
  <c r="AH16" i="21"/>
  <c r="AG16" i="21"/>
  <c r="AF16" i="21"/>
  <c r="AE16" i="21"/>
  <c r="AC16" i="21"/>
  <c r="Z17" i="21"/>
  <c r="L17" i="21"/>
  <c r="M17" i="21"/>
  <c r="N17" i="21"/>
  <c r="I17" i="21"/>
  <c r="K17" i="21"/>
  <c r="G17" i="21"/>
  <c r="F17" i="21"/>
  <c r="C17" i="21"/>
  <c r="E17" i="21"/>
  <c r="D17" i="21"/>
  <c r="AD17" i="21" s="1"/>
  <c r="B17" i="21"/>
  <c r="A18" i="21"/>
  <c r="A43" i="1" l="1"/>
  <c r="G44" i="1"/>
  <c r="Z18" i="21"/>
  <c r="L18" i="21"/>
  <c r="M18" i="21"/>
  <c r="N18" i="21"/>
  <c r="I18" i="21"/>
  <c r="K18" i="21"/>
  <c r="G18" i="21"/>
  <c r="F18" i="21"/>
  <c r="AH17" i="21"/>
  <c r="AG17" i="21"/>
  <c r="AF17" i="21"/>
  <c r="AE17" i="21"/>
  <c r="AC17" i="21"/>
  <c r="D18" i="21"/>
  <c r="AD18" i="21" s="1"/>
  <c r="A19" i="21"/>
  <c r="E18" i="21"/>
  <c r="C18" i="21"/>
  <c r="B18" i="21"/>
  <c r="A44" i="1" l="1"/>
  <c r="G45" i="1"/>
  <c r="Z19" i="21"/>
  <c r="N19" i="21"/>
  <c r="L19" i="21"/>
  <c r="M19" i="21"/>
  <c r="I19" i="21"/>
  <c r="K19" i="21"/>
  <c r="G19" i="21"/>
  <c r="F19" i="21"/>
  <c r="AH18" i="21"/>
  <c r="AG18" i="21"/>
  <c r="AF18" i="21"/>
  <c r="AE18" i="21"/>
  <c r="AC18" i="21"/>
  <c r="C19" i="21"/>
  <c r="E19" i="21"/>
  <c r="D19" i="21"/>
  <c r="AD19" i="21" s="1"/>
  <c r="B19" i="21"/>
  <c r="A20" i="21"/>
  <c r="A45" i="1" l="1"/>
  <c r="G46" i="1"/>
  <c r="Z20" i="21"/>
  <c r="M20" i="21"/>
  <c r="N20" i="21"/>
  <c r="L20" i="21"/>
  <c r="I20" i="21"/>
  <c r="K20" i="21"/>
  <c r="G20" i="21"/>
  <c r="F20" i="21"/>
  <c r="AH19" i="21"/>
  <c r="AG19" i="21"/>
  <c r="AF19" i="21"/>
  <c r="AE19" i="21"/>
  <c r="AC19" i="21"/>
  <c r="C20" i="21"/>
  <c r="A21" i="21"/>
  <c r="E20" i="21"/>
  <c r="D20" i="21"/>
  <c r="AD20" i="21" s="1"/>
  <c r="B20" i="21"/>
  <c r="G47" i="1" l="1"/>
  <c r="A46" i="1"/>
  <c r="Z21" i="21"/>
  <c r="M21" i="21"/>
  <c r="N21" i="21"/>
  <c r="L21" i="21"/>
  <c r="I21" i="21"/>
  <c r="K21" i="21"/>
  <c r="F21" i="21"/>
  <c r="G21" i="21"/>
  <c r="AH20" i="21"/>
  <c r="AG20" i="21"/>
  <c r="AF20" i="21"/>
  <c r="AC20" i="21"/>
  <c r="AE20" i="21"/>
  <c r="A22" i="21"/>
  <c r="E21" i="21"/>
  <c r="D21" i="21"/>
  <c r="AD21" i="21" s="1"/>
  <c r="C21" i="21"/>
  <c r="B21" i="21"/>
  <c r="A47" i="1" l="1"/>
  <c r="G48" i="1"/>
  <c r="AH21" i="21"/>
  <c r="AG21" i="21"/>
  <c r="AF21" i="21"/>
  <c r="AE21" i="21"/>
  <c r="AC21" i="21"/>
  <c r="Z22" i="21"/>
  <c r="M22" i="21"/>
  <c r="N22" i="21"/>
  <c r="L22" i="21"/>
  <c r="I22" i="21"/>
  <c r="K22" i="21"/>
  <c r="F22" i="21"/>
  <c r="G22" i="21"/>
  <c r="B22" i="21"/>
  <c r="A23" i="21"/>
  <c r="E22" i="21"/>
  <c r="D22" i="21"/>
  <c r="AD22" i="21" s="1"/>
  <c r="C22" i="21"/>
  <c r="A48" i="1" l="1"/>
  <c r="G49" i="1"/>
  <c r="AH22" i="21"/>
  <c r="AG22" i="21"/>
  <c r="AF22" i="21"/>
  <c r="AE22" i="21"/>
  <c r="AC22" i="21"/>
  <c r="Z23" i="21"/>
  <c r="M23" i="21"/>
  <c r="N23" i="21"/>
  <c r="L23" i="21"/>
  <c r="I23" i="21"/>
  <c r="K23" i="21"/>
  <c r="F23" i="21"/>
  <c r="G23" i="21"/>
  <c r="C23" i="21"/>
  <c r="D23" i="21"/>
  <c r="AD23" i="21" s="1"/>
  <c r="B23" i="21"/>
  <c r="A24" i="21"/>
  <c r="E23" i="21"/>
  <c r="G50" i="1" l="1"/>
  <c r="A49" i="1"/>
  <c r="Z24" i="21"/>
  <c r="M24" i="21"/>
  <c r="N24" i="21"/>
  <c r="L24" i="21"/>
  <c r="I24" i="21"/>
  <c r="K24" i="21"/>
  <c r="F24" i="21"/>
  <c r="G24" i="21"/>
  <c r="AH23" i="21"/>
  <c r="AG23" i="21"/>
  <c r="AF23" i="21"/>
  <c r="AE23" i="21"/>
  <c r="AC23" i="21"/>
  <c r="C24" i="21"/>
  <c r="E24" i="21"/>
  <c r="D24" i="21"/>
  <c r="AD24" i="21" s="1"/>
  <c r="B24" i="21"/>
  <c r="A25" i="21"/>
  <c r="G51" i="1" l="1"/>
  <c r="A50" i="1"/>
  <c r="Z25" i="21"/>
  <c r="N25" i="21"/>
  <c r="K25" i="21"/>
  <c r="M25" i="21"/>
  <c r="L25" i="21"/>
  <c r="I25" i="21"/>
  <c r="G25" i="21"/>
  <c r="F25" i="21"/>
  <c r="AH24" i="21"/>
  <c r="AG24" i="21"/>
  <c r="AF24" i="21"/>
  <c r="AE24" i="21"/>
  <c r="AC24" i="21"/>
  <c r="E25" i="21"/>
  <c r="D25" i="21"/>
  <c r="AD25" i="21" s="1"/>
  <c r="C25" i="21"/>
  <c r="A26" i="21"/>
  <c r="B25" i="21"/>
  <c r="A51" i="1" l="1"/>
  <c r="G52" i="1"/>
  <c r="Z26" i="21"/>
  <c r="L26" i="21"/>
  <c r="M26" i="21"/>
  <c r="N26" i="21"/>
  <c r="I26" i="21"/>
  <c r="K26" i="21"/>
  <c r="G26" i="21"/>
  <c r="F26" i="21"/>
  <c r="AH25" i="21"/>
  <c r="AG25" i="21"/>
  <c r="AF25" i="21"/>
  <c r="AE25" i="21"/>
  <c r="AC25" i="21"/>
  <c r="E26" i="21"/>
  <c r="D26" i="21"/>
  <c r="AD26" i="21" s="1"/>
  <c r="C26" i="21"/>
  <c r="A27" i="21"/>
  <c r="B26" i="21"/>
  <c r="A52" i="1" l="1"/>
  <c r="G53" i="1"/>
  <c r="Z27" i="21"/>
  <c r="L27" i="21"/>
  <c r="M27" i="21"/>
  <c r="N27" i="21"/>
  <c r="I27" i="21"/>
  <c r="K27" i="21"/>
  <c r="G27" i="21"/>
  <c r="F27" i="21"/>
  <c r="AH26" i="21"/>
  <c r="AG26" i="21"/>
  <c r="AF26" i="21"/>
  <c r="AE26" i="21"/>
  <c r="AC26" i="21"/>
  <c r="C27" i="21"/>
  <c r="E27" i="21"/>
  <c r="D27" i="21"/>
  <c r="AD27" i="21" s="1"/>
  <c r="B27" i="21"/>
  <c r="A28" i="21"/>
  <c r="G54" i="1" l="1"/>
  <c r="A53" i="1"/>
  <c r="I206" i="3"/>
  <c r="I13" i="11"/>
  <c r="I15" i="11"/>
  <c r="J18" i="11"/>
  <c r="I18" i="11"/>
  <c r="I10" i="11"/>
  <c r="I16" i="11"/>
  <c r="I12" i="11"/>
  <c r="J17" i="11"/>
  <c r="J16" i="11"/>
  <c r="J12" i="11"/>
  <c r="J15" i="11"/>
  <c r="I17" i="11"/>
  <c r="I14" i="11"/>
  <c r="J206" i="3"/>
  <c r="J9" i="11"/>
  <c r="J13" i="11"/>
  <c r="J11" i="11"/>
  <c r="I9" i="11"/>
  <c r="J14" i="11"/>
  <c r="I11" i="11"/>
  <c r="J10" i="11"/>
  <c r="I8" i="11"/>
  <c r="J8" i="11"/>
  <c r="Z28" i="21"/>
  <c r="L28" i="21"/>
  <c r="M28" i="21"/>
  <c r="N28" i="21"/>
  <c r="K28" i="21"/>
  <c r="G28" i="21"/>
  <c r="I28" i="21"/>
  <c r="F28" i="21"/>
  <c r="AH27" i="21"/>
  <c r="AG27" i="21"/>
  <c r="AF27" i="21"/>
  <c r="AE27" i="21"/>
  <c r="AC27" i="21"/>
  <c r="C28" i="21"/>
  <c r="A29" i="21"/>
  <c r="E28" i="21"/>
  <c r="D28" i="21"/>
  <c r="AD28" i="21" s="1"/>
  <c r="B28" i="21"/>
  <c r="A54" i="1" l="1"/>
  <c r="G55" i="1"/>
  <c r="K10" i="11"/>
  <c r="K206" i="3"/>
  <c r="K16" i="11"/>
  <c r="K13" i="11"/>
  <c r="K17" i="11"/>
  <c r="K14" i="11"/>
  <c r="K12" i="11"/>
  <c r="K11" i="11"/>
  <c r="K9" i="11"/>
  <c r="K18" i="11"/>
  <c r="K8" i="11"/>
  <c r="K15" i="11"/>
  <c r="AH28" i="21"/>
  <c r="AG28" i="21"/>
  <c r="AF28" i="21"/>
  <c r="AE28" i="21"/>
  <c r="AC28" i="21"/>
  <c r="Z29" i="21"/>
  <c r="L29" i="21"/>
  <c r="M29" i="21"/>
  <c r="N29" i="21"/>
  <c r="I29" i="21"/>
  <c r="K29" i="21"/>
  <c r="G29" i="21"/>
  <c r="F29" i="21"/>
  <c r="A30" i="21"/>
  <c r="E29" i="21"/>
  <c r="D29" i="21"/>
  <c r="AD29" i="21" s="1"/>
  <c r="C29" i="21"/>
  <c r="B29" i="21"/>
  <c r="G56" i="1" l="1"/>
  <c r="J24" i="11"/>
  <c r="J20" i="11"/>
  <c r="J21" i="11"/>
  <c r="I23" i="11"/>
  <c r="I19" i="11"/>
  <c r="I25" i="11"/>
  <c r="I22" i="11"/>
  <c r="J22" i="11"/>
  <c r="I26" i="11"/>
  <c r="I208" i="3"/>
  <c r="J30" i="11"/>
  <c r="I209" i="3"/>
  <c r="I213" i="3"/>
  <c r="I215" i="3"/>
  <c r="I20" i="11"/>
  <c r="J29" i="11"/>
  <c r="I28" i="11"/>
  <c r="J211" i="3"/>
  <c r="J27" i="11"/>
  <c r="I21" i="11"/>
  <c r="I27" i="11"/>
  <c r="J214" i="3"/>
  <c r="J210" i="3"/>
  <c r="J213" i="3"/>
  <c r="I29" i="11"/>
  <c r="J26" i="11"/>
  <c r="J23" i="11"/>
  <c r="I212" i="3"/>
  <c r="J215" i="3"/>
  <c r="I207" i="3"/>
  <c r="J207" i="3"/>
  <c r="I214" i="3"/>
  <c r="I211" i="3"/>
  <c r="I30" i="11"/>
  <c r="I24" i="11"/>
  <c r="J25" i="11"/>
  <c r="I210" i="3"/>
  <c r="J19" i="11"/>
  <c r="J28" i="11"/>
  <c r="J212" i="3"/>
  <c r="K212" i="3" s="1"/>
  <c r="J208" i="3"/>
  <c r="J209" i="3"/>
  <c r="A55" i="1"/>
  <c r="AH29" i="21"/>
  <c r="AG29" i="21"/>
  <c r="AF29" i="21"/>
  <c r="AE29" i="21"/>
  <c r="AC29" i="21"/>
  <c r="Z30" i="21"/>
  <c r="L30" i="21"/>
  <c r="M30" i="21"/>
  <c r="N30" i="21"/>
  <c r="I30" i="21"/>
  <c r="K30" i="21"/>
  <c r="G30" i="21"/>
  <c r="F30" i="21"/>
  <c r="B30" i="21"/>
  <c r="A31" i="21"/>
  <c r="E30" i="21"/>
  <c r="D30" i="21"/>
  <c r="AD30" i="21" s="1"/>
  <c r="C30" i="21"/>
  <c r="G57" i="1" l="1"/>
  <c r="A56" i="1"/>
  <c r="B56" i="1"/>
  <c r="E56" i="1"/>
  <c r="F56" i="1" s="1"/>
  <c r="J216" i="3"/>
  <c r="I216" i="3"/>
  <c r="K19" i="11"/>
  <c r="K26" i="11"/>
  <c r="K28" i="11"/>
  <c r="K207" i="3"/>
  <c r="K210" i="3"/>
  <c r="K27" i="11"/>
  <c r="K30" i="11"/>
  <c r="K23" i="11"/>
  <c r="K209" i="3"/>
  <c r="K21" i="11"/>
  <c r="K213" i="3"/>
  <c r="K208" i="3"/>
  <c r="K215" i="3"/>
  <c r="K25" i="11"/>
  <c r="K214" i="3"/>
  <c r="K211" i="3"/>
  <c r="K20" i="11"/>
  <c r="K24" i="11"/>
  <c r="K29" i="11"/>
  <c r="K22" i="11"/>
  <c r="AH30" i="21"/>
  <c r="AG30" i="21"/>
  <c r="AF30" i="21"/>
  <c r="AE30" i="21"/>
  <c r="AC30" i="21"/>
  <c r="Z31" i="21"/>
  <c r="N31" i="21"/>
  <c r="L31" i="21"/>
  <c r="M31" i="21"/>
  <c r="I31" i="21"/>
  <c r="K31" i="21"/>
  <c r="F31" i="21"/>
  <c r="G31" i="21"/>
  <c r="C31" i="21"/>
  <c r="D31" i="21"/>
  <c r="AD31" i="21" s="1"/>
  <c r="B31" i="21"/>
  <c r="A32" i="21"/>
  <c r="E31" i="21"/>
  <c r="G58" i="1" l="1"/>
  <c r="A57" i="1"/>
  <c r="B57" i="1"/>
  <c r="E57" i="1"/>
  <c r="F57" i="1" s="1"/>
  <c r="J31" i="11"/>
  <c r="I31" i="11"/>
  <c r="K216" i="3"/>
  <c r="Z32" i="21"/>
  <c r="M32" i="21"/>
  <c r="N32" i="21"/>
  <c r="L32" i="21"/>
  <c r="I32" i="21"/>
  <c r="K32" i="21"/>
  <c r="F32" i="21"/>
  <c r="G32" i="21"/>
  <c r="AH31" i="21"/>
  <c r="AG31" i="21"/>
  <c r="AF31" i="21"/>
  <c r="AE31" i="21"/>
  <c r="AC31" i="21"/>
  <c r="C32" i="21"/>
  <c r="E32" i="21"/>
  <c r="D32" i="21"/>
  <c r="AD32" i="21" s="1"/>
  <c r="B32" i="21"/>
  <c r="A33" i="21"/>
  <c r="G59" i="1" l="1"/>
  <c r="B58" i="1"/>
  <c r="A58" i="1"/>
  <c r="E58" i="1"/>
  <c r="F58" i="1" s="1"/>
  <c r="I218" i="3"/>
  <c r="J34" i="11"/>
  <c r="J32" i="11"/>
  <c r="J217" i="3"/>
  <c r="I33" i="11"/>
  <c r="I32" i="11"/>
  <c r="I34" i="11"/>
  <c r="J218" i="3"/>
  <c r="J33" i="11"/>
  <c r="I217" i="3"/>
  <c r="K31" i="11"/>
  <c r="Z33" i="21"/>
  <c r="M33" i="21"/>
  <c r="N33" i="21"/>
  <c r="L33" i="21"/>
  <c r="I33" i="21"/>
  <c r="K33" i="21"/>
  <c r="G33" i="21"/>
  <c r="F33" i="21"/>
  <c r="AH32" i="21"/>
  <c r="AG32" i="21"/>
  <c r="AF32" i="21"/>
  <c r="AC32" i="21"/>
  <c r="AE32" i="21"/>
  <c r="E33" i="21"/>
  <c r="D33" i="21"/>
  <c r="AD33" i="21" s="1"/>
  <c r="C33" i="21"/>
  <c r="A34" i="21"/>
  <c r="B33" i="21"/>
  <c r="K33" i="11" l="1"/>
  <c r="G60" i="1"/>
  <c r="A59" i="1"/>
  <c r="B59" i="1"/>
  <c r="E59" i="1"/>
  <c r="F59" i="1" s="1"/>
  <c r="K218" i="3"/>
  <c r="K217" i="3"/>
  <c r="K32" i="11"/>
  <c r="K34" i="11"/>
  <c r="Z34" i="21"/>
  <c r="M34" i="21"/>
  <c r="N34" i="21"/>
  <c r="L34" i="21"/>
  <c r="I34" i="21"/>
  <c r="K34" i="21"/>
  <c r="G34" i="21"/>
  <c r="F34" i="21"/>
  <c r="AH33" i="21"/>
  <c r="AG33" i="21"/>
  <c r="AF33" i="21"/>
  <c r="AE33" i="21"/>
  <c r="AC33" i="21"/>
  <c r="E34" i="21"/>
  <c r="D34" i="21"/>
  <c r="AD34" i="21" s="1"/>
  <c r="C34" i="21"/>
  <c r="A35" i="21"/>
  <c r="B34" i="21"/>
  <c r="G61" i="1" l="1"/>
  <c r="A60" i="1"/>
  <c r="B60" i="1"/>
  <c r="E60" i="1"/>
  <c r="F60" i="1" s="1"/>
  <c r="I36" i="11"/>
  <c r="I35" i="11"/>
  <c r="J36" i="11"/>
  <c r="J35" i="11"/>
  <c r="Z35" i="21"/>
  <c r="M35" i="21"/>
  <c r="N35" i="21"/>
  <c r="L35" i="21"/>
  <c r="I35" i="21"/>
  <c r="K35" i="21"/>
  <c r="G35" i="21"/>
  <c r="F35" i="21"/>
  <c r="AH34" i="21"/>
  <c r="AG34" i="21"/>
  <c r="AF34" i="21"/>
  <c r="AE34" i="21"/>
  <c r="AC34" i="21"/>
  <c r="C35" i="21"/>
  <c r="D35" i="21"/>
  <c r="AD35" i="21" s="1"/>
  <c r="B35" i="21"/>
  <c r="A36" i="21"/>
  <c r="E35" i="21"/>
  <c r="K36" i="11" l="1"/>
  <c r="G62" i="1"/>
  <c r="B61" i="1"/>
  <c r="E61" i="1"/>
  <c r="F61" i="1" s="1"/>
  <c r="A61" i="1"/>
  <c r="J37" i="11"/>
  <c r="J219" i="3"/>
  <c r="I219" i="3"/>
  <c r="I37" i="11"/>
  <c r="K35" i="11"/>
  <c r="Z36" i="21"/>
  <c r="M36" i="21"/>
  <c r="N36" i="21"/>
  <c r="L36" i="21"/>
  <c r="I36" i="21"/>
  <c r="K36" i="21"/>
  <c r="G36" i="21"/>
  <c r="F36" i="21"/>
  <c r="AH35" i="21"/>
  <c r="AG35" i="21"/>
  <c r="AF35" i="21"/>
  <c r="AE35" i="21"/>
  <c r="AC35" i="21"/>
  <c r="C36" i="21"/>
  <c r="A37" i="21"/>
  <c r="D36" i="21"/>
  <c r="AD36" i="21" s="1"/>
  <c r="B36" i="21"/>
  <c r="E36" i="21"/>
  <c r="G63" i="1" l="1"/>
  <c r="B62" i="1"/>
  <c r="A62" i="1"/>
  <c r="E62" i="1"/>
  <c r="F62" i="1" s="1"/>
  <c r="K219" i="3"/>
  <c r="K37" i="11"/>
  <c r="AH36" i="21"/>
  <c r="AG36" i="21"/>
  <c r="AF36" i="21"/>
  <c r="AE36" i="21"/>
  <c r="AC36" i="21"/>
  <c r="Z37" i="21"/>
  <c r="N37" i="21"/>
  <c r="K37" i="21"/>
  <c r="M37" i="21"/>
  <c r="L37" i="21"/>
  <c r="I37" i="21"/>
  <c r="G37" i="21"/>
  <c r="F37" i="21"/>
  <c r="A38" i="21"/>
  <c r="D37" i="21"/>
  <c r="AD37" i="21" s="1"/>
  <c r="C37" i="21"/>
  <c r="B37" i="21"/>
  <c r="E37" i="21"/>
  <c r="G64" i="1" l="1"/>
  <c r="A63" i="1"/>
  <c r="B63" i="1"/>
  <c r="E63" i="1"/>
  <c r="F63" i="1" s="1"/>
  <c r="AH37" i="21"/>
  <c r="AG37" i="21"/>
  <c r="AF37" i="21"/>
  <c r="AE37" i="21"/>
  <c r="AC37" i="21"/>
  <c r="Z38" i="21"/>
  <c r="L38" i="21"/>
  <c r="M38" i="21"/>
  <c r="N38" i="21"/>
  <c r="K38" i="21"/>
  <c r="I38" i="21"/>
  <c r="G38" i="21"/>
  <c r="F38" i="21"/>
  <c r="B38" i="21"/>
  <c r="A39" i="21"/>
  <c r="E38" i="21"/>
  <c r="D38" i="21"/>
  <c r="AD38" i="21" s="1"/>
  <c r="C38" i="21"/>
  <c r="G65" i="1" l="1"/>
  <c r="A64" i="1"/>
  <c r="B64" i="1"/>
  <c r="E64" i="1"/>
  <c r="F64" i="1" s="1"/>
  <c r="J38" i="11"/>
  <c r="I38" i="11"/>
  <c r="AH38" i="21"/>
  <c r="AG38" i="21"/>
  <c r="AF38" i="21"/>
  <c r="AE38" i="21"/>
  <c r="AC38" i="21"/>
  <c r="Z39" i="21"/>
  <c r="L39" i="21"/>
  <c r="M39" i="21"/>
  <c r="N39" i="21"/>
  <c r="K39" i="21"/>
  <c r="I39" i="21"/>
  <c r="G39" i="21"/>
  <c r="F39" i="21"/>
  <c r="C39" i="21"/>
  <c r="D39" i="21"/>
  <c r="AD39" i="21" s="1"/>
  <c r="B39" i="21"/>
  <c r="A40" i="21"/>
  <c r="E39" i="21"/>
  <c r="G66" i="1" l="1"/>
  <c r="A65" i="1"/>
  <c r="B65" i="1"/>
  <c r="E65" i="1"/>
  <c r="F65" i="1" s="1"/>
  <c r="K38" i="11"/>
  <c r="Z40" i="21"/>
  <c r="L40" i="21"/>
  <c r="M40" i="21"/>
  <c r="N40" i="21"/>
  <c r="G40" i="21"/>
  <c r="K40" i="21"/>
  <c r="I40" i="21"/>
  <c r="F40" i="21"/>
  <c r="AH39" i="21"/>
  <c r="AG39" i="21"/>
  <c r="AF39" i="21"/>
  <c r="AE39" i="21"/>
  <c r="AC39" i="21"/>
  <c r="C40" i="21"/>
  <c r="E40" i="21"/>
  <c r="D40" i="21"/>
  <c r="AD40" i="21" s="1"/>
  <c r="B40" i="21"/>
  <c r="A41" i="21"/>
  <c r="G67" i="1" l="1"/>
  <c r="A66" i="1"/>
  <c r="B66" i="1"/>
  <c r="E66" i="1"/>
  <c r="F66" i="1" s="1"/>
  <c r="Z41" i="21"/>
  <c r="L41" i="21"/>
  <c r="M41" i="21"/>
  <c r="N41" i="21"/>
  <c r="K41" i="21"/>
  <c r="I41" i="21"/>
  <c r="G41" i="21"/>
  <c r="F41" i="21"/>
  <c r="AH40" i="21"/>
  <c r="AG40" i="21"/>
  <c r="AF40" i="21"/>
  <c r="AE40" i="21"/>
  <c r="AC40" i="21"/>
  <c r="B41" i="21"/>
  <c r="E41" i="21"/>
  <c r="D41" i="21"/>
  <c r="AD41" i="21" s="1"/>
  <c r="C41" i="21"/>
  <c r="A42" i="21"/>
  <c r="G68" i="1" l="1"/>
  <c r="A67" i="1"/>
  <c r="B67" i="1"/>
  <c r="E67" i="1"/>
  <c r="F67" i="1" s="1"/>
  <c r="J39" i="11"/>
  <c r="I39" i="11"/>
  <c r="Z42" i="21"/>
  <c r="L42" i="21"/>
  <c r="M42" i="21"/>
  <c r="N42" i="21"/>
  <c r="K42" i="21"/>
  <c r="I42" i="21"/>
  <c r="G42" i="21"/>
  <c r="F42" i="21"/>
  <c r="AH41" i="21"/>
  <c r="AG41" i="21"/>
  <c r="AF41" i="21"/>
  <c r="AE41" i="21"/>
  <c r="AC41" i="21"/>
  <c r="C42" i="21"/>
  <c r="E42" i="21"/>
  <c r="D42" i="21"/>
  <c r="AD42" i="21" s="1"/>
  <c r="B42" i="21"/>
  <c r="A43" i="21"/>
  <c r="G69" i="1" l="1"/>
  <c r="G70" i="1" s="1"/>
  <c r="E68" i="1"/>
  <c r="F68" i="1" s="1"/>
  <c r="A68" i="1"/>
  <c r="B68" i="1"/>
  <c r="K39" i="11"/>
  <c r="Z43" i="21"/>
  <c r="N43" i="21"/>
  <c r="L43" i="21"/>
  <c r="M43" i="21"/>
  <c r="K43" i="21"/>
  <c r="I43" i="21"/>
  <c r="F43" i="21"/>
  <c r="G43" i="21"/>
  <c r="AH42" i="21"/>
  <c r="AG42" i="21"/>
  <c r="AF42" i="21"/>
  <c r="AE42" i="21"/>
  <c r="AC42" i="21"/>
  <c r="C43" i="21"/>
  <c r="E43" i="21"/>
  <c r="D43" i="21"/>
  <c r="AD43" i="21" s="1"/>
  <c r="B43" i="21"/>
  <c r="A44" i="21"/>
  <c r="G71" i="1" l="1"/>
  <c r="A70" i="1"/>
  <c r="B70" i="1"/>
  <c r="E70" i="1"/>
  <c r="F70" i="1" s="1"/>
  <c r="B69" i="1"/>
  <c r="E69" i="1"/>
  <c r="F69" i="1" s="1"/>
  <c r="A69" i="1"/>
  <c r="Z44" i="21"/>
  <c r="M44" i="21"/>
  <c r="N44" i="21"/>
  <c r="L44" i="21"/>
  <c r="K44" i="21"/>
  <c r="I44" i="21"/>
  <c r="F44" i="21"/>
  <c r="G44" i="21"/>
  <c r="AH43" i="21"/>
  <c r="AG43" i="21"/>
  <c r="AF43" i="21"/>
  <c r="AE43" i="21"/>
  <c r="AC43" i="21"/>
  <c r="C44" i="21"/>
  <c r="A45" i="21"/>
  <c r="E44" i="21"/>
  <c r="D44" i="21"/>
  <c r="AD44" i="21" s="1"/>
  <c r="B44" i="21"/>
  <c r="G72" i="1" l="1"/>
  <c r="A71" i="1"/>
  <c r="B71" i="1"/>
  <c r="E71" i="1"/>
  <c r="F71" i="1" s="1"/>
  <c r="AH44" i="21"/>
  <c r="AG44" i="21"/>
  <c r="AF44" i="21"/>
  <c r="AE44" i="21"/>
  <c r="AC44" i="21"/>
  <c r="Z45" i="21"/>
  <c r="M45" i="21"/>
  <c r="N45" i="21"/>
  <c r="L45" i="21"/>
  <c r="K45" i="21"/>
  <c r="I45" i="21"/>
  <c r="F45" i="21"/>
  <c r="G45" i="21"/>
  <c r="A46" i="21"/>
  <c r="E45" i="21"/>
  <c r="D45" i="21"/>
  <c r="AD45" i="21" s="1"/>
  <c r="C45" i="21"/>
  <c r="B45" i="21"/>
  <c r="G73" i="1" l="1"/>
  <c r="B72" i="1"/>
  <c r="E72" i="1"/>
  <c r="F72" i="1" s="1"/>
  <c r="A72" i="1"/>
  <c r="J40" i="11"/>
  <c r="I40" i="11"/>
  <c r="AH45" i="21"/>
  <c r="AG45" i="21"/>
  <c r="AF45" i="21"/>
  <c r="AE45" i="21"/>
  <c r="AC45" i="21"/>
  <c r="Z46" i="21"/>
  <c r="M46" i="21"/>
  <c r="N46" i="21"/>
  <c r="L46" i="21"/>
  <c r="K46" i="21"/>
  <c r="I46" i="21"/>
  <c r="F46" i="21"/>
  <c r="G46" i="21"/>
  <c r="B46" i="21"/>
  <c r="A47" i="21"/>
  <c r="E46" i="21"/>
  <c r="D46" i="21"/>
  <c r="AD46" i="21" s="1"/>
  <c r="C46" i="21"/>
  <c r="G74" i="1" l="1"/>
  <c r="A73" i="1"/>
  <c r="B73" i="1"/>
  <c r="E73" i="1"/>
  <c r="F73" i="1" s="1"/>
  <c r="K40" i="11"/>
  <c r="AH46" i="21"/>
  <c r="AG46" i="21"/>
  <c r="AF46" i="21"/>
  <c r="AE46" i="21"/>
  <c r="AC46" i="21"/>
  <c r="Z47" i="21"/>
  <c r="M47" i="21"/>
  <c r="N47" i="21"/>
  <c r="L47" i="21"/>
  <c r="K47" i="21"/>
  <c r="I47" i="21"/>
  <c r="F47" i="21"/>
  <c r="G47" i="21"/>
  <c r="C47" i="21"/>
  <c r="D47" i="21"/>
  <c r="AD47" i="21" s="1"/>
  <c r="B47" i="21"/>
  <c r="A48" i="21"/>
  <c r="E47" i="21"/>
  <c r="G75" i="1" l="1"/>
  <c r="B74" i="1"/>
  <c r="A74" i="1"/>
  <c r="E74" i="1"/>
  <c r="F74" i="1" s="1"/>
  <c r="I42" i="11"/>
  <c r="J43" i="11"/>
  <c r="I43" i="11"/>
  <c r="J42" i="11"/>
  <c r="I41" i="11"/>
  <c r="J41" i="11"/>
  <c r="Z48" i="21"/>
  <c r="M48" i="21"/>
  <c r="N48" i="21"/>
  <c r="L48" i="21"/>
  <c r="K48" i="21"/>
  <c r="I48" i="21"/>
  <c r="F48" i="21"/>
  <c r="G48" i="21"/>
  <c r="AH47" i="21"/>
  <c r="AG47" i="21"/>
  <c r="AF47" i="21"/>
  <c r="AE47" i="21"/>
  <c r="AC47" i="21"/>
  <c r="C48" i="21"/>
  <c r="E48" i="21"/>
  <c r="D48" i="21"/>
  <c r="AD48" i="21" s="1"/>
  <c r="B48" i="21"/>
  <c r="A49" i="21"/>
  <c r="G76" i="1" l="1"/>
  <c r="E75" i="1"/>
  <c r="F75" i="1" s="1"/>
  <c r="A75" i="1"/>
  <c r="B75" i="1"/>
  <c r="K42" i="11"/>
  <c r="K41" i="11"/>
  <c r="K43" i="11"/>
  <c r="Z49" i="21"/>
  <c r="N49" i="21"/>
  <c r="K49" i="21"/>
  <c r="M49" i="21"/>
  <c r="L49" i="21"/>
  <c r="I49" i="21"/>
  <c r="G49" i="21"/>
  <c r="F49" i="21"/>
  <c r="AH48" i="21"/>
  <c r="AG48" i="21"/>
  <c r="AF48" i="21"/>
  <c r="AE48" i="21"/>
  <c r="AC48" i="21"/>
  <c r="B49" i="21"/>
  <c r="E49" i="21"/>
  <c r="D49" i="21"/>
  <c r="AD49" i="21" s="1"/>
  <c r="C49" i="21"/>
  <c r="A50" i="21"/>
  <c r="G77" i="1" l="1"/>
  <c r="E76" i="1"/>
  <c r="F76" i="1" s="1"/>
  <c r="A76" i="1"/>
  <c r="B76" i="1"/>
  <c r="J44" i="11"/>
  <c r="I44" i="11"/>
  <c r="Z50" i="21"/>
  <c r="L50" i="21"/>
  <c r="M50" i="21"/>
  <c r="N50" i="21"/>
  <c r="K50" i="21"/>
  <c r="I50" i="21"/>
  <c r="G50" i="21"/>
  <c r="F50" i="21"/>
  <c r="AH49" i="21"/>
  <c r="AG49" i="21"/>
  <c r="AF49" i="21"/>
  <c r="AE49" i="21"/>
  <c r="AC49" i="21"/>
  <c r="A51" i="21"/>
  <c r="E50" i="21"/>
  <c r="D50" i="21"/>
  <c r="AD50" i="21" s="1"/>
  <c r="C50" i="21"/>
  <c r="B50" i="21"/>
  <c r="G78" i="1" l="1"/>
  <c r="E77" i="1"/>
  <c r="F77" i="1" s="1"/>
  <c r="A77" i="1"/>
  <c r="B77" i="1"/>
  <c r="K44" i="11"/>
  <c r="Z51" i="21"/>
  <c r="L51" i="21"/>
  <c r="M51" i="21"/>
  <c r="N51" i="21"/>
  <c r="K51" i="21"/>
  <c r="I51" i="21"/>
  <c r="G51" i="21"/>
  <c r="F51" i="21"/>
  <c r="AH50" i="21"/>
  <c r="AG50" i="21"/>
  <c r="AF50" i="21"/>
  <c r="AE50" i="21"/>
  <c r="AC50" i="21"/>
  <c r="E51" i="21"/>
  <c r="C51" i="21"/>
  <c r="B51" i="21"/>
  <c r="D51" i="21"/>
  <c r="AD51" i="21" s="1"/>
  <c r="A52" i="21"/>
  <c r="G79" i="1" l="1"/>
  <c r="E78" i="1"/>
  <c r="F78" i="1" s="1"/>
  <c r="B78" i="1"/>
  <c r="A78" i="1"/>
  <c r="Z52" i="21"/>
  <c r="L52" i="21"/>
  <c r="M52" i="21"/>
  <c r="N52" i="21"/>
  <c r="G52" i="21"/>
  <c r="K52" i="21"/>
  <c r="I52" i="21"/>
  <c r="F52" i="21"/>
  <c r="AH51" i="21"/>
  <c r="AG51" i="21"/>
  <c r="AF51" i="21"/>
  <c r="AE51" i="21"/>
  <c r="AC51" i="21"/>
  <c r="E52" i="21"/>
  <c r="A53" i="21"/>
  <c r="D52" i="21"/>
  <c r="AD52" i="21" s="1"/>
  <c r="C52" i="21"/>
  <c r="B52" i="21"/>
  <c r="G80" i="1" l="1"/>
  <c r="G81" i="1" s="1"/>
  <c r="A79" i="1"/>
  <c r="B79" i="1"/>
  <c r="E79" i="1"/>
  <c r="F79" i="1" s="1"/>
  <c r="AH52" i="21"/>
  <c r="AG52" i="21"/>
  <c r="AF52" i="21"/>
  <c r="AE52" i="21"/>
  <c r="AC52" i="21"/>
  <c r="Z53" i="21"/>
  <c r="L53" i="21"/>
  <c r="M53" i="21"/>
  <c r="N53" i="21"/>
  <c r="I53" i="21"/>
  <c r="K53" i="21"/>
  <c r="G53" i="21"/>
  <c r="F53" i="21"/>
  <c r="C53" i="21"/>
  <c r="A54" i="21"/>
  <c r="E53" i="21"/>
  <c r="D53" i="21"/>
  <c r="AD53" i="21" s="1"/>
  <c r="B53" i="21"/>
  <c r="G82" i="1" l="1"/>
  <c r="B81" i="1"/>
  <c r="A81" i="1"/>
  <c r="E81" i="1"/>
  <c r="F81" i="1" s="1"/>
  <c r="B80" i="1"/>
  <c r="A80" i="1"/>
  <c r="E80" i="1"/>
  <c r="F80" i="1" s="1"/>
  <c r="AH53" i="21"/>
  <c r="AG53" i="21"/>
  <c r="AF53" i="21"/>
  <c r="AE53" i="21"/>
  <c r="AC53" i="21"/>
  <c r="Y54" i="21"/>
  <c r="Z54" i="21"/>
  <c r="X54" i="21"/>
  <c r="AB54" i="21"/>
  <c r="AA54" i="21"/>
  <c r="L54" i="21"/>
  <c r="M54" i="21"/>
  <c r="N54" i="21"/>
  <c r="K54" i="21"/>
  <c r="I54" i="21"/>
  <c r="G54" i="21"/>
  <c r="F54" i="21"/>
  <c r="A55" i="21"/>
  <c r="D54" i="21"/>
  <c r="AD54" i="21" s="1"/>
  <c r="E54" i="21"/>
  <c r="C54" i="21"/>
  <c r="B54" i="21"/>
  <c r="G83" i="1" l="1"/>
  <c r="E82" i="1"/>
  <c r="F82" i="1" s="1"/>
  <c r="B82" i="1"/>
  <c r="A82" i="1"/>
  <c r="J46" i="11"/>
  <c r="I45" i="11"/>
  <c r="J45" i="11"/>
  <c r="I46" i="11"/>
  <c r="O54" i="21"/>
  <c r="R54" i="21"/>
  <c r="AH54" i="21"/>
  <c r="AG54" i="21"/>
  <c r="AF54" i="21"/>
  <c r="AE54" i="21"/>
  <c r="AC54" i="21"/>
  <c r="X55" i="21"/>
  <c r="AB55" i="21"/>
  <c r="Y55" i="21"/>
  <c r="Z55" i="21"/>
  <c r="AA55" i="21"/>
  <c r="N55" i="21"/>
  <c r="L55" i="21"/>
  <c r="M55" i="21"/>
  <c r="K55" i="21"/>
  <c r="I55" i="21"/>
  <c r="F55" i="21"/>
  <c r="G55" i="21"/>
  <c r="W54" i="21"/>
  <c r="U54" i="21"/>
  <c r="B55" i="21"/>
  <c r="D55" i="21"/>
  <c r="AD55" i="21" s="1"/>
  <c r="A56" i="21"/>
  <c r="E55" i="21"/>
  <c r="C55" i="21"/>
  <c r="G84" i="1" l="1"/>
  <c r="A83" i="1"/>
  <c r="E83" i="1"/>
  <c r="F83" i="1" s="1"/>
  <c r="B83" i="1"/>
  <c r="K45" i="11"/>
  <c r="K46" i="11"/>
  <c r="O55" i="21"/>
  <c r="R55" i="21"/>
  <c r="AH55" i="21"/>
  <c r="AG55" i="21"/>
  <c r="AF55" i="21"/>
  <c r="AE55" i="21"/>
  <c r="AC55" i="21"/>
  <c r="X56" i="21"/>
  <c r="AB56" i="21"/>
  <c r="Y56" i="21"/>
  <c r="Z56" i="21"/>
  <c r="AA56" i="21"/>
  <c r="M56" i="21"/>
  <c r="N56" i="21"/>
  <c r="L56" i="21"/>
  <c r="K56" i="21"/>
  <c r="I56" i="21"/>
  <c r="F56" i="21"/>
  <c r="G56" i="21"/>
  <c r="C56" i="21"/>
  <c r="B56" i="21"/>
  <c r="A57" i="21"/>
  <c r="D56" i="21"/>
  <c r="AD56" i="21" s="1"/>
  <c r="E56" i="21"/>
  <c r="W55" i="21"/>
  <c r="U55" i="21"/>
  <c r="G85" i="1" l="1"/>
  <c r="A84" i="1"/>
  <c r="E84" i="1"/>
  <c r="F84" i="1" s="1"/>
  <c r="B84" i="1"/>
  <c r="J47" i="11"/>
  <c r="I47" i="11"/>
  <c r="J48" i="11"/>
  <c r="I48" i="11"/>
  <c r="I49" i="11"/>
  <c r="J49" i="11"/>
  <c r="O56" i="21"/>
  <c r="R56" i="21"/>
  <c r="AH56" i="21"/>
  <c r="AG56" i="21"/>
  <c r="AF56" i="21"/>
  <c r="AC56" i="21"/>
  <c r="AE56" i="21"/>
  <c r="X57" i="21"/>
  <c r="AB57" i="21"/>
  <c r="Y57" i="21"/>
  <c r="Z57" i="21"/>
  <c r="AA57" i="21"/>
  <c r="M57" i="21"/>
  <c r="N57" i="21"/>
  <c r="L57" i="21"/>
  <c r="K57" i="21"/>
  <c r="I57" i="21"/>
  <c r="F57" i="21"/>
  <c r="G57" i="21"/>
  <c r="W56" i="21"/>
  <c r="U56" i="21"/>
  <c r="C57" i="21"/>
  <c r="E57" i="21"/>
  <c r="D57" i="21"/>
  <c r="AD57" i="21" s="1"/>
  <c r="A58" i="21"/>
  <c r="B57" i="21"/>
  <c r="G86" i="1" l="1"/>
  <c r="E85" i="1"/>
  <c r="F85" i="1" s="1"/>
  <c r="A85" i="1"/>
  <c r="B85" i="1"/>
  <c r="J50" i="11"/>
  <c r="I50" i="11"/>
  <c r="K47" i="11"/>
  <c r="K48" i="11"/>
  <c r="K49" i="11"/>
  <c r="O57" i="21"/>
  <c r="R57" i="21"/>
  <c r="Y58" i="21"/>
  <c r="Z58" i="21"/>
  <c r="AA58" i="21"/>
  <c r="X58" i="21"/>
  <c r="AB58" i="21"/>
  <c r="M58" i="21"/>
  <c r="N58" i="21"/>
  <c r="L58" i="21"/>
  <c r="K58" i="21"/>
  <c r="I58" i="21"/>
  <c r="F58" i="21"/>
  <c r="G58" i="21"/>
  <c r="AH57" i="21"/>
  <c r="AG57" i="21"/>
  <c r="AF57" i="21"/>
  <c r="AE57" i="21"/>
  <c r="AC57" i="21"/>
  <c r="A59" i="21"/>
  <c r="D58" i="21"/>
  <c r="AD58" i="21" s="1"/>
  <c r="C58" i="21"/>
  <c r="E58" i="21"/>
  <c r="B58" i="21"/>
  <c r="U57" i="21"/>
  <c r="W57" i="21"/>
  <c r="G87" i="1" l="1"/>
  <c r="A86" i="1"/>
  <c r="B86" i="1"/>
  <c r="E86" i="1"/>
  <c r="F86" i="1" s="1"/>
  <c r="J51" i="11"/>
  <c r="I51" i="11"/>
  <c r="K50" i="11"/>
  <c r="O58" i="21"/>
  <c r="R58" i="21"/>
  <c r="AH58" i="21"/>
  <c r="AG58" i="21"/>
  <c r="AF58" i="21"/>
  <c r="AE58" i="21"/>
  <c r="AC58" i="21"/>
  <c r="Y59" i="21"/>
  <c r="Z59" i="21"/>
  <c r="AA59" i="21"/>
  <c r="X59" i="21"/>
  <c r="AB59" i="21"/>
  <c r="M59" i="21"/>
  <c r="N59" i="21"/>
  <c r="L59" i="21"/>
  <c r="K59" i="21"/>
  <c r="I59" i="21"/>
  <c r="F59" i="21"/>
  <c r="G59" i="21"/>
  <c r="W58" i="21"/>
  <c r="U58" i="21"/>
  <c r="E59" i="21"/>
  <c r="D59" i="21"/>
  <c r="AD59" i="21" s="1"/>
  <c r="C59" i="21"/>
  <c r="B59" i="21"/>
  <c r="A60" i="21"/>
  <c r="G88" i="1" l="1"/>
  <c r="B87" i="1"/>
  <c r="A87" i="1"/>
  <c r="E87" i="1"/>
  <c r="F87" i="1" s="1"/>
  <c r="K51" i="11"/>
  <c r="O59" i="21"/>
  <c r="R59" i="21"/>
  <c r="AH59" i="21"/>
  <c r="AG59" i="21"/>
  <c r="AF59" i="21"/>
  <c r="AE59" i="21"/>
  <c r="AC59" i="21"/>
  <c r="Y60" i="21"/>
  <c r="Z60" i="21"/>
  <c r="X60" i="21"/>
  <c r="AB60" i="21"/>
  <c r="AA60" i="21"/>
  <c r="M60" i="21"/>
  <c r="N60" i="21"/>
  <c r="L60" i="21"/>
  <c r="K60" i="21"/>
  <c r="I60" i="21"/>
  <c r="F60" i="21"/>
  <c r="G60" i="21"/>
  <c r="W59" i="21"/>
  <c r="U59" i="21"/>
  <c r="B60" i="21"/>
  <c r="A61" i="21"/>
  <c r="E60" i="21"/>
  <c r="D60" i="21"/>
  <c r="AD60" i="21" s="1"/>
  <c r="C60" i="21"/>
  <c r="G89" i="1" l="1"/>
  <c r="A88" i="1"/>
  <c r="B88" i="1"/>
  <c r="E88" i="1"/>
  <c r="F88" i="1" s="1"/>
  <c r="O60" i="21"/>
  <c r="R60" i="21"/>
  <c r="X61" i="21"/>
  <c r="AB61" i="21"/>
  <c r="Y61" i="21"/>
  <c r="Z61" i="21"/>
  <c r="AA61" i="21"/>
  <c r="N61" i="21"/>
  <c r="K61" i="21"/>
  <c r="M61" i="21"/>
  <c r="L61" i="21"/>
  <c r="I61" i="21"/>
  <c r="G61" i="21"/>
  <c r="F61" i="21"/>
  <c r="AH60" i="21"/>
  <c r="AG60" i="21"/>
  <c r="AF60" i="21"/>
  <c r="AE60" i="21"/>
  <c r="AC60" i="21"/>
  <c r="W60" i="21"/>
  <c r="U60" i="21"/>
  <c r="C61" i="21"/>
  <c r="B61" i="21"/>
  <c r="E61" i="21"/>
  <c r="D61" i="21"/>
  <c r="AD61" i="21" s="1"/>
  <c r="A62" i="21"/>
  <c r="G90" i="1" l="1"/>
  <c r="A89" i="1"/>
  <c r="B89" i="1"/>
  <c r="E89" i="1"/>
  <c r="F89" i="1" s="1"/>
  <c r="O61" i="21"/>
  <c r="R61" i="21"/>
  <c r="Y62" i="21"/>
  <c r="Z62" i="21"/>
  <c r="AA62" i="21"/>
  <c r="X62" i="21"/>
  <c r="AB62" i="21"/>
  <c r="L62" i="21"/>
  <c r="M62" i="21"/>
  <c r="N62" i="21"/>
  <c r="K62" i="21"/>
  <c r="I62" i="21"/>
  <c r="G62" i="21"/>
  <c r="F62" i="21"/>
  <c r="AH61" i="21"/>
  <c r="AG61" i="21"/>
  <c r="AF61" i="21"/>
  <c r="AE61" i="21"/>
  <c r="AC61" i="21"/>
  <c r="U61" i="21"/>
  <c r="W61" i="21"/>
  <c r="A63" i="21"/>
  <c r="D62" i="21"/>
  <c r="AD62" i="21" s="1"/>
  <c r="E62" i="21"/>
  <c r="C62" i="21"/>
  <c r="B62" i="21"/>
  <c r="G91" i="1" l="1"/>
  <c r="B90" i="1"/>
  <c r="E90" i="1"/>
  <c r="F90" i="1" s="1"/>
  <c r="A90" i="1"/>
  <c r="O62" i="21"/>
  <c r="R62" i="21"/>
  <c r="AH62" i="21"/>
  <c r="AG62" i="21"/>
  <c r="AF62" i="21"/>
  <c r="AE62" i="21"/>
  <c r="AC62" i="21"/>
  <c r="Y63" i="21"/>
  <c r="Z63" i="21"/>
  <c r="AA63" i="21"/>
  <c r="X63" i="21"/>
  <c r="AB63" i="21"/>
  <c r="L63" i="21"/>
  <c r="M63" i="21"/>
  <c r="N63" i="21"/>
  <c r="K63" i="21"/>
  <c r="I63" i="21"/>
  <c r="G63" i="21"/>
  <c r="F63" i="21"/>
  <c r="B63" i="21"/>
  <c r="E63" i="21"/>
  <c r="D63" i="21"/>
  <c r="AD63" i="21" s="1"/>
  <c r="C63" i="21"/>
  <c r="A64" i="21"/>
  <c r="W62" i="21"/>
  <c r="U62" i="21"/>
  <c r="G92" i="1" l="1"/>
  <c r="B91" i="1"/>
  <c r="E91" i="1"/>
  <c r="F91" i="1" s="1"/>
  <c r="A91" i="1"/>
  <c r="I52" i="11"/>
  <c r="J52" i="11"/>
  <c r="O63" i="21"/>
  <c r="R63" i="21"/>
  <c r="AH63" i="21"/>
  <c r="AG63" i="21"/>
  <c r="AF63" i="21"/>
  <c r="AE63" i="21"/>
  <c r="AC63" i="21"/>
  <c r="AB64" i="21"/>
  <c r="Y64" i="21"/>
  <c r="Z64" i="21"/>
  <c r="AA64" i="21"/>
  <c r="X64" i="21"/>
  <c r="L64" i="21"/>
  <c r="M64" i="21"/>
  <c r="N64" i="21"/>
  <c r="G64" i="21"/>
  <c r="K64" i="21"/>
  <c r="I64" i="21"/>
  <c r="F64" i="21"/>
  <c r="C64" i="21"/>
  <c r="B64" i="21"/>
  <c r="A65" i="21"/>
  <c r="D64" i="21"/>
  <c r="AD64" i="21" s="1"/>
  <c r="E64" i="21"/>
  <c r="W63" i="21"/>
  <c r="U63" i="21"/>
  <c r="G93" i="1" l="1"/>
  <c r="B92" i="1"/>
  <c r="A92" i="1"/>
  <c r="E92" i="1"/>
  <c r="F92" i="1" s="1"/>
  <c r="J53" i="11"/>
  <c r="I54" i="11"/>
  <c r="I53" i="11"/>
  <c r="J54" i="11"/>
  <c r="K52" i="11"/>
  <c r="O64" i="21"/>
  <c r="R64" i="21"/>
  <c r="AH64" i="21"/>
  <c r="AG64" i="21"/>
  <c r="AF64" i="21"/>
  <c r="AE64" i="21"/>
  <c r="AC64" i="21"/>
  <c r="X65" i="21"/>
  <c r="AB65" i="21"/>
  <c r="Y65" i="21"/>
  <c r="Z65" i="21"/>
  <c r="AA65" i="21"/>
  <c r="L65" i="21"/>
  <c r="M65" i="21"/>
  <c r="N65" i="21"/>
  <c r="I65" i="21"/>
  <c r="K65" i="21"/>
  <c r="G65" i="21"/>
  <c r="F65" i="21"/>
  <c r="C65" i="21"/>
  <c r="E65" i="21"/>
  <c r="D65" i="21"/>
  <c r="AD65" i="21" s="1"/>
  <c r="A66" i="21"/>
  <c r="B65" i="21"/>
  <c r="W64" i="21"/>
  <c r="U64" i="21"/>
  <c r="G94" i="1" l="1"/>
  <c r="E93" i="1"/>
  <c r="F93" i="1" s="1"/>
  <c r="A93" i="1"/>
  <c r="B93" i="1"/>
  <c r="K54" i="11"/>
  <c r="K53" i="11"/>
  <c r="O65" i="21"/>
  <c r="R65" i="21"/>
  <c r="Y66" i="21"/>
  <c r="Z66" i="21"/>
  <c r="X66" i="21"/>
  <c r="AB66" i="21"/>
  <c r="AA66" i="21"/>
  <c r="L66" i="21"/>
  <c r="M66" i="21"/>
  <c r="N66" i="21"/>
  <c r="I66" i="21"/>
  <c r="K66" i="21"/>
  <c r="G66" i="21"/>
  <c r="F66" i="21"/>
  <c r="AH65" i="21"/>
  <c r="AG65" i="21"/>
  <c r="AF65" i="21"/>
  <c r="AE65" i="21"/>
  <c r="AC65" i="21"/>
  <c r="U65" i="21"/>
  <c r="W65" i="21"/>
  <c r="A67" i="21"/>
  <c r="D66" i="21"/>
  <c r="AD66" i="21" s="1"/>
  <c r="C66" i="21"/>
  <c r="E66" i="21"/>
  <c r="B66" i="21"/>
  <c r="G95" i="1" l="1"/>
  <c r="A94" i="1"/>
  <c r="B94" i="1"/>
  <c r="E94" i="1"/>
  <c r="F94" i="1" s="1"/>
  <c r="O66" i="21"/>
  <c r="R66" i="21"/>
  <c r="AH66" i="21"/>
  <c r="AG66" i="21"/>
  <c r="AF66" i="21"/>
  <c r="AE66" i="21"/>
  <c r="AC66" i="21"/>
  <c r="X67" i="21"/>
  <c r="AB67" i="21"/>
  <c r="Y67" i="21"/>
  <c r="Z67" i="21"/>
  <c r="AA67" i="21"/>
  <c r="N67" i="21"/>
  <c r="L67" i="21"/>
  <c r="M67" i="21"/>
  <c r="K67" i="21"/>
  <c r="I67" i="21"/>
  <c r="F67" i="21"/>
  <c r="G67" i="21"/>
  <c r="E67" i="21"/>
  <c r="D67" i="21"/>
  <c r="AD67" i="21" s="1"/>
  <c r="A68" i="21"/>
  <c r="C67" i="21"/>
  <c r="B67" i="21"/>
  <c r="W66" i="21"/>
  <c r="U66" i="21"/>
  <c r="G96" i="1" l="1"/>
  <c r="A95" i="1"/>
  <c r="B95" i="1"/>
  <c r="E95" i="1"/>
  <c r="F95" i="1" s="1"/>
  <c r="J55" i="11"/>
  <c r="I55" i="11"/>
  <c r="O67" i="21"/>
  <c r="R67" i="21"/>
  <c r="X68" i="21"/>
  <c r="AB68" i="21"/>
  <c r="Y68" i="21"/>
  <c r="Z68" i="21"/>
  <c r="AA68" i="21"/>
  <c r="M68" i="21"/>
  <c r="N68" i="21"/>
  <c r="L68" i="21"/>
  <c r="K68" i="21"/>
  <c r="I68" i="21"/>
  <c r="F68" i="21"/>
  <c r="G68" i="21"/>
  <c r="AH67" i="21"/>
  <c r="AG67" i="21"/>
  <c r="AF67" i="21"/>
  <c r="AE67" i="21"/>
  <c r="AC67" i="21"/>
  <c r="W67" i="21"/>
  <c r="U67" i="21"/>
  <c r="D68" i="21"/>
  <c r="AD68" i="21" s="1"/>
  <c r="C68" i="21"/>
  <c r="B68" i="21"/>
  <c r="E68" i="21"/>
  <c r="A69" i="21"/>
  <c r="G97" i="1" l="1"/>
  <c r="E96" i="1"/>
  <c r="F96" i="1" s="1"/>
  <c r="A96" i="1"/>
  <c r="B96" i="1"/>
  <c r="K55" i="11"/>
  <c r="O68" i="21"/>
  <c r="R68" i="21"/>
  <c r="X69" i="21"/>
  <c r="AB69" i="21"/>
  <c r="Y69" i="21"/>
  <c r="Z69" i="21"/>
  <c r="AA69" i="21"/>
  <c r="M69" i="21"/>
  <c r="N69" i="21"/>
  <c r="L69" i="21"/>
  <c r="K69" i="21"/>
  <c r="I69" i="21"/>
  <c r="G69" i="21"/>
  <c r="F69" i="21"/>
  <c r="AH68" i="21"/>
  <c r="AG68" i="21"/>
  <c r="AF68" i="21"/>
  <c r="AC68" i="21"/>
  <c r="AE68" i="21"/>
  <c r="C69" i="21"/>
  <c r="E69" i="21"/>
  <c r="D69" i="21"/>
  <c r="AD69" i="21" s="1"/>
  <c r="B69" i="21"/>
  <c r="A70" i="21"/>
  <c r="W68" i="21"/>
  <c r="U68" i="21"/>
  <c r="G98" i="1" l="1"/>
  <c r="B97" i="1"/>
  <c r="A97" i="1"/>
  <c r="E97" i="1"/>
  <c r="F97" i="1" s="1"/>
  <c r="O69" i="21"/>
  <c r="R69" i="21"/>
  <c r="Y70" i="21"/>
  <c r="Z70" i="21"/>
  <c r="AA70" i="21"/>
  <c r="X70" i="21"/>
  <c r="AB70" i="21"/>
  <c r="M70" i="21"/>
  <c r="N70" i="21"/>
  <c r="L70" i="21"/>
  <c r="K70" i="21"/>
  <c r="I70" i="21"/>
  <c r="G70" i="21"/>
  <c r="F70" i="21"/>
  <c r="AH69" i="21"/>
  <c r="AG69" i="21"/>
  <c r="AF69" i="21"/>
  <c r="AE69" i="21"/>
  <c r="AC69" i="21"/>
  <c r="A71" i="21"/>
  <c r="D70" i="21"/>
  <c r="AD70" i="21" s="1"/>
  <c r="B70" i="21"/>
  <c r="E70" i="21"/>
  <c r="C70" i="21"/>
  <c r="U69" i="21"/>
  <c r="W69" i="21"/>
  <c r="G99" i="1" l="1"/>
  <c r="A98" i="1"/>
  <c r="B98" i="1"/>
  <c r="E98" i="1"/>
  <c r="F98" i="1" s="1"/>
  <c r="O70" i="21"/>
  <c r="R70" i="21"/>
  <c r="AH70" i="21"/>
  <c r="AG70" i="21"/>
  <c r="AF70" i="21"/>
  <c r="AE70" i="21"/>
  <c r="AC70" i="21"/>
  <c r="Y71" i="21"/>
  <c r="Z71" i="21"/>
  <c r="AA71" i="21"/>
  <c r="X71" i="21"/>
  <c r="AB71" i="21"/>
  <c r="M71" i="21"/>
  <c r="N71" i="21"/>
  <c r="L71" i="21"/>
  <c r="K71" i="21"/>
  <c r="I71" i="21"/>
  <c r="G71" i="21"/>
  <c r="F71" i="21"/>
  <c r="W70" i="21"/>
  <c r="U70" i="21"/>
  <c r="B71" i="21"/>
  <c r="C71" i="21"/>
  <c r="E71" i="21"/>
  <c r="D71" i="21"/>
  <c r="AD71" i="21" s="1"/>
  <c r="A72" i="21"/>
  <c r="G100" i="1" l="1"/>
  <c r="E99" i="1"/>
  <c r="F99" i="1" s="1"/>
  <c r="A99" i="1"/>
  <c r="B99" i="1"/>
  <c r="O71" i="21"/>
  <c r="R71" i="21"/>
  <c r="Y72" i="21"/>
  <c r="Z72" i="21"/>
  <c r="X72" i="21"/>
  <c r="AB72" i="21"/>
  <c r="AA72" i="21"/>
  <c r="M72" i="21"/>
  <c r="N72" i="21"/>
  <c r="L72" i="21"/>
  <c r="K72" i="21"/>
  <c r="I72" i="21"/>
  <c r="G72" i="21"/>
  <c r="F72" i="21"/>
  <c r="AH71" i="21"/>
  <c r="AG71" i="21"/>
  <c r="AF71" i="21"/>
  <c r="AE71" i="21"/>
  <c r="AC71" i="21"/>
  <c r="W71" i="21"/>
  <c r="U71" i="21"/>
  <c r="C72" i="21"/>
  <c r="B72" i="21"/>
  <c r="A73" i="21"/>
  <c r="E72" i="21"/>
  <c r="D72" i="21"/>
  <c r="AD72" i="21" s="1"/>
  <c r="G101" i="1" l="1"/>
  <c r="A100" i="1"/>
  <c r="B100" i="1"/>
  <c r="E100" i="1"/>
  <c r="F100" i="1" s="1"/>
  <c r="J56" i="11"/>
  <c r="I56" i="11"/>
  <c r="O72" i="21"/>
  <c r="R72" i="21"/>
  <c r="AH72" i="21"/>
  <c r="AG72" i="21"/>
  <c r="AF72" i="21"/>
  <c r="AE72" i="21"/>
  <c r="AC72" i="21"/>
  <c r="X73" i="21"/>
  <c r="AB73" i="21"/>
  <c r="Y73" i="21"/>
  <c r="Z73" i="21"/>
  <c r="AA73" i="21"/>
  <c r="N73" i="21"/>
  <c r="K73" i="21"/>
  <c r="M73" i="21"/>
  <c r="L73" i="21"/>
  <c r="I73" i="21"/>
  <c r="G73" i="21"/>
  <c r="F73" i="21"/>
  <c r="W72" i="21"/>
  <c r="U72" i="21"/>
  <c r="C73" i="21"/>
  <c r="E73" i="21"/>
  <c r="D73" i="21"/>
  <c r="AD73" i="21" s="1"/>
  <c r="B73" i="21"/>
  <c r="A74" i="21"/>
  <c r="G102" i="1" l="1"/>
  <c r="G103" i="1" s="1"/>
  <c r="E101" i="1"/>
  <c r="F101" i="1" s="1"/>
  <c r="A101" i="1"/>
  <c r="B101" i="1"/>
  <c r="K56" i="11"/>
  <c r="O73" i="21"/>
  <c r="R73" i="21"/>
  <c r="Y74" i="21"/>
  <c r="Z74" i="21"/>
  <c r="AA74" i="21"/>
  <c r="X74" i="21"/>
  <c r="AB74" i="21"/>
  <c r="L74" i="21"/>
  <c r="M74" i="21"/>
  <c r="N74" i="21"/>
  <c r="K74" i="21"/>
  <c r="I74" i="21"/>
  <c r="G74" i="21"/>
  <c r="F74" i="21"/>
  <c r="AH73" i="21"/>
  <c r="AG73" i="21"/>
  <c r="AF73" i="21"/>
  <c r="AE73" i="21"/>
  <c r="AC73" i="21"/>
  <c r="U73" i="21"/>
  <c r="W73" i="21"/>
  <c r="A75" i="21"/>
  <c r="D74" i="21"/>
  <c r="AD74" i="21" s="1"/>
  <c r="C74" i="21"/>
  <c r="E74" i="21"/>
  <c r="B74" i="21"/>
  <c r="G104" i="1" l="1"/>
  <c r="B103" i="1"/>
  <c r="E103" i="1"/>
  <c r="F103" i="1" s="1"/>
  <c r="A103" i="1"/>
  <c r="J57" i="11"/>
  <c r="B102" i="1"/>
  <c r="E102" i="1"/>
  <c r="F102" i="1" s="1"/>
  <c r="A102" i="1"/>
  <c r="O74" i="21"/>
  <c r="R74" i="21"/>
  <c r="AH74" i="21"/>
  <c r="AG74" i="21"/>
  <c r="AF74" i="21"/>
  <c r="AE74" i="21"/>
  <c r="AC74" i="21"/>
  <c r="Y75" i="21"/>
  <c r="Z75" i="21"/>
  <c r="AA75" i="21"/>
  <c r="X75" i="21"/>
  <c r="AB75" i="21"/>
  <c r="L75" i="21"/>
  <c r="M75" i="21"/>
  <c r="N75" i="21"/>
  <c r="K75" i="21"/>
  <c r="I75" i="21"/>
  <c r="G75" i="21"/>
  <c r="F75" i="21"/>
  <c r="E75" i="21"/>
  <c r="A76" i="21"/>
  <c r="D75" i="21"/>
  <c r="AD75" i="21" s="1"/>
  <c r="C75" i="21"/>
  <c r="B75" i="21"/>
  <c r="W74" i="21"/>
  <c r="U74" i="21"/>
  <c r="G105" i="1" l="1"/>
  <c r="B104" i="1"/>
  <c r="E104" i="1"/>
  <c r="F104" i="1" s="1"/>
  <c r="A104" i="1"/>
  <c r="O75" i="21"/>
  <c r="R75" i="21"/>
  <c r="AH75" i="21"/>
  <c r="AG75" i="21"/>
  <c r="AF75" i="21"/>
  <c r="AE75" i="21"/>
  <c r="AC75" i="21"/>
  <c r="AB76" i="21"/>
  <c r="Y76" i="21"/>
  <c r="Z76" i="21"/>
  <c r="AA76" i="21"/>
  <c r="X76" i="21"/>
  <c r="L76" i="21"/>
  <c r="M76" i="21"/>
  <c r="N76" i="21"/>
  <c r="G76" i="21"/>
  <c r="K76" i="21"/>
  <c r="I76" i="21"/>
  <c r="F76" i="21"/>
  <c r="W75" i="21"/>
  <c r="U75" i="21"/>
  <c r="E76" i="21"/>
  <c r="D76" i="21"/>
  <c r="AD76" i="21" s="1"/>
  <c r="C76" i="21"/>
  <c r="B76" i="21"/>
  <c r="A77" i="21"/>
  <c r="G106" i="1" l="1"/>
  <c r="E105" i="1"/>
  <c r="F105" i="1" s="1"/>
  <c r="A105" i="1"/>
  <c r="B105" i="1"/>
  <c r="O76" i="21"/>
  <c r="R76" i="21"/>
  <c r="X77" i="21"/>
  <c r="AB77" i="21"/>
  <c r="Y77" i="21"/>
  <c r="Z77" i="21"/>
  <c r="AA77" i="21"/>
  <c r="L77" i="21"/>
  <c r="M77" i="21"/>
  <c r="N77" i="21"/>
  <c r="I77" i="21"/>
  <c r="K77" i="21"/>
  <c r="G77" i="21"/>
  <c r="F77" i="21"/>
  <c r="AH76" i="21"/>
  <c r="AG76" i="21"/>
  <c r="AF76" i="21"/>
  <c r="AE76" i="21"/>
  <c r="AC76" i="21"/>
  <c r="W76" i="21"/>
  <c r="U76" i="21"/>
  <c r="C77" i="21"/>
  <c r="D77" i="21"/>
  <c r="AD77" i="21" s="1"/>
  <c r="A78" i="21"/>
  <c r="E77" i="21"/>
  <c r="B77" i="21"/>
  <c r="G107" i="1" l="1"/>
  <c r="E106" i="1"/>
  <c r="F106" i="1" s="1"/>
  <c r="A106" i="1"/>
  <c r="B106" i="1"/>
  <c r="O77" i="21"/>
  <c r="R77" i="21"/>
  <c r="Y78" i="21"/>
  <c r="Z78" i="21"/>
  <c r="X78" i="21"/>
  <c r="AB78" i="21"/>
  <c r="AA78" i="21"/>
  <c r="L78" i="21"/>
  <c r="M78" i="21"/>
  <c r="N78" i="21"/>
  <c r="I78" i="21"/>
  <c r="K78" i="21"/>
  <c r="G78" i="21"/>
  <c r="F78" i="21"/>
  <c r="AH77" i="21"/>
  <c r="AG77" i="21"/>
  <c r="AF77" i="21"/>
  <c r="AE77" i="21"/>
  <c r="AC77" i="21"/>
  <c r="U77" i="21"/>
  <c r="W77" i="21"/>
  <c r="A79" i="21"/>
  <c r="D78" i="21"/>
  <c r="AD78" i="21" s="1"/>
  <c r="E78" i="21"/>
  <c r="C78" i="21"/>
  <c r="B78" i="21"/>
  <c r="G108" i="1" l="1"/>
  <c r="A107" i="1"/>
  <c r="B107" i="1"/>
  <c r="E107" i="1"/>
  <c r="F107" i="1" s="1"/>
  <c r="R78" i="21"/>
  <c r="O78" i="21"/>
  <c r="AH78" i="21"/>
  <c r="AG78" i="21"/>
  <c r="AF78" i="21"/>
  <c r="AE78" i="21"/>
  <c r="AC78" i="21"/>
  <c r="X79" i="21"/>
  <c r="AB79" i="21"/>
  <c r="Y79" i="21"/>
  <c r="Z79" i="21"/>
  <c r="AA79" i="21"/>
  <c r="N79" i="21"/>
  <c r="L79" i="21"/>
  <c r="M79" i="21"/>
  <c r="I79" i="21"/>
  <c r="K79" i="21"/>
  <c r="F79" i="21"/>
  <c r="G79" i="21"/>
  <c r="B79" i="21"/>
  <c r="E79" i="21"/>
  <c r="D79" i="21"/>
  <c r="AD79" i="21" s="1"/>
  <c r="C79" i="21"/>
  <c r="A80" i="21"/>
  <c r="W78" i="21"/>
  <c r="U78" i="21"/>
  <c r="G109" i="1" l="1"/>
  <c r="A108" i="1"/>
  <c r="B108" i="1"/>
  <c r="E108" i="1"/>
  <c r="F108" i="1" s="1"/>
  <c r="I58" i="11"/>
  <c r="I57" i="11"/>
  <c r="K57" i="11" s="1"/>
  <c r="J58" i="11"/>
  <c r="O79" i="21"/>
  <c r="R79" i="21"/>
  <c r="X80" i="21"/>
  <c r="AB80" i="21"/>
  <c r="Y80" i="21"/>
  <c r="Z80" i="21"/>
  <c r="AA80" i="21"/>
  <c r="M80" i="21"/>
  <c r="N80" i="21"/>
  <c r="L80" i="21"/>
  <c r="K80" i="21"/>
  <c r="I80" i="21"/>
  <c r="F80" i="21"/>
  <c r="G80" i="21"/>
  <c r="AH79" i="21"/>
  <c r="AG79" i="21"/>
  <c r="AF79" i="21"/>
  <c r="AE79" i="21"/>
  <c r="AC79" i="21"/>
  <c r="W79" i="21"/>
  <c r="U79" i="21"/>
  <c r="C80" i="21"/>
  <c r="B80" i="21"/>
  <c r="A81" i="21"/>
  <c r="E80" i="21"/>
  <c r="D80" i="21"/>
  <c r="AD80" i="21" s="1"/>
  <c r="K58" i="11" l="1"/>
  <c r="B109" i="1"/>
  <c r="E109" i="1"/>
  <c r="F109" i="1" s="1"/>
  <c r="A109" i="1"/>
  <c r="I59" i="11"/>
  <c r="J59" i="11"/>
  <c r="O80" i="21"/>
  <c r="R80" i="21"/>
  <c r="AH80" i="21"/>
  <c r="AG80" i="21"/>
  <c r="AF80" i="21"/>
  <c r="AC80" i="21"/>
  <c r="AE80" i="21"/>
  <c r="X81" i="21"/>
  <c r="AB81" i="21"/>
  <c r="Y81" i="21"/>
  <c r="Z81" i="21"/>
  <c r="AA81" i="21"/>
  <c r="M81" i="21"/>
  <c r="N81" i="21"/>
  <c r="L81" i="21"/>
  <c r="K81" i="21"/>
  <c r="I81" i="21"/>
  <c r="F81" i="21"/>
  <c r="G81" i="21"/>
  <c r="C81" i="21"/>
  <c r="E81" i="21"/>
  <c r="D81" i="21"/>
  <c r="AD81" i="21" s="1"/>
  <c r="B81" i="21"/>
  <c r="A82" i="21"/>
  <c r="W80" i="21"/>
  <c r="U80" i="21"/>
  <c r="K59" i="11" l="1"/>
  <c r="O81" i="21"/>
  <c r="R81" i="21"/>
  <c r="Y82" i="21"/>
  <c r="Z82" i="21"/>
  <c r="AA82" i="21"/>
  <c r="X82" i="21"/>
  <c r="AB82" i="21"/>
  <c r="M82" i="21"/>
  <c r="N82" i="21"/>
  <c r="L82" i="21"/>
  <c r="K82" i="21"/>
  <c r="I82" i="21"/>
  <c r="F82" i="21"/>
  <c r="G82" i="21"/>
  <c r="AH81" i="21"/>
  <c r="AG81" i="21"/>
  <c r="AF81" i="21"/>
  <c r="AE81" i="21"/>
  <c r="AC81" i="21"/>
  <c r="U81" i="21"/>
  <c r="W81" i="21"/>
  <c r="A83" i="21"/>
  <c r="D82" i="21"/>
  <c r="AD82" i="21" s="1"/>
  <c r="C82" i="21"/>
  <c r="E82" i="21"/>
  <c r="B82" i="21"/>
  <c r="O82" i="21" l="1"/>
  <c r="R82" i="21"/>
  <c r="AH82" i="21"/>
  <c r="AG82" i="21"/>
  <c r="AF82" i="21"/>
  <c r="AE82" i="21"/>
  <c r="AC82" i="21"/>
  <c r="Y83" i="21"/>
  <c r="Z83" i="21"/>
  <c r="AA83" i="21"/>
  <c r="X83" i="21"/>
  <c r="AB83" i="21"/>
  <c r="M83" i="21"/>
  <c r="N83" i="21"/>
  <c r="L83" i="21"/>
  <c r="K83" i="21"/>
  <c r="I83" i="21"/>
  <c r="F83" i="21"/>
  <c r="G83" i="21"/>
  <c r="W82" i="21"/>
  <c r="U82" i="21"/>
  <c r="E83" i="21"/>
  <c r="A84" i="21"/>
  <c r="D83" i="21"/>
  <c r="AD83" i="21" s="1"/>
  <c r="C83" i="21"/>
  <c r="B83" i="21"/>
  <c r="O83" i="21" l="1"/>
  <c r="R83" i="21"/>
  <c r="AH83" i="21"/>
  <c r="AG83" i="21"/>
  <c r="AF83" i="21"/>
  <c r="AE83" i="21"/>
  <c r="AC83" i="21"/>
  <c r="Y84" i="21"/>
  <c r="Z84" i="21"/>
  <c r="X84" i="21"/>
  <c r="AB84" i="21"/>
  <c r="AA84" i="21"/>
  <c r="M84" i="21"/>
  <c r="N84" i="21"/>
  <c r="L84" i="21"/>
  <c r="K84" i="21"/>
  <c r="I84" i="21"/>
  <c r="F84" i="21"/>
  <c r="G84" i="21"/>
  <c r="B84" i="21"/>
  <c r="A85" i="21"/>
  <c r="E84" i="21"/>
  <c r="D84" i="21"/>
  <c r="AD84" i="21" s="1"/>
  <c r="C84" i="21"/>
  <c r="W83" i="21"/>
  <c r="U83" i="21"/>
  <c r="O84" i="21" l="1"/>
  <c r="R84" i="21"/>
  <c r="AH84" i="21"/>
  <c r="AG84" i="21"/>
  <c r="AF84" i="21"/>
  <c r="AE84" i="21"/>
  <c r="AC84" i="21"/>
  <c r="X85" i="21"/>
  <c r="AB85" i="21"/>
  <c r="Y85" i="21"/>
  <c r="Z85" i="21"/>
  <c r="AA85" i="21"/>
  <c r="N85" i="21"/>
  <c r="K85" i="21"/>
  <c r="M85" i="21"/>
  <c r="L85" i="21"/>
  <c r="I85" i="21"/>
  <c r="G85" i="21"/>
  <c r="F85" i="21"/>
  <c r="C85" i="21"/>
  <c r="D85" i="21"/>
  <c r="AD85" i="21" s="1"/>
  <c r="B85" i="21"/>
  <c r="A86" i="21"/>
  <c r="E85" i="21"/>
  <c r="U84" i="21"/>
  <c r="W84" i="21"/>
  <c r="O85" i="21" l="1"/>
  <c r="R85" i="21"/>
  <c r="Y86" i="21"/>
  <c r="Z86" i="21"/>
  <c r="AA86" i="21"/>
  <c r="X86" i="21"/>
  <c r="AB86" i="21"/>
  <c r="L86" i="21"/>
  <c r="M86" i="21"/>
  <c r="N86" i="21"/>
  <c r="K86" i="21"/>
  <c r="I86" i="21"/>
  <c r="G86" i="21"/>
  <c r="F86" i="21"/>
  <c r="AH85" i="21"/>
  <c r="AG85" i="21"/>
  <c r="AF85" i="21"/>
  <c r="AE85" i="21"/>
  <c r="AC85" i="21"/>
  <c r="A87" i="21"/>
  <c r="D86" i="21"/>
  <c r="AD86" i="21" s="1"/>
  <c r="C86" i="21"/>
  <c r="E86" i="21"/>
  <c r="B86" i="21"/>
  <c r="U85" i="21"/>
  <c r="W85" i="21"/>
  <c r="O86" i="21" l="1"/>
  <c r="R86" i="21"/>
  <c r="AH86" i="21"/>
  <c r="AG86" i="21"/>
  <c r="AF86" i="21"/>
  <c r="AE86" i="21"/>
  <c r="AC86" i="21"/>
  <c r="Y87" i="21"/>
  <c r="Z87" i="21"/>
  <c r="AA87" i="21"/>
  <c r="X87" i="21"/>
  <c r="AB87" i="21"/>
  <c r="L87" i="21"/>
  <c r="M87" i="21"/>
  <c r="N87" i="21"/>
  <c r="K87" i="21"/>
  <c r="I87" i="21"/>
  <c r="G87" i="21"/>
  <c r="F87" i="21"/>
  <c r="W86" i="21"/>
  <c r="U86" i="21"/>
  <c r="B87" i="21"/>
  <c r="E87" i="21"/>
  <c r="A88" i="21"/>
  <c r="D87" i="21"/>
  <c r="AD87" i="21" s="1"/>
  <c r="C87" i="21"/>
  <c r="O87" i="21" l="1"/>
  <c r="R87" i="21"/>
  <c r="AH87" i="21"/>
  <c r="AG87" i="21"/>
  <c r="AF87" i="21"/>
  <c r="AE87" i="21"/>
  <c r="AC87" i="21"/>
  <c r="AB88" i="21"/>
  <c r="Y88" i="21"/>
  <c r="Z88" i="21"/>
  <c r="AA88" i="21"/>
  <c r="X88" i="21"/>
  <c r="L88" i="21"/>
  <c r="M88" i="21"/>
  <c r="N88" i="21"/>
  <c r="G88" i="21"/>
  <c r="K88" i="21"/>
  <c r="I88" i="21"/>
  <c r="F88" i="21"/>
  <c r="C88" i="21"/>
  <c r="B88" i="21"/>
  <c r="A89" i="21"/>
  <c r="E88" i="21"/>
  <c r="D88" i="21"/>
  <c r="AD88" i="21" s="1"/>
  <c r="W87" i="21"/>
  <c r="U87" i="21"/>
  <c r="O88" i="21" l="1"/>
  <c r="R88" i="21"/>
  <c r="AH88" i="21"/>
  <c r="AG88" i="21"/>
  <c r="AF88" i="21"/>
  <c r="AE88" i="21"/>
  <c r="AC88" i="21"/>
  <c r="X89" i="21"/>
  <c r="AB89" i="21"/>
  <c r="Y89" i="21"/>
  <c r="Z89" i="21"/>
  <c r="AA89" i="21"/>
  <c r="L89" i="21"/>
  <c r="M89" i="21"/>
  <c r="N89" i="21"/>
  <c r="I89" i="21"/>
  <c r="K89" i="21"/>
  <c r="G89" i="21"/>
  <c r="F89" i="21"/>
  <c r="W88" i="21"/>
  <c r="U88" i="21"/>
  <c r="C89" i="21"/>
  <c r="E89" i="21"/>
  <c r="D89" i="21"/>
  <c r="AD89" i="21" s="1"/>
  <c r="B89" i="21"/>
  <c r="A90" i="21"/>
  <c r="O89" i="21" l="1"/>
  <c r="R89" i="21"/>
  <c r="Y90" i="21"/>
  <c r="Z90" i="21"/>
  <c r="X90" i="21"/>
  <c r="AB90" i="21"/>
  <c r="AA90" i="21"/>
  <c r="L90" i="21"/>
  <c r="M90" i="21"/>
  <c r="N90" i="21"/>
  <c r="I90" i="21"/>
  <c r="K90" i="21"/>
  <c r="G90" i="21"/>
  <c r="F90" i="21"/>
  <c r="AH89" i="21"/>
  <c r="AG89" i="21"/>
  <c r="AF89" i="21"/>
  <c r="AE89" i="21"/>
  <c r="AC89" i="21"/>
  <c r="A91" i="21"/>
  <c r="D90" i="21"/>
  <c r="AD90" i="21" s="1"/>
  <c r="C90" i="21"/>
  <c r="E90" i="21"/>
  <c r="B90" i="21"/>
  <c r="U89" i="21"/>
  <c r="W89" i="21"/>
  <c r="O90" i="21" l="1"/>
  <c r="R90" i="21"/>
  <c r="AH90" i="21"/>
  <c r="AG90" i="21"/>
  <c r="AF90" i="21"/>
  <c r="AE90" i="21"/>
  <c r="AC90" i="21"/>
  <c r="X91" i="21"/>
  <c r="AB91" i="21"/>
  <c r="Y91" i="21"/>
  <c r="Z91" i="21"/>
  <c r="AA91" i="21"/>
  <c r="N91" i="21"/>
  <c r="L91" i="21"/>
  <c r="M91" i="21"/>
  <c r="I91" i="21"/>
  <c r="K91" i="21"/>
  <c r="F91" i="21"/>
  <c r="G91" i="21"/>
  <c r="W90" i="21"/>
  <c r="U90" i="21"/>
  <c r="E91" i="21"/>
  <c r="B91" i="21"/>
  <c r="A92" i="21"/>
  <c r="D91" i="21"/>
  <c r="AD91" i="21" s="1"/>
  <c r="C91" i="21"/>
  <c r="O91" i="21" l="1"/>
  <c r="R91" i="21"/>
  <c r="AH91" i="21"/>
  <c r="AG91" i="21"/>
  <c r="AF91" i="21"/>
  <c r="AE91" i="21"/>
  <c r="AC91" i="21"/>
  <c r="X92" i="21"/>
  <c r="AB92" i="21"/>
  <c r="Y92" i="21"/>
  <c r="Z92" i="21"/>
  <c r="AA92" i="21"/>
  <c r="M92" i="21"/>
  <c r="N92" i="21"/>
  <c r="L92" i="21"/>
  <c r="I92" i="21"/>
  <c r="K92" i="21"/>
  <c r="F92" i="21"/>
  <c r="G92" i="21"/>
  <c r="C92" i="21"/>
  <c r="B92" i="21"/>
  <c r="E92" i="21"/>
  <c r="D92" i="21"/>
  <c r="AD92" i="21" s="1"/>
  <c r="A93" i="21"/>
  <c r="W91" i="21"/>
  <c r="U91" i="21"/>
  <c r="O92" i="21" l="1"/>
  <c r="R92" i="21"/>
  <c r="X93" i="21"/>
  <c r="AB93" i="21"/>
  <c r="Y93" i="21"/>
  <c r="Z93" i="21"/>
  <c r="AA93" i="21"/>
  <c r="M93" i="21"/>
  <c r="N93" i="21"/>
  <c r="L93" i="21"/>
  <c r="K93" i="21"/>
  <c r="I93" i="21"/>
  <c r="F93" i="21"/>
  <c r="G93" i="21"/>
  <c r="AH92" i="21"/>
  <c r="AG92" i="21"/>
  <c r="AF92" i="21"/>
  <c r="AC92" i="21"/>
  <c r="AE92" i="21"/>
  <c r="C93" i="21"/>
  <c r="E93" i="21"/>
  <c r="D93" i="21"/>
  <c r="AD93" i="21" s="1"/>
  <c r="B93" i="21"/>
  <c r="A94" i="21"/>
  <c r="W92" i="21"/>
  <c r="U92" i="21"/>
  <c r="O93" i="21" l="1"/>
  <c r="R93" i="21"/>
  <c r="Y94" i="21"/>
  <c r="Z94" i="21"/>
  <c r="AA94" i="21"/>
  <c r="X94" i="21"/>
  <c r="AB94" i="21"/>
  <c r="M94" i="21"/>
  <c r="N94" i="21"/>
  <c r="L94" i="21"/>
  <c r="K94" i="21"/>
  <c r="I94" i="21"/>
  <c r="F94" i="21"/>
  <c r="G94" i="21"/>
  <c r="AH93" i="21"/>
  <c r="AG93" i="21"/>
  <c r="AF93" i="21"/>
  <c r="AE93" i="21"/>
  <c r="AC93" i="21"/>
  <c r="A95" i="21"/>
  <c r="D94" i="21"/>
  <c r="AD94" i="21" s="1"/>
  <c r="E94" i="21"/>
  <c r="C94" i="21"/>
  <c r="B94" i="21"/>
  <c r="U93" i="21"/>
  <c r="W93" i="21"/>
  <c r="R94" i="21" l="1"/>
  <c r="O94" i="21"/>
  <c r="AH94" i="21"/>
  <c r="AG94" i="21"/>
  <c r="AF94" i="21"/>
  <c r="AE94" i="21"/>
  <c r="AC94" i="21"/>
  <c r="Y95" i="21"/>
  <c r="Z95" i="21"/>
  <c r="AA95" i="21"/>
  <c r="X95" i="21"/>
  <c r="AB95" i="21"/>
  <c r="M95" i="21"/>
  <c r="N95" i="21"/>
  <c r="L95" i="21"/>
  <c r="K95" i="21"/>
  <c r="I95" i="21"/>
  <c r="F95" i="21"/>
  <c r="G95" i="21"/>
  <c r="W94" i="21"/>
  <c r="U94" i="21"/>
  <c r="E95" i="21"/>
  <c r="C95" i="21"/>
  <c r="B95" i="21"/>
  <c r="A96" i="21"/>
  <c r="D95" i="21"/>
  <c r="AD95" i="21" s="1"/>
  <c r="O95" i="21" l="1"/>
  <c r="R95" i="21"/>
  <c r="AH95" i="21"/>
  <c r="AG95" i="21"/>
  <c r="AF95" i="21"/>
  <c r="AE95" i="21"/>
  <c r="AC95" i="21"/>
  <c r="Y96" i="21"/>
  <c r="Z96" i="21"/>
  <c r="X96" i="21"/>
  <c r="AB96" i="21"/>
  <c r="AA96" i="21"/>
  <c r="M96" i="21"/>
  <c r="N96" i="21"/>
  <c r="L96" i="21"/>
  <c r="K96" i="21"/>
  <c r="I96" i="21"/>
  <c r="F96" i="21"/>
  <c r="G96" i="21"/>
  <c r="A97" i="21"/>
  <c r="E96" i="21"/>
  <c r="D96" i="21"/>
  <c r="AD96" i="21" s="1"/>
  <c r="C96" i="21"/>
  <c r="B96" i="21"/>
  <c r="W95" i="21"/>
  <c r="U95" i="21"/>
  <c r="O96" i="21" l="1"/>
  <c r="R96" i="21"/>
  <c r="AH96" i="21"/>
  <c r="AG96" i="21"/>
  <c r="AF96" i="21"/>
  <c r="AE96" i="21"/>
  <c r="AC96" i="21"/>
  <c r="X97" i="21"/>
  <c r="AB97" i="21"/>
  <c r="Y97" i="21"/>
  <c r="Z97" i="21"/>
  <c r="AA97" i="21"/>
  <c r="N97" i="21"/>
  <c r="K97" i="21"/>
  <c r="M97" i="21"/>
  <c r="L97" i="21"/>
  <c r="I97" i="21"/>
  <c r="G97" i="21"/>
  <c r="F97" i="21"/>
  <c r="W96" i="21"/>
  <c r="U96" i="21"/>
  <c r="C97" i="21"/>
  <c r="A98" i="21"/>
  <c r="E97" i="21"/>
  <c r="D97" i="21"/>
  <c r="AD97" i="21" s="1"/>
  <c r="B97" i="21"/>
  <c r="O97" i="21" l="1"/>
  <c r="R97" i="21"/>
  <c r="AH97" i="21"/>
  <c r="AG97" i="21"/>
  <c r="AF97" i="21"/>
  <c r="AE97" i="21"/>
  <c r="AC97" i="21"/>
  <c r="Y98" i="21"/>
  <c r="Z98" i="21"/>
  <c r="AA98" i="21"/>
  <c r="X98" i="21"/>
  <c r="AB98" i="21"/>
  <c r="L98" i="21"/>
  <c r="M98" i="21"/>
  <c r="N98" i="21"/>
  <c r="K98" i="21"/>
  <c r="I98" i="21"/>
  <c r="G98" i="21"/>
  <c r="F98" i="21"/>
  <c r="U97" i="21"/>
  <c r="W97" i="21"/>
  <c r="A99" i="21"/>
  <c r="D98" i="21"/>
  <c r="AD98" i="21" s="1"/>
  <c r="E98" i="21"/>
  <c r="C98" i="21"/>
  <c r="B98" i="21"/>
  <c r="O98" i="21" l="1"/>
  <c r="R98" i="21"/>
  <c r="AH98" i="21"/>
  <c r="AG98" i="21"/>
  <c r="AF98" i="21"/>
  <c r="AE98" i="21"/>
  <c r="AC98" i="21"/>
  <c r="Y99" i="21"/>
  <c r="Z99" i="21"/>
  <c r="AA99" i="21"/>
  <c r="X99" i="21"/>
  <c r="AB99" i="21"/>
  <c r="L99" i="21"/>
  <c r="M99" i="21"/>
  <c r="N99" i="21"/>
  <c r="K99" i="21"/>
  <c r="I99" i="21"/>
  <c r="G99" i="21"/>
  <c r="F99" i="21"/>
  <c r="C99" i="21"/>
  <c r="D99" i="21"/>
  <c r="AD99" i="21" s="1"/>
  <c r="A100" i="21"/>
  <c r="B99" i="21"/>
  <c r="E99" i="21"/>
  <c r="W98" i="21"/>
  <c r="U98" i="21"/>
  <c r="O99" i="21" l="1"/>
  <c r="R99" i="21"/>
  <c r="AB100" i="21"/>
  <c r="Y100" i="21"/>
  <c r="Z100" i="21"/>
  <c r="AA100" i="21"/>
  <c r="X100" i="21"/>
  <c r="L100" i="21"/>
  <c r="M100" i="21"/>
  <c r="N100" i="21"/>
  <c r="G100" i="21"/>
  <c r="K100" i="21"/>
  <c r="I100" i="21"/>
  <c r="F100" i="21"/>
  <c r="AH99" i="21"/>
  <c r="AG99" i="21"/>
  <c r="AF99" i="21"/>
  <c r="AE99" i="21"/>
  <c r="AC99" i="21"/>
  <c r="W99" i="21"/>
  <c r="U99" i="21"/>
  <c r="A101" i="21"/>
  <c r="E100" i="21"/>
  <c r="D100" i="21"/>
  <c r="AD100" i="21" s="1"/>
  <c r="C100" i="21"/>
  <c r="B100" i="21"/>
  <c r="O100" i="21" l="1"/>
  <c r="R100" i="21"/>
  <c r="AH100" i="21"/>
  <c r="AG100" i="21"/>
  <c r="AF100" i="21"/>
  <c r="AE100" i="21"/>
  <c r="AC100" i="21"/>
  <c r="X101" i="21"/>
  <c r="AB101" i="21"/>
  <c r="Y101" i="21"/>
  <c r="Z101" i="21"/>
  <c r="AA101" i="21"/>
  <c r="L101" i="21"/>
  <c r="M101" i="21"/>
  <c r="N101" i="21"/>
  <c r="I101" i="21"/>
  <c r="K101" i="21"/>
  <c r="G101" i="21"/>
  <c r="F101" i="21"/>
  <c r="C101" i="21"/>
  <c r="E101" i="21"/>
  <c r="D101" i="21"/>
  <c r="AD101" i="21" s="1"/>
  <c r="A102" i="21"/>
  <c r="B101" i="21"/>
  <c r="U100" i="21"/>
  <c r="W100" i="21"/>
  <c r="O101" i="21" l="1"/>
  <c r="R101" i="21"/>
  <c r="Y102" i="21"/>
  <c r="Z102" i="21"/>
  <c r="X102" i="21"/>
  <c r="AB102" i="21"/>
  <c r="AA102" i="21"/>
  <c r="L102" i="21"/>
  <c r="M102" i="21"/>
  <c r="N102" i="21"/>
  <c r="I102" i="21"/>
  <c r="K102" i="21"/>
  <c r="G102" i="21"/>
  <c r="F102" i="21"/>
  <c r="AH101" i="21"/>
  <c r="AG101" i="21"/>
  <c r="AF101" i="21"/>
  <c r="AE101" i="21"/>
  <c r="AC101" i="21"/>
  <c r="A103" i="21"/>
  <c r="D102" i="21"/>
  <c r="AD102" i="21" s="1"/>
  <c r="C102" i="21"/>
  <c r="E102" i="21"/>
  <c r="B102" i="21"/>
  <c r="U101" i="21"/>
  <c r="W101" i="21"/>
  <c r="O102" i="21" l="1"/>
  <c r="R102" i="21"/>
  <c r="AH102" i="21"/>
  <c r="AG102" i="21"/>
  <c r="AF102" i="21"/>
  <c r="AE102" i="21"/>
  <c r="AC102" i="21"/>
  <c r="X103" i="21"/>
  <c r="AB103" i="21"/>
  <c r="Y103" i="21"/>
  <c r="Z103" i="21"/>
  <c r="AA103" i="21"/>
  <c r="N103" i="21"/>
  <c r="L103" i="21"/>
  <c r="M103" i="21"/>
  <c r="I103" i="21"/>
  <c r="K103" i="21"/>
  <c r="F103" i="21"/>
  <c r="G103" i="21"/>
  <c r="W102" i="21"/>
  <c r="U102" i="21"/>
  <c r="E103" i="21"/>
  <c r="C103" i="21"/>
  <c r="B103" i="21"/>
  <c r="A104" i="21"/>
  <c r="D103" i="21"/>
  <c r="AD103" i="21" s="1"/>
  <c r="O103" i="21" l="1"/>
  <c r="R103" i="21"/>
  <c r="AH103" i="21"/>
  <c r="AG103" i="21"/>
  <c r="AF103" i="21"/>
  <c r="AE103" i="21"/>
  <c r="AC103" i="21"/>
  <c r="X104" i="21"/>
  <c r="AB104" i="21"/>
  <c r="Y104" i="21"/>
  <c r="Z104" i="21"/>
  <c r="AA104" i="21"/>
  <c r="M104" i="21"/>
  <c r="N104" i="21"/>
  <c r="L104" i="21"/>
  <c r="I104" i="21"/>
  <c r="K104" i="21"/>
  <c r="F104" i="21"/>
  <c r="G104" i="21"/>
  <c r="U103" i="21"/>
  <c r="W103" i="21"/>
  <c r="D104" i="21"/>
  <c r="AD104" i="21" s="1"/>
  <c r="A105" i="21"/>
  <c r="E104" i="21"/>
  <c r="C104" i="21"/>
  <c r="B104" i="21"/>
  <c r="O104" i="21" l="1"/>
  <c r="R104" i="21"/>
  <c r="X105" i="21"/>
  <c r="AB105" i="21"/>
  <c r="Y105" i="21"/>
  <c r="Z105" i="21"/>
  <c r="AA105" i="21"/>
  <c r="M105" i="21"/>
  <c r="N105" i="21"/>
  <c r="L105" i="21"/>
  <c r="I105" i="21"/>
  <c r="K105" i="21"/>
  <c r="G105" i="21"/>
  <c r="F105" i="21"/>
  <c r="AH104" i="21"/>
  <c r="AG104" i="21"/>
  <c r="AF104" i="21"/>
  <c r="AC104" i="21"/>
  <c r="AE104" i="21"/>
  <c r="C105" i="21"/>
  <c r="A106" i="21"/>
  <c r="B105" i="21"/>
  <c r="E105" i="21"/>
  <c r="D105" i="21"/>
  <c r="AD105" i="21" s="1"/>
  <c r="U104" i="21"/>
  <c r="W104" i="21"/>
  <c r="O105" i="21" l="1"/>
  <c r="R105" i="21"/>
  <c r="AH105" i="21"/>
  <c r="AG105" i="21"/>
  <c r="AF105" i="21"/>
  <c r="AE105" i="21"/>
  <c r="AC105" i="21"/>
  <c r="Y106" i="21"/>
  <c r="Z106" i="21"/>
  <c r="AA106" i="21"/>
  <c r="X106" i="21"/>
  <c r="AB106" i="21"/>
  <c r="M106" i="21"/>
  <c r="N106" i="21"/>
  <c r="L106" i="21"/>
  <c r="K106" i="21"/>
  <c r="I106" i="21"/>
  <c r="G106" i="21"/>
  <c r="F106" i="21"/>
  <c r="U105" i="21"/>
  <c r="W105" i="21"/>
  <c r="A107" i="21"/>
  <c r="D106" i="21"/>
  <c r="AD106" i="21" s="1"/>
  <c r="B106" i="21"/>
  <c r="C106" i="21"/>
  <c r="E106" i="21"/>
  <c r="O106" i="21" l="1"/>
  <c r="R106" i="21"/>
  <c r="AH106" i="21"/>
  <c r="AG106" i="21"/>
  <c r="AF106" i="21"/>
  <c r="AE106" i="21"/>
  <c r="AC106" i="21"/>
  <c r="Y107" i="21"/>
  <c r="Z107" i="21"/>
  <c r="AA107" i="21"/>
  <c r="X107" i="21"/>
  <c r="AB107" i="21"/>
  <c r="M107" i="21"/>
  <c r="N107" i="21"/>
  <c r="L107" i="21"/>
  <c r="K107" i="21"/>
  <c r="I107" i="21"/>
  <c r="G107" i="21"/>
  <c r="F107" i="21"/>
  <c r="D107" i="21"/>
  <c r="AD107" i="21" s="1"/>
  <c r="C107" i="21"/>
  <c r="B107" i="21"/>
  <c r="A108" i="21"/>
  <c r="E107" i="21"/>
  <c r="W106" i="21"/>
  <c r="U106" i="21"/>
  <c r="O107" i="21" l="1"/>
  <c r="R107" i="21"/>
  <c r="Y108" i="21"/>
  <c r="Z108" i="21"/>
  <c r="X108" i="21"/>
  <c r="AB108" i="21"/>
  <c r="AA108" i="21"/>
  <c r="M108" i="21"/>
  <c r="N108" i="21"/>
  <c r="L108" i="21"/>
  <c r="K108" i="21"/>
  <c r="I108" i="21"/>
  <c r="G108" i="21"/>
  <c r="F108" i="21"/>
  <c r="AH107" i="21"/>
  <c r="AG107" i="21"/>
  <c r="AF107" i="21"/>
  <c r="AE107" i="21"/>
  <c r="AC107" i="21"/>
  <c r="A109" i="21"/>
  <c r="E108" i="21"/>
  <c r="D108" i="21"/>
  <c r="AD108" i="21" s="1"/>
  <c r="C108" i="21"/>
  <c r="B108" i="21"/>
  <c r="W107" i="21"/>
  <c r="U107" i="21"/>
  <c r="O108" i="21" l="1"/>
  <c r="R108" i="21"/>
  <c r="AH108" i="21"/>
  <c r="AG108" i="21"/>
  <c r="AF108" i="21"/>
  <c r="AE108" i="21"/>
  <c r="AC108" i="21"/>
  <c r="X109" i="21"/>
  <c r="AB109" i="21"/>
  <c r="Y109" i="21"/>
  <c r="Z109" i="21"/>
  <c r="AA109" i="21"/>
  <c r="N109" i="21"/>
  <c r="K109" i="21"/>
  <c r="M109" i="21"/>
  <c r="L109" i="21"/>
  <c r="I109" i="21"/>
  <c r="G109" i="21"/>
  <c r="F109" i="21"/>
  <c r="W108" i="21"/>
  <c r="U108" i="21"/>
  <c r="C109" i="21"/>
  <c r="E109" i="21"/>
  <c r="D109" i="21"/>
  <c r="AD109" i="21" s="1"/>
  <c r="B109" i="21"/>
  <c r="A110" i="21"/>
  <c r="O109" i="21" l="1"/>
  <c r="R109" i="21"/>
  <c r="Y110" i="21"/>
  <c r="Z110" i="21"/>
  <c r="AA110" i="21"/>
  <c r="X110" i="21"/>
  <c r="AB110" i="21"/>
  <c r="L110" i="21"/>
  <c r="M110" i="21"/>
  <c r="N110" i="21"/>
  <c r="K110" i="21"/>
  <c r="I110" i="21"/>
  <c r="G110" i="21"/>
  <c r="F110" i="21"/>
  <c r="AH109" i="21"/>
  <c r="AG109" i="21"/>
  <c r="AF109" i="21"/>
  <c r="AE109" i="21"/>
  <c r="AC109" i="21"/>
  <c r="U109" i="21"/>
  <c r="W109" i="21"/>
  <c r="A111" i="21"/>
  <c r="D110" i="21"/>
  <c r="AD110" i="21" s="1"/>
  <c r="C110" i="21"/>
  <c r="E110" i="21"/>
  <c r="B110" i="21"/>
  <c r="O110" i="21" l="1"/>
  <c r="R110" i="21"/>
  <c r="AH110" i="21"/>
  <c r="AG110" i="21"/>
  <c r="AF110" i="21"/>
  <c r="AE110" i="21"/>
  <c r="AC110" i="21"/>
  <c r="Y111" i="21"/>
  <c r="Z111" i="21"/>
  <c r="AA111" i="21"/>
  <c r="X111" i="21"/>
  <c r="AB111" i="21"/>
  <c r="L111" i="21"/>
  <c r="M111" i="21"/>
  <c r="N111" i="21"/>
  <c r="K111" i="21"/>
  <c r="I111" i="21"/>
  <c r="G111" i="21"/>
  <c r="F111" i="21"/>
  <c r="W110" i="21"/>
  <c r="U110" i="21"/>
  <c r="E111" i="21"/>
  <c r="A112" i="21"/>
  <c r="D111" i="21"/>
  <c r="AD111" i="21" s="1"/>
  <c r="B111" i="21"/>
  <c r="C111" i="21"/>
  <c r="O111" i="21" l="1"/>
  <c r="R111" i="21"/>
  <c r="AH111" i="21"/>
  <c r="AG111" i="21"/>
  <c r="AF111" i="21"/>
  <c r="AE111" i="21"/>
  <c r="AC111" i="21"/>
  <c r="AB112" i="21"/>
  <c r="Y112" i="21"/>
  <c r="Z112" i="21"/>
  <c r="AA112" i="21"/>
  <c r="X112" i="21"/>
  <c r="L112" i="21"/>
  <c r="M112" i="21"/>
  <c r="N112" i="21"/>
  <c r="G112" i="21"/>
  <c r="K112" i="21"/>
  <c r="I112" i="21"/>
  <c r="F112" i="21"/>
  <c r="A113" i="21"/>
  <c r="D112" i="21"/>
  <c r="AD112" i="21" s="1"/>
  <c r="E112" i="21"/>
  <c r="C112" i="21"/>
  <c r="B112" i="21"/>
  <c r="U111" i="21"/>
  <c r="W111" i="21"/>
  <c r="O112" i="21" l="1"/>
  <c r="R112" i="21"/>
  <c r="AH112" i="21"/>
  <c r="AG112" i="21"/>
  <c r="AF112" i="21"/>
  <c r="AE112" i="21"/>
  <c r="AC112" i="21"/>
  <c r="X113" i="21"/>
  <c r="AB113" i="21"/>
  <c r="Y113" i="21"/>
  <c r="Z113" i="21"/>
  <c r="AA113" i="21"/>
  <c r="L113" i="21"/>
  <c r="M113" i="21"/>
  <c r="N113" i="21"/>
  <c r="I113" i="21"/>
  <c r="K113" i="21"/>
  <c r="G113" i="21"/>
  <c r="F113" i="21"/>
  <c r="U112" i="21"/>
  <c r="W112" i="21"/>
  <c r="C113" i="21"/>
  <c r="A114" i="21"/>
  <c r="B113" i="21"/>
  <c r="E113" i="21"/>
  <c r="D113" i="21"/>
  <c r="AD113" i="21" s="1"/>
  <c r="O113" i="21" l="1"/>
  <c r="R113" i="21"/>
  <c r="AH113" i="21"/>
  <c r="AG113" i="21"/>
  <c r="AF113" i="21"/>
  <c r="AE113" i="21"/>
  <c r="AC113" i="21"/>
  <c r="Y114" i="21"/>
  <c r="Z114" i="21"/>
  <c r="X114" i="21"/>
  <c r="AB114" i="21"/>
  <c r="AA114" i="21"/>
  <c r="L114" i="21"/>
  <c r="M114" i="21"/>
  <c r="N114" i="21"/>
  <c r="I114" i="21"/>
  <c r="K114" i="21"/>
  <c r="G114" i="21"/>
  <c r="F114" i="21"/>
  <c r="U113" i="21"/>
  <c r="W113" i="21"/>
  <c r="A115" i="21"/>
  <c r="D114" i="21"/>
  <c r="AD114" i="21" s="1"/>
  <c r="B114" i="21"/>
  <c r="E114" i="21"/>
  <c r="C114" i="21"/>
  <c r="O114" i="21" l="1"/>
  <c r="R114" i="21"/>
  <c r="AH114" i="21"/>
  <c r="AG114" i="21"/>
  <c r="AF114" i="21"/>
  <c r="AE114" i="21"/>
  <c r="AC114" i="21"/>
  <c r="X115" i="21"/>
  <c r="AB115" i="21"/>
  <c r="Y115" i="21"/>
  <c r="Z115" i="21"/>
  <c r="AA115" i="21"/>
  <c r="N115" i="21"/>
  <c r="L115" i="21"/>
  <c r="M115" i="21"/>
  <c r="I115" i="21"/>
  <c r="K115" i="21"/>
  <c r="F115" i="21"/>
  <c r="G115" i="21"/>
  <c r="D115" i="21"/>
  <c r="AD115" i="21" s="1"/>
  <c r="C115" i="21"/>
  <c r="B115" i="21"/>
  <c r="A116" i="21"/>
  <c r="E115" i="21"/>
  <c r="W114" i="21"/>
  <c r="U114" i="21"/>
  <c r="O115" i="21" l="1"/>
  <c r="R115" i="21"/>
  <c r="X116" i="21"/>
  <c r="AB116" i="21"/>
  <c r="Y116" i="21"/>
  <c r="Z116" i="21"/>
  <c r="AA116" i="21"/>
  <c r="M116" i="21"/>
  <c r="N116" i="21"/>
  <c r="L116" i="21"/>
  <c r="I116" i="21"/>
  <c r="K116" i="21"/>
  <c r="F116" i="21"/>
  <c r="G116" i="21"/>
  <c r="AH115" i="21"/>
  <c r="AG115" i="21"/>
  <c r="AF115" i="21"/>
  <c r="AE115" i="21"/>
  <c r="AC115" i="21"/>
  <c r="W115" i="21"/>
  <c r="U115" i="21"/>
  <c r="A117" i="21"/>
  <c r="E116" i="21"/>
  <c r="D116" i="21"/>
  <c r="AD116" i="21" s="1"/>
  <c r="C116" i="21"/>
  <c r="B116" i="21"/>
  <c r="O116" i="21" l="1"/>
  <c r="R116" i="21"/>
  <c r="AH116" i="21"/>
  <c r="AG116" i="21"/>
  <c r="AF116" i="21"/>
  <c r="AC116" i="21"/>
  <c r="AE116" i="21"/>
  <c r="X117" i="21"/>
  <c r="AB117" i="21"/>
  <c r="Y117" i="21"/>
  <c r="Z117" i="21"/>
  <c r="AA117" i="21"/>
  <c r="M117" i="21"/>
  <c r="N117" i="21"/>
  <c r="L117" i="21"/>
  <c r="I117" i="21"/>
  <c r="K117" i="21"/>
  <c r="F117" i="21"/>
  <c r="G117" i="21"/>
  <c r="C117" i="21"/>
  <c r="E117" i="21"/>
  <c r="D117" i="21"/>
  <c r="AD117" i="21" s="1"/>
  <c r="B117" i="21"/>
  <c r="A118" i="21"/>
  <c r="W116" i="21"/>
  <c r="U116" i="21"/>
  <c r="O117" i="21" l="1"/>
  <c r="R117" i="21"/>
  <c r="Y118" i="21"/>
  <c r="Z118" i="21"/>
  <c r="AA118" i="21"/>
  <c r="X118" i="21"/>
  <c r="AB118" i="21"/>
  <c r="M118" i="21"/>
  <c r="N118" i="21"/>
  <c r="L118" i="21"/>
  <c r="I118" i="21"/>
  <c r="K118" i="21"/>
  <c r="F118" i="21"/>
  <c r="G118" i="21"/>
  <c r="AH117" i="21"/>
  <c r="AG117" i="21"/>
  <c r="AF117" i="21"/>
  <c r="AE117" i="21"/>
  <c r="AC117" i="21"/>
  <c r="A119" i="21"/>
  <c r="D118" i="21"/>
  <c r="AD118" i="21" s="1"/>
  <c r="C118" i="21"/>
  <c r="E118" i="21"/>
  <c r="B118" i="21"/>
  <c r="U117" i="21"/>
  <c r="W117" i="21"/>
  <c r="O118" i="21" l="1"/>
  <c r="R118" i="21"/>
  <c r="AH118" i="21"/>
  <c r="AG118" i="21"/>
  <c r="AF118" i="21"/>
  <c r="AE118" i="21"/>
  <c r="AC118" i="21"/>
  <c r="Y119" i="21"/>
  <c r="Z119" i="21"/>
  <c r="AA119" i="21"/>
  <c r="X119" i="21"/>
  <c r="AB119" i="21"/>
  <c r="M119" i="21"/>
  <c r="N119" i="21"/>
  <c r="L119" i="21"/>
  <c r="K119" i="21"/>
  <c r="I119" i="21"/>
  <c r="F119" i="21"/>
  <c r="G119" i="21"/>
  <c r="W118" i="21"/>
  <c r="U118" i="21"/>
  <c r="E119" i="21"/>
  <c r="C119" i="21"/>
  <c r="D119" i="21"/>
  <c r="AD119" i="21" s="1"/>
  <c r="A120" i="21"/>
  <c r="B119" i="21"/>
  <c r="O119" i="21" l="1"/>
  <c r="R119" i="21"/>
  <c r="Y120" i="21"/>
  <c r="Z120" i="21"/>
  <c r="X120" i="21"/>
  <c r="AB120" i="21"/>
  <c r="AA120" i="21"/>
  <c r="M120" i="21"/>
  <c r="N120" i="21"/>
  <c r="L120" i="21"/>
  <c r="K120" i="21"/>
  <c r="I120" i="21"/>
  <c r="F120" i="21"/>
  <c r="G120" i="21"/>
  <c r="AH119" i="21"/>
  <c r="AG119" i="21"/>
  <c r="AF119" i="21"/>
  <c r="AE119" i="21"/>
  <c r="AC119" i="21"/>
  <c r="D120" i="21"/>
  <c r="AD120" i="21" s="1"/>
  <c r="A121" i="21"/>
  <c r="C120" i="21"/>
  <c r="E120" i="21"/>
  <c r="B120" i="21"/>
  <c r="U119" i="21"/>
  <c r="W119" i="21"/>
  <c r="O120" i="21" l="1"/>
  <c r="R120" i="21"/>
  <c r="X121" i="21"/>
  <c r="AB121" i="21"/>
  <c r="Y121" i="21"/>
  <c r="Z121" i="21"/>
  <c r="AA121" i="21"/>
  <c r="N121" i="21"/>
  <c r="K121" i="21"/>
  <c r="M121" i="21"/>
  <c r="L121" i="21"/>
  <c r="I121" i="21"/>
  <c r="G121" i="21"/>
  <c r="F121" i="21"/>
  <c r="AH120" i="21"/>
  <c r="AG120" i="21"/>
  <c r="AF120" i="21"/>
  <c r="AE120" i="21"/>
  <c r="AC120" i="21"/>
  <c r="U120" i="21"/>
  <c r="W120" i="21"/>
  <c r="C121" i="21"/>
  <c r="A122" i="21"/>
  <c r="E121" i="21"/>
  <c r="D121" i="21"/>
  <c r="AD121" i="21" s="1"/>
  <c r="B121" i="21"/>
  <c r="O121" i="21" l="1"/>
  <c r="R121" i="21"/>
  <c r="AH121" i="21"/>
  <c r="AG121" i="21"/>
  <c r="AF121" i="21"/>
  <c r="AE121" i="21"/>
  <c r="AC121" i="21"/>
  <c r="Y122" i="21"/>
  <c r="Z122" i="21"/>
  <c r="AA122" i="21"/>
  <c r="X122" i="21"/>
  <c r="AB122" i="21"/>
  <c r="L122" i="21"/>
  <c r="M122" i="21"/>
  <c r="N122" i="21"/>
  <c r="K122" i="21"/>
  <c r="I122" i="21"/>
  <c r="G122" i="21"/>
  <c r="F122" i="21"/>
  <c r="A123" i="21"/>
  <c r="D122" i="21"/>
  <c r="AD122" i="21" s="1"/>
  <c r="B122" i="21"/>
  <c r="E122" i="21"/>
  <c r="C122" i="21"/>
  <c r="U121" i="21"/>
  <c r="W121" i="21"/>
  <c r="O122" i="21" l="1"/>
  <c r="R122" i="21"/>
  <c r="AH122" i="21"/>
  <c r="AG122" i="21"/>
  <c r="AF122" i="21"/>
  <c r="AE122" i="21"/>
  <c r="AC122" i="21"/>
  <c r="Y123" i="21"/>
  <c r="Z123" i="21"/>
  <c r="AA123" i="21"/>
  <c r="X123" i="21"/>
  <c r="AB123" i="21"/>
  <c r="L123" i="21"/>
  <c r="M123" i="21"/>
  <c r="N123" i="21"/>
  <c r="K123" i="21"/>
  <c r="I123" i="21"/>
  <c r="G123" i="21"/>
  <c r="F123" i="21"/>
  <c r="W122" i="21"/>
  <c r="U122" i="21"/>
  <c r="D123" i="21"/>
  <c r="AD123" i="21" s="1"/>
  <c r="C123" i="21"/>
  <c r="B123" i="21"/>
  <c r="A124" i="21"/>
  <c r="E123" i="21"/>
  <c r="O123" i="21" l="1"/>
  <c r="R123" i="21"/>
  <c r="AB124" i="21"/>
  <c r="Y124" i="21"/>
  <c r="Z124" i="21"/>
  <c r="AA124" i="21"/>
  <c r="X124" i="21"/>
  <c r="L124" i="21"/>
  <c r="M124" i="21"/>
  <c r="N124" i="21"/>
  <c r="G124" i="21"/>
  <c r="K124" i="21"/>
  <c r="I124" i="21"/>
  <c r="F124" i="21"/>
  <c r="AH123" i="21"/>
  <c r="AG123" i="21"/>
  <c r="AF123" i="21"/>
  <c r="AE123" i="21"/>
  <c r="AC123" i="21"/>
  <c r="W123" i="21"/>
  <c r="U123" i="21"/>
  <c r="A125" i="21"/>
  <c r="E124" i="21"/>
  <c r="D124" i="21"/>
  <c r="AD124" i="21" s="1"/>
  <c r="C124" i="21"/>
  <c r="B124" i="21"/>
  <c r="O124" i="21" l="1"/>
  <c r="R124" i="21"/>
  <c r="AH124" i="21"/>
  <c r="AG124" i="21"/>
  <c r="AF124" i="21"/>
  <c r="AE124" i="21"/>
  <c r="AC124" i="21"/>
  <c r="X125" i="21"/>
  <c r="AB125" i="21"/>
  <c r="Y125" i="21"/>
  <c r="Z125" i="21"/>
  <c r="AA125" i="21"/>
  <c r="L125" i="21"/>
  <c r="M125" i="21"/>
  <c r="N125" i="21"/>
  <c r="I125" i="21"/>
  <c r="K125" i="21"/>
  <c r="G125" i="21"/>
  <c r="F125" i="21"/>
  <c r="C125" i="21"/>
  <c r="E125" i="21"/>
  <c r="D125" i="21"/>
  <c r="AD125" i="21" s="1"/>
  <c r="B125" i="21"/>
  <c r="A126" i="21"/>
  <c r="W124" i="21"/>
  <c r="U124" i="21"/>
  <c r="O125" i="21" l="1"/>
  <c r="R125" i="21"/>
  <c r="Y126" i="21"/>
  <c r="Z126" i="21"/>
  <c r="X126" i="21"/>
  <c r="AB126" i="21"/>
  <c r="AA126" i="21"/>
  <c r="L126" i="21"/>
  <c r="M126" i="21"/>
  <c r="N126" i="21"/>
  <c r="I126" i="21"/>
  <c r="K126" i="21"/>
  <c r="G126" i="21"/>
  <c r="F126" i="21"/>
  <c r="AH125" i="21"/>
  <c r="AG125" i="21"/>
  <c r="AF125" i="21"/>
  <c r="AE125" i="21"/>
  <c r="AC125" i="21"/>
  <c r="A127" i="21"/>
  <c r="D126" i="21"/>
  <c r="AD126" i="21" s="1"/>
  <c r="C126" i="21"/>
  <c r="E126" i="21"/>
  <c r="B126" i="21"/>
  <c r="U125" i="21"/>
  <c r="W125" i="21"/>
  <c r="O126" i="21" l="1"/>
  <c r="R126" i="21"/>
  <c r="AH126" i="21"/>
  <c r="AG126" i="21"/>
  <c r="AF126" i="21"/>
  <c r="AE126" i="21"/>
  <c r="AC126" i="21"/>
  <c r="X127" i="21"/>
  <c r="AB127" i="21"/>
  <c r="Y127" i="21"/>
  <c r="Z127" i="21"/>
  <c r="AA127" i="21"/>
  <c r="N127" i="21"/>
  <c r="L127" i="21"/>
  <c r="M127" i="21"/>
  <c r="I127" i="21"/>
  <c r="K127" i="21"/>
  <c r="F127" i="21"/>
  <c r="G127" i="21"/>
  <c r="W126" i="21"/>
  <c r="U126" i="21"/>
  <c r="E127" i="21"/>
  <c r="A128" i="21"/>
  <c r="C127" i="21"/>
  <c r="D127" i="21"/>
  <c r="AD127" i="21" s="1"/>
  <c r="B127" i="21"/>
  <c r="O127" i="21" l="1"/>
  <c r="R127" i="21"/>
  <c r="AH127" i="21"/>
  <c r="AG127" i="21"/>
  <c r="AF127" i="21"/>
  <c r="AE127" i="21"/>
  <c r="AC127" i="21"/>
  <c r="X128" i="21"/>
  <c r="AB128" i="21"/>
  <c r="Y128" i="21"/>
  <c r="Z128" i="21"/>
  <c r="AA128" i="21"/>
  <c r="M128" i="21"/>
  <c r="N128" i="21"/>
  <c r="L128" i="21"/>
  <c r="I128" i="21"/>
  <c r="K128" i="21"/>
  <c r="F128" i="21"/>
  <c r="G128" i="21"/>
  <c r="A129" i="21"/>
  <c r="E128" i="21"/>
  <c r="C128" i="21"/>
  <c r="D128" i="21"/>
  <c r="AD128" i="21" s="1"/>
  <c r="B128" i="21"/>
  <c r="W127" i="21"/>
  <c r="U127" i="21"/>
  <c r="O128" i="21" l="1"/>
  <c r="R128" i="21"/>
  <c r="AH128" i="21"/>
  <c r="AG128" i="21"/>
  <c r="AF128" i="21"/>
  <c r="AC128" i="21"/>
  <c r="AE128" i="21"/>
  <c r="X129" i="21"/>
  <c r="AB129" i="21"/>
  <c r="Y129" i="21"/>
  <c r="Z129" i="21"/>
  <c r="AA129" i="21"/>
  <c r="M129" i="21"/>
  <c r="N129" i="21"/>
  <c r="L129" i="21"/>
  <c r="I129" i="21"/>
  <c r="K129" i="21"/>
  <c r="F129" i="21"/>
  <c r="G129" i="21"/>
  <c r="C129" i="21"/>
  <c r="A130" i="21"/>
  <c r="B129" i="21"/>
  <c r="E129" i="21"/>
  <c r="D129" i="21"/>
  <c r="AD129" i="21" s="1"/>
  <c r="W128" i="21"/>
  <c r="U128" i="21"/>
  <c r="O129" i="21" l="1"/>
  <c r="R129" i="21"/>
  <c r="AH129" i="21"/>
  <c r="AG129" i="21"/>
  <c r="AF129" i="21"/>
  <c r="AE129" i="21"/>
  <c r="AC129" i="21"/>
  <c r="Y130" i="21"/>
  <c r="Z130" i="21"/>
  <c r="AA130" i="21"/>
  <c r="X130" i="21"/>
  <c r="AB130" i="21"/>
  <c r="M130" i="21"/>
  <c r="N130" i="21"/>
  <c r="L130" i="21"/>
  <c r="I130" i="21"/>
  <c r="K130" i="21"/>
  <c r="F130" i="21"/>
  <c r="G130" i="21"/>
  <c r="A131" i="21"/>
  <c r="D130" i="21"/>
  <c r="AD130" i="21" s="1"/>
  <c r="B130" i="21"/>
  <c r="E130" i="21"/>
  <c r="C130" i="21"/>
  <c r="U129" i="21"/>
  <c r="W129" i="21"/>
  <c r="O130" i="21" l="1"/>
  <c r="R130" i="21"/>
  <c r="AH130" i="21"/>
  <c r="AG130" i="21"/>
  <c r="AF130" i="21"/>
  <c r="AE130" i="21"/>
  <c r="AC130" i="21"/>
  <c r="Y131" i="21"/>
  <c r="Z131" i="21"/>
  <c r="AA131" i="21"/>
  <c r="X131" i="21"/>
  <c r="AB131" i="21"/>
  <c r="M131" i="21"/>
  <c r="N131" i="21"/>
  <c r="L131" i="21"/>
  <c r="I131" i="21"/>
  <c r="K131" i="21"/>
  <c r="F131" i="21"/>
  <c r="G131" i="21"/>
  <c r="D131" i="21"/>
  <c r="AD131" i="21" s="1"/>
  <c r="C131" i="21"/>
  <c r="B131" i="21"/>
  <c r="A132" i="21"/>
  <c r="E131" i="21"/>
  <c r="W130" i="21"/>
  <c r="U130" i="21"/>
  <c r="O131" i="21" l="1"/>
  <c r="R131" i="21"/>
  <c r="Y132" i="21"/>
  <c r="Z132" i="21"/>
  <c r="X132" i="21"/>
  <c r="AB132" i="21"/>
  <c r="AA132" i="21"/>
  <c r="M132" i="21"/>
  <c r="N132" i="21"/>
  <c r="L132" i="21"/>
  <c r="K132" i="21"/>
  <c r="I132" i="21"/>
  <c r="F132" i="21"/>
  <c r="G132" i="21"/>
  <c r="AH131" i="21"/>
  <c r="AG131" i="21"/>
  <c r="AF131" i="21"/>
  <c r="AE131" i="21"/>
  <c r="AC131" i="21"/>
  <c r="A133" i="21"/>
  <c r="E132" i="21"/>
  <c r="D132" i="21"/>
  <c r="AD132" i="21" s="1"/>
  <c r="C132" i="21"/>
  <c r="B132" i="21"/>
  <c r="W131" i="21"/>
  <c r="U131" i="21"/>
  <c r="O132" i="21" l="1"/>
  <c r="R132" i="21"/>
  <c r="AH132" i="21"/>
  <c r="AG132" i="21"/>
  <c r="AF132" i="21"/>
  <c r="AE132" i="21"/>
  <c r="AC132" i="21"/>
  <c r="X133" i="21"/>
  <c r="AB133" i="21"/>
  <c r="Y133" i="21"/>
  <c r="Z133" i="21"/>
  <c r="AA133" i="21"/>
  <c r="N133" i="21"/>
  <c r="K133" i="21"/>
  <c r="M133" i="21"/>
  <c r="L133" i="21"/>
  <c r="I133" i="21"/>
  <c r="G133" i="21"/>
  <c r="F133" i="21"/>
  <c r="C133" i="21"/>
  <c r="E133" i="21"/>
  <c r="D133" i="21"/>
  <c r="AD133" i="21" s="1"/>
  <c r="B133" i="21"/>
  <c r="A134" i="21"/>
  <c r="W132" i="21"/>
  <c r="U132" i="21"/>
  <c r="O133" i="21" l="1"/>
  <c r="R133" i="21"/>
  <c r="Y134" i="21"/>
  <c r="Z134" i="21"/>
  <c r="AA134" i="21"/>
  <c r="X134" i="21"/>
  <c r="AB134" i="21"/>
  <c r="L134" i="21"/>
  <c r="M134" i="21"/>
  <c r="N134" i="21"/>
  <c r="K134" i="21"/>
  <c r="I134" i="21"/>
  <c r="G134" i="21"/>
  <c r="F134" i="21"/>
  <c r="AH133" i="21"/>
  <c r="AG133" i="21"/>
  <c r="AF133" i="21"/>
  <c r="AE133" i="21"/>
  <c r="AC133" i="21"/>
  <c r="U133" i="21"/>
  <c r="W133" i="21"/>
  <c r="A135" i="21"/>
  <c r="D134" i="21"/>
  <c r="AD134" i="21" s="1"/>
  <c r="C134" i="21"/>
  <c r="E134" i="21"/>
  <c r="B134" i="21"/>
  <c r="O134" i="21" l="1"/>
  <c r="R134" i="21"/>
  <c r="AH134" i="21"/>
  <c r="AG134" i="21"/>
  <c r="AF134" i="21"/>
  <c r="AE134" i="21"/>
  <c r="AC134" i="21"/>
  <c r="Y135" i="21"/>
  <c r="Z135" i="21"/>
  <c r="AA135" i="21"/>
  <c r="X135" i="21"/>
  <c r="AB135" i="21"/>
  <c r="L135" i="21"/>
  <c r="M135" i="21"/>
  <c r="N135" i="21"/>
  <c r="K135" i="21"/>
  <c r="I135" i="21"/>
  <c r="G135" i="21"/>
  <c r="F135" i="21"/>
  <c r="W134" i="21"/>
  <c r="U134" i="21"/>
  <c r="E135" i="21"/>
  <c r="C135" i="21"/>
  <c r="D135" i="21"/>
  <c r="AD135" i="21" s="1"/>
  <c r="B135" i="21"/>
  <c r="A136" i="21"/>
  <c r="O135" i="21" l="1"/>
  <c r="R135" i="21"/>
  <c r="AB136" i="21"/>
  <c r="Y136" i="21"/>
  <c r="Z136" i="21"/>
  <c r="AA136" i="21"/>
  <c r="X136" i="21"/>
  <c r="L136" i="21"/>
  <c r="M136" i="21"/>
  <c r="N136" i="21"/>
  <c r="G136" i="21"/>
  <c r="K136" i="21"/>
  <c r="I136" i="21"/>
  <c r="F136" i="21"/>
  <c r="AH135" i="21"/>
  <c r="AG135" i="21"/>
  <c r="AF135" i="21"/>
  <c r="AE135" i="21"/>
  <c r="AC135" i="21"/>
  <c r="D136" i="21"/>
  <c r="AD136" i="21" s="1"/>
  <c r="E136" i="21"/>
  <c r="A137" i="21"/>
  <c r="C136" i="21"/>
  <c r="B136" i="21"/>
  <c r="W135" i="21"/>
  <c r="U135" i="21"/>
  <c r="O136" i="21" l="1"/>
  <c r="R136" i="21"/>
  <c r="X137" i="21"/>
  <c r="AB137" i="21"/>
  <c r="Y137" i="21"/>
  <c r="Z137" i="21"/>
  <c r="AA137" i="21"/>
  <c r="L137" i="21"/>
  <c r="M137" i="21"/>
  <c r="N137" i="21"/>
  <c r="I137" i="21"/>
  <c r="K137" i="21"/>
  <c r="G137" i="21"/>
  <c r="F137" i="21"/>
  <c r="AH136" i="21"/>
  <c r="AG136" i="21"/>
  <c r="AF136" i="21"/>
  <c r="AE136" i="21"/>
  <c r="AC136" i="21"/>
  <c r="U136" i="21"/>
  <c r="W136" i="21"/>
  <c r="C137" i="21"/>
  <c r="A138" i="21"/>
  <c r="D137" i="21"/>
  <c r="AD137" i="21" s="1"/>
  <c r="E137" i="21"/>
  <c r="B137" i="21"/>
  <c r="O137" i="21" l="1"/>
  <c r="R137" i="21"/>
  <c r="AH137" i="21"/>
  <c r="AG137" i="21"/>
  <c r="AF137" i="21"/>
  <c r="AE137" i="21"/>
  <c r="AC137" i="21"/>
  <c r="Y138" i="21"/>
  <c r="Z138" i="21"/>
  <c r="X138" i="21"/>
  <c r="AB138" i="21"/>
  <c r="AA138" i="21"/>
  <c r="L138" i="21"/>
  <c r="M138" i="21"/>
  <c r="N138" i="21"/>
  <c r="I138" i="21"/>
  <c r="K138" i="21"/>
  <c r="G138" i="21"/>
  <c r="F138" i="21"/>
  <c r="A139" i="21"/>
  <c r="D138" i="21"/>
  <c r="AD138" i="21" s="1"/>
  <c r="B138" i="21"/>
  <c r="E138" i="21"/>
  <c r="C138" i="21"/>
  <c r="U137" i="21"/>
  <c r="W137" i="21"/>
  <c r="O138" i="21" l="1"/>
  <c r="R138" i="21"/>
  <c r="AH138" i="21"/>
  <c r="AG138" i="21"/>
  <c r="AF138" i="21"/>
  <c r="AE138" i="21"/>
  <c r="AC138" i="21"/>
  <c r="X139" i="21"/>
  <c r="AB139" i="21"/>
  <c r="Y139" i="21"/>
  <c r="Z139" i="21"/>
  <c r="AA139" i="21"/>
  <c r="N139" i="21"/>
  <c r="L139" i="21"/>
  <c r="M139" i="21"/>
  <c r="I139" i="21"/>
  <c r="K139" i="21"/>
  <c r="F139" i="21"/>
  <c r="G139" i="21"/>
  <c r="W138" i="21"/>
  <c r="U138" i="21"/>
  <c r="D139" i="21"/>
  <c r="AD139" i="21" s="1"/>
  <c r="C139" i="21"/>
  <c r="B139" i="21"/>
  <c r="A140" i="21"/>
  <c r="E139" i="21"/>
  <c r="O139" i="21" l="1"/>
  <c r="R139" i="21"/>
  <c r="X140" i="21"/>
  <c r="AB140" i="21"/>
  <c r="Y140" i="21"/>
  <c r="Z140" i="21"/>
  <c r="AA140" i="21"/>
  <c r="M140" i="21"/>
  <c r="N140" i="21"/>
  <c r="L140" i="21"/>
  <c r="I140" i="21"/>
  <c r="K140" i="21"/>
  <c r="F140" i="21"/>
  <c r="G140" i="21"/>
  <c r="AH139" i="21"/>
  <c r="AG139" i="21"/>
  <c r="AF139" i="21"/>
  <c r="AE139" i="21"/>
  <c r="AC139" i="21"/>
  <c r="A141" i="21"/>
  <c r="E140" i="21"/>
  <c r="D140" i="21"/>
  <c r="AD140" i="21" s="1"/>
  <c r="C140" i="21"/>
  <c r="B140" i="21"/>
  <c r="W139" i="21"/>
  <c r="U139" i="21"/>
  <c r="O140" i="21" l="1"/>
  <c r="R140" i="21"/>
  <c r="AH140" i="21"/>
  <c r="AG140" i="21"/>
  <c r="AF140" i="21"/>
  <c r="AC140" i="21"/>
  <c r="AE140" i="21"/>
  <c r="X141" i="21"/>
  <c r="AB141" i="21"/>
  <c r="Y141" i="21"/>
  <c r="Z141" i="21"/>
  <c r="AA141" i="21"/>
  <c r="M141" i="21"/>
  <c r="N141" i="21"/>
  <c r="L141" i="21"/>
  <c r="I141" i="21"/>
  <c r="K141" i="21"/>
  <c r="G141" i="21"/>
  <c r="F141" i="21"/>
  <c r="W140" i="21"/>
  <c r="U140" i="21"/>
  <c r="C141" i="21"/>
  <c r="E141" i="21"/>
  <c r="D141" i="21"/>
  <c r="AD141" i="21" s="1"/>
  <c r="B141" i="21"/>
  <c r="A142" i="21"/>
  <c r="O141" i="21" l="1"/>
  <c r="R141" i="21"/>
  <c r="Y142" i="21"/>
  <c r="Z142" i="21"/>
  <c r="AA142" i="21"/>
  <c r="X142" i="21"/>
  <c r="AB142" i="21"/>
  <c r="M142" i="21"/>
  <c r="N142" i="21"/>
  <c r="L142" i="21"/>
  <c r="I142" i="21"/>
  <c r="K142" i="21"/>
  <c r="G142" i="21"/>
  <c r="F142" i="21"/>
  <c r="AH141" i="21"/>
  <c r="AG141" i="21"/>
  <c r="AF141" i="21"/>
  <c r="AE141" i="21"/>
  <c r="AC141" i="21"/>
  <c r="U141" i="21"/>
  <c r="W141" i="21"/>
  <c r="A143" i="21"/>
  <c r="D142" i="21"/>
  <c r="AD142" i="21" s="1"/>
  <c r="C142" i="21"/>
  <c r="E142" i="21"/>
  <c r="B142" i="21"/>
  <c r="R142" i="21" l="1"/>
  <c r="O142" i="21"/>
  <c r="AH142" i="21"/>
  <c r="AG142" i="21"/>
  <c r="AF142" i="21"/>
  <c r="AE142" i="21"/>
  <c r="AC142" i="21"/>
  <c r="Y143" i="21"/>
  <c r="Z143" i="21"/>
  <c r="AA143" i="21"/>
  <c r="X143" i="21"/>
  <c r="AB143" i="21"/>
  <c r="M143" i="21"/>
  <c r="N143" i="21"/>
  <c r="L143" i="21"/>
  <c r="I143" i="21"/>
  <c r="K143" i="21"/>
  <c r="G143" i="21"/>
  <c r="F143" i="21"/>
  <c r="E143" i="21"/>
  <c r="A144" i="21"/>
  <c r="D143" i="21"/>
  <c r="AD143" i="21" s="1"/>
  <c r="C143" i="21"/>
  <c r="B143" i="21"/>
  <c r="W142" i="21"/>
  <c r="U142" i="21"/>
  <c r="O143" i="21" l="1"/>
  <c r="R143" i="21"/>
  <c r="AH143" i="21"/>
  <c r="AG143" i="21"/>
  <c r="AF143" i="21"/>
  <c r="AE143" i="21"/>
  <c r="AC143" i="21"/>
  <c r="Y144" i="21"/>
  <c r="Z144" i="21"/>
  <c r="X144" i="21"/>
  <c r="AB144" i="21"/>
  <c r="AA144" i="21"/>
  <c r="M144" i="21"/>
  <c r="N144" i="21"/>
  <c r="L144" i="21"/>
  <c r="I144" i="21"/>
  <c r="K144" i="21"/>
  <c r="G144" i="21"/>
  <c r="F144" i="21"/>
  <c r="A145" i="21"/>
  <c r="E144" i="21"/>
  <c r="D144" i="21"/>
  <c r="AD144" i="21" s="1"/>
  <c r="C144" i="21"/>
  <c r="B144" i="21"/>
  <c r="W143" i="21"/>
  <c r="U143" i="21"/>
  <c r="O144" i="21" l="1"/>
  <c r="R144" i="21"/>
  <c r="AH144" i="21"/>
  <c r="AG144" i="21"/>
  <c r="AF144" i="21"/>
  <c r="AE144" i="21"/>
  <c r="AC144" i="21"/>
  <c r="X145" i="21"/>
  <c r="AB145" i="21"/>
  <c r="Y145" i="21"/>
  <c r="Z145" i="21"/>
  <c r="AA145" i="21"/>
  <c r="N145" i="21"/>
  <c r="K145" i="21"/>
  <c r="M145" i="21"/>
  <c r="L145" i="21"/>
  <c r="I145" i="21"/>
  <c r="G145" i="21"/>
  <c r="F145" i="21"/>
  <c r="C145" i="21"/>
  <c r="A146" i="21"/>
  <c r="B145" i="21"/>
  <c r="E145" i="21"/>
  <c r="D145" i="21"/>
  <c r="AD145" i="21" s="1"/>
  <c r="W144" i="21"/>
  <c r="U144" i="21"/>
  <c r="O145" i="21" l="1"/>
  <c r="R145" i="21"/>
  <c r="AH145" i="21"/>
  <c r="AG145" i="21"/>
  <c r="AF145" i="21"/>
  <c r="AE145" i="21"/>
  <c r="AC145" i="21"/>
  <c r="Y146" i="21"/>
  <c r="Z146" i="21"/>
  <c r="AA146" i="21"/>
  <c r="X146" i="21"/>
  <c r="AB146" i="21"/>
  <c r="L146" i="21"/>
  <c r="M146" i="21"/>
  <c r="N146" i="21"/>
  <c r="K146" i="21"/>
  <c r="I146" i="21"/>
  <c r="G146" i="21"/>
  <c r="F146" i="21"/>
  <c r="U145" i="21"/>
  <c r="W145" i="21"/>
  <c r="A147" i="21"/>
  <c r="D146" i="21"/>
  <c r="AD146" i="21" s="1"/>
  <c r="B146" i="21"/>
  <c r="C146" i="21"/>
  <c r="E146" i="21"/>
  <c r="O146" i="21" l="1"/>
  <c r="R146" i="21"/>
  <c r="AH146" i="21"/>
  <c r="AG146" i="21"/>
  <c r="AF146" i="21"/>
  <c r="AE146" i="21"/>
  <c r="AC146" i="21"/>
  <c r="Y147" i="21"/>
  <c r="Z147" i="21"/>
  <c r="AA147" i="21"/>
  <c r="X147" i="21"/>
  <c r="AB147" i="21"/>
  <c r="L147" i="21"/>
  <c r="M147" i="21"/>
  <c r="N147" i="21"/>
  <c r="K147" i="21"/>
  <c r="I147" i="21"/>
  <c r="G147" i="21"/>
  <c r="F147" i="21"/>
  <c r="W146" i="21"/>
  <c r="U146" i="21"/>
  <c r="B147" i="21"/>
  <c r="E147" i="21"/>
  <c r="D147" i="21"/>
  <c r="AD147" i="21" s="1"/>
  <c r="C147" i="21"/>
  <c r="A148" i="21"/>
  <c r="O147" i="21" l="1"/>
  <c r="R147" i="21"/>
  <c r="AB148" i="21"/>
  <c r="Y148" i="21"/>
  <c r="Z148" i="21"/>
  <c r="AA148" i="21"/>
  <c r="X148" i="21"/>
  <c r="L148" i="21"/>
  <c r="M148" i="21"/>
  <c r="N148" i="21"/>
  <c r="G148" i="21"/>
  <c r="K148" i="21"/>
  <c r="I148" i="21"/>
  <c r="F148" i="21"/>
  <c r="AH147" i="21"/>
  <c r="AG147" i="21"/>
  <c r="AF147" i="21"/>
  <c r="AE147" i="21"/>
  <c r="AC147" i="21"/>
  <c r="W147" i="21"/>
  <c r="U147" i="21"/>
  <c r="E148" i="21"/>
  <c r="A149" i="21"/>
  <c r="C148" i="21"/>
  <c r="D148" i="21"/>
  <c r="AD148" i="21" s="1"/>
  <c r="B148" i="21"/>
  <c r="O148" i="21" l="1"/>
  <c r="R148" i="21"/>
  <c r="AH148" i="21"/>
  <c r="AG148" i="21"/>
  <c r="AF148" i="21"/>
  <c r="AE148" i="21"/>
  <c r="AC148" i="21"/>
  <c r="X149" i="21"/>
  <c r="AB149" i="21"/>
  <c r="Y149" i="21"/>
  <c r="Z149" i="21"/>
  <c r="AA149" i="21"/>
  <c r="L149" i="21"/>
  <c r="M149" i="21"/>
  <c r="N149" i="21"/>
  <c r="I149" i="21"/>
  <c r="K149" i="21"/>
  <c r="G149" i="21"/>
  <c r="F149" i="21"/>
  <c r="U148" i="21"/>
  <c r="W148" i="21"/>
  <c r="E149" i="21"/>
  <c r="A150" i="21"/>
  <c r="D149" i="21"/>
  <c r="AD149" i="21" s="1"/>
  <c r="C149" i="21"/>
  <c r="B149" i="21"/>
  <c r="O149" i="21" l="1"/>
  <c r="R149" i="21"/>
  <c r="AH149" i="21"/>
  <c r="AG149" i="21"/>
  <c r="AF149" i="21"/>
  <c r="AE149" i="21"/>
  <c r="AC149" i="21"/>
  <c r="Y150" i="21"/>
  <c r="Z150" i="21"/>
  <c r="X150" i="21"/>
  <c r="AB150" i="21"/>
  <c r="AA150" i="21"/>
  <c r="L150" i="21"/>
  <c r="M150" i="21"/>
  <c r="N150" i="21"/>
  <c r="I150" i="21"/>
  <c r="K150" i="21"/>
  <c r="G150" i="21"/>
  <c r="F150" i="21"/>
  <c r="W149" i="21"/>
  <c r="U149" i="21"/>
  <c r="A151" i="21"/>
  <c r="D150" i="21"/>
  <c r="AD150" i="21" s="1"/>
  <c r="B150" i="21"/>
  <c r="E150" i="21"/>
  <c r="C150" i="21"/>
  <c r="O150" i="21" l="1"/>
  <c r="R150" i="21"/>
  <c r="AH150" i="21"/>
  <c r="AG150" i="21"/>
  <c r="AF150" i="21"/>
  <c r="AE150" i="21"/>
  <c r="AC150" i="21"/>
  <c r="X151" i="21"/>
  <c r="AB151" i="21"/>
  <c r="Y151" i="21"/>
  <c r="Z151" i="21"/>
  <c r="AA151" i="21"/>
  <c r="N151" i="21"/>
  <c r="L151" i="21"/>
  <c r="M151" i="21"/>
  <c r="I151" i="21"/>
  <c r="K151" i="21"/>
  <c r="F151" i="21"/>
  <c r="G151" i="21"/>
  <c r="W150" i="21"/>
  <c r="U150" i="21"/>
  <c r="C151" i="21"/>
  <c r="B151" i="21"/>
  <c r="E151" i="21"/>
  <c r="D151" i="21"/>
  <c r="AD151" i="21" s="1"/>
  <c r="A152" i="21"/>
  <c r="O151" i="21" l="1"/>
  <c r="R151" i="21"/>
  <c r="X152" i="21"/>
  <c r="AB152" i="21"/>
  <c r="Y152" i="21"/>
  <c r="Z152" i="21"/>
  <c r="AA152" i="21"/>
  <c r="M152" i="21"/>
  <c r="N152" i="21"/>
  <c r="L152" i="21"/>
  <c r="I152" i="21"/>
  <c r="K152" i="21"/>
  <c r="F152" i="21"/>
  <c r="G152" i="21"/>
  <c r="AH151" i="21"/>
  <c r="AG151" i="21"/>
  <c r="AF151" i="21"/>
  <c r="AE151" i="21"/>
  <c r="AC151" i="21"/>
  <c r="A153" i="21"/>
  <c r="C152" i="21"/>
  <c r="E152" i="21"/>
  <c r="D152" i="21"/>
  <c r="AD152" i="21" s="1"/>
  <c r="B152" i="21"/>
  <c r="W151" i="21"/>
  <c r="U151" i="21"/>
  <c r="O152" i="21" l="1"/>
  <c r="R152" i="21"/>
  <c r="AH152" i="21"/>
  <c r="AG152" i="21"/>
  <c r="AF152" i="21"/>
  <c r="AC152" i="21"/>
  <c r="AE152" i="21"/>
  <c r="X153" i="21"/>
  <c r="AB153" i="21"/>
  <c r="Y153" i="21"/>
  <c r="Z153" i="21"/>
  <c r="AA153" i="21"/>
  <c r="M153" i="21"/>
  <c r="N153" i="21"/>
  <c r="L153" i="21"/>
  <c r="I153" i="21"/>
  <c r="K153" i="21"/>
  <c r="F153" i="21"/>
  <c r="G153" i="21"/>
  <c r="U152" i="21"/>
  <c r="W152" i="21"/>
  <c r="E153" i="21"/>
  <c r="C153" i="21"/>
  <c r="B153" i="21"/>
  <c r="A154" i="21"/>
  <c r="D153" i="21"/>
  <c r="AD153" i="21" s="1"/>
  <c r="O153" i="21" l="1"/>
  <c r="R153" i="21"/>
  <c r="AH153" i="21"/>
  <c r="AG153" i="21"/>
  <c r="AF153" i="21"/>
  <c r="AE153" i="21"/>
  <c r="AC153" i="21"/>
  <c r="Y154" i="21"/>
  <c r="Z154" i="21"/>
  <c r="AA154" i="21"/>
  <c r="X154" i="21"/>
  <c r="AB154" i="21"/>
  <c r="M154" i="21"/>
  <c r="N154" i="21"/>
  <c r="L154" i="21"/>
  <c r="I154" i="21"/>
  <c r="K154" i="21"/>
  <c r="F154" i="21"/>
  <c r="G154" i="21"/>
  <c r="B154" i="21"/>
  <c r="C154" i="21"/>
  <c r="A155" i="21"/>
  <c r="E154" i="21"/>
  <c r="D154" i="21"/>
  <c r="AD154" i="21" s="1"/>
  <c r="W153" i="21"/>
  <c r="U153" i="21"/>
  <c r="O154" i="21" l="1"/>
  <c r="R154" i="21"/>
  <c r="AH154" i="21"/>
  <c r="AG154" i="21"/>
  <c r="AF154" i="21"/>
  <c r="AE154" i="21"/>
  <c r="AC154" i="21"/>
  <c r="Y155" i="21"/>
  <c r="Z155" i="21"/>
  <c r="AA155" i="21"/>
  <c r="X155" i="21"/>
  <c r="AB155" i="21"/>
  <c r="M155" i="21"/>
  <c r="N155" i="21"/>
  <c r="L155" i="21"/>
  <c r="I155" i="21"/>
  <c r="K155" i="21"/>
  <c r="F155" i="21"/>
  <c r="G155" i="21"/>
  <c r="A156" i="21"/>
  <c r="E155" i="21"/>
  <c r="C155" i="21"/>
  <c r="D155" i="21"/>
  <c r="AD155" i="21" s="1"/>
  <c r="B155" i="21"/>
  <c r="W154" i="21"/>
  <c r="U154" i="21"/>
  <c r="O155" i="21" l="1"/>
  <c r="R155" i="21"/>
  <c r="AH155" i="21"/>
  <c r="AG155" i="21"/>
  <c r="AF155" i="21"/>
  <c r="AE155" i="21"/>
  <c r="AC155" i="21"/>
  <c r="Y156" i="21"/>
  <c r="Z156" i="21"/>
  <c r="X156" i="21"/>
  <c r="AB156" i="21"/>
  <c r="AA156" i="21"/>
  <c r="M156" i="21"/>
  <c r="N156" i="21"/>
  <c r="L156" i="21"/>
  <c r="I156" i="21"/>
  <c r="K156" i="21"/>
  <c r="F156" i="21"/>
  <c r="G156" i="21"/>
  <c r="W155" i="21"/>
  <c r="U155" i="21"/>
  <c r="A157" i="21"/>
  <c r="D156" i="21"/>
  <c r="AD156" i="21" s="1"/>
  <c r="B156" i="21"/>
  <c r="E156" i="21"/>
  <c r="C156" i="21"/>
  <c r="O156" i="21" l="1"/>
  <c r="R156" i="21"/>
  <c r="AH156" i="21"/>
  <c r="AG156" i="21"/>
  <c r="AF156" i="21"/>
  <c r="AE156" i="21"/>
  <c r="AC156" i="21"/>
  <c r="X157" i="21"/>
  <c r="AB157" i="21"/>
  <c r="Y157" i="21"/>
  <c r="Z157" i="21"/>
  <c r="AA157" i="21"/>
  <c r="N157" i="21"/>
  <c r="K157" i="21"/>
  <c r="M157" i="21"/>
  <c r="L157" i="21"/>
  <c r="I157" i="21"/>
  <c r="G157" i="21"/>
  <c r="F157" i="21"/>
  <c r="W156" i="21"/>
  <c r="U156" i="21"/>
  <c r="E157" i="21"/>
  <c r="C157" i="21"/>
  <c r="A158" i="21"/>
  <c r="D157" i="21"/>
  <c r="AD157" i="21" s="1"/>
  <c r="B157" i="21"/>
  <c r="O157" i="21" l="1"/>
  <c r="R157" i="21"/>
  <c r="AH157" i="21"/>
  <c r="AG157" i="21"/>
  <c r="AF157" i="21"/>
  <c r="AE157" i="21"/>
  <c r="AC157" i="21"/>
  <c r="Y158" i="21"/>
  <c r="Z158" i="21"/>
  <c r="AA158" i="21"/>
  <c r="X158" i="21"/>
  <c r="AB158" i="21"/>
  <c r="L158" i="21"/>
  <c r="M158" i="21"/>
  <c r="N158" i="21"/>
  <c r="I158" i="21"/>
  <c r="G158" i="21"/>
  <c r="K158" i="21"/>
  <c r="F158" i="21"/>
  <c r="U157" i="21"/>
  <c r="W157" i="21"/>
  <c r="B158" i="21"/>
  <c r="E158" i="21"/>
  <c r="C158" i="21"/>
  <c r="D158" i="21"/>
  <c r="AD158" i="21" s="1"/>
  <c r="A159" i="21"/>
  <c r="R158" i="21" l="1"/>
  <c r="O158" i="21"/>
  <c r="Y159" i="21"/>
  <c r="Z159" i="21"/>
  <c r="AA159" i="21"/>
  <c r="X159" i="21"/>
  <c r="AB159" i="21"/>
  <c r="L159" i="21"/>
  <c r="M159" i="21"/>
  <c r="N159" i="21"/>
  <c r="K159" i="21"/>
  <c r="I159" i="21"/>
  <c r="G159" i="21"/>
  <c r="F159" i="21"/>
  <c r="AH158" i="21"/>
  <c r="AG158" i="21"/>
  <c r="AF158" i="21"/>
  <c r="AE158" i="21"/>
  <c r="AC158" i="21"/>
  <c r="D159" i="21"/>
  <c r="AD159" i="21" s="1"/>
  <c r="C159" i="21"/>
  <c r="B159" i="21"/>
  <c r="A160" i="21"/>
  <c r="E159" i="21"/>
  <c r="W158" i="21"/>
  <c r="U158" i="21"/>
  <c r="O159" i="21" l="1"/>
  <c r="R159" i="21"/>
  <c r="AB160" i="21"/>
  <c r="Y160" i="21"/>
  <c r="Z160" i="21"/>
  <c r="AA160" i="21"/>
  <c r="X160" i="21"/>
  <c r="L160" i="21"/>
  <c r="M160" i="21"/>
  <c r="N160" i="21"/>
  <c r="G160" i="21"/>
  <c r="K160" i="21"/>
  <c r="I160" i="21"/>
  <c r="F160" i="21"/>
  <c r="AH159" i="21"/>
  <c r="AG159" i="21"/>
  <c r="AF159" i="21"/>
  <c r="AE159" i="21"/>
  <c r="AC159" i="21"/>
  <c r="W159" i="21"/>
  <c r="U159" i="21"/>
  <c r="A161" i="21"/>
  <c r="D160" i="21"/>
  <c r="AD160" i="21" s="1"/>
  <c r="E160" i="21"/>
  <c r="C160" i="21"/>
  <c r="B160" i="21"/>
  <c r="O160" i="21" l="1"/>
  <c r="R160" i="21"/>
  <c r="AH160" i="21"/>
  <c r="AG160" i="21"/>
  <c r="AF160" i="21"/>
  <c r="AE160" i="21"/>
  <c r="AC160" i="21"/>
  <c r="X161" i="21"/>
  <c r="AB161" i="21"/>
  <c r="Y161" i="21"/>
  <c r="Z161" i="21"/>
  <c r="AA161" i="21"/>
  <c r="L161" i="21"/>
  <c r="M161" i="21"/>
  <c r="N161" i="21"/>
  <c r="I161" i="21"/>
  <c r="K161" i="21"/>
  <c r="G161" i="21"/>
  <c r="F161" i="21"/>
  <c r="W160" i="21"/>
  <c r="U160" i="21"/>
  <c r="E161" i="21"/>
  <c r="C161" i="21"/>
  <c r="B161" i="21"/>
  <c r="A162" i="21"/>
  <c r="D161" i="21"/>
  <c r="AD161" i="21" s="1"/>
  <c r="O161" i="21" l="1"/>
  <c r="R161" i="21"/>
  <c r="AH161" i="21"/>
  <c r="AG161" i="21"/>
  <c r="AF161" i="21"/>
  <c r="AE161" i="21"/>
  <c r="AC161" i="21"/>
  <c r="Y162" i="21"/>
  <c r="Z162" i="21"/>
  <c r="X162" i="21"/>
  <c r="AB162" i="21"/>
  <c r="AA162" i="21"/>
  <c r="L162" i="21"/>
  <c r="M162" i="21"/>
  <c r="N162" i="21"/>
  <c r="I162" i="21"/>
  <c r="K162" i="21"/>
  <c r="G162" i="21"/>
  <c r="F162" i="21"/>
  <c r="B162" i="21"/>
  <c r="C162" i="21"/>
  <c r="E162" i="21"/>
  <c r="A163" i="21"/>
  <c r="D162" i="21"/>
  <c r="AD162" i="21" s="1"/>
  <c r="W161" i="21"/>
  <c r="U161" i="21"/>
  <c r="O162" i="21" l="1"/>
  <c r="R162" i="21"/>
  <c r="AH162" i="21"/>
  <c r="AG162" i="21"/>
  <c r="AF162" i="21"/>
  <c r="AE162" i="21"/>
  <c r="AC162" i="21"/>
  <c r="X163" i="21"/>
  <c r="AB163" i="21"/>
  <c r="Y163" i="21"/>
  <c r="Z163" i="21"/>
  <c r="AA163" i="21"/>
  <c r="N163" i="21"/>
  <c r="L163" i="21"/>
  <c r="M163" i="21"/>
  <c r="I163" i="21"/>
  <c r="K163" i="21"/>
  <c r="F163" i="21"/>
  <c r="G163" i="21"/>
  <c r="A164" i="21"/>
  <c r="E163" i="21"/>
  <c r="D163" i="21"/>
  <c r="AD163" i="21" s="1"/>
  <c r="C163" i="21"/>
  <c r="B163" i="21"/>
  <c r="W162" i="21"/>
  <c r="U162" i="21"/>
  <c r="O163" i="21" l="1"/>
  <c r="R163" i="21"/>
  <c r="AH163" i="21"/>
  <c r="AG163" i="21"/>
  <c r="AF163" i="21"/>
  <c r="AE163" i="21"/>
  <c r="AC163" i="21"/>
  <c r="X164" i="21"/>
  <c r="AB164" i="21"/>
  <c r="Y164" i="21"/>
  <c r="Z164" i="21"/>
  <c r="AA164" i="21"/>
  <c r="M164" i="21"/>
  <c r="N164" i="21"/>
  <c r="L164" i="21"/>
  <c r="I164" i="21"/>
  <c r="K164" i="21"/>
  <c r="F164" i="21"/>
  <c r="G164" i="21"/>
  <c r="W163" i="21"/>
  <c r="U163" i="21"/>
  <c r="A165" i="21"/>
  <c r="D164" i="21"/>
  <c r="AD164" i="21" s="1"/>
  <c r="B164" i="21"/>
  <c r="E164" i="21"/>
  <c r="C164" i="21"/>
  <c r="O164" i="21" l="1"/>
  <c r="R164" i="21"/>
  <c r="AH164" i="21"/>
  <c r="AG164" i="21"/>
  <c r="AF164" i="21"/>
  <c r="AC164" i="21"/>
  <c r="AE164" i="21"/>
  <c r="X165" i="21"/>
  <c r="AB165" i="21"/>
  <c r="Y165" i="21"/>
  <c r="Z165" i="21"/>
  <c r="AA165" i="21"/>
  <c r="M165" i="21"/>
  <c r="N165" i="21"/>
  <c r="L165" i="21"/>
  <c r="I165" i="21"/>
  <c r="K165" i="21"/>
  <c r="F165" i="21"/>
  <c r="G165" i="21"/>
  <c r="E165" i="21"/>
  <c r="C165" i="21"/>
  <c r="A166" i="21"/>
  <c r="D165" i="21"/>
  <c r="AD165" i="21" s="1"/>
  <c r="B165" i="21"/>
  <c r="W164" i="21"/>
  <c r="U164" i="21"/>
  <c r="O165" i="21" l="1"/>
  <c r="R165" i="21"/>
  <c r="AH165" i="21"/>
  <c r="AG165" i="21"/>
  <c r="AF165" i="21"/>
  <c r="AE165" i="21"/>
  <c r="AC165" i="21"/>
  <c r="Y166" i="21"/>
  <c r="Z166" i="21"/>
  <c r="AA166" i="21"/>
  <c r="X166" i="21"/>
  <c r="AB166" i="21"/>
  <c r="M166" i="21"/>
  <c r="N166" i="21"/>
  <c r="L166" i="21"/>
  <c r="I166" i="21"/>
  <c r="K166" i="21"/>
  <c r="F166" i="21"/>
  <c r="G166" i="21"/>
  <c r="B166" i="21"/>
  <c r="E166" i="21"/>
  <c r="C166" i="21"/>
  <c r="A167" i="21"/>
  <c r="D166" i="21"/>
  <c r="AD166" i="21" s="1"/>
  <c r="U165" i="21"/>
  <c r="W165" i="21"/>
  <c r="O166" i="21" l="1"/>
  <c r="R166" i="21"/>
  <c r="AH166" i="21"/>
  <c r="AG166" i="21"/>
  <c r="AF166" i="21"/>
  <c r="AE166" i="21"/>
  <c r="AC166" i="21"/>
  <c r="Y167" i="21"/>
  <c r="Z167" i="21"/>
  <c r="AA167" i="21"/>
  <c r="X167" i="21"/>
  <c r="AB167" i="21"/>
  <c r="M167" i="21"/>
  <c r="N167" i="21"/>
  <c r="L167" i="21"/>
  <c r="I167" i="21"/>
  <c r="K167" i="21"/>
  <c r="F167" i="21"/>
  <c r="G167" i="21"/>
  <c r="D167" i="21"/>
  <c r="AD167" i="21" s="1"/>
  <c r="C167" i="21"/>
  <c r="B167" i="21"/>
  <c r="A168" i="21"/>
  <c r="E167" i="21"/>
  <c r="W166" i="21"/>
  <c r="U166" i="21"/>
  <c r="O167" i="21" l="1"/>
  <c r="R167" i="21"/>
  <c r="Y168" i="21"/>
  <c r="Z168" i="21"/>
  <c r="X168" i="21"/>
  <c r="AB168" i="21"/>
  <c r="AA168" i="21"/>
  <c r="M168" i="21"/>
  <c r="N168" i="21"/>
  <c r="L168" i="21"/>
  <c r="I168" i="21"/>
  <c r="K168" i="21"/>
  <c r="F168" i="21"/>
  <c r="G168" i="21"/>
  <c r="AH167" i="21"/>
  <c r="AG167" i="21"/>
  <c r="AF167" i="21"/>
  <c r="AE167" i="21"/>
  <c r="AC167" i="21"/>
  <c r="W167" i="21"/>
  <c r="U167" i="21"/>
  <c r="A169" i="21"/>
  <c r="D168" i="21"/>
  <c r="AD168" i="21" s="1"/>
  <c r="E168" i="21"/>
  <c r="C168" i="21"/>
  <c r="B168" i="21"/>
  <c r="O168" i="21" l="1"/>
  <c r="R168" i="21"/>
  <c r="AH168" i="21"/>
  <c r="AG168" i="21"/>
  <c r="AF168" i="21"/>
  <c r="AE168" i="21"/>
  <c r="AC168" i="21"/>
  <c r="X169" i="21"/>
  <c r="AB169" i="21"/>
  <c r="Y169" i="21"/>
  <c r="Z169" i="21"/>
  <c r="AA169" i="21"/>
  <c r="N169" i="21"/>
  <c r="K169" i="21"/>
  <c r="M169" i="21"/>
  <c r="L169" i="21"/>
  <c r="I169" i="21"/>
  <c r="G169" i="21"/>
  <c r="F169" i="21"/>
  <c r="E169" i="21"/>
  <c r="C169" i="21"/>
  <c r="B169" i="21"/>
  <c r="A170" i="21"/>
  <c r="D169" i="21"/>
  <c r="AD169" i="21" s="1"/>
  <c r="W168" i="21"/>
  <c r="U168" i="21"/>
  <c r="O169" i="21" l="1"/>
  <c r="R169" i="21"/>
  <c r="AH169" i="21"/>
  <c r="AG169" i="21"/>
  <c r="AF169" i="21"/>
  <c r="AE169" i="21"/>
  <c r="AC169" i="21"/>
  <c r="Y170" i="21"/>
  <c r="Z170" i="21"/>
  <c r="AA170" i="21"/>
  <c r="X170" i="21"/>
  <c r="AB170" i="21"/>
  <c r="L170" i="21"/>
  <c r="M170" i="21"/>
  <c r="N170" i="21"/>
  <c r="I170" i="21"/>
  <c r="K170" i="21"/>
  <c r="G170" i="21"/>
  <c r="F170" i="21"/>
  <c r="W169" i="21"/>
  <c r="U169" i="21"/>
  <c r="B170" i="21"/>
  <c r="C170" i="21"/>
  <c r="D170" i="21"/>
  <c r="AD170" i="21" s="1"/>
  <c r="E170" i="21"/>
  <c r="A171" i="21"/>
  <c r="O170" i="21" l="1"/>
  <c r="R170" i="21"/>
  <c r="Y171" i="21"/>
  <c r="Z171" i="21"/>
  <c r="AA171" i="21"/>
  <c r="X171" i="21"/>
  <c r="AB171" i="21"/>
  <c r="L171" i="21"/>
  <c r="M171" i="21"/>
  <c r="N171" i="21"/>
  <c r="I171" i="21"/>
  <c r="K171" i="21"/>
  <c r="G171" i="21"/>
  <c r="F171" i="21"/>
  <c r="AH170" i="21"/>
  <c r="AG170" i="21"/>
  <c r="AF170" i="21"/>
  <c r="AE170" i="21"/>
  <c r="AC170" i="21"/>
  <c r="W170" i="21"/>
  <c r="U170" i="21"/>
  <c r="E171" i="21"/>
  <c r="D171" i="21"/>
  <c r="AD171" i="21" s="1"/>
  <c r="C171" i="21"/>
  <c r="A172" i="21"/>
  <c r="B171" i="21"/>
  <c r="O171" i="21" l="1"/>
  <c r="R171" i="21"/>
  <c r="AB172" i="21"/>
  <c r="Y172" i="21"/>
  <c r="Z172" i="21"/>
  <c r="AA172" i="21"/>
  <c r="X172" i="21"/>
  <c r="L172" i="21"/>
  <c r="M172" i="21"/>
  <c r="N172" i="21"/>
  <c r="K172" i="21"/>
  <c r="G172" i="21"/>
  <c r="I172" i="21"/>
  <c r="F172" i="21"/>
  <c r="AH171" i="21"/>
  <c r="AG171" i="21"/>
  <c r="AF171" i="21"/>
  <c r="AE171" i="21"/>
  <c r="AC171" i="21"/>
  <c r="W171" i="21"/>
  <c r="U171" i="21"/>
  <c r="E172" i="21"/>
  <c r="A173" i="21"/>
  <c r="D172" i="21"/>
  <c r="AD172" i="21" s="1"/>
  <c r="B172" i="21"/>
  <c r="C172" i="21"/>
  <c r="O172" i="21" l="1"/>
  <c r="R172" i="21"/>
  <c r="AH172" i="21"/>
  <c r="AG172" i="21"/>
  <c r="AF172" i="21"/>
  <c r="AE172" i="21"/>
  <c r="AC172" i="21"/>
  <c r="X173" i="21"/>
  <c r="AB173" i="21"/>
  <c r="Y173" i="21"/>
  <c r="Z173" i="21"/>
  <c r="AA173" i="21"/>
  <c r="L173" i="21"/>
  <c r="M173" i="21"/>
  <c r="N173" i="21"/>
  <c r="I173" i="21"/>
  <c r="K173" i="21"/>
  <c r="G173" i="21"/>
  <c r="F173" i="21"/>
  <c r="W172" i="21"/>
  <c r="U172" i="21"/>
  <c r="E173" i="21"/>
  <c r="C173" i="21"/>
  <c r="B173" i="21"/>
  <c r="A174" i="21"/>
  <c r="D173" i="21"/>
  <c r="AD173" i="21" s="1"/>
  <c r="O173" i="21" l="1"/>
  <c r="R173" i="21"/>
  <c r="AH173" i="21"/>
  <c r="AG173" i="21"/>
  <c r="AF173" i="21"/>
  <c r="AE173" i="21"/>
  <c r="AC173" i="21"/>
  <c r="Y174" i="21"/>
  <c r="Z174" i="21"/>
  <c r="X174" i="21"/>
  <c r="AB174" i="21"/>
  <c r="AA174" i="21"/>
  <c r="L174" i="21"/>
  <c r="M174" i="21"/>
  <c r="N174" i="21"/>
  <c r="I174" i="21"/>
  <c r="K174" i="21"/>
  <c r="G174" i="21"/>
  <c r="F174" i="21"/>
  <c r="B174" i="21"/>
  <c r="D174" i="21"/>
  <c r="AD174" i="21" s="1"/>
  <c r="E174" i="21"/>
  <c r="A175" i="21"/>
  <c r="C174" i="21"/>
  <c r="U173" i="21"/>
  <c r="W173" i="21"/>
  <c r="O174" i="21" l="1"/>
  <c r="R174" i="21"/>
  <c r="X175" i="21"/>
  <c r="AB175" i="21"/>
  <c r="Y175" i="21"/>
  <c r="Z175" i="21"/>
  <c r="AA175" i="21"/>
  <c r="N175" i="21"/>
  <c r="L175" i="21"/>
  <c r="M175" i="21"/>
  <c r="I175" i="21"/>
  <c r="K175" i="21"/>
  <c r="F175" i="21"/>
  <c r="G175" i="21"/>
  <c r="AH174" i="21"/>
  <c r="AG174" i="21"/>
  <c r="AF174" i="21"/>
  <c r="AE174" i="21"/>
  <c r="AC174" i="21"/>
  <c r="W174" i="21"/>
  <c r="U174" i="21"/>
  <c r="E175" i="21"/>
  <c r="B175" i="21"/>
  <c r="D175" i="21"/>
  <c r="AD175" i="21" s="1"/>
  <c r="C175" i="21"/>
  <c r="A176" i="21"/>
  <c r="O175" i="21" l="1"/>
  <c r="R175" i="21"/>
  <c r="X176" i="21"/>
  <c r="AB176" i="21"/>
  <c r="Y176" i="21"/>
  <c r="Z176" i="21"/>
  <c r="AA176" i="21"/>
  <c r="M176" i="21"/>
  <c r="N176" i="21"/>
  <c r="L176" i="21"/>
  <c r="I176" i="21"/>
  <c r="K176" i="21"/>
  <c r="F176" i="21"/>
  <c r="G176" i="21"/>
  <c r="AH175" i="21"/>
  <c r="AG175" i="21"/>
  <c r="AF175" i="21"/>
  <c r="AE175" i="21"/>
  <c r="AC175" i="21"/>
  <c r="E176" i="21"/>
  <c r="A177" i="21"/>
  <c r="D176" i="21"/>
  <c r="AD176" i="21" s="1"/>
  <c r="B176" i="21"/>
  <c r="C176" i="21"/>
  <c r="U175" i="21"/>
  <c r="W175" i="21"/>
  <c r="O176" i="21" l="1"/>
  <c r="R176" i="21"/>
  <c r="AH176" i="21"/>
  <c r="AG176" i="21"/>
  <c r="AF176" i="21"/>
  <c r="AC176" i="21"/>
  <c r="AE176" i="21"/>
  <c r="X177" i="21"/>
  <c r="AB177" i="21"/>
  <c r="Y177" i="21"/>
  <c r="Z177" i="21"/>
  <c r="AA177" i="21"/>
  <c r="M177" i="21"/>
  <c r="N177" i="21"/>
  <c r="L177" i="21"/>
  <c r="I177" i="21"/>
  <c r="K177" i="21"/>
  <c r="G177" i="21"/>
  <c r="F177" i="21"/>
  <c r="E177" i="21"/>
  <c r="C177" i="21"/>
  <c r="B177" i="21"/>
  <c r="A178" i="21"/>
  <c r="D177" i="21"/>
  <c r="AD177" i="21" s="1"/>
  <c r="W176" i="21"/>
  <c r="U176" i="21"/>
  <c r="O177" i="21" l="1"/>
  <c r="R177" i="21"/>
  <c r="AH177" i="21"/>
  <c r="AG177" i="21"/>
  <c r="AF177" i="21"/>
  <c r="AE177" i="21"/>
  <c r="AC177" i="21"/>
  <c r="Y178" i="21"/>
  <c r="Z178" i="21"/>
  <c r="AA178" i="21"/>
  <c r="X178" i="21"/>
  <c r="AB178" i="21"/>
  <c r="M178" i="21"/>
  <c r="N178" i="21"/>
  <c r="L178" i="21"/>
  <c r="I178" i="21"/>
  <c r="K178" i="21"/>
  <c r="G178" i="21"/>
  <c r="F178" i="21"/>
  <c r="B178" i="21"/>
  <c r="D178" i="21"/>
  <c r="AD178" i="21" s="1"/>
  <c r="E178" i="21"/>
  <c r="A179" i="21"/>
  <c r="C178" i="21"/>
  <c r="U177" i="21"/>
  <c r="W177" i="21"/>
  <c r="O178" i="21" l="1"/>
  <c r="R178" i="21"/>
  <c r="Y179" i="21"/>
  <c r="Z179" i="21"/>
  <c r="AA179" i="21"/>
  <c r="X179" i="21"/>
  <c r="AB179" i="21"/>
  <c r="M179" i="21"/>
  <c r="N179" i="21"/>
  <c r="L179" i="21"/>
  <c r="I179" i="21"/>
  <c r="K179" i="21"/>
  <c r="G179" i="21"/>
  <c r="F179" i="21"/>
  <c r="AH178" i="21"/>
  <c r="AG178" i="21"/>
  <c r="AF178" i="21"/>
  <c r="AE178" i="21"/>
  <c r="AC178" i="21"/>
  <c r="W178" i="21"/>
  <c r="U178" i="21"/>
  <c r="E179" i="21"/>
  <c r="B179" i="21"/>
  <c r="D179" i="21"/>
  <c r="AD179" i="21" s="1"/>
  <c r="C179" i="21"/>
  <c r="A180" i="21"/>
  <c r="O179" i="21" l="1"/>
  <c r="R179" i="21"/>
  <c r="Y180" i="21"/>
  <c r="Z180" i="21"/>
  <c r="X180" i="21"/>
  <c r="AB180" i="21"/>
  <c r="AA180" i="21"/>
  <c r="M180" i="21"/>
  <c r="N180" i="21"/>
  <c r="L180" i="21"/>
  <c r="I180" i="21"/>
  <c r="K180" i="21"/>
  <c r="G180" i="21"/>
  <c r="F180" i="21"/>
  <c r="AH179" i="21"/>
  <c r="AG179" i="21"/>
  <c r="AF179" i="21"/>
  <c r="AE179" i="21"/>
  <c r="AC179" i="21"/>
  <c r="E180" i="21"/>
  <c r="A181" i="21"/>
  <c r="D180" i="21"/>
  <c r="AD180" i="21" s="1"/>
  <c r="B180" i="21"/>
  <c r="C180" i="21"/>
  <c r="U179" i="21"/>
  <c r="W179" i="21"/>
  <c r="O180" i="21" l="1"/>
  <c r="R180" i="21"/>
  <c r="AH180" i="21"/>
  <c r="AG180" i="21"/>
  <c r="AF180" i="21"/>
  <c r="AE180" i="21"/>
  <c r="AC180" i="21"/>
  <c r="X181" i="21"/>
  <c r="AB181" i="21"/>
  <c r="Y181" i="21"/>
  <c r="Z181" i="21"/>
  <c r="AA181" i="21"/>
  <c r="N181" i="21"/>
  <c r="K181" i="21"/>
  <c r="M181" i="21"/>
  <c r="L181" i="21"/>
  <c r="I181" i="21"/>
  <c r="G181" i="21"/>
  <c r="F181" i="21"/>
  <c r="E181" i="21"/>
  <c r="C181" i="21"/>
  <c r="B181" i="21"/>
  <c r="A182" i="21"/>
  <c r="D181" i="21"/>
  <c r="AD181" i="21" s="1"/>
  <c r="W180" i="21"/>
  <c r="U180" i="21"/>
  <c r="O181" i="21" l="1"/>
  <c r="R181" i="21"/>
  <c r="AH181" i="21"/>
  <c r="AG181" i="21"/>
  <c r="AF181" i="21"/>
  <c r="AE181" i="21"/>
  <c r="AC181" i="21"/>
  <c r="Y182" i="21"/>
  <c r="Z182" i="21"/>
  <c r="AA182" i="21"/>
  <c r="X182" i="21"/>
  <c r="AB182" i="21"/>
  <c r="L182" i="21"/>
  <c r="M182" i="21"/>
  <c r="N182" i="21"/>
  <c r="K182" i="21"/>
  <c r="I182" i="21"/>
  <c r="G182" i="21"/>
  <c r="F182" i="21"/>
  <c r="U181" i="21"/>
  <c r="W181" i="21"/>
  <c r="B182" i="21"/>
  <c r="D182" i="21"/>
  <c r="AD182" i="21" s="1"/>
  <c r="E182" i="21"/>
  <c r="A183" i="21"/>
  <c r="C182" i="21"/>
  <c r="O182" i="21" l="1"/>
  <c r="R182" i="21"/>
  <c r="Y183" i="21"/>
  <c r="Z183" i="21"/>
  <c r="AA183" i="21"/>
  <c r="X183" i="21"/>
  <c r="AB183" i="21"/>
  <c r="L183" i="21"/>
  <c r="M183" i="21"/>
  <c r="N183" i="21"/>
  <c r="K183" i="21"/>
  <c r="I183" i="21"/>
  <c r="G183" i="21"/>
  <c r="F183" i="21"/>
  <c r="AH182" i="21"/>
  <c r="AG182" i="21"/>
  <c r="AF182" i="21"/>
  <c r="AE182" i="21"/>
  <c r="AC182" i="21"/>
  <c r="E183" i="21"/>
  <c r="B183" i="21"/>
  <c r="D183" i="21"/>
  <c r="AD183" i="21" s="1"/>
  <c r="C183" i="21"/>
  <c r="A184" i="21"/>
  <c r="W182" i="21"/>
  <c r="U182" i="21"/>
  <c r="O183" i="21" l="1"/>
  <c r="R183" i="21"/>
  <c r="AB184" i="21"/>
  <c r="Y184" i="21"/>
  <c r="Z184" i="21"/>
  <c r="AA184" i="21"/>
  <c r="X184" i="21"/>
  <c r="L184" i="21"/>
  <c r="M184" i="21"/>
  <c r="N184" i="21"/>
  <c r="G184" i="21"/>
  <c r="K184" i="21"/>
  <c r="I184" i="21"/>
  <c r="F184" i="21"/>
  <c r="AH183" i="21"/>
  <c r="AG183" i="21"/>
  <c r="AF183" i="21"/>
  <c r="AE183" i="21"/>
  <c r="AC183" i="21"/>
  <c r="U183" i="21"/>
  <c r="W183" i="21"/>
  <c r="E184" i="21"/>
  <c r="A185" i="21"/>
  <c r="D184" i="21"/>
  <c r="AD184" i="21" s="1"/>
  <c r="B184" i="21"/>
  <c r="C184" i="21"/>
  <c r="O184" i="21" l="1"/>
  <c r="R184" i="21"/>
  <c r="AH184" i="21"/>
  <c r="AG184" i="21"/>
  <c r="AF184" i="21"/>
  <c r="AE184" i="21"/>
  <c r="AC184" i="21"/>
  <c r="X185" i="21"/>
  <c r="AB185" i="21"/>
  <c r="Y185" i="21"/>
  <c r="Z185" i="21"/>
  <c r="AA185" i="21"/>
  <c r="L185" i="21"/>
  <c r="M185" i="21"/>
  <c r="N185" i="21"/>
  <c r="K185" i="21"/>
  <c r="I185" i="21"/>
  <c r="G185" i="21"/>
  <c r="F185" i="21"/>
  <c r="E185" i="21"/>
  <c r="C185" i="21"/>
  <c r="B185" i="21"/>
  <c r="D185" i="21"/>
  <c r="AD185" i="21" s="1"/>
  <c r="A186" i="21"/>
  <c r="W184" i="21"/>
  <c r="U184" i="21"/>
  <c r="O185" i="21" l="1"/>
  <c r="R185" i="21"/>
  <c r="Y186" i="21"/>
  <c r="Z186" i="21"/>
  <c r="X186" i="21"/>
  <c r="AB186" i="21"/>
  <c r="AA186" i="21"/>
  <c r="L186" i="21"/>
  <c r="M186" i="21"/>
  <c r="N186" i="21"/>
  <c r="K186" i="21"/>
  <c r="I186" i="21"/>
  <c r="G186" i="21"/>
  <c r="F186" i="21"/>
  <c r="AH185" i="21"/>
  <c r="AG185" i="21"/>
  <c r="AF185" i="21"/>
  <c r="AE185" i="21"/>
  <c r="AC185" i="21"/>
  <c r="U185" i="21"/>
  <c r="W185" i="21"/>
  <c r="B186" i="21"/>
  <c r="D186" i="21"/>
  <c r="AD186" i="21" s="1"/>
  <c r="A187" i="21"/>
  <c r="C186" i="21"/>
  <c r="E186" i="21"/>
  <c r="O186" i="21" l="1"/>
  <c r="R186" i="21"/>
  <c r="X187" i="21"/>
  <c r="AB187" i="21"/>
  <c r="Y187" i="21"/>
  <c r="Z187" i="21"/>
  <c r="AA187" i="21"/>
  <c r="N187" i="21"/>
  <c r="L187" i="21"/>
  <c r="M187" i="21"/>
  <c r="K187" i="21"/>
  <c r="I187" i="21"/>
  <c r="F187" i="21"/>
  <c r="G187" i="21"/>
  <c r="AH186" i="21"/>
  <c r="AG186" i="21"/>
  <c r="AF186" i="21"/>
  <c r="AE186" i="21"/>
  <c r="AC186" i="21"/>
  <c r="W186" i="21"/>
  <c r="U186" i="21"/>
  <c r="C187" i="21"/>
  <c r="E187" i="21"/>
  <c r="B187" i="21"/>
  <c r="A188" i="21"/>
  <c r="D187" i="21"/>
  <c r="AD187" i="21" s="1"/>
  <c r="O187" i="21" l="1"/>
  <c r="R187" i="21"/>
  <c r="AH187" i="21"/>
  <c r="AG187" i="21"/>
  <c r="AF187" i="21"/>
  <c r="AE187" i="21"/>
  <c r="AC187" i="21"/>
  <c r="X188" i="21"/>
  <c r="AB188" i="21"/>
  <c r="Y188" i="21"/>
  <c r="Z188" i="21"/>
  <c r="AA188" i="21"/>
  <c r="M188" i="21"/>
  <c r="N188" i="21"/>
  <c r="L188" i="21"/>
  <c r="K188" i="21"/>
  <c r="I188" i="21"/>
  <c r="F188" i="21"/>
  <c r="G188" i="21"/>
  <c r="E188" i="21"/>
  <c r="A189" i="21"/>
  <c r="D188" i="21"/>
  <c r="AD188" i="21" s="1"/>
  <c r="B188" i="21"/>
  <c r="C188" i="21"/>
  <c r="U187" i="21"/>
  <c r="W187" i="21"/>
  <c r="O188" i="21" l="1"/>
  <c r="R188" i="21"/>
  <c r="AH188" i="21"/>
  <c r="AG188" i="21"/>
  <c r="AF188" i="21"/>
  <c r="AE188" i="21"/>
  <c r="AC188" i="21"/>
  <c r="X189" i="21"/>
  <c r="AB189" i="21"/>
  <c r="Y189" i="21"/>
  <c r="Z189" i="21"/>
  <c r="AA189" i="21"/>
  <c r="M189" i="21"/>
  <c r="N189" i="21"/>
  <c r="L189" i="21"/>
  <c r="K189" i="21"/>
  <c r="I189" i="21"/>
  <c r="F189" i="21"/>
  <c r="G189" i="21"/>
  <c r="E189" i="21"/>
  <c r="C189" i="21"/>
  <c r="B189" i="21"/>
  <c r="D189" i="21"/>
  <c r="AD189" i="21" s="1"/>
  <c r="A190" i="21"/>
  <c r="W188" i="21"/>
  <c r="U188" i="21"/>
  <c r="O189" i="21" l="1"/>
  <c r="R189" i="21"/>
  <c r="Y190" i="21"/>
  <c r="Z190" i="21"/>
  <c r="AA190" i="21"/>
  <c r="X190" i="21"/>
  <c r="AB190" i="21"/>
  <c r="M190" i="21"/>
  <c r="N190" i="21"/>
  <c r="L190" i="21"/>
  <c r="K190" i="21"/>
  <c r="I190" i="21"/>
  <c r="F190" i="21"/>
  <c r="G190" i="21"/>
  <c r="AH189" i="21"/>
  <c r="AG189" i="21"/>
  <c r="AF189" i="21"/>
  <c r="AE189" i="21"/>
  <c r="AC189" i="21"/>
  <c r="B190" i="21"/>
  <c r="D190" i="21"/>
  <c r="AD190" i="21" s="1"/>
  <c r="A191" i="21"/>
  <c r="E190" i="21"/>
  <c r="C190" i="21"/>
  <c r="U189" i="21"/>
  <c r="W189" i="21"/>
  <c r="O190" i="21" l="1"/>
  <c r="R190" i="21"/>
  <c r="Y191" i="21"/>
  <c r="Z191" i="21"/>
  <c r="AA191" i="21"/>
  <c r="X191" i="21"/>
  <c r="AB191" i="21"/>
  <c r="M191" i="21"/>
  <c r="N191" i="21"/>
  <c r="L191" i="21"/>
  <c r="K191" i="21"/>
  <c r="I191" i="21"/>
  <c r="F191" i="21"/>
  <c r="G191" i="21"/>
  <c r="AH190" i="21"/>
  <c r="AG190" i="21"/>
  <c r="AF190" i="21"/>
  <c r="AE190" i="21"/>
  <c r="AC190" i="21"/>
  <c r="D191" i="21"/>
  <c r="AD191" i="21" s="1"/>
  <c r="A192" i="21"/>
  <c r="E191" i="21"/>
  <c r="C191" i="21"/>
  <c r="B191" i="21"/>
  <c r="W190" i="21"/>
  <c r="U190" i="21"/>
  <c r="O191" i="21" l="1"/>
  <c r="R191" i="21"/>
  <c r="Y192" i="21"/>
  <c r="Z192" i="21"/>
  <c r="X192" i="21"/>
  <c r="AB192" i="21"/>
  <c r="AA192" i="21"/>
  <c r="M192" i="21"/>
  <c r="N192" i="21"/>
  <c r="L192" i="21"/>
  <c r="K192" i="21"/>
  <c r="I192" i="21"/>
  <c r="F192" i="21"/>
  <c r="G192" i="21"/>
  <c r="AH191" i="21"/>
  <c r="AG191" i="21"/>
  <c r="AF191" i="21"/>
  <c r="AE191" i="21"/>
  <c r="AC191" i="21"/>
  <c r="A193" i="21"/>
  <c r="D192" i="21"/>
  <c r="AD192" i="21" s="1"/>
  <c r="E192" i="21"/>
  <c r="C192" i="21"/>
  <c r="B192" i="21"/>
  <c r="U191" i="21"/>
  <c r="W191" i="21"/>
  <c r="O192" i="21" l="1"/>
  <c r="R192" i="21"/>
  <c r="AH192" i="21"/>
  <c r="AG192" i="21"/>
  <c r="AF192" i="21"/>
  <c r="AE192" i="21"/>
  <c r="AC192" i="21"/>
  <c r="X193" i="21"/>
  <c r="AB193" i="21"/>
  <c r="Y193" i="21"/>
  <c r="Z193" i="21"/>
  <c r="AA193" i="21"/>
  <c r="N193" i="21"/>
  <c r="K193" i="21"/>
  <c r="M193" i="21"/>
  <c r="L193" i="21"/>
  <c r="I193" i="21"/>
  <c r="G193" i="21"/>
  <c r="F193" i="21"/>
  <c r="E193" i="21"/>
  <c r="B193" i="21"/>
  <c r="A194" i="21"/>
  <c r="D193" i="21"/>
  <c r="AD193" i="21" s="1"/>
  <c r="C193" i="21"/>
  <c r="W192" i="21"/>
  <c r="U192" i="21"/>
  <c r="O193" i="21" l="1"/>
  <c r="R193" i="21"/>
  <c r="AH193" i="21"/>
  <c r="AG193" i="21"/>
  <c r="AF193" i="21"/>
  <c r="AE193" i="21"/>
  <c r="AC193" i="21"/>
  <c r="Y194" i="21"/>
  <c r="Z194" i="21"/>
  <c r="AA194" i="21"/>
  <c r="X194" i="21"/>
  <c r="AB194" i="21"/>
  <c r="L194" i="21"/>
  <c r="M194" i="21"/>
  <c r="N194" i="21"/>
  <c r="K194" i="21"/>
  <c r="I194" i="21"/>
  <c r="G194" i="21"/>
  <c r="F194" i="21"/>
  <c r="W193" i="21"/>
  <c r="U193" i="21"/>
  <c r="B194" i="21"/>
  <c r="D194" i="21"/>
  <c r="AD194" i="21" s="1"/>
  <c r="A195" i="21"/>
  <c r="C194" i="21"/>
  <c r="E194" i="21"/>
  <c r="O194" i="21" l="1"/>
  <c r="R194" i="21"/>
  <c r="Y195" i="21"/>
  <c r="Z195" i="21"/>
  <c r="AA195" i="21"/>
  <c r="X195" i="21"/>
  <c r="AB195" i="21"/>
  <c r="L195" i="21"/>
  <c r="M195" i="21"/>
  <c r="N195" i="21"/>
  <c r="K195" i="21"/>
  <c r="I195" i="21"/>
  <c r="G195" i="21"/>
  <c r="F195" i="21"/>
  <c r="AH194" i="21"/>
  <c r="AG194" i="21"/>
  <c r="AF194" i="21"/>
  <c r="AE194" i="21"/>
  <c r="AC194" i="21"/>
  <c r="W194" i="21"/>
  <c r="U194" i="21"/>
  <c r="E195" i="21"/>
  <c r="C195" i="21"/>
  <c r="B195" i="21"/>
  <c r="D195" i="21"/>
  <c r="AD195" i="21" s="1"/>
  <c r="A196" i="21"/>
  <c r="O195" i="21" l="1"/>
  <c r="R195" i="21"/>
  <c r="AB196" i="21"/>
  <c r="Y196" i="21"/>
  <c r="Z196" i="21"/>
  <c r="AA196" i="21"/>
  <c r="X196" i="21"/>
  <c r="L196" i="21"/>
  <c r="M196" i="21"/>
  <c r="N196" i="21"/>
  <c r="G196" i="21"/>
  <c r="K196" i="21"/>
  <c r="I196" i="21"/>
  <c r="F196" i="21"/>
  <c r="AH195" i="21"/>
  <c r="AG195" i="21"/>
  <c r="AF195" i="21"/>
  <c r="AE195" i="21"/>
  <c r="AC195" i="21"/>
  <c r="W195" i="21"/>
  <c r="U195" i="21"/>
  <c r="A197" i="21"/>
  <c r="D196" i="21"/>
  <c r="AD196" i="21" s="1"/>
  <c r="E196" i="21"/>
  <c r="C196" i="21"/>
  <c r="B196" i="21"/>
  <c r="O196" i="21" l="1"/>
  <c r="R196" i="21"/>
  <c r="AH196" i="21"/>
  <c r="AG196" i="21"/>
  <c r="AF196" i="21"/>
  <c r="AE196" i="21"/>
  <c r="AC196" i="21"/>
  <c r="X197" i="21"/>
  <c r="AB197" i="21"/>
  <c r="Y197" i="21"/>
  <c r="Z197" i="21"/>
  <c r="AA197" i="21"/>
  <c r="L197" i="21"/>
  <c r="M197" i="21"/>
  <c r="N197" i="21"/>
  <c r="I197" i="21"/>
  <c r="K197" i="21"/>
  <c r="G197" i="21"/>
  <c r="F197" i="21"/>
  <c r="W196" i="21"/>
  <c r="U196" i="21"/>
  <c r="E197" i="21"/>
  <c r="D197" i="21"/>
  <c r="AD197" i="21" s="1"/>
  <c r="A198" i="21"/>
  <c r="B197" i="21"/>
  <c r="C197" i="21"/>
  <c r="O197" i="21" l="1"/>
  <c r="R197" i="21"/>
  <c r="Y198" i="21"/>
  <c r="Z198" i="21"/>
  <c r="X198" i="21"/>
  <c r="AB198" i="21"/>
  <c r="AA198" i="21"/>
  <c r="L198" i="21"/>
  <c r="M198" i="21"/>
  <c r="N198" i="21"/>
  <c r="K198" i="21"/>
  <c r="I198" i="21"/>
  <c r="G198" i="21"/>
  <c r="F198" i="21"/>
  <c r="AH197" i="21"/>
  <c r="AG197" i="21"/>
  <c r="AF197" i="21"/>
  <c r="AE197" i="21"/>
  <c r="AC197" i="21"/>
  <c r="W197" i="21"/>
  <c r="U197" i="21"/>
  <c r="B198" i="21"/>
  <c r="A199" i="21"/>
  <c r="E198" i="21"/>
  <c r="D198" i="21"/>
  <c r="AD198" i="21" s="1"/>
  <c r="C198" i="21"/>
  <c r="O198" i="21" l="1"/>
  <c r="R198" i="21"/>
  <c r="AH198" i="21"/>
  <c r="AG198" i="21"/>
  <c r="AF198" i="21"/>
  <c r="AE198" i="21"/>
  <c r="AC198" i="21"/>
  <c r="X199" i="21"/>
  <c r="AB199" i="21"/>
  <c r="Y199" i="21"/>
  <c r="Z199" i="21"/>
  <c r="AA199" i="21"/>
  <c r="N199" i="21"/>
  <c r="L199" i="21"/>
  <c r="M199" i="21"/>
  <c r="K199" i="21"/>
  <c r="I199" i="21"/>
  <c r="F199" i="21"/>
  <c r="G199" i="21"/>
  <c r="A200" i="21"/>
  <c r="C199" i="21"/>
  <c r="E199" i="21"/>
  <c r="D199" i="21"/>
  <c r="AD199" i="21" s="1"/>
  <c r="B199" i="21"/>
  <c r="W198" i="21"/>
  <c r="U198" i="21"/>
  <c r="O199" i="21" l="1"/>
  <c r="R199" i="21"/>
  <c r="AH199" i="21"/>
  <c r="AG199" i="21"/>
  <c r="AF199" i="21"/>
  <c r="AE199" i="21"/>
  <c r="AC199" i="21"/>
  <c r="X200" i="21"/>
  <c r="AB200" i="21"/>
  <c r="Y200" i="21"/>
  <c r="Z200" i="21"/>
  <c r="AA200" i="21"/>
  <c r="M200" i="21"/>
  <c r="N200" i="21"/>
  <c r="L200" i="21"/>
  <c r="K200" i="21"/>
  <c r="I200" i="21"/>
  <c r="F200" i="21"/>
  <c r="G200" i="21"/>
  <c r="U199" i="21"/>
  <c r="W199" i="21"/>
  <c r="A201" i="21"/>
  <c r="D200" i="21"/>
  <c r="AD200" i="21" s="1"/>
  <c r="E200" i="21"/>
  <c r="C200" i="21"/>
  <c r="B200" i="21"/>
  <c r="O200" i="21" l="1"/>
  <c r="R200" i="21"/>
  <c r="AH200" i="21"/>
  <c r="AG200" i="21"/>
  <c r="AF200" i="21"/>
  <c r="AC200" i="21"/>
  <c r="AE200" i="21"/>
  <c r="X201" i="21"/>
  <c r="AB201" i="21"/>
  <c r="Y201" i="21"/>
  <c r="Z201" i="21"/>
  <c r="AA201" i="21"/>
  <c r="M201" i="21"/>
  <c r="N201" i="21"/>
  <c r="L201" i="21"/>
  <c r="K201" i="21"/>
  <c r="I201" i="21"/>
  <c r="F201" i="21"/>
  <c r="G201" i="21"/>
  <c r="W200" i="21"/>
  <c r="U200" i="21"/>
  <c r="E201" i="21"/>
  <c r="C201" i="21"/>
  <c r="B201" i="21"/>
  <c r="D201" i="21"/>
  <c r="AD201" i="21" s="1"/>
  <c r="A202" i="21"/>
  <c r="O201" i="21" l="1"/>
  <c r="R201" i="21"/>
  <c r="Y202" i="21"/>
  <c r="Z202" i="21"/>
  <c r="AA202" i="21"/>
  <c r="X202" i="21"/>
  <c r="AB202" i="21"/>
  <c r="M202" i="21"/>
  <c r="N202" i="21"/>
  <c r="L202" i="21"/>
  <c r="K202" i="21"/>
  <c r="I202" i="21"/>
  <c r="F202" i="21"/>
  <c r="G202" i="21"/>
  <c r="AH201" i="21"/>
  <c r="AG201" i="21"/>
  <c r="AF201" i="21"/>
  <c r="AE201" i="21"/>
  <c r="AC201" i="21"/>
  <c r="W201" i="21"/>
  <c r="U201" i="21"/>
  <c r="D202" i="21"/>
  <c r="AD202" i="21" s="1"/>
  <c r="E202" i="21"/>
  <c r="A203" i="21"/>
  <c r="B202" i="21"/>
  <c r="C202" i="21"/>
  <c r="O202" i="21" l="1"/>
  <c r="R202" i="21"/>
  <c r="Y203" i="21"/>
  <c r="Z203" i="21"/>
  <c r="AA203" i="21"/>
  <c r="X203" i="21"/>
  <c r="AB203" i="21"/>
  <c r="M203" i="21"/>
  <c r="N203" i="21"/>
  <c r="L203" i="21"/>
  <c r="K203" i="21"/>
  <c r="I203" i="21"/>
  <c r="F203" i="21"/>
  <c r="G203" i="21"/>
  <c r="AH202" i="21"/>
  <c r="AG202" i="21"/>
  <c r="AF202" i="21"/>
  <c r="AE202" i="21"/>
  <c r="AC202" i="21"/>
  <c r="U202" i="21"/>
  <c r="W202" i="21"/>
  <c r="C203" i="21"/>
  <c r="A204" i="21"/>
  <c r="D203" i="21"/>
  <c r="AD203" i="21" s="1"/>
  <c r="B203" i="21"/>
  <c r="E203" i="21"/>
  <c r="O203" i="21" l="1"/>
  <c r="R203" i="21"/>
  <c r="AH203" i="21"/>
  <c r="AG203" i="21"/>
  <c r="AF203" i="21"/>
  <c r="AE203" i="21"/>
  <c r="AC203" i="21"/>
  <c r="Y204" i="21"/>
  <c r="Z204" i="21"/>
  <c r="X204" i="21"/>
  <c r="AB204" i="21"/>
  <c r="AA204" i="21"/>
  <c r="M204" i="21"/>
  <c r="N204" i="21"/>
  <c r="L204" i="21"/>
  <c r="K204" i="21"/>
  <c r="I204" i="21"/>
  <c r="F204" i="21"/>
  <c r="G204" i="21"/>
  <c r="W203" i="21"/>
  <c r="U203" i="21"/>
  <c r="A205" i="21"/>
  <c r="D204" i="21"/>
  <c r="AD204" i="21" s="1"/>
  <c r="B204" i="21"/>
  <c r="C204" i="21"/>
  <c r="E204" i="21"/>
  <c r="O204" i="21" l="1"/>
  <c r="R204" i="21"/>
  <c r="AH204" i="21"/>
  <c r="AG204" i="21"/>
  <c r="AF204" i="21"/>
  <c r="AE204" i="21"/>
  <c r="AC204" i="21"/>
  <c r="X205" i="21"/>
  <c r="AB205" i="21"/>
  <c r="Y205" i="21"/>
  <c r="Z205" i="21"/>
  <c r="AA205" i="21"/>
  <c r="N205" i="21"/>
  <c r="K205" i="21"/>
  <c r="M205" i="21"/>
  <c r="L205" i="21"/>
  <c r="I205" i="21"/>
  <c r="G205" i="21"/>
  <c r="F205" i="21"/>
  <c r="W204" i="21"/>
  <c r="U204" i="21"/>
  <c r="A206" i="21"/>
  <c r="B205" i="21"/>
  <c r="E205" i="21"/>
  <c r="D205" i="21"/>
  <c r="AD205" i="21" s="1"/>
  <c r="C205" i="21"/>
  <c r="O205" i="21" l="1"/>
  <c r="R205" i="21"/>
  <c r="AH205" i="21"/>
  <c r="AG205" i="21"/>
  <c r="AF205" i="21"/>
  <c r="AE205" i="21"/>
  <c r="AC205" i="21"/>
  <c r="Y206" i="21"/>
  <c r="Z206" i="21"/>
  <c r="AA206" i="21"/>
  <c r="X206" i="21"/>
  <c r="AB206" i="21"/>
  <c r="L206" i="21"/>
  <c r="M206" i="21"/>
  <c r="N206" i="21"/>
  <c r="K206" i="21"/>
  <c r="I206" i="21"/>
  <c r="G206" i="21"/>
  <c r="F206" i="21"/>
  <c r="E206" i="21"/>
  <c r="A207" i="21"/>
  <c r="B206" i="21"/>
  <c r="D206" i="21"/>
  <c r="AD206" i="21" s="1"/>
  <c r="C206" i="21"/>
  <c r="U205" i="21"/>
  <c r="W205" i="21"/>
  <c r="R206" i="21" l="1"/>
  <c r="O206" i="21"/>
  <c r="AH206" i="21"/>
  <c r="AG206" i="21"/>
  <c r="AF206" i="21"/>
  <c r="AE206" i="21"/>
  <c r="AC206" i="21"/>
  <c r="Y207" i="21"/>
  <c r="Z207" i="21"/>
  <c r="AA207" i="21"/>
  <c r="X207" i="21"/>
  <c r="AB207" i="21"/>
  <c r="L207" i="21"/>
  <c r="M207" i="21"/>
  <c r="N207" i="21"/>
  <c r="K207" i="21"/>
  <c r="I207" i="21"/>
  <c r="G207" i="21"/>
  <c r="F207" i="21"/>
  <c r="U206" i="21"/>
  <c r="W206" i="21"/>
  <c r="D207" i="21"/>
  <c r="AD207" i="21" s="1"/>
  <c r="A208" i="21"/>
  <c r="E207" i="21"/>
  <c r="C207" i="21"/>
  <c r="B207" i="21"/>
  <c r="O207" i="21" l="1"/>
  <c r="R207" i="21"/>
  <c r="AB208" i="21"/>
  <c r="Y208" i="21"/>
  <c r="Z208" i="21"/>
  <c r="AA208" i="21"/>
  <c r="X208" i="21"/>
  <c r="L208" i="21"/>
  <c r="M208" i="21"/>
  <c r="N208" i="21"/>
  <c r="G208" i="21"/>
  <c r="K208" i="21"/>
  <c r="I208" i="21"/>
  <c r="F208" i="21"/>
  <c r="AH207" i="21"/>
  <c r="AG207" i="21"/>
  <c r="AF207" i="21"/>
  <c r="AE207" i="21"/>
  <c r="AC207" i="21"/>
  <c r="A209" i="21"/>
  <c r="D208" i="21"/>
  <c r="AD208" i="21" s="1"/>
  <c r="C208" i="21"/>
  <c r="B208" i="21"/>
  <c r="E208" i="21"/>
  <c r="W207" i="21"/>
  <c r="U207" i="21"/>
  <c r="O208" i="21" l="1"/>
  <c r="R208" i="21"/>
  <c r="AH208" i="21"/>
  <c r="AG208" i="21"/>
  <c r="AF208" i="21"/>
  <c r="AE208" i="21"/>
  <c r="AC208" i="21"/>
  <c r="X209" i="21"/>
  <c r="AB209" i="21"/>
  <c r="Y209" i="21"/>
  <c r="Z209" i="21"/>
  <c r="AA209" i="21"/>
  <c r="L209" i="21"/>
  <c r="M209" i="21"/>
  <c r="N209" i="21"/>
  <c r="I209" i="21"/>
  <c r="K209" i="21"/>
  <c r="G209" i="21"/>
  <c r="F209" i="21"/>
  <c r="W208" i="21"/>
  <c r="U208" i="21"/>
  <c r="C209" i="21"/>
  <c r="E209" i="21"/>
  <c r="B209" i="21"/>
  <c r="D209" i="21"/>
  <c r="AD209" i="21" s="1"/>
  <c r="A210" i="21"/>
  <c r="O209" i="21" l="1"/>
  <c r="R209" i="21"/>
  <c r="Y210" i="21"/>
  <c r="Z210" i="21"/>
  <c r="X210" i="21"/>
  <c r="AB210" i="21"/>
  <c r="AA210" i="21"/>
  <c r="L210" i="21"/>
  <c r="M210" i="21"/>
  <c r="N210" i="21"/>
  <c r="I210" i="21"/>
  <c r="K210" i="21"/>
  <c r="G210" i="21"/>
  <c r="F210" i="21"/>
  <c r="AH209" i="21"/>
  <c r="AG209" i="21"/>
  <c r="AF209" i="21"/>
  <c r="AE209" i="21"/>
  <c r="AC209" i="21"/>
  <c r="W209" i="21"/>
  <c r="U209" i="21"/>
  <c r="A211" i="21"/>
  <c r="B210" i="21"/>
  <c r="E210" i="21"/>
  <c r="C210" i="21"/>
  <c r="D210" i="21"/>
  <c r="AD210" i="21" s="1"/>
  <c r="O210" i="21" l="1"/>
  <c r="R210" i="21"/>
  <c r="AH210" i="21"/>
  <c r="AG210" i="21"/>
  <c r="AF210" i="21"/>
  <c r="AE210" i="21"/>
  <c r="AC210" i="21"/>
  <c r="X211" i="21"/>
  <c r="AB211" i="21"/>
  <c r="Y211" i="21"/>
  <c r="Z211" i="21"/>
  <c r="AA211" i="21"/>
  <c r="N211" i="21"/>
  <c r="L211" i="21"/>
  <c r="M211" i="21"/>
  <c r="K211" i="21"/>
  <c r="I211" i="21"/>
  <c r="F211" i="21"/>
  <c r="G211" i="21"/>
  <c r="A212" i="21"/>
  <c r="C211" i="21"/>
  <c r="B211" i="21"/>
  <c r="D211" i="21"/>
  <c r="AD211" i="21" s="1"/>
  <c r="E211" i="21"/>
  <c r="U210" i="21"/>
  <c r="W210" i="21"/>
  <c r="O211" i="21" l="1"/>
  <c r="R211" i="21"/>
  <c r="AH211" i="21"/>
  <c r="AG211" i="21"/>
  <c r="AF211" i="21"/>
  <c r="AE211" i="21"/>
  <c r="AC211" i="21"/>
  <c r="X212" i="21"/>
  <c r="AB212" i="21"/>
  <c r="Y212" i="21"/>
  <c r="Z212" i="21"/>
  <c r="AA212" i="21"/>
  <c r="M212" i="21"/>
  <c r="N212" i="21"/>
  <c r="L212" i="21"/>
  <c r="K212" i="21"/>
  <c r="I212" i="21"/>
  <c r="F212" i="21"/>
  <c r="G212" i="21"/>
  <c r="A213" i="21"/>
  <c r="D212" i="21"/>
  <c r="AD212" i="21" s="1"/>
  <c r="E212" i="21"/>
  <c r="C212" i="21"/>
  <c r="B212" i="21"/>
  <c r="W211" i="21"/>
  <c r="U211" i="21"/>
  <c r="O212" i="21" l="1"/>
  <c r="R212" i="21"/>
  <c r="AH212" i="21"/>
  <c r="AG212" i="21"/>
  <c r="AF212" i="21"/>
  <c r="AC212" i="21"/>
  <c r="AE212" i="21"/>
  <c r="X213" i="21"/>
  <c r="AB213" i="21"/>
  <c r="Y213" i="21"/>
  <c r="Z213" i="21"/>
  <c r="AA213" i="21"/>
  <c r="M213" i="21"/>
  <c r="N213" i="21"/>
  <c r="L213" i="21"/>
  <c r="K213" i="21"/>
  <c r="I213" i="21"/>
  <c r="G213" i="21"/>
  <c r="F213" i="21"/>
  <c r="W212" i="21"/>
  <c r="U212" i="21"/>
  <c r="D213" i="21"/>
  <c r="AD213" i="21" s="1"/>
  <c r="A214" i="21"/>
  <c r="E213" i="21"/>
  <c r="B213" i="21"/>
  <c r="C213" i="21"/>
  <c r="O213" i="21" l="1"/>
  <c r="R213" i="21"/>
  <c r="Y214" i="21"/>
  <c r="Z214" i="21"/>
  <c r="AA214" i="21"/>
  <c r="X214" i="21"/>
  <c r="AB214" i="21"/>
  <c r="M214" i="21"/>
  <c r="N214" i="21"/>
  <c r="L214" i="21"/>
  <c r="K214" i="21"/>
  <c r="I214" i="21"/>
  <c r="G214" i="21"/>
  <c r="F214" i="21"/>
  <c r="AH213" i="21"/>
  <c r="AG213" i="21"/>
  <c r="AF213" i="21"/>
  <c r="AE213" i="21"/>
  <c r="AC213" i="21"/>
  <c r="C214" i="21"/>
  <c r="A215" i="21"/>
  <c r="E214" i="21"/>
  <c r="D214" i="21"/>
  <c r="AD214" i="21" s="1"/>
  <c r="B214" i="21"/>
  <c r="W213" i="21"/>
  <c r="U213" i="21"/>
  <c r="O214" i="21" l="1"/>
  <c r="R214" i="21"/>
  <c r="AH214" i="21"/>
  <c r="AG214" i="21"/>
  <c r="AF214" i="21"/>
  <c r="AE214" i="21"/>
  <c r="AC214" i="21"/>
  <c r="Y215" i="21"/>
  <c r="Z215" i="21"/>
  <c r="AA215" i="21"/>
  <c r="X215" i="21"/>
  <c r="AB215" i="21"/>
  <c r="M215" i="21"/>
  <c r="N215" i="21"/>
  <c r="L215" i="21"/>
  <c r="K215" i="21"/>
  <c r="I215" i="21"/>
  <c r="G215" i="21"/>
  <c r="F215" i="21"/>
  <c r="W214" i="21"/>
  <c r="U214" i="21"/>
  <c r="D215" i="21"/>
  <c r="AD215" i="21" s="1"/>
  <c r="C215" i="21"/>
  <c r="A216" i="21"/>
  <c r="B215" i="21"/>
  <c r="E215" i="21"/>
  <c r="O215" i="21" l="1"/>
  <c r="R215" i="21"/>
  <c r="Y216" i="21"/>
  <c r="Z216" i="21"/>
  <c r="X216" i="21"/>
  <c r="AB216" i="21"/>
  <c r="AA216" i="21"/>
  <c r="M216" i="21"/>
  <c r="N216" i="21"/>
  <c r="L216" i="21"/>
  <c r="K216" i="21"/>
  <c r="I216" i="21"/>
  <c r="G216" i="21"/>
  <c r="F216" i="21"/>
  <c r="AH215" i="21"/>
  <c r="AG215" i="21"/>
  <c r="AF215" i="21"/>
  <c r="AE215" i="21"/>
  <c r="AC215" i="21"/>
  <c r="A217" i="21"/>
  <c r="D216" i="21"/>
  <c r="AD216" i="21" s="1"/>
  <c r="C216" i="21"/>
  <c r="E216" i="21"/>
  <c r="B216" i="21"/>
  <c r="U215" i="21"/>
  <c r="W215" i="21"/>
  <c r="O216" i="21" l="1"/>
  <c r="R216" i="21"/>
  <c r="AH216" i="21"/>
  <c r="AG216" i="21"/>
  <c r="AF216" i="21"/>
  <c r="AE216" i="21"/>
  <c r="AC216" i="21"/>
  <c r="X217" i="21"/>
  <c r="AB217" i="21"/>
  <c r="Y217" i="21"/>
  <c r="Z217" i="21"/>
  <c r="AA217" i="21"/>
  <c r="N217" i="21"/>
  <c r="K217" i="21"/>
  <c r="M217" i="21"/>
  <c r="L217" i="21"/>
  <c r="I217" i="21"/>
  <c r="G217" i="21"/>
  <c r="F217" i="21"/>
  <c r="W216" i="21"/>
  <c r="U216" i="21"/>
  <c r="A218" i="21"/>
  <c r="C217" i="21"/>
  <c r="B217" i="21"/>
  <c r="E217" i="21"/>
  <c r="D217" i="21"/>
  <c r="AD217" i="21" s="1"/>
  <c r="O217" i="21" l="1"/>
  <c r="R217" i="21"/>
  <c r="AH217" i="21"/>
  <c r="AG217" i="21"/>
  <c r="AF217" i="21"/>
  <c r="AE217" i="21"/>
  <c r="AC217" i="21"/>
  <c r="Y218" i="21"/>
  <c r="Z218" i="21"/>
  <c r="AA218" i="21"/>
  <c r="X218" i="21"/>
  <c r="AB218" i="21"/>
  <c r="L218" i="21"/>
  <c r="M218" i="21"/>
  <c r="N218" i="21"/>
  <c r="K218" i="21"/>
  <c r="I218" i="21"/>
  <c r="G218" i="21"/>
  <c r="F218" i="21"/>
  <c r="E218" i="21"/>
  <c r="D218" i="21"/>
  <c r="AD218" i="21" s="1"/>
  <c r="C218" i="21"/>
  <c r="B218" i="21"/>
  <c r="A219" i="21"/>
  <c r="W217" i="21"/>
  <c r="U217" i="21"/>
  <c r="O218" i="21" l="1"/>
  <c r="R218" i="21"/>
  <c r="Y219" i="21"/>
  <c r="Z219" i="21"/>
  <c r="AA219" i="21"/>
  <c r="X219" i="21"/>
  <c r="AB219" i="21"/>
  <c r="L219" i="21"/>
  <c r="M219" i="21"/>
  <c r="N219" i="21"/>
  <c r="K219" i="21"/>
  <c r="I219" i="21"/>
  <c r="G219" i="21"/>
  <c r="F219" i="21"/>
  <c r="AH218" i="21"/>
  <c r="AG218" i="21"/>
  <c r="AF218" i="21"/>
  <c r="AE218" i="21"/>
  <c r="AC218" i="21"/>
  <c r="W218" i="21"/>
  <c r="U218" i="21"/>
  <c r="A220" i="21"/>
  <c r="C219" i="21"/>
  <c r="E219" i="21"/>
  <c r="D219" i="21"/>
  <c r="AD219" i="21" s="1"/>
  <c r="B219" i="21"/>
  <c r="O219" i="21" l="1"/>
  <c r="R219" i="21"/>
  <c r="AH219" i="21"/>
  <c r="AG219" i="21"/>
  <c r="AF219" i="21"/>
  <c r="AE219" i="21"/>
  <c r="AC219" i="21"/>
  <c r="AB220" i="21"/>
  <c r="Y220" i="21"/>
  <c r="Z220" i="21"/>
  <c r="AA220" i="21"/>
  <c r="X220" i="21"/>
  <c r="L220" i="21"/>
  <c r="M220" i="21"/>
  <c r="N220" i="21"/>
  <c r="G220" i="21"/>
  <c r="K220" i="21"/>
  <c r="I220" i="21"/>
  <c r="F220" i="21"/>
  <c r="U219" i="21"/>
  <c r="W219" i="21"/>
  <c r="E220" i="21"/>
  <c r="D220" i="21"/>
  <c r="AD220" i="21" s="1"/>
  <c r="A221" i="21"/>
  <c r="B220" i="21"/>
  <c r="C220" i="21"/>
  <c r="O220" i="21" l="1"/>
  <c r="R220" i="21"/>
  <c r="X221" i="21"/>
  <c r="AB221" i="21"/>
  <c r="Y221" i="21"/>
  <c r="Z221" i="21"/>
  <c r="AA221" i="21"/>
  <c r="L221" i="21"/>
  <c r="M221" i="21"/>
  <c r="N221" i="21"/>
  <c r="I221" i="21"/>
  <c r="K221" i="21"/>
  <c r="G221" i="21"/>
  <c r="F221" i="21"/>
  <c r="AH220" i="21"/>
  <c r="AG220" i="21"/>
  <c r="AF220" i="21"/>
  <c r="AE220" i="21"/>
  <c r="AC220" i="21"/>
  <c r="W220" i="21"/>
  <c r="U220" i="21"/>
  <c r="E221" i="21"/>
  <c r="D221" i="21"/>
  <c r="AD221" i="21" s="1"/>
  <c r="C221" i="21"/>
  <c r="A222" i="21"/>
  <c r="B221" i="21"/>
  <c r="O221" i="21" l="1"/>
  <c r="R221" i="21"/>
  <c r="Y222" i="21"/>
  <c r="Z222" i="21"/>
  <c r="X222" i="21"/>
  <c r="AB222" i="21"/>
  <c r="AA222" i="21"/>
  <c r="L222" i="21"/>
  <c r="M222" i="21"/>
  <c r="N222" i="21"/>
  <c r="I222" i="21"/>
  <c r="K222" i="21"/>
  <c r="G222" i="21"/>
  <c r="F222" i="21"/>
  <c r="AH221" i="21"/>
  <c r="AG221" i="21"/>
  <c r="AF221" i="21"/>
  <c r="AE221" i="21"/>
  <c r="AC221" i="21"/>
  <c r="U221" i="21"/>
  <c r="W221" i="21"/>
  <c r="E222" i="21"/>
  <c r="A223" i="21"/>
  <c r="D222" i="21"/>
  <c r="AD222" i="21" s="1"/>
  <c r="C222" i="21"/>
  <c r="B222" i="21"/>
  <c r="R222" i="21" l="1"/>
  <c r="O222" i="21"/>
  <c r="AH222" i="21"/>
  <c r="AG222" i="21"/>
  <c r="AF222" i="21"/>
  <c r="AE222" i="21"/>
  <c r="AC222" i="21"/>
  <c r="X223" i="21"/>
  <c r="AB223" i="21"/>
  <c r="Y223" i="21"/>
  <c r="Z223" i="21"/>
  <c r="AA223" i="21"/>
  <c r="N223" i="21"/>
  <c r="L223" i="21"/>
  <c r="M223" i="21"/>
  <c r="I223" i="21"/>
  <c r="K223" i="21"/>
  <c r="F223" i="21"/>
  <c r="G223" i="21"/>
  <c r="W222" i="21"/>
  <c r="U222" i="21"/>
  <c r="B223" i="21"/>
  <c r="C223" i="21"/>
  <c r="A224" i="21"/>
  <c r="E223" i="21"/>
  <c r="D223" i="21"/>
  <c r="AD223" i="21" s="1"/>
  <c r="O223" i="21" l="1"/>
  <c r="R223" i="21"/>
  <c r="AH223" i="21"/>
  <c r="AG223" i="21"/>
  <c r="AF223" i="21"/>
  <c r="AE223" i="21"/>
  <c r="AC223" i="21"/>
  <c r="X224" i="21"/>
  <c r="AB224" i="21"/>
  <c r="Y224" i="21"/>
  <c r="Z224" i="21"/>
  <c r="AA224" i="21"/>
  <c r="M224" i="21"/>
  <c r="N224" i="21"/>
  <c r="L224" i="21"/>
  <c r="K224" i="21"/>
  <c r="I224" i="21"/>
  <c r="F224" i="21"/>
  <c r="G224" i="21"/>
  <c r="W223" i="21"/>
  <c r="U223" i="21"/>
  <c r="D224" i="21"/>
  <c r="AD224" i="21" s="1"/>
  <c r="C224" i="21"/>
  <c r="A225" i="21"/>
  <c r="E224" i="21"/>
  <c r="B224" i="21"/>
  <c r="O224" i="21" l="1"/>
  <c r="R224" i="21"/>
  <c r="X225" i="21"/>
  <c r="AB225" i="21"/>
  <c r="Y225" i="21"/>
  <c r="Z225" i="21"/>
  <c r="AA225" i="21"/>
  <c r="M225" i="21"/>
  <c r="N225" i="21"/>
  <c r="L225" i="21"/>
  <c r="K225" i="21"/>
  <c r="I225" i="21"/>
  <c r="F225" i="21"/>
  <c r="G225" i="21"/>
  <c r="AH224" i="21"/>
  <c r="AG224" i="21"/>
  <c r="AF224" i="21"/>
  <c r="AC224" i="21"/>
  <c r="AE224" i="21"/>
  <c r="C225" i="21"/>
  <c r="A226" i="21"/>
  <c r="E225" i="21"/>
  <c r="D225" i="21"/>
  <c r="AD225" i="21" s="1"/>
  <c r="B225" i="21"/>
  <c r="U224" i="21"/>
  <c r="W224" i="21"/>
  <c r="O225" i="21" l="1"/>
  <c r="R225" i="21"/>
  <c r="AH225" i="21"/>
  <c r="AG225" i="21"/>
  <c r="AF225" i="21"/>
  <c r="AE225" i="21"/>
  <c r="AC225" i="21"/>
  <c r="Y226" i="21"/>
  <c r="Z226" i="21"/>
  <c r="AA226" i="21"/>
  <c r="X226" i="21"/>
  <c r="AB226" i="21"/>
  <c r="M226" i="21"/>
  <c r="N226" i="21"/>
  <c r="L226" i="21"/>
  <c r="K226" i="21"/>
  <c r="I226" i="21"/>
  <c r="F226" i="21"/>
  <c r="G226" i="21"/>
  <c r="E226" i="21"/>
  <c r="A227" i="21"/>
  <c r="D226" i="21"/>
  <c r="AD226" i="21" s="1"/>
  <c r="C226" i="21"/>
  <c r="B226" i="21"/>
  <c r="W225" i="21"/>
  <c r="U225" i="21"/>
  <c r="O226" i="21" l="1"/>
  <c r="R226" i="21"/>
  <c r="AH226" i="21"/>
  <c r="AG226" i="21"/>
  <c r="AF226" i="21"/>
  <c r="AE226" i="21"/>
  <c r="AC226" i="21"/>
  <c r="Y227" i="21"/>
  <c r="Z227" i="21"/>
  <c r="AA227" i="21"/>
  <c r="X227" i="21"/>
  <c r="AB227" i="21"/>
  <c r="M227" i="21"/>
  <c r="N227" i="21"/>
  <c r="L227" i="21"/>
  <c r="K227" i="21"/>
  <c r="I227" i="21"/>
  <c r="F227" i="21"/>
  <c r="G227" i="21"/>
  <c r="W226" i="21"/>
  <c r="U226" i="21"/>
  <c r="B227" i="21"/>
  <c r="D227" i="21"/>
  <c r="AD227" i="21" s="1"/>
  <c r="C227" i="21"/>
  <c r="E227" i="21"/>
  <c r="A228" i="21"/>
  <c r="O227" i="21" l="1"/>
  <c r="R227" i="21"/>
  <c r="Y228" i="21"/>
  <c r="Z228" i="21"/>
  <c r="X228" i="21"/>
  <c r="AB228" i="21"/>
  <c r="AA228" i="21"/>
  <c r="M228" i="21"/>
  <c r="N228" i="21"/>
  <c r="L228" i="21"/>
  <c r="K228" i="21"/>
  <c r="I228" i="21"/>
  <c r="F228" i="21"/>
  <c r="G228" i="21"/>
  <c r="AH227" i="21"/>
  <c r="AG227" i="21"/>
  <c r="AF227" i="21"/>
  <c r="AE227" i="21"/>
  <c r="AC227" i="21"/>
  <c r="C228" i="21"/>
  <c r="A229" i="21"/>
  <c r="E228" i="21"/>
  <c r="D228" i="21"/>
  <c r="AD228" i="21" s="1"/>
  <c r="B228" i="21"/>
  <c r="U227" i="21"/>
  <c r="W227" i="21"/>
  <c r="O228" i="21" l="1"/>
  <c r="R228" i="21"/>
  <c r="AH228" i="21"/>
  <c r="AG228" i="21"/>
  <c r="AF228" i="21"/>
  <c r="AE228" i="21"/>
  <c r="AC228" i="21"/>
  <c r="X229" i="21"/>
  <c r="AB229" i="21"/>
  <c r="Y229" i="21"/>
  <c r="Z229" i="21"/>
  <c r="AA229" i="21"/>
  <c r="N229" i="21"/>
  <c r="K229" i="21"/>
  <c r="M229" i="21"/>
  <c r="L229" i="21"/>
  <c r="I229" i="21"/>
  <c r="G229" i="21"/>
  <c r="F229" i="21"/>
  <c r="A230" i="21"/>
  <c r="E229" i="21"/>
  <c r="D229" i="21"/>
  <c r="AD229" i="21" s="1"/>
  <c r="C229" i="21"/>
  <c r="B229" i="21"/>
  <c r="U228" i="21"/>
  <c r="W228" i="21"/>
  <c r="O229" i="21" l="1"/>
  <c r="R229" i="21"/>
  <c r="AH229" i="21"/>
  <c r="AG229" i="21"/>
  <c r="AF229" i="21"/>
  <c r="AE229" i="21"/>
  <c r="AC229" i="21"/>
  <c r="Y230" i="21"/>
  <c r="Z230" i="21"/>
  <c r="AA230" i="21"/>
  <c r="X230" i="21"/>
  <c r="AB230" i="21"/>
  <c r="L230" i="21"/>
  <c r="M230" i="21"/>
  <c r="N230" i="21"/>
  <c r="K230" i="21"/>
  <c r="I230" i="21"/>
  <c r="G230" i="21"/>
  <c r="F230" i="21"/>
  <c r="E230" i="21"/>
  <c r="A231" i="21"/>
  <c r="D230" i="21"/>
  <c r="AD230" i="21" s="1"/>
  <c r="C230" i="21"/>
  <c r="B230" i="21"/>
  <c r="W229" i="21"/>
  <c r="U229" i="21"/>
  <c r="O230" i="21" l="1"/>
  <c r="R230" i="21"/>
  <c r="AH230" i="21"/>
  <c r="AG230" i="21"/>
  <c r="AF230" i="21"/>
  <c r="AE230" i="21"/>
  <c r="AC230" i="21"/>
  <c r="Y231" i="21"/>
  <c r="Z231" i="21"/>
  <c r="AA231" i="21"/>
  <c r="X231" i="21"/>
  <c r="AB231" i="21"/>
  <c r="L231" i="21"/>
  <c r="M231" i="21"/>
  <c r="N231" i="21"/>
  <c r="K231" i="21"/>
  <c r="I231" i="21"/>
  <c r="G231" i="21"/>
  <c r="F231" i="21"/>
  <c r="B231" i="21"/>
  <c r="C231" i="21"/>
  <c r="A232" i="21"/>
  <c r="E231" i="21"/>
  <c r="D231" i="21"/>
  <c r="AD231" i="21" s="1"/>
  <c r="W230" i="21"/>
  <c r="U230" i="21"/>
  <c r="O231" i="21" l="1"/>
  <c r="R231" i="21"/>
  <c r="AH231" i="21"/>
  <c r="AG231" i="21"/>
  <c r="AF231" i="21"/>
  <c r="AE231" i="21"/>
  <c r="AC231" i="21"/>
  <c r="AB232" i="21"/>
  <c r="Y232" i="21"/>
  <c r="Z232" i="21"/>
  <c r="AA232" i="21"/>
  <c r="X232" i="21"/>
  <c r="L232" i="21"/>
  <c r="M232" i="21"/>
  <c r="N232" i="21"/>
  <c r="G232" i="21"/>
  <c r="K232" i="21"/>
  <c r="I232" i="21"/>
  <c r="F232" i="21"/>
  <c r="A233" i="21"/>
  <c r="D232" i="21"/>
  <c r="AD232" i="21" s="1"/>
  <c r="E232" i="21"/>
  <c r="B232" i="21"/>
  <c r="C232" i="21"/>
  <c r="W231" i="21"/>
  <c r="U231" i="21"/>
  <c r="O232" i="21" l="1"/>
  <c r="R232" i="21"/>
  <c r="AH232" i="21"/>
  <c r="AG232" i="21"/>
  <c r="AF232" i="21"/>
  <c r="AE232" i="21"/>
  <c r="AC232" i="21"/>
  <c r="X233" i="21"/>
  <c r="AB233" i="21"/>
  <c r="Y233" i="21"/>
  <c r="Z233" i="21"/>
  <c r="AA233" i="21"/>
  <c r="L233" i="21"/>
  <c r="M233" i="21"/>
  <c r="N233" i="21"/>
  <c r="I233" i="21"/>
  <c r="K233" i="21"/>
  <c r="G233" i="21"/>
  <c r="F233" i="21"/>
  <c r="A234" i="21"/>
  <c r="E233" i="21"/>
  <c r="D233" i="21"/>
  <c r="AD233" i="21" s="1"/>
  <c r="C233" i="21"/>
  <c r="B233" i="21"/>
  <c r="U232" i="21"/>
  <c r="W232" i="21"/>
  <c r="O233" i="21" l="1"/>
  <c r="R233" i="21"/>
  <c r="AH233" i="21"/>
  <c r="AG233" i="21"/>
  <c r="AF233" i="21"/>
  <c r="AE233" i="21"/>
  <c r="AC233" i="21"/>
  <c r="Y234" i="21"/>
  <c r="Z234" i="21"/>
  <c r="X234" i="21"/>
  <c r="AB234" i="21"/>
  <c r="AA234" i="21"/>
  <c r="L234" i="21"/>
  <c r="M234" i="21"/>
  <c r="N234" i="21"/>
  <c r="I234" i="21"/>
  <c r="K234" i="21"/>
  <c r="G234" i="21"/>
  <c r="F234" i="21"/>
  <c r="E234" i="21"/>
  <c r="A235" i="21"/>
  <c r="D234" i="21"/>
  <c r="AD234" i="21" s="1"/>
  <c r="C234" i="21"/>
  <c r="B234" i="21"/>
  <c r="W233" i="21"/>
  <c r="U233" i="21"/>
  <c r="O234" i="21" l="1"/>
  <c r="R234" i="21"/>
  <c r="AH234" i="21"/>
  <c r="AG234" i="21"/>
  <c r="AF234" i="21"/>
  <c r="AE234" i="21"/>
  <c r="AC234" i="21"/>
  <c r="X235" i="21"/>
  <c r="AB235" i="21"/>
  <c r="Y235" i="21"/>
  <c r="Z235" i="21"/>
  <c r="AA235" i="21"/>
  <c r="N235" i="21"/>
  <c r="L235" i="21"/>
  <c r="M235" i="21"/>
  <c r="I235" i="21"/>
  <c r="K235" i="21"/>
  <c r="F235" i="21"/>
  <c r="G235" i="21"/>
  <c r="B235" i="21"/>
  <c r="E235" i="21"/>
  <c r="D235" i="21"/>
  <c r="AD235" i="21" s="1"/>
  <c r="C235" i="21"/>
  <c r="A236" i="21"/>
  <c r="W234" i="21"/>
  <c r="U234" i="21"/>
  <c r="O235" i="21" l="1"/>
  <c r="R235" i="21"/>
  <c r="X236" i="21"/>
  <c r="AB236" i="21"/>
  <c r="Y236" i="21"/>
  <c r="Z236" i="21"/>
  <c r="AA236" i="21"/>
  <c r="M236" i="21"/>
  <c r="N236" i="21"/>
  <c r="L236" i="21"/>
  <c r="I236" i="21"/>
  <c r="K236" i="21"/>
  <c r="F236" i="21"/>
  <c r="G236" i="21"/>
  <c r="AH235" i="21"/>
  <c r="AG235" i="21"/>
  <c r="AF235" i="21"/>
  <c r="AE235" i="21"/>
  <c r="AC235" i="21"/>
  <c r="C236" i="21"/>
  <c r="B236" i="21"/>
  <c r="E236" i="21"/>
  <c r="A237" i="21"/>
  <c r="D236" i="21"/>
  <c r="AD236" i="21" s="1"/>
  <c r="W235" i="21"/>
  <c r="U235" i="21"/>
  <c r="O236" i="21" l="1"/>
  <c r="R236" i="21"/>
  <c r="AH236" i="21"/>
  <c r="AG236" i="21"/>
  <c r="AF236" i="21"/>
  <c r="AC236" i="21"/>
  <c r="AE236" i="21"/>
  <c r="X237" i="21"/>
  <c r="AB237" i="21"/>
  <c r="Y237" i="21"/>
  <c r="Z237" i="21"/>
  <c r="AA237" i="21"/>
  <c r="M237" i="21"/>
  <c r="N237" i="21"/>
  <c r="L237" i="21"/>
  <c r="K237" i="21"/>
  <c r="I237" i="21"/>
  <c r="F237" i="21"/>
  <c r="G237" i="21"/>
  <c r="U236" i="21"/>
  <c r="W236" i="21"/>
  <c r="A238" i="21"/>
  <c r="D237" i="21"/>
  <c r="AD237" i="21" s="1"/>
  <c r="E237" i="21"/>
  <c r="C237" i="21"/>
  <c r="B237" i="21"/>
  <c r="O237" i="21" l="1"/>
  <c r="R237" i="21"/>
  <c r="AH237" i="21"/>
  <c r="AG237" i="21"/>
  <c r="AF237" i="21"/>
  <c r="AE237" i="21"/>
  <c r="AC237" i="21"/>
  <c r="Y238" i="21"/>
  <c r="Z238" i="21"/>
  <c r="AA238" i="21"/>
  <c r="X238" i="21"/>
  <c r="AB238" i="21"/>
  <c r="M238" i="21"/>
  <c r="N238" i="21"/>
  <c r="L238" i="21"/>
  <c r="K238" i="21"/>
  <c r="I238" i="21"/>
  <c r="F238" i="21"/>
  <c r="G238" i="21"/>
  <c r="W237" i="21"/>
  <c r="U237" i="21"/>
  <c r="E238" i="21"/>
  <c r="A239" i="21"/>
  <c r="D238" i="21"/>
  <c r="AD238" i="21" s="1"/>
  <c r="C238" i="21"/>
  <c r="B238" i="21"/>
  <c r="O238" i="21" l="1"/>
  <c r="R238" i="21"/>
  <c r="AH238" i="21"/>
  <c r="AG238" i="21"/>
  <c r="AF238" i="21"/>
  <c r="AE238" i="21"/>
  <c r="AC238" i="21"/>
  <c r="Y239" i="21"/>
  <c r="Z239" i="21"/>
  <c r="AA239" i="21"/>
  <c r="X239" i="21"/>
  <c r="AB239" i="21"/>
  <c r="M239" i="21"/>
  <c r="N239" i="21"/>
  <c r="L239" i="21"/>
  <c r="K239" i="21"/>
  <c r="I239" i="21"/>
  <c r="F239" i="21"/>
  <c r="G239" i="21"/>
  <c r="W238" i="21"/>
  <c r="U238" i="21"/>
  <c r="B239" i="21"/>
  <c r="E239" i="21"/>
  <c r="C239" i="21"/>
  <c r="A240" i="21"/>
  <c r="D239" i="21"/>
  <c r="AD239" i="21" s="1"/>
  <c r="O239" i="21" l="1"/>
  <c r="R239" i="21"/>
  <c r="AH239" i="21"/>
  <c r="AG239" i="21"/>
  <c r="AF239" i="21"/>
  <c r="AE239" i="21"/>
  <c r="AC239" i="21"/>
  <c r="Y240" i="21"/>
  <c r="Z240" i="21"/>
  <c r="X240" i="21"/>
  <c r="AB240" i="21"/>
  <c r="AA240" i="21"/>
  <c r="M240" i="21"/>
  <c r="N240" i="21"/>
  <c r="L240" i="21"/>
  <c r="K240" i="21"/>
  <c r="I240" i="21"/>
  <c r="F240" i="21"/>
  <c r="G240" i="21"/>
  <c r="C240" i="21"/>
  <c r="B240" i="21"/>
  <c r="E240" i="21"/>
  <c r="A241" i="21"/>
  <c r="D240" i="21"/>
  <c r="AD240" i="21" s="1"/>
  <c r="W239" i="21"/>
  <c r="U239" i="21"/>
  <c r="O240" i="21" l="1"/>
  <c r="R240" i="21"/>
  <c r="AH240" i="21"/>
  <c r="AG240" i="21"/>
  <c r="AF240" i="21"/>
  <c r="AE240" i="21"/>
  <c r="AC240" i="21"/>
  <c r="X241" i="21"/>
  <c r="AB241" i="21"/>
  <c r="Y241" i="21"/>
  <c r="Z241" i="21"/>
  <c r="AA241" i="21"/>
  <c r="N241" i="21"/>
  <c r="K241" i="21"/>
  <c r="M241" i="21"/>
  <c r="L241" i="21"/>
  <c r="I241" i="21"/>
  <c r="G241" i="21"/>
  <c r="F241" i="21"/>
  <c r="U240" i="21"/>
  <c r="W240" i="21"/>
  <c r="A242" i="21"/>
  <c r="D241" i="21"/>
  <c r="AD241" i="21" s="1"/>
  <c r="E241" i="21"/>
  <c r="C241" i="21"/>
  <c r="B241" i="21"/>
  <c r="O241" i="21" l="1"/>
  <c r="R241" i="21"/>
  <c r="AH241" i="21"/>
  <c r="AG241" i="21"/>
  <c r="AF241" i="21"/>
  <c r="AE241" i="21"/>
  <c r="AC241" i="21"/>
  <c r="Y242" i="21"/>
  <c r="Z242" i="21"/>
  <c r="AA242" i="21"/>
  <c r="X242" i="21"/>
  <c r="AB242" i="21"/>
  <c r="L242" i="21"/>
  <c r="M242" i="21"/>
  <c r="N242" i="21"/>
  <c r="K242" i="21"/>
  <c r="I242" i="21"/>
  <c r="G242" i="21"/>
  <c r="F242" i="21"/>
  <c r="W241" i="21"/>
  <c r="U241" i="21"/>
  <c r="E242" i="21"/>
  <c r="A243" i="21"/>
  <c r="D242" i="21"/>
  <c r="AD242" i="21" s="1"/>
  <c r="C242" i="21"/>
  <c r="B242" i="21"/>
  <c r="O242" i="21" l="1"/>
  <c r="R242" i="21"/>
  <c r="AH242" i="21"/>
  <c r="AG242" i="21"/>
  <c r="AF242" i="21"/>
  <c r="AE242" i="21"/>
  <c r="AC242" i="21"/>
  <c r="Y243" i="21"/>
  <c r="Z243" i="21"/>
  <c r="AA243" i="21"/>
  <c r="X243" i="21"/>
  <c r="AB243" i="21"/>
  <c r="L243" i="21"/>
  <c r="M243" i="21"/>
  <c r="N243" i="21"/>
  <c r="K243" i="21"/>
  <c r="I243" i="21"/>
  <c r="G243" i="21"/>
  <c r="F243" i="21"/>
  <c r="B243" i="21"/>
  <c r="E243" i="21"/>
  <c r="C243" i="21"/>
  <c r="A244" i="21"/>
  <c r="D243" i="21"/>
  <c r="AD243" i="21" s="1"/>
  <c r="W242" i="21"/>
  <c r="U242" i="21"/>
  <c r="O243" i="21" l="1"/>
  <c r="R243" i="21"/>
  <c r="AH243" i="21"/>
  <c r="AG243" i="21"/>
  <c r="AF243" i="21"/>
  <c r="AE243" i="21"/>
  <c r="AC243" i="21"/>
  <c r="AB244" i="21"/>
  <c r="Y244" i="21"/>
  <c r="Z244" i="21"/>
  <c r="AA244" i="21"/>
  <c r="X244" i="21"/>
  <c r="L244" i="21"/>
  <c r="M244" i="21"/>
  <c r="N244" i="21"/>
  <c r="G244" i="21"/>
  <c r="K244" i="21"/>
  <c r="I244" i="21"/>
  <c r="F244" i="21"/>
  <c r="C244" i="21"/>
  <c r="B244" i="21"/>
  <c r="E244" i="21"/>
  <c r="A245" i="21"/>
  <c r="D244" i="21"/>
  <c r="AD244" i="21" s="1"/>
  <c r="W243" i="21"/>
  <c r="U243" i="21"/>
  <c r="O244" i="21" l="1"/>
  <c r="R244" i="21"/>
  <c r="AH244" i="21"/>
  <c r="AG244" i="21"/>
  <c r="AF244" i="21"/>
  <c r="AE244" i="21"/>
  <c r="AC244" i="21"/>
  <c r="X245" i="21"/>
  <c r="AB245" i="21"/>
  <c r="Y245" i="21"/>
  <c r="Z245" i="21"/>
  <c r="AA245" i="21"/>
  <c r="L245" i="21"/>
  <c r="M245" i="21"/>
  <c r="N245" i="21"/>
  <c r="I245" i="21"/>
  <c r="K245" i="21"/>
  <c r="G245" i="21"/>
  <c r="F245" i="21"/>
  <c r="U244" i="21"/>
  <c r="W244" i="21"/>
  <c r="A246" i="21"/>
  <c r="D245" i="21"/>
  <c r="AD245" i="21" s="1"/>
  <c r="E245" i="21"/>
  <c r="C245" i="21"/>
  <c r="B245" i="21"/>
  <c r="O245" i="21" l="1"/>
  <c r="R245" i="21"/>
  <c r="AH245" i="21"/>
  <c r="AG245" i="21"/>
  <c r="AF245" i="21"/>
  <c r="AE245" i="21"/>
  <c r="AC245" i="21"/>
  <c r="Y246" i="21"/>
  <c r="Z246" i="21"/>
  <c r="X246" i="21"/>
  <c r="AB246" i="21"/>
  <c r="AA246" i="21"/>
  <c r="L246" i="21"/>
  <c r="M246" i="21"/>
  <c r="N246" i="21"/>
  <c r="I246" i="21"/>
  <c r="K246" i="21"/>
  <c r="G246" i="21"/>
  <c r="F246" i="21"/>
  <c r="W245" i="21"/>
  <c r="U245" i="21"/>
  <c r="E246" i="21"/>
  <c r="A247" i="21"/>
  <c r="D246" i="21"/>
  <c r="AD246" i="21" s="1"/>
  <c r="C246" i="21"/>
  <c r="B246" i="21"/>
  <c r="O246" i="21" l="1"/>
  <c r="R246" i="21"/>
  <c r="AH246" i="21"/>
  <c r="AG246" i="21"/>
  <c r="AF246" i="21"/>
  <c r="AE246" i="21"/>
  <c r="AC246" i="21"/>
  <c r="X247" i="21"/>
  <c r="AB247" i="21"/>
  <c r="Y247" i="21"/>
  <c r="Z247" i="21"/>
  <c r="AA247" i="21"/>
  <c r="N247" i="21"/>
  <c r="L247" i="21"/>
  <c r="M247" i="21"/>
  <c r="I247" i="21"/>
  <c r="K247" i="21"/>
  <c r="F247" i="21"/>
  <c r="G247" i="21"/>
  <c r="W246" i="21"/>
  <c r="U246" i="21"/>
  <c r="B247" i="21"/>
  <c r="E247" i="21"/>
  <c r="C247" i="21"/>
  <c r="A248" i="21"/>
  <c r="D247" i="21"/>
  <c r="AD247" i="21" s="1"/>
  <c r="O247" i="21" l="1"/>
  <c r="R247" i="21"/>
  <c r="AH247" i="21"/>
  <c r="AG247" i="21"/>
  <c r="AF247" i="21"/>
  <c r="AE247" i="21"/>
  <c r="AC247" i="21"/>
  <c r="X248" i="21"/>
  <c r="AB248" i="21"/>
  <c r="Y248" i="21"/>
  <c r="Z248" i="21"/>
  <c r="AA248" i="21"/>
  <c r="M248" i="21"/>
  <c r="N248" i="21"/>
  <c r="L248" i="21"/>
  <c r="I248" i="21"/>
  <c r="K248" i="21"/>
  <c r="F248" i="21"/>
  <c r="G248" i="21"/>
  <c r="C248" i="21"/>
  <c r="B248" i="21"/>
  <c r="E248" i="21"/>
  <c r="A249" i="21"/>
  <c r="D248" i="21"/>
  <c r="AD248" i="21" s="1"/>
  <c r="W247" i="21"/>
  <c r="U247" i="21"/>
  <c r="O248" i="21" l="1"/>
  <c r="R248" i="21"/>
  <c r="AH248" i="21"/>
  <c r="AG248" i="21"/>
  <c r="AF248" i="21"/>
  <c r="AC248" i="21"/>
  <c r="AE248" i="21"/>
  <c r="X249" i="21"/>
  <c r="AB249" i="21"/>
  <c r="Y249" i="21"/>
  <c r="Z249" i="21"/>
  <c r="AA249" i="21"/>
  <c r="M249" i="21"/>
  <c r="N249" i="21"/>
  <c r="L249" i="21"/>
  <c r="I249" i="21"/>
  <c r="K249" i="21"/>
  <c r="G249" i="21"/>
  <c r="F249" i="21"/>
  <c r="U248" i="21"/>
  <c r="W248" i="21"/>
  <c r="A250" i="21"/>
  <c r="D249" i="21"/>
  <c r="AD249" i="21" s="1"/>
  <c r="E249" i="21"/>
  <c r="C249" i="21"/>
  <c r="B249" i="21"/>
  <c r="O249" i="21" l="1"/>
  <c r="R249" i="21"/>
  <c r="AH249" i="21"/>
  <c r="AG249" i="21"/>
  <c r="AF249" i="21"/>
  <c r="AE249" i="21"/>
  <c r="AC249" i="21"/>
  <c r="Y250" i="21"/>
  <c r="Z250" i="21"/>
  <c r="AA250" i="21"/>
  <c r="X250" i="21"/>
  <c r="AB250" i="21"/>
  <c r="M250" i="21"/>
  <c r="N250" i="21"/>
  <c r="L250" i="21"/>
  <c r="K250" i="21"/>
  <c r="I250" i="21"/>
  <c r="G250" i="21"/>
  <c r="F250" i="21"/>
  <c r="W249" i="21"/>
  <c r="U249" i="21"/>
  <c r="E250" i="21"/>
  <c r="A251" i="21"/>
  <c r="D250" i="21"/>
  <c r="AD250" i="21" s="1"/>
  <c r="C250" i="21"/>
  <c r="B250" i="21"/>
  <c r="O250" i="21" l="1"/>
  <c r="R250" i="21"/>
  <c r="AH250" i="21"/>
  <c r="AG250" i="21"/>
  <c r="AF250" i="21"/>
  <c r="AE250" i="21"/>
  <c r="AC250" i="21"/>
  <c r="Y251" i="21"/>
  <c r="Z251" i="21"/>
  <c r="AA251" i="21"/>
  <c r="X251" i="21"/>
  <c r="AB251" i="21"/>
  <c r="M251" i="21"/>
  <c r="N251" i="21"/>
  <c r="L251" i="21"/>
  <c r="K251" i="21"/>
  <c r="I251" i="21"/>
  <c r="G251" i="21"/>
  <c r="F251" i="21"/>
  <c r="B251" i="21"/>
  <c r="E251" i="21"/>
  <c r="C251" i="21"/>
  <c r="A252" i="21"/>
  <c r="D251" i="21"/>
  <c r="AD251" i="21" s="1"/>
  <c r="W250" i="21"/>
  <c r="U250" i="21"/>
  <c r="O251" i="21" l="1"/>
  <c r="R251" i="21"/>
  <c r="AH251" i="21"/>
  <c r="AG251" i="21"/>
  <c r="AF251" i="21"/>
  <c r="AE251" i="21"/>
  <c r="AC251" i="21"/>
  <c r="Y252" i="21"/>
  <c r="Z252" i="21"/>
  <c r="X252" i="21"/>
  <c r="AB252" i="21"/>
  <c r="AA252" i="21"/>
  <c r="M252" i="21"/>
  <c r="N252" i="21"/>
  <c r="L252" i="21"/>
  <c r="K252" i="21"/>
  <c r="I252" i="21"/>
  <c r="G252" i="21"/>
  <c r="F252" i="21"/>
  <c r="C252" i="21"/>
  <c r="B252" i="21"/>
  <c r="E252" i="21"/>
  <c r="A253" i="21"/>
  <c r="D252" i="21"/>
  <c r="AD252" i="21" s="1"/>
  <c r="W251" i="21"/>
  <c r="U251" i="21"/>
  <c r="O252" i="21" l="1"/>
  <c r="R252" i="21"/>
  <c r="AH252" i="21"/>
  <c r="AG252" i="21"/>
  <c r="AF252" i="21"/>
  <c r="AE252" i="21"/>
  <c r="AC252" i="21"/>
  <c r="X253" i="21"/>
  <c r="AB253" i="21"/>
  <c r="Y253" i="21"/>
  <c r="Z253" i="21"/>
  <c r="AA253" i="21"/>
  <c r="N253" i="21"/>
  <c r="K253" i="21"/>
  <c r="M253" i="21"/>
  <c r="L253" i="21"/>
  <c r="I253" i="21"/>
  <c r="G253" i="21"/>
  <c r="F253" i="21"/>
  <c r="A254" i="21"/>
  <c r="D253" i="21"/>
  <c r="AD253" i="21" s="1"/>
  <c r="E253" i="21"/>
  <c r="C253" i="21"/>
  <c r="B253" i="21"/>
  <c r="U252" i="21"/>
  <c r="W252" i="21"/>
  <c r="O253" i="21" l="1"/>
  <c r="R253" i="21"/>
  <c r="AH253" i="21"/>
  <c r="AG253" i="21"/>
  <c r="AF253" i="21"/>
  <c r="AE253" i="21"/>
  <c r="AC253" i="21"/>
  <c r="Y254" i="21"/>
  <c r="Z254" i="21"/>
  <c r="AA254" i="21"/>
  <c r="X254" i="21"/>
  <c r="AB254" i="21"/>
  <c r="L254" i="21"/>
  <c r="M254" i="21"/>
  <c r="N254" i="21"/>
  <c r="K254" i="21"/>
  <c r="I254" i="21"/>
  <c r="G254" i="21"/>
  <c r="F254" i="21"/>
  <c r="E254" i="21"/>
  <c r="A255" i="21"/>
  <c r="D254" i="21"/>
  <c r="AD254" i="21" s="1"/>
  <c r="C254" i="21"/>
  <c r="B254" i="21"/>
  <c r="W253" i="21"/>
  <c r="U253" i="21"/>
  <c r="O254" i="21" l="1"/>
  <c r="R254" i="21"/>
  <c r="AH254" i="21"/>
  <c r="AG254" i="21"/>
  <c r="AF254" i="21"/>
  <c r="AE254" i="21"/>
  <c r="AC254" i="21"/>
  <c r="Y255" i="21"/>
  <c r="Z255" i="21"/>
  <c r="AA255" i="21"/>
  <c r="X255" i="21"/>
  <c r="AB255" i="21"/>
  <c r="L255" i="21"/>
  <c r="M255" i="21"/>
  <c r="N255" i="21"/>
  <c r="K255" i="21"/>
  <c r="I255" i="21"/>
  <c r="G255" i="21"/>
  <c r="F255" i="21"/>
  <c r="B255" i="21"/>
  <c r="E255" i="21"/>
  <c r="C255" i="21"/>
  <c r="A256" i="21"/>
  <c r="D255" i="21"/>
  <c r="AD255" i="21" s="1"/>
  <c r="W254" i="21"/>
  <c r="U254" i="21"/>
  <c r="O255" i="21" l="1"/>
  <c r="R255" i="21"/>
  <c r="AH255" i="21"/>
  <c r="AG255" i="21"/>
  <c r="AF255" i="21"/>
  <c r="AE255" i="21"/>
  <c r="AC255" i="21"/>
  <c r="AB256" i="21"/>
  <c r="Y256" i="21"/>
  <c r="Z256" i="21"/>
  <c r="AA256" i="21"/>
  <c r="X256" i="21"/>
  <c r="L256" i="21"/>
  <c r="M256" i="21"/>
  <c r="N256" i="21"/>
  <c r="G256" i="21"/>
  <c r="K256" i="21"/>
  <c r="I256" i="21"/>
  <c r="F256" i="21"/>
  <c r="C256" i="21"/>
  <c r="B256" i="21"/>
  <c r="E256" i="21"/>
  <c r="A257" i="21"/>
  <c r="D256" i="21"/>
  <c r="AD256" i="21" s="1"/>
  <c r="W255" i="21"/>
  <c r="U255" i="21"/>
  <c r="O256" i="21" l="1"/>
  <c r="R256" i="21"/>
  <c r="AH256" i="21"/>
  <c r="AG256" i="21"/>
  <c r="AF256" i="21"/>
  <c r="AE256" i="21"/>
  <c r="AC256" i="21"/>
  <c r="X257" i="21"/>
  <c r="AB257" i="21"/>
  <c r="Y257" i="21"/>
  <c r="Z257" i="21"/>
  <c r="AA257" i="21"/>
  <c r="L257" i="21"/>
  <c r="M257" i="21"/>
  <c r="N257" i="21"/>
  <c r="I257" i="21"/>
  <c r="K257" i="21"/>
  <c r="G257" i="21"/>
  <c r="F257" i="21"/>
  <c r="U256" i="21"/>
  <c r="W256" i="21"/>
  <c r="A258" i="21"/>
  <c r="D257" i="21"/>
  <c r="AD257" i="21" s="1"/>
  <c r="E257" i="21"/>
  <c r="C257" i="21"/>
  <c r="B257" i="21"/>
  <c r="O257" i="21" l="1"/>
  <c r="R257" i="21"/>
  <c r="AH257" i="21"/>
  <c r="AG257" i="21"/>
  <c r="AF257" i="21"/>
  <c r="AE257" i="21"/>
  <c r="AC257" i="21"/>
  <c r="Y258" i="21"/>
  <c r="Z258" i="21"/>
  <c r="X258" i="21"/>
  <c r="AB258" i="21"/>
  <c r="AA258" i="21"/>
  <c r="L258" i="21"/>
  <c r="M258" i="21"/>
  <c r="N258" i="21"/>
  <c r="I258" i="21"/>
  <c r="K258" i="21"/>
  <c r="G258" i="21"/>
  <c r="F258" i="21"/>
  <c r="W257" i="21"/>
  <c r="U257" i="21"/>
  <c r="E258" i="21"/>
  <c r="A259" i="21"/>
  <c r="D258" i="21"/>
  <c r="AD258" i="21" s="1"/>
  <c r="C258" i="21"/>
  <c r="B258" i="21"/>
  <c r="O258" i="21" l="1"/>
  <c r="R258" i="21"/>
  <c r="AH258" i="21"/>
  <c r="AG258" i="21"/>
  <c r="AF258" i="21"/>
  <c r="AE258" i="21"/>
  <c r="AC258" i="21"/>
  <c r="X259" i="21"/>
  <c r="AB259" i="21"/>
  <c r="Y259" i="21"/>
  <c r="Z259" i="21"/>
  <c r="AA259" i="21"/>
  <c r="N259" i="21"/>
  <c r="L259" i="21"/>
  <c r="M259" i="21"/>
  <c r="I259" i="21"/>
  <c r="K259" i="21"/>
  <c r="F259" i="21"/>
  <c r="G259" i="21"/>
  <c r="B259" i="21"/>
  <c r="E259" i="21"/>
  <c r="C259" i="21"/>
  <c r="A260" i="21"/>
  <c r="D259" i="21"/>
  <c r="AD259" i="21" s="1"/>
  <c r="W258" i="21"/>
  <c r="U258" i="21"/>
  <c r="O259" i="21" l="1"/>
  <c r="R259" i="21"/>
  <c r="AH259" i="21"/>
  <c r="AG259" i="21"/>
  <c r="AF259" i="21"/>
  <c r="AE259" i="21"/>
  <c r="AC259" i="21"/>
  <c r="X260" i="21"/>
  <c r="AB260" i="21"/>
  <c r="Y260" i="21"/>
  <c r="Z260" i="21"/>
  <c r="AA260" i="21"/>
  <c r="M260" i="21"/>
  <c r="N260" i="21"/>
  <c r="L260" i="21"/>
  <c r="I260" i="21"/>
  <c r="K260" i="21"/>
  <c r="F260" i="21"/>
  <c r="G260" i="21"/>
  <c r="W259" i="21"/>
  <c r="U259" i="21"/>
  <c r="C260" i="21"/>
  <c r="B260" i="21"/>
  <c r="E260" i="21"/>
  <c r="A261" i="21"/>
  <c r="D260" i="21"/>
  <c r="AD260" i="21" s="1"/>
  <c r="O260" i="21" l="1"/>
  <c r="R260" i="21"/>
  <c r="AH260" i="21"/>
  <c r="AG260" i="21"/>
  <c r="AF260" i="21"/>
  <c r="AC260" i="21"/>
  <c r="AE260" i="21"/>
  <c r="X261" i="21"/>
  <c r="AB261" i="21"/>
  <c r="Y261" i="21"/>
  <c r="Z261" i="21"/>
  <c r="AA261" i="21"/>
  <c r="M261" i="21"/>
  <c r="N261" i="21"/>
  <c r="L261" i="21"/>
  <c r="I261" i="21"/>
  <c r="K261" i="21"/>
  <c r="F261" i="21"/>
  <c r="G261" i="21"/>
  <c r="U260" i="21"/>
  <c r="W260" i="21"/>
  <c r="A262" i="21"/>
  <c r="D261" i="21"/>
  <c r="AD261" i="21" s="1"/>
  <c r="E261" i="21"/>
  <c r="C261" i="21"/>
  <c r="B261" i="21"/>
  <c r="O261" i="21" l="1"/>
  <c r="R261" i="21"/>
  <c r="AH261" i="21"/>
  <c r="AG261" i="21"/>
  <c r="AF261" i="21"/>
  <c r="AE261" i="21"/>
  <c r="AC261" i="21"/>
  <c r="Y262" i="21"/>
  <c r="Z262" i="21"/>
  <c r="AA262" i="21"/>
  <c r="X262" i="21"/>
  <c r="AB262" i="21"/>
  <c r="M262" i="21"/>
  <c r="N262" i="21"/>
  <c r="L262" i="21"/>
  <c r="I262" i="21"/>
  <c r="K262" i="21"/>
  <c r="F262" i="21"/>
  <c r="G262" i="21"/>
  <c r="W261" i="21"/>
  <c r="U261" i="21"/>
  <c r="E262" i="21"/>
  <c r="A263" i="21"/>
  <c r="D262" i="21"/>
  <c r="AD262" i="21" s="1"/>
  <c r="C262" i="21"/>
  <c r="B262" i="21"/>
  <c r="O262" i="21" l="1"/>
  <c r="R262" i="21"/>
  <c r="AH262" i="21"/>
  <c r="AG262" i="21"/>
  <c r="AF262" i="21"/>
  <c r="AE262" i="21"/>
  <c r="AC262" i="21"/>
  <c r="Y263" i="21"/>
  <c r="Z263" i="21"/>
  <c r="AA263" i="21"/>
  <c r="X263" i="21"/>
  <c r="AB263" i="21"/>
  <c r="M263" i="21"/>
  <c r="N263" i="21"/>
  <c r="L263" i="21"/>
  <c r="K263" i="21"/>
  <c r="I263" i="21"/>
  <c r="F263" i="21"/>
  <c r="G263" i="21"/>
  <c r="W262" i="21"/>
  <c r="U262" i="21"/>
  <c r="B263" i="21"/>
  <c r="E263" i="21"/>
  <c r="C263" i="21"/>
  <c r="A264" i="21"/>
  <c r="D263" i="21"/>
  <c r="AD263" i="21" s="1"/>
  <c r="O263" i="21" l="1"/>
  <c r="R263" i="21"/>
  <c r="AH263" i="21"/>
  <c r="AG263" i="21"/>
  <c r="AF263" i="21"/>
  <c r="AE263" i="21"/>
  <c r="AC263" i="21"/>
  <c r="Y264" i="21"/>
  <c r="Z264" i="21"/>
  <c r="X264" i="21"/>
  <c r="AB264" i="21"/>
  <c r="AA264" i="21"/>
  <c r="M264" i="21"/>
  <c r="N264" i="21"/>
  <c r="L264" i="21"/>
  <c r="K264" i="21"/>
  <c r="I264" i="21"/>
  <c r="F264" i="21"/>
  <c r="G264" i="21"/>
  <c r="C264" i="21"/>
  <c r="B264" i="21"/>
  <c r="E264" i="21"/>
  <c r="A265" i="21"/>
  <c r="D264" i="21"/>
  <c r="AD264" i="21" s="1"/>
  <c r="W263" i="21"/>
  <c r="U263" i="21"/>
  <c r="O264" i="21" l="1"/>
  <c r="R264" i="21"/>
  <c r="AH264" i="21"/>
  <c r="AG264" i="21"/>
  <c r="AF264" i="21"/>
  <c r="AE264" i="21"/>
  <c r="AC264" i="21"/>
  <c r="X265" i="21"/>
  <c r="AB265" i="21"/>
  <c r="Y265" i="21"/>
  <c r="Z265" i="21"/>
  <c r="AA265" i="21"/>
  <c r="N265" i="21"/>
  <c r="K265" i="21"/>
  <c r="M265" i="21"/>
  <c r="L265" i="21"/>
  <c r="I265" i="21"/>
  <c r="G265" i="21"/>
  <c r="F265" i="21"/>
  <c r="U264" i="21"/>
  <c r="W264" i="21"/>
  <c r="A266" i="21"/>
  <c r="D265" i="21"/>
  <c r="AD265" i="21" s="1"/>
  <c r="E265" i="21"/>
  <c r="C265" i="21"/>
  <c r="B265" i="21"/>
  <c r="O265" i="21" l="1"/>
  <c r="R265" i="21"/>
  <c r="AH265" i="21"/>
  <c r="AG265" i="21"/>
  <c r="AF265" i="21"/>
  <c r="AE265" i="21"/>
  <c r="AC265" i="21"/>
  <c r="Y266" i="21"/>
  <c r="Z266" i="21"/>
  <c r="AA266" i="21"/>
  <c r="X266" i="21"/>
  <c r="AB266" i="21"/>
  <c r="L266" i="21"/>
  <c r="M266" i="21"/>
  <c r="N266" i="21"/>
  <c r="K266" i="21"/>
  <c r="I266" i="21"/>
  <c r="G266" i="21"/>
  <c r="F266" i="21"/>
  <c r="W265" i="21"/>
  <c r="U265" i="21"/>
  <c r="E266" i="21"/>
  <c r="A267" i="21"/>
  <c r="D266" i="21"/>
  <c r="AD266" i="21" s="1"/>
  <c r="C266" i="21"/>
  <c r="B266" i="21"/>
  <c r="O266" i="21" l="1"/>
  <c r="R266" i="21"/>
  <c r="AH266" i="21"/>
  <c r="AG266" i="21"/>
  <c r="AF266" i="21"/>
  <c r="AE266" i="21"/>
  <c r="AC266" i="21"/>
  <c r="Y267" i="21"/>
  <c r="Z267" i="21"/>
  <c r="AA267" i="21"/>
  <c r="X267" i="21"/>
  <c r="AB267" i="21"/>
  <c r="L267" i="21"/>
  <c r="M267" i="21"/>
  <c r="N267" i="21"/>
  <c r="K267" i="21"/>
  <c r="I267" i="21"/>
  <c r="G267" i="21"/>
  <c r="F267" i="21"/>
  <c r="B267" i="21"/>
  <c r="E267" i="21"/>
  <c r="C267" i="21"/>
  <c r="A268" i="21"/>
  <c r="D267" i="21"/>
  <c r="AD267" i="21" s="1"/>
  <c r="W266" i="21"/>
  <c r="U266" i="21"/>
  <c r="O267" i="21" l="1"/>
  <c r="R267" i="21"/>
  <c r="AH267" i="21"/>
  <c r="AG267" i="21"/>
  <c r="AF267" i="21"/>
  <c r="AE267" i="21"/>
  <c r="AC267" i="21"/>
  <c r="AB268" i="21"/>
  <c r="Y268" i="21"/>
  <c r="Z268" i="21"/>
  <c r="AA268" i="21"/>
  <c r="X268" i="21"/>
  <c r="L268" i="21"/>
  <c r="M268" i="21"/>
  <c r="N268" i="21"/>
  <c r="G268" i="21"/>
  <c r="K268" i="21"/>
  <c r="I268" i="21"/>
  <c r="F268" i="21"/>
  <c r="W267" i="21"/>
  <c r="U267" i="21"/>
  <c r="C268" i="21"/>
  <c r="B268" i="21"/>
  <c r="E268" i="21"/>
  <c r="A269" i="21"/>
  <c r="D268" i="21"/>
  <c r="AD268" i="21" s="1"/>
  <c r="O268" i="21" l="1"/>
  <c r="R268" i="21"/>
  <c r="AH268" i="21"/>
  <c r="AG268" i="21"/>
  <c r="AF268" i="21"/>
  <c r="AE268" i="21"/>
  <c r="AC268" i="21"/>
  <c r="X269" i="21"/>
  <c r="AB269" i="21"/>
  <c r="Y269" i="21"/>
  <c r="Z269" i="21"/>
  <c r="AA269" i="21"/>
  <c r="L269" i="21"/>
  <c r="M269" i="21"/>
  <c r="N269" i="21"/>
  <c r="I269" i="21"/>
  <c r="K269" i="21"/>
  <c r="G269" i="21"/>
  <c r="F269" i="21"/>
  <c r="A270" i="21"/>
  <c r="D269" i="21"/>
  <c r="AD269" i="21" s="1"/>
  <c r="E269" i="21"/>
  <c r="C269" i="21"/>
  <c r="B269" i="21"/>
  <c r="U268" i="21"/>
  <c r="W268" i="21"/>
  <c r="O269" i="21" l="1"/>
  <c r="R269" i="21"/>
  <c r="AH269" i="21"/>
  <c r="AG269" i="21"/>
  <c r="AF269" i="21"/>
  <c r="AE269" i="21"/>
  <c r="AC269" i="21"/>
  <c r="Y270" i="21"/>
  <c r="Z270" i="21"/>
  <c r="X270" i="21"/>
  <c r="AB270" i="21"/>
  <c r="AA270" i="21"/>
  <c r="L270" i="21"/>
  <c r="M270" i="21"/>
  <c r="N270" i="21"/>
  <c r="I270" i="21"/>
  <c r="K270" i="21"/>
  <c r="G270" i="21"/>
  <c r="F270" i="21"/>
  <c r="W269" i="21"/>
  <c r="U269" i="21"/>
  <c r="E270" i="21"/>
  <c r="D270" i="21"/>
  <c r="AD270" i="21" s="1"/>
  <c r="A271" i="21"/>
  <c r="C270" i="21"/>
  <c r="B270" i="21"/>
  <c r="R270" i="21" l="1"/>
  <c r="O270" i="21"/>
  <c r="X271" i="21"/>
  <c r="AB271" i="21"/>
  <c r="Y271" i="21"/>
  <c r="Z271" i="21"/>
  <c r="AA271" i="21"/>
  <c r="N271" i="21"/>
  <c r="L271" i="21"/>
  <c r="M271" i="21"/>
  <c r="I271" i="21"/>
  <c r="K271" i="21"/>
  <c r="F271" i="21"/>
  <c r="G271" i="21"/>
  <c r="AH270" i="21"/>
  <c r="AG270" i="21"/>
  <c r="AF270" i="21"/>
  <c r="AE270" i="21"/>
  <c r="AC270" i="21"/>
  <c r="W270" i="21"/>
  <c r="U270" i="21"/>
  <c r="C271" i="21"/>
  <c r="A272" i="21"/>
  <c r="B271" i="21"/>
  <c r="D271" i="21"/>
  <c r="AD271" i="21" s="1"/>
  <c r="E271" i="21"/>
  <c r="O271" i="21" l="1"/>
  <c r="R271" i="21"/>
  <c r="AH271" i="21"/>
  <c r="AG271" i="21"/>
  <c r="AF271" i="21"/>
  <c r="AE271" i="21"/>
  <c r="AC271" i="21"/>
  <c r="X272" i="21"/>
  <c r="AB272" i="21"/>
  <c r="Y272" i="21"/>
  <c r="Z272" i="21"/>
  <c r="AA272" i="21"/>
  <c r="M272" i="21"/>
  <c r="N272" i="21"/>
  <c r="L272" i="21"/>
  <c r="I272" i="21"/>
  <c r="K272" i="21"/>
  <c r="F272" i="21"/>
  <c r="G272" i="21"/>
  <c r="C272" i="21"/>
  <c r="A273" i="21"/>
  <c r="B272" i="21"/>
  <c r="D272" i="21"/>
  <c r="AD272" i="21" s="1"/>
  <c r="E272" i="21"/>
  <c r="W271" i="21"/>
  <c r="U271" i="21"/>
  <c r="O272" i="21" l="1"/>
  <c r="R272" i="21"/>
  <c r="AH272" i="21"/>
  <c r="AG272" i="21"/>
  <c r="AF272" i="21"/>
  <c r="AC272" i="21"/>
  <c r="AE272" i="21"/>
  <c r="X273" i="21"/>
  <c r="AB273" i="21"/>
  <c r="Y273" i="21"/>
  <c r="Z273" i="21"/>
  <c r="AA273" i="21"/>
  <c r="M273" i="21"/>
  <c r="N273" i="21"/>
  <c r="L273" i="21"/>
  <c r="I273" i="21"/>
  <c r="K273" i="21"/>
  <c r="F273" i="21"/>
  <c r="G273" i="21"/>
  <c r="W272" i="21"/>
  <c r="U272" i="21"/>
  <c r="A274" i="21"/>
  <c r="D273" i="21"/>
  <c r="AD273" i="21" s="1"/>
  <c r="B273" i="21"/>
  <c r="E273" i="21"/>
  <c r="C273" i="21"/>
  <c r="O273" i="21" l="1"/>
  <c r="R273" i="21"/>
  <c r="AH273" i="21"/>
  <c r="AG273" i="21"/>
  <c r="AF273" i="21"/>
  <c r="AE273" i="21"/>
  <c r="AC273" i="21"/>
  <c r="Y274" i="21"/>
  <c r="Z274" i="21"/>
  <c r="AA274" i="21"/>
  <c r="X274" i="21"/>
  <c r="AB274" i="21"/>
  <c r="M274" i="21"/>
  <c r="N274" i="21"/>
  <c r="L274" i="21"/>
  <c r="I274" i="21"/>
  <c r="K274" i="21"/>
  <c r="F274" i="21"/>
  <c r="G274" i="21"/>
  <c r="W273" i="21"/>
  <c r="U273" i="21"/>
  <c r="A275" i="21"/>
  <c r="B274" i="21"/>
  <c r="C274" i="21"/>
  <c r="D274" i="21"/>
  <c r="AD274" i="21" s="1"/>
  <c r="E274" i="21"/>
  <c r="O274" i="21" l="1"/>
  <c r="R274" i="21"/>
  <c r="AH274" i="21"/>
  <c r="AG274" i="21"/>
  <c r="AF274" i="21"/>
  <c r="AE274" i="21"/>
  <c r="AC274" i="21"/>
  <c r="Y275" i="21"/>
  <c r="Z275" i="21"/>
  <c r="AA275" i="21"/>
  <c r="X275" i="21"/>
  <c r="AB275" i="21"/>
  <c r="M275" i="21"/>
  <c r="N275" i="21"/>
  <c r="L275" i="21"/>
  <c r="I275" i="21"/>
  <c r="K275" i="21"/>
  <c r="F275" i="21"/>
  <c r="G275" i="21"/>
  <c r="A276" i="21"/>
  <c r="D275" i="21"/>
  <c r="AD275" i="21" s="1"/>
  <c r="E275" i="21"/>
  <c r="C275" i="21"/>
  <c r="B275" i="21"/>
  <c r="U274" i="21"/>
  <c r="W274" i="21"/>
  <c r="O275" i="21" l="1"/>
  <c r="R275" i="21"/>
  <c r="AH275" i="21"/>
  <c r="AG275" i="21"/>
  <c r="AF275" i="21"/>
  <c r="AE275" i="21"/>
  <c r="AC275" i="21"/>
  <c r="Y276" i="21"/>
  <c r="Z276" i="21"/>
  <c r="X276" i="21"/>
  <c r="AB276" i="21"/>
  <c r="AA276" i="21"/>
  <c r="M276" i="21"/>
  <c r="N276" i="21"/>
  <c r="L276" i="21"/>
  <c r="K276" i="21"/>
  <c r="I276" i="21"/>
  <c r="F276" i="21"/>
  <c r="G276" i="21"/>
  <c r="U275" i="21"/>
  <c r="W275" i="21"/>
  <c r="E276" i="21"/>
  <c r="A277" i="21"/>
  <c r="D276" i="21"/>
  <c r="AD276" i="21" s="1"/>
  <c r="C276" i="21"/>
  <c r="B276" i="21"/>
  <c r="O276" i="21" l="1"/>
  <c r="R276" i="21"/>
  <c r="AH276" i="21"/>
  <c r="AG276" i="21"/>
  <c r="AF276" i="21"/>
  <c r="AE276" i="21"/>
  <c r="AC276" i="21"/>
  <c r="X277" i="21"/>
  <c r="AB277" i="21"/>
  <c r="Y277" i="21"/>
  <c r="Z277" i="21"/>
  <c r="AA277" i="21"/>
  <c r="N277" i="21"/>
  <c r="K277" i="21"/>
  <c r="M277" i="21"/>
  <c r="L277" i="21"/>
  <c r="I277" i="21"/>
  <c r="G277" i="21"/>
  <c r="F277" i="21"/>
  <c r="A278" i="21"/>
  <c r="D277" i="21"/>
  <c r="AD277" i="21" s="1"/>
  <c r="E277" i="21"/>
  <c r="B277" i="21"/>
  <c r="C277" i="21"/>
  <c r="W276" i="21"/>
  <c r="U276" i="21"/>
  <c r="O277" i="21" l="1"/>
  <c r="R277" i="21"/>
  <c r="AH277" i="21"/>
  <c r="AG277" i="21"/>
  <c r="AF277" i="21"/>
  <c r="AE277" i="21"/>
  <c r="AC277" i="21"/>
  <c r="Y278" i="21"/>
  <c r="Z278" i="21"/>
  <c r="AA278" i="21"/>
  <c r="X278" i="21"/>
  <c r="AB278" i="21"/>
  <c r="L278" i="21"/>
  <c r="M278" i="21"/>
  <c r="N278" i="21"/>
  <c r="K278" i="21"/>
  <c r="I278" i="21"/>
  <c r="G278" i="21"/>
  <c r="F278" i="21"/>
  <c r="W277" i="21"/>
  <c r="U277" i="21"/>
  <c r="D278" i="21"/>
  <c r="AD278" i="21" s="1"/>
  <c r="C278" i="21"/>
  <c r="B278" i="21"/>
  <c r="A279" i="21"/>
  <c r="E278" i="21"/>
  <c r="O278" i="21" l="1"/>
  <c r="R278" i="21"/>
  <c r="Y279" i="21"/>
  <c r="Z279" i="21"/>
  <c r="AA279" i="21"/>
  <c r="X279" i="21"/>
  <c r="AB279" i="21"/>
  <c r="L279" i="21"/>
  <c r="M279" i="21"/>
  <c r="N279" i="21"/>
  <c r="K279" i="21"/>
  <c r="I279" i="21"/>
  <c r="G279" i="21"/>
  <c r="F279" i="21"/>
  <c r="AH278" i="21"/>
  <c r="AG278" i="21"/>
  <c r="AF278" i="21"/>
  <c r="AE278" i="21"/>
  <c r="AC278" i="21"/>
  <c r="C279" i="21"/>
  <c r="E279" i="21"/>
  <c r="D279" i="21"/>
  <c r="AD279" i="21" s="1"/>
  <c r="B279" i="21"/>
  <c r="A280" i="21"/>
  <c r="W278" i="21"/>
  <c r="U278" i="21"/>
  <c r="O279" i="21" l="1"/>
  <c r="R279" i="21"/>
  <c r="AB280" i="21"/>
  <c r="Y280" i="21"/>
  <c r="Z280" i="21"/>
  <c r="AA280" i="21"/>
  <c r="X280" i="21"/>
  <c r="L280" i="21"/>
  <c r="M280" i="21"/>
  <c r="N280" i="21"/>
  <c r="G280" i="21"/>
  <c r="K280" i="21"/>
  <c r="I280" i="21"/>
  <c r="F280" i="21"/>
  <c r="AH279" i="21"/>
  <c r="AG279" i="21"/>
  <c r="AF279" i="21"/>
  <c r="AE279" i="21"/>
  <c r="AC279" i="21"/>
  <c r="W279" i="21"/>
  <c r="U279" i="21"/>
  <c r="A281" i="21"/>
  <c r="B280" i="21"/>
  <c r="E280" i="21"/>
  <c r="C280" i="21"/>
  <c r="D280" i="21"/>
  <c r="AD280" i="21" s="1"/>
  <c r="O280" i="21" l="1"/>
  <c r="R280" i="21"/>
  <c r="AH280" i="21"/>
  <c r="AG280" i="21"/>
  <c r="AE280" i="21"/>
  <c r="AF280" i="21"/>
  <c r="AC280" i="21"/>
  <c r="X281" i="21"/>
  <c r="AB281" i="21"/>
  <c r="Y281" i="21"/>
  <c r="Z281" i="21"/>
  <c r="AA281" i="21"/>
  <c r="L281" i="21"/>
  <c r="M281" i="21"/>
  <c r="N281" i="21"/>
  <c r="I281" i="21"/>
  <c r="K281" i="21"/>
  <c r="G281" i="21"/>
  <c r="F281" i="21"/>
  <c r="A282" i="21"/>
  <c r="D281" i="21"/>
  <c r="AD281" i="21" s="1"/>
  <c r="E281" i="21"/>
  <c r="C281" i="21"/>
  <c r="B281" i="21"/>
  <c r="U280" i="21"/>
  <c r="W280" i="21"/>
  <c r="O281" i="21" l="1"/>
  <c r="R281" i="21"/>
  <c r="AH281" i="21"/>
  <c r="AG281" i="21"/>
  <c r="AF281" i="21"/>
  <c r="AE281" i="21"/>
  <c r="AC281" i="21"/>
  <c r="Y282" i="21"/>
  <c r="Z282" i="21"/>
  <c r="X282" i="21"/>
  <c r="AB282" i="21"/>
  <c r="AA282" i="21"/>
  <c r="L282" i="21"/>
  <c r="M282" i="21"/>
  <c r="N282" i="21"/>
  <c r="I282" i="21"/>
  <c r="K282" i="21"/>
  <c r="G282" i="21"/>
  <c r="F282" i="21"/>
  <c r="W281" i="21"/>
  <c r="U281" i="21"/>
  <c r="E282" i="21"/>
  <c r="A283" i="21"/>
  <c r="D282" i="21"/>
  <c r="AD282" i="21" s="1"/>
  <c r="C282" i="21"/>
  <c r="B282" i="21"/>
  <c r="O282" i="21" l="1"/>
  <c r="R282" i="21"/>
  <c r="AH282" i="21"/>
  <c r="AG282" i="21"/>
  <c r="AF282" i="21"/>
  <c r="AE282" i="21"/>
  <c r="AC282" i="21"/>
  <c r="X283" i="21"/>
  <c r="AB283" i="21"/>
  <c r="Y283" i="21"/>
  <c r="Z283" i="21"/>
  <c r="AA283" i="21"/>
  <c r="N283" i="21"/>
  <c r="L283" i="21"/>
  <c r="M283" i="21"/>
  <c r="I283" i="21"/>
  <c r="K283" i="21"/>
  <c r="F283" i="21"/>
  <c r="G283" i="21"/>
  <c r="W282" i="21"/>
  <c r="U282" i="21"/>
  <c r="E283" i="21"/>
  <c r="D283" i="21"/>
  <c r="AD283" i="21" s="1"/>
  <c r="B283" i="21"/>
  <c r="C283" i="21"/>
  <c r="A284" i="21"/>
  <c r="O283" i="21" l="1"/>
  <c r="R283" i="21"/>
  <c r="X284" i="21"/>
  <c r="AB284" i="21"/>
  <c r="Y284" i="21"/>
  <c r="Z284" i="21"/>
  <c r="AA284" i="21"/>
  <c r="M284" i="21"/>
  <c r="N284" i="21"/>
  <c r="L284" i="21"/>
  <c r="I284" i="21"/>
  <c r="K284" i="21"/>
  <c r="F284" i="21"/>
  <c r="G284" i="21"/>
  <c r="AH283" i="21"/>
  <c r="AG283" i="21"/>
  <c r="AF283" i="21"/>
  <c r="AE283" i="21"/>
  <c r="AC283" i="21"/>
  <c r="W283" i="21"/>
  <c r="U283" i="21"/>
  <c r="E284" i="21"/>
  <c r="D284" i="21"/>
  <c r="AD284" i="21" s="1"/>
  <c r="C284" i="21"/>
  <c r="A285" i="21"/>
  <c r="B284" i="21"/>
  <c r="O284" i="21" l="1"/>
  <c r="R284" i="21"/>
  <c r="X285" i="21"/>
  <c r="AB285" i="21"/>
  <c r="Y285" i="21"/>
  <c r="Z285" i="21"/>
  <c r="AA285" i="21"/>
  <c r="M285" i="21"/>
  <c r="N285" i="21"/>
  <c r="L285" i="21"/>
  <c r="I285" i="21"/>
  <c r="K285" i="21"/>
  <c r="G285" i="21"/>
  <c r="F285" i="21"/>
  <c r="AH284" i="21"/>
  <c r="AG284" i="21"/>
  <c r="AF284" i="21"/>
  <c r="AC284" i="21"/>
  <c r="AE284" i="21"/>
  <c r="A286" i="21"/>
  <c r="D285" i="21"/>
  <c r="AD285" i="21" s="1"/>
  <c r="E285" i="21"/>
  <c r="C285" i="21"/>
  <c r="B285" i="21"/>
  <c r="W284" i="21"/>
  <c r="U284" i="21"/>
  <c r="O285" i="21" l="1"/>
  <c r="R285" i="21"/>
  <c r="AH285" i="21"/>
  <c r="AG285" i="21"/>
  <c r="AF285" i="21"/>
  <c r="AE285" i="21"/>
  <c r="AC285" i="21"/>
  <c r="Y286" i="21"/>
  <c r="Z286" i="21"/>
  <c r="AA286" i="21"/>
  <c r="X286" i="21"/>
  <c r="AB286" i="21"/>
  <c r="M286" i="21"/>
  <c r="N286" i="21"/>
  <c r="L286" i="21"/>
  <c r="I286" i="21"/>
  <c r="K286" i="21"/>
  <c r="G286" i="21"/>
  <c r="F286" i="21"/>
  <c r="W285" i="21"/>
  <c r="U285" i="21"/>
  <c r="E286" i="21"/>
  <c r="D286" i="21"/>
  <c r="AD286" i="21" s="1"/>
  <c r="C286" i="21"/>
  <c r="A287" i="21"/>
  <c r="B286" i="21"/>
  <c r="R286" i="21" l="1"/>
  <c r="O286" i="21"/>
  <c r="Y287" i="21"/>
  <c r="Z287" i="21"/>
  <c r="AA287" i="21"/>
  <c r="X287" i="21"/>
  <c r="AB287" i="21"/>
  <c r="M287" i="21"/>
  <c r="N287" i="21"/>
  <c r="L287" i="21"/>
  <c r="I287" i="21"/>
  <c r="K287" i="21"/>
  <c r="G287" i="21"/>
  <c r="F287" i="21"/>
  <c r="AH286" i="21"/>
  <c r="AG286" i="21"/>
  <c r="AF286" i="21"/>
  <c r="AE286" i="21"/>
  <c r="AC286" i="21"/>
  <c r="B287" i="21"/>
  <c r="A288" i="21"/>
  <c r="E287" i="21"/>
  <c r="D287" i="21"/>
  <c r="AD287" i="21" s="1"/>
  <c r="C287" i="21"/>
  <c r="W286" i="21"/>
  <c r="U286" i="21"/>
  <c r="O287" i="21" l="1"/>
  <c r="R287" i="21"/>
  <c r="AH287" i="21"/>
  <c r="AG287" i="21"/>
  <c r="AF287" i="21"/>
  <c r="AE287" i="21"/>
  <c r="AC287" i="21"/>
  <c r="Y288" i="21"/>
  <c r="Z288" i="21"/>
  <c r="X288" i="21"/>
  <c r="AB288" i="21"/>
  <c r="AA288" i="21"/>
  <c r="M288" i="21"/>
  <c r="N288" i="21"/>
  <c r="L288" i="21"/>
  <c r="I288" i="21"/>
  <c r="K288" i="21"/>
  <c r="G288" i="21"/>
  <c r="F288" i="21"/>
  <c r="A289" i="21"/>
  <c r="E288" i="21"/>
  <c r="D288" i="21"/>
  <c r="AD288" i="21" s="1"/>
  <c r="C288" i="21"/>
  <c r="B288" i="21"/>
  <c r="W287" i="21"/>
  <c r="U287" i="21"/>
  <c r="O288" i="21" l="1"/>
  <c r="R288" i="21"/>
  <c r="AH288" i="21"/>
  <c r="AG288" i="21"/>
  <c r="AF288" i="21"/>
  <c r="AE288" i="21"/>
  <c r="AC288" i="21"/>
  <c r="X289" i="21"/>
  <c r="AB289" i="21"/>
  <c r="Y289" i="21"/>
  <c r="Z289" i="21"/>
  <c r="AA289" i="21"/>
  <c r="N289" i="21"/>
  <c r="K289" i="21"/>
  <c r="M289" i="21"/>
  <c r="L289" i="21"/>
  <c r="I289" i="21"/>
  <c r="G289" i="21"/>
  <c r="F289" i="21"/>
  <c r="W288" i="21"/>
  <c r="U288" i="21"/>
  <c r="E289" i="21"/>
  <c r="D289" i="21"/>
  <c r="AD289" i="21" s="1"/>
  <c r="C289" i="21"/>
  <c r="A290" i="21"/>
  <c r="B289" i="21"/>
  <c r="O289" i="21" l="1"/>
  <c r="R289" i="21"/>
  <c r="Y290" i="21"/>
  <c r="Z290" i="21"/>
  <c r="AA290" i="21"/>
  <c r="X290" i="21"/>
  <c r="AB290" i="21"/>
  <c r="L290" i="21"/>
  <c r="M290" i="21"/>
  <c r="N290" i="21"/>
  <c r="K290" i="21"/>
  <c r="I290" i="21"/>
  <c r="G290" i="21"/>
  <c r="F290" i="21"/>
  <c r="AH289" i="21"/>
  <c r="AG289" i="21"/>
  <c r="AF289" i="21"/>
  <c r="AE289" i="21"/>
  <c r="AC289" i="21"/>
  <c r="E290" i="21"/>
  <c r="D290" i="21"/>
  <c r="AD290" i="21" s="1"/>
  <c r="C290" i="21"/>
  <c r="B290" i="21"/>
  <c r="A291" i="21"/>
  <c r="W289" i="21"/>
  <c r="U289" i="21"/>
  <c r="O290" i="21" l="1"/>
  <c r="R290" i="21"/>
  <c r="Y291" i="21"/>
  <c r="Z291" i="21"/>
  <c r="AA291" i="21"/>
  <c r="X291" i="21"/>
  <c r="AB291" i="21"/>
  <c r="L291" i="21"/>
  <c r="M291" i="21"/>
  <c r="N291" i="21"/>
  <c r="K291" i="21"/>
  <c r="I291" i="21"/>
  <c r="G291" i="21"/>
  <c r="F291" i="21"/>
  <c r="AH290" i="21"/>
  <c r="AG290" i="21"/>
  <c r="AF290" i="21"/>
  <c r="AE290" i="21"/>
  <c r="AC290" i="21"/>
  <c r="W290" i="21"/>
  <c r="U290" i="21"/>
  <c r="B291" i="21"/>
  <c r="D291" i="21"/>
  <c r="AD291" i="21" s="1"/>
  <c r="E291" i="21"/>
  <c r="C291" i="21"/>
  <c r="A292" i="21"/>
  <c r="O291" i="21" l="1"/>
  <c r="R291" i="21"/>
  <c r="AB292" i="21"/>
  <c r="Y292" i="21"/>
  <c r="Z292" i="21"/>
  <c r="AA292" i="21"/>
  <c r="X292" i="21"/>
  <c r="L292" i="21"/>
  <c r="M292" i="21"/>
  <c r="N292" i="21"/>
  <c r="G292" i="21"/>
  <c r="K292" i="21"/>
  <c r="I292" i="21"/>
  <c r="F292" i="21"/>
  <c r="AH291" i="21"/>
  <c r="AG291" i="21"/>
  <c r="AF291" i="21"/>
  <c r="AE291" i="21"/>
  <c r="AC291" i="21"/>
  <c r="C292" i="21"/>
  <c r="E292" i="21"/>
  <c r="D292" i="21"/>
  <c r="AD292" i="21" s="1"/>
  <c r="B292" i="21"/>
  <c r="A293" i="21"/>
  <c r="W291" i="21"/>
  <c r="U291" i="21"/>
  <c r="O292" i="21" l="1"/>
  <c r="R292" i="21"/>
  <c r="X293" i="21"/>
  <c r="AB293" i="21"/>
  <c r="Y293" i="21"/>
  <c r="Z293" i="21"/>
  <c r="AA293" i="21"/>
  <c r="L293" i="21"/>
  <c r="M293" i="21"/>
  <c r="N293" i="21"/>
  <c r="I293" i="21"/>
  <c r="K293" i="21"/>
  <c r="G293" i="21"/>
  <c r="F293" i="21"/>
  <c r="AH292" i="21"/>
  <c r="AG292" i="21"/>
  <c r="AE292" i="21"/>
  <c r="AF292" i="21"/>
  <c r="AC292" i="21"/>
  <c r="W292" i="21"/>
  <c r="U292" i="21"/>
  <c r="E293" i="21"/>
  <c r="A294" i="21"/>
  <c r="B293" i="21"/>
  <c r="D293" i="21"/>
  <c r="AD293" i="21" s="1"/>
  <c r="C293" i="21"/>
  <c r="O293" i="21" l="1"/>
  <c r="R293" i="21"/>
  <c r="AH293" i="21"/>
  <c r="AG293" i="21"/>
  <c r="AF293" i="21"/>
  <c r="AE293" i="21"/>
  <c r="AC293" i="21"/>
  <c r="Y294" i="21"/>
  <c r="Z294" i="21"/>
  <c r="X294" i="21"/>
  <c r="AB294" i="21"/>
  <c r="AA294" i="21"/>
  <c r="L294" i="21"/>
  <c r="M294" i="21"/>
  <c r="N294" i="21"/>
  <c r="I294" i="21"/>
  <c r="K294" i="21"/>
  <c r="G294" i="21"/>
  <c r="F294" i="21"/>
  <c r="U293" i="21"/>
  <c r="W293" i="21"/>
  <c r="E294" i="21"/>
  <c r="D294" i="21"/>
  <c r="AD294" i="21" s="1"/>
  <c r="C294" i="21"/>
  <c r="B294" i="21"/>
  <c r="A295" i="21"/>
  <c r="O294" i="21" l="1"/>
  <c r="R294" i="21"/>
  <c r="X295" i="21"/>
  <c r="AB295" i="21"/>
  <c r="Y295" i="21"/>
  <c r="Z295" i="21"/>
  <c r="AA295" i="21"/>
  <c r="N295" i="21"/>
  <c r="L295" i="21"/>
  <c r="M295" i="21"/>
  <c r="I295" i="21"/>
  <c r="K295" i="21"/>
  <c r="F295" i="21"/>
  <c r="G295" i="21"/>
  <c r="AH294" i="21"/>
  <c r="AG294" i="21"/>
  <c r="AF294" i="21"/>
  <c r="AE294" i="21"/>
  <c r="AC294" i="21"/>
  <c r="W294" i="21"/>
  <c r="U294" i="21"/>
  <c r="B295" i="21"/>
  <c r="E295" i="21"/>
  <c r="D295" i="21"/>
  <c r="AD295" i="21" s="1"/>
  <c r="C295" i="21"/>
  <c r="A296" i="21"/>
  <c r="O295" i="21" l="1"/>
  <c r="R295" i="21"/>
  <c r="X296" i="21"/>
  <c r="AB296" i="21"/>
  <c r="Y296" i="21"/>
  <c r="Z296" i="21"/>
  <c r="AA296" i="21"/>
  <c r="M296" i="21"/>
  <c r="N296" i="21"/>
  <c r="L296" i="21"/>
  <c r="I296" i="21"/>
  <c r="K296" i="21"/>
  <c r="F296" i="21"/>
  <c r="G296" i="21"/>
  <c r="AH295" i="21"/>
  <c r="AG295" i="21"/>
  <c r="AF295" i="21"/>
  <c r="AE295" i="21"/>
  <c r="AC295" i="21"/>
  <c r="W295" i="21"/>
  <c r="U295" i="21"/>
  <c r="D296" i="21"/>
  <c r="AD296" i="21" s="1"/>
  <c r="C296" i="21"/>
  <c r="A297" i="21"/>
  <c r="E296" i="21"/>
  <c r="B296" i="21"/>
  <c r="O296" i="21" l="1"/>
  <c r="R296" i="21"/>
  <c r="X297" i="21"/>
  <c r="AB297" i="21"/>
  <c r="Y297" i="21"/>
  <c r="Z297" i="21"/>
  <c r="AA297" i="21"/>
  <c r="M297" i="21"/>
  <c r="N297" i="21"/>
  <c r="L297" i="21"/>
  <c r="I297" i="21"/>
  <c r="K297" i="21"/>
  <c r="F297" i="21"/>
  <c r="G297" i="21"/>
  <c r="AH296" i="21"/>
  <c r="AG296" i="21"/>
  <c r="AF296" i="21"/>
  <c r="AC296" i="21"/>
  <c r="AE296" i="21"/>
  <c r="C297" i="21"/>
  <c r="A298" i="21"/>
  <c r="B297" i="21"/>
  <c r="D297" i="21"/>
  <c r="AD297" i="21" s="1"/>
  <c r="E297" i="21"/>
  <c r="W296" i="21"/>
  <c r="U296" i="21"/>
  <c r="O297" i="21" l="1"/>
  <c r="R297" i="21"/>
  <c r="AH297" i="21"/>
  <c r="AG297" i="21"/>
  <c r="AF297" i="21"/>
  <c r="AE297" i="21"/>
  <c r="AC297" i="21"/>
  <c r="Y298" i="21"/>
  <c r="Z298" i="21"/>
  <c r="AA298" i="21"/>
  <c r="X298" i="21"/>
  <c r="AB298" i="21"/>
  <c r="M298" i="21"/>
  <c r="N298" i="21"/>
  <c r="L298" i="21"/>
  <c r="I298" i="21"/>
  <c r="K298" i="21"/>
  <c r="F298" i="21"/>
  <c r="G298" i="21"/>
  <c r="E298" i="21"/>
  <c r="A299" i="21"/>
  <c r="B298" i="21"/>
  <c r="C298" i="21"/>
  <c r="D298" i="21"/>
  <c r="AD298" i="21" s="1"/>
  <c r="W297" i="21"/>
  <c r="U297" i="21"/>
  <c r="O298" i="21" l="1"/>
  <c r="R298" i="21"/>
  <c r="AH298" i="21"/>
  <c r="AG298" i="21"/>
  <c r="AF298" i="21"/>
  <c r="AE298" i="21"/>
  <c r="AC298" i="21"/>
  <c r="Y299" i="21"/>
  <c r="Z299" i="21"/>
  <c r="AA299" i="21"/>
  <c r="X299" i="21"/>
  <c r="AB299" i="21"/>
  <c r="M299" i="21"/>
  <c r="N299" i="21"/>
  <c r="L299" i="21"/>
  <c r="I299" i="21"/>
  <c r="K299" i="21"/>
  <c r="F299" i="21"/>
  <c r="G299" i="21"/>
  <c r="B299" i="21"/>
  <c r="D299" i="21"/>
  <c r="AD299" i="21" s="1"/>
  <c r="C299" i="21"/>
  <c r="A300" i="21"/>
  <c r="E299" i="21"/>
  <c r="W298" i="21"/>
  <c r="U298" i="21"/>
  <c r="O299" i="21" l="1"/>
  <c r="R299" i="21"/>
  <c r="Y300" i="21"/>
  <c r="Z300" i="21"/>
  <c r="X300" i="21"/>
  <c r="AB300" i="21"/>
  <c r="AA300" i="21"/>
  <c r="M300" i="21"/>
  <c r="N300" i="21"/>
  <c r="L300" i="21"/>
  <c r="I300" i="21"/>
  <c r="K300" i="21"/>
  <c r="F300" i="21"/>
  <c r="G300" i="21"/>
  <c r="AH299" i="21"/>
  <c r="AG299" i="21"/>
  <c r="AF299" i="21"/>
  <c r="AE299" i="21"/>
  <c r="AC299" i="21"/>
  <c r="W299" i="21"/>
  <c r="U299" i="21"/>
  <c r="E300" i="21"/>
  <c r="D300" i="21"/>
  <c r="AD300" i="21" s="1"/>
  <c r="C300" i="21"/>
  <c r="B300" i="21"/>
  <c r="A301" i="21"/>
  <c r="O300" i="21" l="1"/>
  <c r="R300" i="21"/>
  <c r="X301" i="21"/>
  <c r="AB301" i="21"/>
  <c r="Y301" i="21"/>
  <c r="Z301" i="21"/>
  <c r="AA301" i="21"/>
  <c r="N301" i="21"/>
  <c r="K301" i="21"/>
  <c r="M301" i="21"/>
  <c r="L301" i="21"/>
  <c r="I301" i="21"/>
  <c r="G301" i="21"/>
  <c r="F301" i="21"/>
  <c r="AH300" i="21"/>
  <c r="AG300" i="21"/>
  <c r="AF300" i="21"/>
  <c r="AE300" i="21"/>
  <c r="AC300" i="21"/>
  <c r="C301" i="21"/>
  <c r="A302" i="21"/>
  <c r="E301" i="21"/>
  <c r="D301" i="21"/>
  <c r="AD301" i="21" s="1"/>
  <c r="B301" i="21"/>
  <c r="U300" i="21"/>
  <c r="W300" i="21"/>
  <c r="O301" i="21" l="1"/>
  <c r="R301" i="21"/>
  <c r="AH301" i="21"/>
  <c r="AG301" i="21"/>
  <c r="AF301" i="21"/>
  <c r="AE301" i="21"/>
  <c r="AC301" i="21"/>
  <c r="Y302" i="21"/>
  <c r="Z302" i="21"/>
  <c r="AA302" i="21"/>
  <c r="X302" i="21"/>
  <c r="AB302" i="21"/>
  <c r="L302" i="21"/>
  <c r="M302" i="21"/>
  <c r="N302" i="21"/>
  <c r="I302" i="21"/>
  <c r="G302" i="21"/>
  <c r="K302" i="21"/>
  <c r="F302" i="21"/>
  <c r="E302" i="21"/>
  <c r="A303" i="21"/>
  <c r="D302" i="21"/>
  <c r="AD302" i="21" s="1"/>
  <c r="C302" i="21"/>
  <c r="B302" i="21"/>
  <c r="W301" i="21"/>
  <c r="U301" i="21"/>
  <c r="O302" i="21" l="1"/>
  <c r="R302" i="21"/>
  <c r="AH302" i="21"/>
  <c r="AG302" i="21"/>
  <c r="AF302" i="21"/>
  <c r="AE302" i="21"/>
  <c r="AC302" i="21"/>
  <c r="Y303" i="21"/>
  <c r="Z303" i="21"/>
  <c r="AA303" i="21"/>
  <c r="X303" i="21"/>
  <c r="AB303" i="21"/>
  <c r="L303" i="21"/>
  <c r="M303" i="21"/>
  <c r="N303" i="21"/>
  <c r="K303" i="21"/>
  <c r="I303" i="21"/>
  <c r="G303" i="21"/>
  <c r="F303" i="21"/>
  <c r="W302" i="21"/>
  <c r="U302" i="21"/>
  <c r="B303" i="21"/>
  <c r="D303" i="21"/>
  <c r="AD303" i="21" s="1"/>
  <c r="C303" i="21"/>
  <c r="A304" i="21"/>
  <c r="E303" i="21"/>
  <c r="O303" i="21" l="1"/>
  <c r="R303" i="21"/>
  <c r="AB304" i="21"/>
  <c r="Y304" i="21"/>
  <c r="Z304" i="21"/>
  <c r="AA304" i="21"/>
  <c r="X304" i="21"/>
  <c r="L304" i="21"/>
  <c r="M304" i="21"/>
  <c r="N304" i="21"/>
  <c r="G304" i="21"/>
  <c r="K304" i="21"/>
  <c r="I304" i="21"/>
  <c r="F304" i="21"/>
  <c r="AH303" i="21"/>
  <c r="AG303" i="21"/>
  <c r="AF303" i="21"/>
  <c r="AE303" i="21"/>
  <c r="AC303" i="21"/>
  <c r="U303" i="21"/>
  <c r="W303" i="21"/>
  <c r="C304" i="21"/>
  <c r="B304" i="21"/>
  <c r="E304" i="21"/>
  <c r="D304" i="21"/>
  <c r="AD304" i="21" s="1"/>
  <c r="A305" i="21"/>
  <c r="O304" i="21" l="1"/>
  <c r="R304" i="21"/>
  <c r="X305" i="21"/>
  <c r="AB305" i="21"/>
  <c r="Y305" i="21"/>
  <c r="Z305" i="21"/>
  <c r="AA305" i="21"/>
  <c r="L305" i="21"/>
  <c r="M305" i="21"/>
  <c r="N305" i="21"/>
  <c r="I305" i="21"/>
  <c r="K305" i="21"/>
  <c r="G305" i="21"/>
  <c r="F305" i="21"/>
  <c r="AH304" i="21"/>
  <c r="AG304" i="21"/>
  <c r="AF304" i="21"/>
  <c r="AE304" i="21"/>
  <c r="AC304" i="21"/>
  <c r="U304" i="21"/>
  <c r="W304" i="21"/>
  <c r="A306" i="21"/>
  <c r="E305" i="21"/>
  <c r="D305" i="21"/>
  <c r="AD305" i="21" s="1"/>
  <c r="B305" i="21"/>
  <c r="C305" i="21"/>
  <c r="O305" i="21" l="1"/>
  <c r="R305" i="21"/>
  <c r="AH305" i="21"/>
  <c r="AG305" i="21"/>
  <c r="AF305" i="21"/>
  <c r="AE305" i="21"/>
  <c r="AC305" i="21"/>
  <c r="Y306" i="21"/>
  <c r="Z306" i="21"/>
  <c r="X306" i="21"/>
  <c r="AB306" i="21"/>
  <c r="AA306" i="21"/>
  <c r="L306" i="21"/>
  <c r="M306" i="21"/>
  <c r="N306" i="21"/>
  <c r="I306" i="21"/>
  <c r="K306" i="21"/>
  <c r="G306" i="21"/>
  <c r="F306" i="21"/>
  <c r="W305" i="21"/>
  <c r="U305" i="21"/>
  <c r="E306" i="21"/>
  <c r="A307" i="21"/>
  <c r="D306" i="21"/>
  <c r="AD306" i="21" s="1"/>
  <c r="C306" i="21"/>
  <c r="B306" i="21"/>
  <c r="O306" i="21" l="1"/>
  <c r="R306" i="21"/>
  <c r="AH306" i="21"/>
  <c r="AG306" i="21"/>
  <c r="AF306" i="21"/>
  <c r="AE306" i="21"/>
  <c r="AC306" i="21"/>
  <c r="X307" i="21"/>
  <c r="AB307" i="21"/>
  <c r="Y307" i="21"/>
  <c r="Z307" i="21"/>
  <c r="AA307" i="21"/>
  <c r="N307" i="21"/>
  <c r="L307" i="21"/>
  <c r="M307" i="21"/>
  <c r="I307" i="21"/>
  <c r="K307" i="21"/>
  <c r="F307" i="21"/>
  <c r="G307" i="21"/>
  <c r="W306" i="21"/>
  <c r="U306" i="21"/>
  <c r="B307" i="21"/>
  <c r="C307" i="21"/>
  <c r="A308" i="21"/>
  <c r="E307" i="21"/>
  <c r="D307" i="21"/>
  <c r="AD307" i="21" s="1"/>
  <c r="O307" i="21" l="1"/>
  <c r="R307" i="21"/>
  <c r="AH307" i="21"/>
  <c r="AG307" i="21"/>
  <c r="AF307" i="21"/>
  <c r="AE307" i="21"/>
  <c r="AC307" i="21"/>
  <c r="X308" i="21"/>
  <c r="AB308" i="21"/>
  <c r="Y308" i="21"/>
  <c r="Z308" i="21"/>
  <c r="AA308" i="21"/>
  <c r="M308" i="21"/>
  <c r="N308" i="21"/>
  <c r="L308" i="21"/>
  <c r="I308" i="21"/>
  <c r="K308" i="21"/>
  <c r="F308" i="21"/>
  <c r="G308" i="21"/>
  <c r="W307" i="21"/>
  <c r="U307" i="21"/>
  <c r="A309" i="21"/>
  <c r="B308" i="21"/>
  <c r="E308" i="21"/>
  <c r="D308" i="21"/>
  <c r="AD308" i="21" s="1"/>
  <c r="C308" i="21"/>
  <c r="O308" i="21" l="1"/>
  <c r="R308" i="21"/>
  <c r="AH308" i="21"/>
  <c r="AG308" i="21"/>
  <c r="AF308" i="21"/>
  <c r="AC308" i="21"/>
  <c r="AE308" i="21"/>
  <c r="X309" i="21"/>
  <c r="AB309" i="21"/>
  <c r="Y309" i="21"/>
  <c r="Z309" i="21"/>
  <c r="AA309" i="21"/>
  <c r="M309" i="21"/>
  <c r="N309" i="21"/>
  <c r="L309" i="21"/>
  <c r="I309" i="21"/>
  <c r="K309" i="21"/>
  <c r="F309" i="21"/>
  <c r="G309" i="21"/>
  <c r="W308" i="21"/>
  <c r="U308" i="21"/>
  <c r="A310" i="21"/>
  <c r="D309" i="21"/>
  <c r="AD309" i="21" s="1"/>
  <c r="E309" i="21"/>
  <c r="C309" i="21"/>
  <c r="B309" i="21"/>
  <c r="O309" i="21" l="1"/>
  <c r="R309" i="21"/>
  <c r="AH309" i="21"/>
  <c r="AG309" i="21"/>
  <c r="AF309" i="21"/>
  <c r="AE309" i="21"/>
  <c r="AC309" i="21"/>
  <c r="Y310" i="21"/>
  <c r="Z310" i="21"/>
  <c r="AA310" i="21"/>
  <c r="X310" i="21"/>
  <c r="AB310" i="21"/>
  <c r="M310" i="21"/>
  <c r="N310" i="21"/>
  <c r="L310" i="21"/>
  <c r="I310" i="21"/>
  <c r="K310" i="21"/>
  <c r="F310" i="21"/>
  <c r="G310" i="21"/>
  <c r="W309" i="21"/>
  <c r="U309" i="21"/>
  <c r="E310" i="21"/>
  <c r="A311" i="21"/>
  <c r="D310" i="21"/>
  <c r="AD310" i="21" s="1"/>
  <c r="C310" i="21"/>
  <c r="B310" i="21"/>
  <c r="O310" i="21" l="1"/>
  <c r="R310" i="21"/>
  <c r="AH310" i="21"/>
  <c r="AG310" i="21"/>
  <c r="AF310" i="21"/>
  <c r="AE310" i="21"/>
  <c r="AC310" i="21"/>
  <c r="Y311" i="21"/>
  <c r="Z311" i="21"/>
  <c r="AA311" i="21"/>
  <c r="X311" i="21"/>
  <c r="AB311" i="21"/>
  <c r="M311" i="21"/>
  <c r="N311" i="21"/>
  <c r="L311" i="21"/>
  <c r="I311" i="21"/>
  <c r="K311" i="21"/>
  <c r="F311" i="21"/>
  <c r="G311" i="21"/>
  <c r="B311" i="21"/>
  <c r="C311" i="21"/>
  <c r="D311" i="21"/>
  <c r="AD311" i="21" s="1"/>
  <c r="A312" i="21"/>
  <c r="E311" i="21"/>
  <c r="W310" i="21"/>
  <c r="U310" i="21"/>
  <c r="O311" i="21" l="1"/>
  <c r="R311" i="21"/>
  <c r="Y312" i="21"/>
  <c r="Z312" i="21"/>
  <c r="X312" i="21"/>
  <c r="AB312" i="21"/>
  <c r="AA312" i="21"/>
  <c r="M312" i="21"/>
  <c r="N312" i="21"/>
  <c r="L312" i="21"/>
  <c r="I312" i="21"/>
  <c r="K312" i="21"/>
  <c r="F312" i="21"/>
  <c r="G312" i="21"/>
  <c r="AH311" i="21"/>
  <c r="AG311" i="21"/>
  <c r="AF311" i="21"/>
  <c r="AE311" i="21"/>
  <c r="AC311" i="21"/>
  <c r="A313" i="21"/>
  <c r="B312" i="21"/>
  <c r="E312" i="21"/>
  <c r="D312" i="21"/>
  <c r="AD312" i="21" s="1"/>
  <c r="C312" i="21"/>
  <c r="W311" i="21"/>
  <c r="U311" i="21"/>
  <c r="O312" i="21" l="1"/>
  <c r="R312" i="21"/>
  <c r="AH312" i="21"/>
  <c r="AG312" i="21"/>
  <c r="AF312" i="21"/>
  <c r="AE312" i="21"/>
  <c r="AC312" i="21"/>
  <c r="X313" i="21"/>
  <c r="AB313" i="21"/>
  <c r="Y313" i="21"/>
  <c r="Z313" i="21"/>
  <c r="AA313" i="21"/>
  <c r="N313" i="21"/>
  <c r="K313" i="21"/>
  <c r="M313" i="21"/>
  <c r="L313" i="21"/>
  <c r="I313" i="21"/>
  <c r="G313" i="21"/>
  <c r="F313" i="21"/>
  <c r="E313" i="21"/>
  <c r="A314" i="21"/>
  <c r="D313" i="21"/>
  <c r="AD313" i="21" s="1"/>
  <c r="C313" i="21"/>
  <c r="B313" i="21"/>
  <c r="U312" i="21"/>
  <c r="W312" i="21"/>
  <c r="O313" i="21" l="1"/>
  <c r="R313" i="21"/>
  <c r="AH313" i="21"/>
  <c r="AG313" i="21"/>
  <c r="AF313" i="21"/>
  <c r="AE313" i="21"/>
  <c r="AC313" i="21"/>
  <c r="Y314" i="21"/>
  <c r="Z314" i="21"/>
  <c r="AA314" i="21"/>
  <c r="X314" i="21"/>
  <c r="AB314" i="21"/>
  <c r="L314" i="21"/>
  <c r="M314" i="21"/>
  <c r="N314" i="21"/>
  <c r="I314" i="21"/>
  <c r="K314" i="21"/>
  <c r="G314" i="21"/>
  <c r="F314" i="21"/>
  <c r="E314" i="21"/>
  <c r="A315" i="21"/>
  <c r="D314" i="21"/>
  <c r="AD314" i="21" s="1"/>
  <c r="C314" i="21"/>
  <c r="B314" i="21"/>
  <c r="W313" i="21"/>
  <c r="U313" i="21"/>
  <c r="O314" i="21" l="1"/>
  <c r="R314" i="21"/>
  <c r="AH314" i="21"/>
  <c r="AG314" i="21"/>
  <c r="AF314" i="21"/>
  <c r="AE314" i="21"/>
  <c r="AC314" i="21"/>
  <c r="Y315" i="21"/>
  <c r="Z315" i="21"/>
  <c r="AA315" i="21"/>
  <c r="X315" i="21"/>
  <c r="AB315" i="21"/>
  <c r="L315" i="21"/>
  <c r="M315" i="21"/>
  <c r="N315" i="21"/>
  <c r="I315" i="21"/>
  <c r="K315" i="21"/>
  <c r="G315" i="21"/>
  <c r="F315" i="21"/>
  <c r="W314" i="21"/>
  <c r="U314" i="21"/>
  <c r="B315" i="21"/>
  <c r="D315" i="21"/>
  <c r="AD315" i="21" s="1"/>
  <c r="A316" i="21"/>
  <c r="C315" i="21"/>
  <c r="E315" i="21"/>
  <c r="O315" i="21" l="1"/>
  <c r="R315" i="21"/>
  <c r="AB316" i="21"/>
  <c r="Y316" i="21"/>
  <c r="Z316" i="21"/>
  <c r="AA316" i="21"/>
  <c r="X316" i="21"/>
  <c r="L316" i="21"/>
  <c r="M316" i="21"/>
  <c r="N316" i="21"/>
  <c r="K316" i="21"/>
  <c r="G316" i="21"/>
  <c r="I316" i="21"/>
  <c r="F316" i="21"/>
  <c r="AH315" i="21"/>
  <c r="AG315" i="21"/>
  <c r="AF315" i="21"/>
  <c r="AE315" i="21"/>
  <c r="AC315" i="21"/>
  <c r="A317" i="21"/>
  <c r="C316" i="21"/>
  <c r="B316" i="21"/>
  <c r="E316" i="21"/>
  <c r="D316" i="21"/>
  <c r="AD316" i="21" s="1"/>
  <c r="W315" i="21"/>
  <c r="U315" i="21"/>
  <c r="O316" i="21" l="1"/>
  <c r="R316" i="21"/>
  <c r="AH316" i="21"/>
  <c r="AG316" i="21"/>
  <c r="AE316" i="21"/>
  <c r="AF316" i="21"/>
  <c r="AC316" i="21"/>
  <c r="X317" i="21"/>
  <c r="AB317" i="21"/>
  <c r="Y317" i="21"/>
  <c r="Z317" i="21"/>
  <c r="AA317" i="21"/>
  <c r="L317" i="21"/>
  <c r="M317" i="21"/>
  <c r="N317" i="21"/>
  <c r="I317" i="21"/>
  <c r="K317" i="21"/>
  <c r="G317" i="21"/>
  <c r="F317" i="21"/>
  <c r="W316" i="21"/>
  <c r="U316" i="21"/>
  <c r="E317" i="21"/>
  <c r="D317" i="21"/>
  <c r="AD317" i="21" s="1"/>
  <c r="B317" i="21"/>
  <c r="C317" i="21"/>
  <c r="A318" i="21"/>
  <c r="O317" i="21" l="1"/>
  <c r="R317" i="21"/>
  <c r="Y318" i="21"/>
  <c r="Z318" i="21"/>
  <c r="X318" i="21"/>
  <c r="AB318" i="21"/>
  <c r="AA318" i="21"/>
  <c r="L318" i="21"/>
  <c r="M318" i="21"/>
  <c r="N318" i="21"/>
  <c r="I318" i="21"/>
  <c r="K318" i="21"/>
  <c r="G318" i="21"/>
  <c r="F318" i="21"/>
  <c r="AH317" i="21"/>
  <c r="AG317" i="21"/>
  <c r="AF317" i="21"/>
  <c r="AE317" i="21"/>
  <c r="AC317" i="21"/>
  <c r="W317" i="21"/>
  <c r="U317" i="21"/>
  <c r="E318" i="21"/>
  <c r="D318" i="21"/>
  <c r="AD318" i="21" s="1"/>
  <c r="C318" i="21"/>
  <c r="B318" i="21"/>
  <c r="A319" i="21"/>
  <c r="O318" i="21" l="1"/>
  <c r="R318" i="21"/>
  <c r="X319" i="21"/>
  <c r="AB319" i="21"/>
  <c r="Y319" i="21"/>
  <c r="Z319" i="21"/>
  <c r="AA319" i="21"/>
  <c r="N319" i="21"/>
  <c r="L319" i="21"/>
  <c r="M319" i="21"/>
  <c r="I319" i="21"/>
  <c r="K319" i="21"/>
  <c r="F319" i="21"/>
  <c r="G319" i="21"/>
  <c r="AH318" i="21"/>
  <c r="AG318" i="21"/>
  <c r="AF318" i="21"/>
  <c r="AE318" i="21"/>
  <c r="AC318" i="21"/>
  <c r="W318" i="21"/>
  <c r="U318" i="21"/>
  <c r="A320" i="21"/>
  <c r="D319" i="21"/>
  <c r="AD319" i="21" s="1"/>
  <c r="C319" i="21"/>
  <c r="E319" i="21"/>
  <c r="B319" i="21"/>
  <c r="O319" i="21" l="1"/>
  <c r="R319" i="21"/>
  <c r="AH319" i="21"/>
  <c r="AG319" i="21"/>
  <c r="AF319" i="21"/>
  <c r="AE319" i="21"/>
  <c r="AC319" i="21"/>
  <c r="X320" i="21"/>
  <c r="AB320" i="21"/>
  <c r="Y320" i="21"/>
  <c r="Z320" i="21"/>
  <c r="AA320" i="21"/>
  <c r="M320" i="21"/>
  <c r="N320" i="21"/>
  <c r="L320" i="21"/>
  <c r="I320" i="21"/>
  <c r="K320" i="21"/>
  <c r="F320" i="21"/>
  <c r="G320" i="21"/>
  <c r="C320" i="21"/>
  <c r="B320" i="21"/>
  <c r="E320" i="21"/>
  <c r="D320" i="21"/>
  <c r="AD320" i="21" s="1"/>
  <c r="A321" i="21"/>
  <c r="W319" i="21"/>
  <c r="U319" i="21"/>
  <c r="O320" i="21" l="1"/>
  <c r="R320" i="21"/>
  <c r="X321" i="21"/>
  <c r="AB321" i="21"/>
  <c r="Y321" i="21"/>
  <c r="Z321" i="21"/>
  <c r="AA321" i="21"/>
  <c r="M321" i="21"/>
  <c r="N321" i="21"/>
  <c r="L321" i="21"/>
  <c r="I321" i="21"/>
  <c r="K321" i="21"/>
  <c r="G321" i="21"/>
  <c r="F321" i="21"/>
  <c r="AH320" i="21"/>
  <c r="AG320" i="21"/>
  <c r="AF320" i="21"/>
  <c r="AC320" i="21"/>
  <c r="AE320" i="21"/>
  <c r="U320" i="21"/>
  <c r="W320" i="21"/>
  <c r="A322" i="21"/>
  <c r="D321" i="21"/>
  <c r="AD321" i="21" s="1"/>
  <c r="C321" i="21"/>
  <c r="E321" i="21"/>
  <c r="B321" i="21"/>
  <c r="O321" i="21" l="1"/>
  <c r="R321" i="21"/>
  <c r="AH321" i="21"/>
  <c r="AG321" i="21"/>
  <c r="AF321" i="21"/>
  <c r="AE321" i="21"/>
  <c r="AC321" i="21"/>
  <c r="Y322" i="21"/>
  <c r="Z322" i="21"/>
  <c r="AA322" i="21"/>
  <c r="X322" i="21"/>
  <c r="AB322" i="21"/>
  <c r="M322" i="21"/>
  <c r="N322" i="21"/>
  <c r="L322" i="21"/>
  <c r="I322" i="21"/>
  <c r="K322" i="21"/>
  <c r="G322" i="21"/>
  <c r="F322" i="21"/>
  <c r="W321" i="21"/>
  <c r="U321" i="21"/>
  <c r="A323" i="21"/>
  <c r="E322" i="21"/>
  <c r="D322" i="21"/>
  <c r="AD322" i="21" s="1"/>
  <c r="C322" i="21"/>
  <c r="B322" i="21"/>
  <c r="O322" i="21" l="1"/>
  <c r="R322" i="21"/>
  <c r="AH322" i="21"/>
  <c r="AG322" i="21"/>
  <c r="AF322" i="21"/>
  <c r="AE322" i="21"/>
  <c r="AC322" i="21"/>
  <c r="Y323" i="21"/>
  <c r="Z323" i="21"/>
  <c r="AA323" i="21"/>
  <c r="X323" i="21"/>
  <c r="AB323" i="21"/>
  <c r="M323" i="21"/>
  <c r="N323" i="21"/>
  <c r="L323" i="21"/>
  <c r="I323" i="21"/>
  <c r="K323" i="21"/>
  <c r="G323" i="21"/>
  <c r="F323" i="21"/>
  <c r="A324" i="21"/>
  <c r="D323" i="21"/>
  <c r="AD323" i="21" s="1"/>
  <c r="C323" i="21"/>
  <c r="B323" i="21"/>
  <c r="E323" i="21"/>
  <c r="U322" i="21"/>
  <c r="W322" i="21"/>
  <c r="O323" i="21" l="1"/>
  <c r="R323" i="21"/>
  <c r="AH323" i="21"/>
  <c r="AG323" i="21"/>
  <c r="AF323" i="21"/>
  <c r="AE323" i="21"/>
  <c r="AC323" i="21"/>
  <c r="Y324" i="21"/>
  <c r="Z324" i="21"/>
  <c r="X324" i="21"/>
  <c r="AB324" i="21"/>
  <c r="AA324" i="21"/>
  <c r="M324" i="21"/>
  <c r="N324" i="21"/>
  <c r="L324" i="21"/>
  <c r="I324" i="21"/>
  <c r="K324" i="21"/>
  <c r="G324" i="21"/>
  <c r="F324" i="21"/>
  <c r="W323" i="21"/>
  <c r="U323" i="21"/>
  <c r="E324" i="21"/>
  <c r="D324" i="21"/>
  <c r="AD324" i="21" s="1"/>
  <c r="C324" i="21"/>
  <c r="B324" i="21"/>
  <c r="A325" i="21"/>
  <c r="O324" i="21" l="1"/>
  <c r="R324" i="21"/>
  <c r="X325" i="21"/>
  <c r="AB325" i="21"/>
  <c r="Y325" i="21"/>
  <c r="Z325" i="21"/>
  <c r="AA325" i="21"/>
  <c r="N325" i="21"/>
  <c r="K325" i="21"/>
  <c r="M325" i="21"/>
  <c r="L325" i="21"/>
  <c r="I325" i="21"/>
  <c r="G325" i="21"/>
  <c r="F325" i="21"/>
  <c r="AH324" i="21"/>
  <c r="AG324" i="21"/>
  <c r="AF324" i="21"/>
  <c r="AE324" i="21"/>
  <c r="AC324" i="21"/>
  <c r="E325" i="21"/>
  <c r="D325" i="21"/>
  <c r="AD325" i="21" s="1"/>
  <c r="C325" i="21"/>
  <c r="B325" i="21"/>
  <c r="A326" i="21"/>
  <c r="W324" i="21"/>
  <c r="U324" i="21"/>
  <c r="O325" i="21" l="1"/>
  <c r="R325" i="21"/>
  <c r="Y326" i="21"/>
  <c r="Z326" i="21"/>
  <c r="AA326" i="21"/>
  <c r="X326" i="21"/>
  <c r="AB326" i="21"/>
  <c r="L326" i="21"/>
  <c r="M326" i="21"/>
  <c r="N326" i="21"/>
  <c r="K326" i="21"/>
  <c r="I326" i="21"/>
  <c r="G326" i="21"/>
  <c r="F326" i="21"/>
  <c r="AH325" i="21"/>
  <c r="AG325" i="21"/>
  <c r="AF325" i="21"/>
  <c r="AE325" i="21"/>
  <c r="AC325" i="21"/>
  <c r="W325" i="21"/>
  <c r="U325" i="21"/>
  <c r="E326" i="21"/>
  <c r="D326" i="21"/>
  <c r="AD326" i="21" s="1"/>
  <c r="C326" i="21"/>
  <c r="B326" i="21"/>
  <c r="A327" i="21"/>
  <c r="O326" i="21" l="1"/>
  <c r="R326" i="21"/>
  <c r="Y327" i="21"/>
  <c r="Z327" i="21"/>
  <c r="AA327" i="21"/>
  <c r="X327" i="21"/>
  <c r="AB327" i="21"/>
  <c r="L327" i="21"/>
  <c r="M327" i="21"/>
  <c r="N327" i="21"/>
  <c r="K327" i="21"/>
  <c r="I327" i="21"/>
  <c r="G327" i="21"/>
  <c r="F327" i="21"/>
  <c r="AH326" i="21"/>
  <c r="AG326" i="21"/>
  <c r="AF326" i="21"/>
  <c r="AE326" i="21"/>
  <c r="AC326" i="21"/>
  <c r="W326" i="21"/>
  <c r="U326" i="21"/>
  <c r="A328" i="21"/>
  <c r="D327" i="21"/>
  <c r="AD327" i="21" s="1"/>
  <c r="C327" i="21"/>
  <c r="E327" i="21"/>
  <c r="B327" i="21"/>
  <c r="O327" i="21" l="1"/>
  <c r="R327" i="21"/>
  <c r="AH327" i="21"/>
  <c r="AG327" i="21"/>
  <c r="AF327" i="21"/>
  <c r="AE327" i="21"/>
  <c r="AC327" i="21"/>
  <c r="AB328" i="21"/>
  <c r="Y328" i="21"/>
  <c r="Z328" i="21"/>
  <c r="AA328" i="21"/>
  <c r="X328" i="21"/>
  <c r="L328" i="21"/>
  <c r="M328" i="21"/>
  <c r="N328" i="21"/>
  <c r="G328" i="21"/>
  <c r="K328" i="21"/>
  <c r="I328" i="21"/>
  <c r="F328" i="21"/>
  <c r="W327" i="21"/>
  <c r="U327" i="21"/>
  <c r="E328" i="21"/>
  <c r="D328" i="21"/>
  <c r="AD328" i="21" s="1"/>
  <c r="C328" i="21"/>
  <c r="A329" i="21"/>
  <c r="B328" i="21"/>
  <c r="O328" i="21" l="1"/>
  <c r="R328" i="21"/>
  <c r="X329" i="21"/>
  <c r="AB329" i="21"/>
  <c r="Y329" i="21"/>
  <c r="Z329" i="21"/>
  <c r="AA329" i="21"/>
  <c r="L329" i="21"/>
  <c r="M329" i="21"/>
  <c r="N329" i="21"/>
  <c r="K329" i="21"/>
  <c r="I329" i="21"/>
  <c r="G329" i="21"/>
  <c r="F329" i="21"/>
  <c r="AH328" i="21"/>
  <c r="AG328" i="21"/>
  <c r="AE328" i="21"/>
  <c r="AF328" i="21"/>
  <c r="AC328" i="21"/>
  <c r="W328" i="21"/>
  <c r="U328" i="21"/>
  <c r="A330" i="21"/>
  <c r="B329" i="21"/>
  <c r="E329" i="21"/>
  <c r="D329" i="21"/>
  <c r="AD329" i="21" s="1"/>
  <c r="C329" i="21"/>
  <c r="O329" i="21" l="1"/>
  <c r="R329" i="21"/>
  <c r="AH329" i="21"/>
  <c r="AG329" i="21"/>
  <c r="AF329" i="21"/>
  <c r="AE329" i="21"/>
  <c r="AC329" i="21"/>
  <c r="Y330" i="21"/>
  <c r="Z330" i="21"/>
  <c r="X330" i="21"/>
  <c r="AB330" i="21"/>
  <c r="AA330" i="21"/>
  <c r="L330" i="21"/>
  <c r="M330" i="21"/>
  <c r="N330" i="21"/>
  <c r="K330" i="21"/>
  <c r="I330" i="21"/>
  <c r="G330" i="21"/>
  <c r="F330" i="21"/>
  <c r="W329" i="21"/>
  <c r="U329" i="21"/>
  <c r="A331" i="21"/>
  <c r="E330" i="21"/>
  <c r="D330" i="21"/>
  <c r="AD330" i="21" s="1"/>
  <c r="C330" i="21"/>
  <c r="B330" i="21"/>
  <c r="O330" i="21" l="1"/>
  <c r="R330" i="21"/>
  <c r="AH330" i="21"/>
  <c r="AG330" i="21"/>
  <c r="AF330" i="21"/>
  <c r="AE330" i="21"/>
  <c r="AC330" i="21"/>
  <c r="X331" i="21"/>
  <c r="AB331" i="21"/>
  <c r="Y331" i="21"/>
  <c r="Z331" i="21"/>
  <c r="AA331" i="21"/>
  <c r="N331" i="21"/>
  <c r="L331" i="21"/>
  <c r="M331" i="21"/>
  <c r="K331" i="21"/>
  <c r="I331" i="21"/>
  <c r="F331" i="21"/>
  <c r="G331" i="21"/>
  <c r="U330" i="21"/>
  <c r="W330" i="21"/>
  <c r="A332" i="21"/>
  <c r="D331" i="21"/>
  <c r="AD331" i="21" s="1"/>
  <c r="C331" i="21"/>
  <c r="B331" i="21"/>
  <c r="E331" i="21"/>
  <c r="O331" i="21" l="1"/>
  <c r="R331" i="21"/>
  <c r="AH331" i="21"/>
  <c r="AG331" i="21"/>
  <c r="AF331" i="21"/>
  <c r="AE331" i="21"/>
  <c r="AC331" i="21"/>
  <c r="X332" i="21"/>
  <c r="AB332" i="21"/>
  <c r="Y332" i="21"/>
  <c r="Z332" i="21"/>
  <c r="AA332" i="21"/>
  <c r="M332" i="21"/>
  <c r="N332" i="21"/>
  <c r="L332" i="21"/>
  <c r="K332" i="21"/>
  <c r="I332" i="21"/>
  <c r="F332" i="21"/>
  <c r="G332" i="21"/>
  <c r="W331" i="21"/>
  <c r="U331" i="21"/>
  <c r="E332" i="21"/>
  <c r="D332" i="21"/>
  <c r="AD332" i="21" s="1"/>
  <c r="C332" i="21"/>
  <c r="B332" i="21"/>
  <c r="A333" i="21"/>
  <c r="O332" i="21" l="1"/>
  <c r="R332" i="21"/>
  <c r="X333" i="21"/>
  <c r="AB333" i="21"/>
  <c r="Y333" i="21"/>
  <c r="Z333" i="21"/>
  <c r="AA333" i="21"/>
  <c r="M333" i="21"/>
  <c r="N333" i="21"/>
  <c r="L333" i="21"/>
  <c r="K333" i="21"/>
  <c r="I333" i="21"/>
  <c r="F333" i="21"/>
  <c r="G333" i="21"/>
  <c r="AH332" i="21"/>
  <c r="AG332" i="21"/>
  <c r="AF332" i="21"/>
  <c r="AE332" i="21"/>
  <c r="AC332" i="21"/>
  <c r="W332" i="21"/>
  <c r="U332" i="21"/>
  <c r="E333" i="21"/>
  <c r="D333" i="21"/>
  <c r="AD333" i="21" s="1"/>
  <c r="C333" i="21"/>
  <c r="B333" i="21"/>
  <c r="A334" i="21"/>
  <c r="O333" i="21" l="1"/>
  <c r="R333" i="21"/>
  <c r="Y334" i="21"/>
  <c r="Z334" i="21"/>
  <c r="AA334" i="21"/>
  <c r="X334" i="21"/>
  <c r="AB334" i="21"/>
  <c r="M334" i="21"/>
  <c r="N334" i="21"/>
  <c r="L334" i="21"/>
  <c r="K334" i="21"/>
  <c r="I334" i="21"/>
  <c r="F334" i="21"/>
  <c r="G334" i="21"/>
  <c r="AH333" i="21"/>
  <c r="AG333" i="21"/>
  <c r="AF333" i="21"/>
  <c r="AE333" i="21"/>
  <c r="AC333" i="21"/>
  <c r="W333" i="21"/>
  <c r="U333" i="21"/>
  <c r="A335" i="21"/>
  <c r="D334" i="21"/>
  <c r="AD334" i="21" s="1"/>
  <c r="C334" i="21"/>
  <c r="E334" i="21"/>
  <c r="B334" i="21"/>
  <c r="R334" i="21" l="1"/>
  <c r="O334" i="21"/>
  <c r="AH334" i="21"/>
  <c r="AG334" i="21"/>
  <c r="AF334" i="21"/>
  <c r="AE334" i="21"/>
  <c r="AC334" i="21"/>
  <c r="Y335" i="21"/>
  <c r="Z335" i="21"/>
  <c r="AA335" i="21"/>
  <c r="X335" i="21"/>
  <c r="AB335" i="21"/>
  <c r="M335" i="21"/>
  <c r="N335" i="21"/>
  <c r="L335" i="21"/>
  <c r="K335" i="21"/>
  <c r="I335" i="21"/>
  <c r="F335" i="21"/>
  <c r="G335" i="21"/>
  <c r="W334" i="21"/>
  <c r="U334" i="21"/>
  <c r="E335" i="21"/>
  <c r="C335" i="21"/>
  <c r="A336" i="21"/>
  <c r="D335" i="21"/>
  <c r="AD335" i="21" s="1"/>
  <c r="B335" i="21"/>
  <c r="O335" i="21" l="1"/>
  <c r="R335" i="21"/>
  <c r="AH335" i="21"/>
  <c r="AG335" i="21"/>
  <c r="AF335" i="21"/>
  <c r="AE335" i="21"/>
  <c r="AC335" i="21"/>
  <c r="Y336" i="21"/>
  <c r="Z336" i="21"/>
  <c r="X336" i="21"/>
  <c r="AB336" i="21"/>
  <c r="AA336" i="21"/>
  <c r="M336" i="21"/>
  <c r="N336" i="21"/>
  <c r="L336" i="21"/>
  <c r="K336" i="21"/>
  <c r="I336" i="21"/>
  <c r="F336" i="21"/>
  <c r="G336" i="21"/>
  <c r="U335" i="21"/>
  <c r="W335" i="21"/>
  <c r="B336" i="21"/>
  <c r="E336" i="21"/>
  <c r="D336" i="21"/>
  <c r="AD336" i="21" s="1"/>
  <c r="A337" i="21"/>
  <c r="C336" i="21"/>
  <c r="O336" i="21" l="1"/>
  <c r="R336" i="21"/>
  <c r="X337" i="21"/>
  <c r="AB337" i="21"/>
  <c r="Y337" i="21"/>
  <c r="Z337" i="21"/>
  <c r="AA337" i="21"/>
  <c r="N337" i="21"/>
  <c r="K337" i="21"/>
  <c r="M337" i="21"/>
  <c r="L337" i="21"/>
  <c r="I337" i="21"/>
  <c r="G337" i="21"/>
  <c r="F337" i="21"/>
  <c r="AH336" i="21"/>
  <c r="AG336" i="21"/>
  <c r="AF336" i="21"/>
  <c r="AE336" i="21"/>
  <c r="AC336" i="21"/>
  <c r="A338" i="21"/>
  <c r="B337" i="21"/>
  <c r="E337" i="21"/>
  <c r="D337" i="21"/>
  <c r="AD337" i="21" s="1"/>
  <c r="C337" i="21"/>
  <c r="W336" i="21"/>
  <c r="U336" i="21"/>
  <c r="O337" i="21" l="1"/>
  <c r="R337" i="21"/>
  <c r="AH337" i="21"/>
  <c r="AG337" i="21"/>
  <c r="AF337" i="21"/>
  <c r="AE337" i="21"/>
  <c r="AC337" i="21"/>
  <c r="Y338" i="21"/>
  <c r="Z338" i="21"/>
  <c r="AA338" i="21"/>
  <c r="X338" i="21"/>
  <c r="AB338" i="21"/>
  <c r="L338" i="21"/>
  <c r="M338" i="21"/>
  <c r="N338" i="21"/>
  <c r="K338" i="21"/>
  <c r="I338" i="21"/>
  <c r="G338" i="21"/>
  <c r="F338" i="21"/>
  <c r="A339" i="21"/>
  <c r="C338" i="21"/>
  <c r="D338" i="21"/>
  <c r="AD338" i="21" s="1"/>
  <c r="B338" i="21"/>
  <c r="E338" i="21"/>
  <c r="W337" i="21"/>
  <c r="U337" i="21"/>
  <c r="O338" i="21" l="1"/>
  <c r="R338" i="21"/>
  <c r="AH338" i="21"/>
  <c r="AG338" i="21"/>
  <c r="AF338" i="21"/>
  <c r="AE338" i="21"/>
  <c r="AC338" i="21"/>
  <c r="Y339" i="21"/>
  <c r="Z339" i="21"/>
  <c r="AA339" i="21"/>
  <c r="X339" i="21"/>
  <c r="AB339" i="21"/>
  <c r="L339" i="21"/>
  <c r="M339" i="21"/>
  <c r="N339" i="21"/>
  <c r="K339" i="21"/>
  <c r="I339" i="21"/>
  <c r="G339" i="21"/>
  <c r="F339" i="21"/>
  <c r="E339" i="21"/>
  <c r="A340" i="21"/>
  <c r="D339" i="21"/>
  <c r="AD339" i="21" s="1"/>
  <c r="C339" i="21"/>
  <c r="B339" i="21"/>
  <c r="W338" i="21"/>
  <c r="U338" i="21"/>
  <c r="O339" i="21" l="1"/>
  <c r="R339" i="21"/>
  <c r="AH339" i="21"/>
  <c r="AG339" i="21"/>
  <c r="AF339" i="21"/>
  <c r="AE339" i="21"/>
  <c r="AC339" i="21"/>
  <c r="AB340" i="21"/>
  <c r="Y340" i="21"/>
  <c r="Z340" i="21"/>
  <c r="AA340" i="21"/>
  <c r="X340" i="21"/>
  <c r="L340" i="21"/>
  <c r="M340" i="21"/>
  <c r="N340" i="21"/>
  <c r="G340" i="21"/>
  <c r="K340" i="21"/>
  <c r="I340" i="21"/>
  <c r="F340" i="21"/>
  <c r="B340" i="21"/>
  <c r="A341" i="21"/>
  <c r="C340" i="21"/>
  <c r="E340" i="21"/>
  <c r="D340" i="21"/>
  <c r="AD340" i="21" s="1"/>
  <c r="W339" i="21"/>
  <c r="U339" i="21"/>
  <c r="O340" i="21" l="1"/>
  <c r="R340" i="21"/>
  <c r="AH340" i="21"/>
  <c r="AG340" i="21"/>
  <c r="AE340" i="21"/>
  <c r="AF340" i="21"/>
  <c r="AC340" i="21"/>
  <c r="X341" i="21"/>
  <c r="AB341" i="21"/>
  <c r="Y341" i="21"/>
  <c r="Z341" i="21"/>
  <c r="AA341" i="21"/>
  <c r="L341" i="21"/>
  <c r="M341" i="21"/>
  <c r="N341" i="21"/>
  <c r="I341" i="21"/>
  <c r="K341" i="21"/>
  <c r="G341" i="21"/>
  <c r="F341" i="21"/>
  <c r="D341" i="21"/>
  <c r="AD341" i="21" s="1"/>
  <c r="C341" i="21"/>
  <c r="B341" i="21"/>
  <c r="E341" i="21"/>
  <c r="A342" i="21"/>
  <c r="W340" i="21"/>
  <c r="U340" i="21"/>
  <c r="O341" i="21" l="1"/>
  <c r="R341" i="21"/>
  <c r="Y342" i="21"/>
  <c r="Z342" i="21"/>
  <c r="X342" i="21"/>
  <c r="AB342" i="21"/>
  <c r="AA342" i="21"/>
  <c r="L342" i="21"/>
  <c r="M342" i="21"/>
  <c r="N342" i="21"/>
  <c r="K342" i="21"/>
  <c r="I342" i="21"/>
  <c r="G342" i="21"/>
  <c r="F342" i="21"/>
  <c r="AH341" i="21"/>
  <c r="AG341" i="21"/>
  <c r="AF341" i="21"/>
  <c r="AE341" i="21"/>
  <c r="AC341" i="21"/>
  <c r="A343" i="21"/>
  <c r="D342" i="21"/>
  <c r="AD342" i="21" s="1"/>
  <c r="C342" i="21"/>
  <c r="E342" i="21"/>
  <c r="B342" i="21"/>
  <c r="W341" i="21"/>
  <c r="U341" i="21"/>
  <c r="O342" i="21" l="1"/>
  <c r="R342" i="21"/>
  <c r="AH342" i="21"/>
  <c r="AG342" i="21"/>
  <c r="AF342" i="21"/>
  <c r="AE342" i="21"/>
  <c r="AC342" i="21"/>
  <c r="X343" i="21"/>
  <c r="AB343" i="21"/>
  <c r="Y343" i="21"/>
  <c r="Z343" i="21"/>
  <c r="AA343" i="21"/>
  <c r="N343" i="21"/>
  <c r="L343" i="21"/>
  <c r="M343" i="21"/>
  <c r="K343" i="21"/>
  <c r="I343" i="21"/>
  <c r="F343" i="21"/>
  <c r="G343" i="21"/>
  <c r="W342" i="21"/>
  <c r="U342" i="21"/>
  <c r="E343" i="21"/>
  <c r="A344" i="21"/>
  <c r="D343" i="21"/>
  <c r="AD343" i="21" s="1"/>
  <c r="C343" i="21"/>
  <c r="B343" i="21"/>
  <c r="O343" i="21" l="1"/>
  <c r="R343" i="21"/>
  <c r="AH343" i="21"/>
  <c r="AG343" i="21"/>
  <c r="AF343" i="21"/>
  <c r="AE343" i="21"/>
  <c r="AC343" i="21"/>
  <c r="X344" i="21"/>
  <c r="AB344" i="21"/>
  <c r="Y344" i="21"/>
  <c r="Z344" i="21"/>
  <c r="AA344" i="21"/>
  <c r="M344" i="21"/>
  <c r="N344" i="21"/>
  <c r="L344" i="21"/>
  <c r="K344" i="21"/>
  <c r="I344" i="21"/>
  <c r="F344" i="21"/>
  <c r="G344" i="21"/>
  <c r="W343" i="21"/>
  <c r="U343" i="21"/>
  <c r="B344" i="21"/>
  <c r="A345" i="21"/>
  <c r="E344" i="21"/>
  <c r="D344" i="21"/>
  <c r="AD344" i="21" s="1"/>
  <c r="C344" i="21"/>
  <c r="O344" i="21" l="1"/>
  <c r="R344" i="21"/>
  <c r="AH344" i="21"/>
  <c r="AG344" i="21"/>
  <c r="AF344" i="21"/>
  <c r="AC344" i="21"/>
  <c r="AE344" i="21"/>
  <c r="X345" i="21"/>
  <c r="AB345" i="21"/>
  <c r="Y345" i="21"/>
  <c r="Z345" i="21"/>
  <c r="AA345" i="21"/>
  <c r="M345" i="21"/>
  <c r="N345" i="21"/>
  <c r="L345" i="21"/>
  <c r="K345" i="21"/>
  <c r="I345" i="21"/>
  <c r="F345" i="21"/>
  <c r="G345" i="21"/>
  <c r="B345" i="21"/>
  <c r="E345" i="21"/>
  <c r="D345" i="21"/>
  <c r="AD345" i="21" s="1"/>
  <c r="C345" i="21"/>
  <c r="A346" i="21"/>
  <c r="W344" i="21"/>
  <c r="U344" i="21"/>
  <c r="O345" i="21" l="1"/>
  <c r="R345" i="21"/>
  <c r="Y346" i="21"/>
  <c r="Z346" i="21"/>
  <c r="AA346" i="21"/>
  <c r="X346" i="21"/>
  <c r="AB346" i="21"/>
  <c r="M346" i="21"/>
  <c r="N346" i="21"/>
  <c r="L346" i="21"/>
  <c r="K346" i="21"/>
  <c r="I346" i="21"/>
  <c r="F346" i="21"/>
  <c r="G346" i="21"/>
  <c r="AH345" i="21"/>
  <c r="AG345" i="21"/>
  <c r="AF345" i="21"/>
  <c r="AE345" i="21"/>
  <c r="AC345" i="21"/>
  <c r="A347" i="21"/>
  <c r="D346" i="21"/>
  <c r="AD346" i="21" s="1"/>
  <c r="C346" i="21"/>
  <c r="E346" i="21"/>
  <c r="B346" i="21"/>
  <c r="W345" i="21"/>
  <c r="U345" i="21"/>
  <c r="O346" i="21" l="1"/>
  <c r="R346" i="21"/>
  <c r="AH346" i="21"/>
  <c r="AG346" i="21"/>
  <c r="AF346" i="21"/>
  <c r="AE346" i="21"/>
  <c r="AC346" i="21"/>
  <c r="Y347" i="21"/>
  <c r="Z347" i="21"/>
  <c r="AA347" i="21"/>
  <c r="X347" i="21"/>
  <c r="AB347" i="21"/>
  <c r="M347" i="21"/>
  <c r="N347" i="21"/>
  <c r="L347" i="21"/>
  <c r="K347" i="21"/>
  <c r="I347" i="21"/>
  <c r="F347" i="21"/>
  <c r="G347" i="21"/>
  <c r="E347" i="21"/>
  <c r="A348" i="21"/>
  <c r="D347" i="21"/>
  <c r="AD347" i="21" s="1"/>
  <c r="C347" i="21"/>
  <c r="B347" i="21"/>
  <c r="W346" i="21"/>
  <c r="U346" i="21"/>
  <c r="O347" i="21" l="1"/>
  <c r="R347" i="21"/>
  <c r="AH347" i="21"/>
  <c r="AG347" i="21"/>
  <c r="AF347" i="21"/>
  <c r="AE347" i="21"/>
  <c r="AC347" i="21"/>
  <c r="Y348" i="21"/>
  <c r="Z348" i="21"/>
  <c r="X348" i="21"/>
  <c r="AB348" i="21"/>
  <c r="AA348" i="21"/>
  <c r="M348" i="21"/>
  <c r="N348" i="21"/>
  <c r="L348" i="21"/>
  <c r="K348" i="21"/>
  <c r="I348" i="21"/>
  <c r="F348" i="21"/>
  <c r="G348" i="21"/>
  <c r="B348" i="21"/>
  <c r="C348" i="21"/>
  <c r="D348" i="21"/>
  <c r="AD348" i="21" s="1"/>
  <c r="A349" i="21"/>
  <c r="E348" i="21"/>
  <c r="W347" i="21"/>
  <c r="U347" i="21"/>
  <c r="O348" i="21" l="1"/>
  <c r="R348" i="21"/>
  <c r="X349" i="21"/>
  <c r="AB349" i="21"/>
  <c r="Y349" i="21"/>
  <c r="Z349" i="21"/>
  <c r="AA349" i="21"/>
  <c r="N349" i="21"/>
  <c r="K349" i="21"/>
  <c r="M349" i="21"/>
  <c r="L349" i="21"/>
  <c r="I349" i="21"/>
  <c r="G349" i="21"/>
  <c r="F349" i="21"/>
  <c r="AH348" i="21"/>
  <c r="AG348" i="21"/>
  <c r="AF348" i="21"/>
  <c r="AE348" i="21"/>
  <c r="AC348" i="21"/>
  <c r="W348" i="21"/>
  <c r="U348" i="21"/>
  <c r="B349" i="21"/>
  <c r="E349" i="21"/>
  <c r="D349" i="21"/>
  <c r="AD349" i="21" s="1"/>
  <c r="C349" i="21"/>
  <c r="A350" i="21"/>
  <c r="O349" i="21" l="1"/>
  <c r="R349" i="21"/>
  <c r="Y350" i="21"/>
  <c r="Z350" i="21"/>
  <c r="AA350" i="21"/>
  <c r="X350" i="21"/>
  <c r="AB350" i="21"/>
  <c r="L350" i="21"/>
  <c r="M350" i="21"/>
  <c r="N350" i="21"/>
  <c r="K350" i="21"/>
  <c r="I350" i="21"/>
  <c r="G350" i="21"/>
  <c r="F350" i="21"/>
  <c r="AH349" i="21"/>
  <c r="AG349" i="21"/>
  <c r="AF349" i="21"/>
  <c r="AE349" i="21"/>
  <c r="AC349" i="21"/>
  <c r="U349" i="21"/>
  <c r="W349" i="21"/>
  <c r="A351" i="21"/>
  <c r="D350" i="21"/>
  <c r="AD350" i="21" s="1"/>
  <c r="C350" i="21"/>
  <c r="E350" i="21"/>
  <c r="B350" i="21"/>
  <c r="R350" i="21" l="1"/>
  <c r="O350" i="21"/>
  <c r="AH350" i="21"/>
  <c r="AG350" i="21"/>
  <c r="AF350" i="21"/>
  <c r="AE350" i="21"/>
  <c r="AC350" i="21"/>
  <c r="Y351" i="21"/>
  <c r="Z351" i="21"/>
  <c r="AA351" i="21"/>
  <c r="X351" i="21"/>
  <c r="AB351" i="21"/>
  <c r="L351" i="21"/>
  <c r="M351" i="21"/>
  <c r="N351" i="21"/>
  <c r="K351" i="21"/>
  <c r="I351" i="21"/>
  <c r="G351" i="21"/>
  <c r="F351" i="21"/>
  <c r="W350" i="21"/>
  <c r="U350" i="21"/>
  <c r="E351" i="21"/>
  <c r="A352" i="21"/>
  <c r="D351" i="21"/>
  <c r="AD351" i="21" s="1"/>
  <c r="C351" i="21"/>
  <c r="B351" i="21"/>
  <c r="O351" i="21" l="1"/>
  <c r="R351" i="21"/>
  <c r="AH351" i="21"/>
  <c r="AG351" i="21"/>
  <c r="AF351" i="21"/>
  <c r="AE351" i="21"/>
  <c r="AC351" i="21"/>
  <c r="AB352" i="21"/>
  <c r="Y352" i="21"/>
  <c r="Z352" i="21"/>
  <c r="AA352" i="21"/>
  <c r="X352" i="21"/>
  <c r="L352" i="21"/>
  <c r="M352" i="21"/>
  <c r="N352" i="21"/>
  <c r="G352" i="21"/>
  <c r="K352" i="21"/>
  <c r="I352" i="21"/>
  <c r="F352" i="21"/>
  <c r="B352" i="21"/>
  <c r="D352" i="21"/>
  <c r="AD352" i="21" s="1"/>
  <c r="A353" i="21"/>
  <c r="C352" i="21"/>
  <c r="E352" i="21"/>
  <c r="W351" i="21"/>
  <c r="U351" i="21"/>
  <c r="O352" i="21" l="1"/>
  <c r="R352" i="21"/>
  <c r="X353" i="21"/>
  <c r="AB353" i="21"/>
  <c r="Y353" i="21"/>
  <c r="Z353" i="21"/>
  <c r="AA353" i="21"/>
  <c r="L353" i="21"/>
  <c r="M353" i="21"/>
  <c r="N353" i="21"/>
  <c r="I353" i="21"/>
  <c r="K353" i="21"/>
  <c r="G353" i="21"/>
  <c r="F353" i="21"/>
  <c r="AH352" i="21"/>
  <c r="AG352" i="21"/>
  <c r="AE352" i="21"/>
  <c r="AF352" i="21"/>
  <c r="AC352" i="21"/>
  <c r="A354" i="21"/>
  <c r="E353" i="21"/>
  <c r="B353" i="21"/>
  <c r="D353" i="21"/>
  <c r="AD353" i="21" s="1"/>
  <c r="C353" i="21"/>
  <c r="W352" i="21"/>
  <c r="U352" i="21"/>
  <c r="O353" i="21" l="1"/>
  <c r="R353" i="21"/>
  <c r="AH353" i="21"/>
  <c r="AG353" i="21"/>
  <c r="AF353" i="21"/>
  <c r="AE353" i="21"/>
  <c r="AC353" i="21"/>
  <c r="Y354" i="21"/>
  <c r="Z354" i="21"/>
  <c r="X354" i="21"/>
  <c r="AB354" i="21"/>
  <c r="AA354" i="21"/>
  <c r="L354" i="21"/>
  <c r="M354" i="21"/>
  <c r="N354" i="21"/>
  <c r="I354" i="21"/>
  <c r="K354" i="21"/>
  <c r="G354" i="21"/>
  <c r="F354" i="21"/>
  <c r="A355" i="21"/>
  <c r="D354" i="21"/>
  <c r="AD354" i="21" s="1"/>
  <c r="C354" i="21"/>
  <c r="B354" i="21"/>
  <c r="E354" i="21"/>
  <c r="U353" i="21"/>
  <c r="W353" i="21"/>
  <c r="O354" i="21" l="1"/>
  <c r="R354" i="21"/>
  <c r="AH354" i="21"/>
  <c r="AG354" i="21"/>
  <c r="AF354" i="21"/>
  <c r="AE354" i="21"/>
  <c r="AC354" i="21"/>
  <c r="X355" i="21"/>
  <c r="AB355" i="21"/>
  <c r="Y355" i="21"/>
  <c r="Z355" i="21"/>
  <c r="AA355" i="21"/>
  <c r="N355" i="21"/>
  <c r="L355" i="21"/>
  <c r="M355" i="21"/>
  <c r="K355" i="21"/>
  <c r="I355" i="21"/>
  <c r="F355" i="21"/>
  <c r="G355" i="21"/>
  <c r="E355" i="21"/>
  <c r="A356" i="21"/>
  <c r="D355" i="21"/>
  <c r="AD355" i="21" s="1"/>
  <c r="C355" i="21"/>
  <c r="B355" i="21"/>
  <c r="W354" i="21"/>
  <c r="U354" i="21"/>
  <c r="O355" i="21" l="1"/>
  <c r="R355" i="21"/>
  <c r="AH355" i="21"/>
  <c r="AG355" i="21"/>
  <c r="AF355" i="21"/>
  <c r="AE355" i="21"/>
  <c r="AC355" i="21"/>
  <c r="X356" i="21"/>
  <c r="AB356" i="21"/>
  <c r="Y356" i="21"/>
  <c r="Z356" i="21"/>
  <c r="AA356" i="21"/>
  <c r="M356" i="21"/>
  <c r="N356" i="21"/>
  <c r="L356" i="21"/>
  <c r="K356" i="21"/>
  <c r="I356" i="21"/>
  <c r="F356" i="21"/>
  <c r="G356" i="21"/>
  <c r="W355" i="21"/>
  <c r="U355" i="21"/>
  <c r="B356" i="21"/>
  <c r="D356" i="21"/>
  <c r="AD356" i="21" s="1"/>
  <c r="A357" i="21"/>
  <c r="C356" i="21"/>
  <c r="E356" i="21"/>
  <c r="O356" i="21" l="1"/>
  <c r="R356" i="21"/>
  <c r="X357" i="21"/>
  <c r="AB357" i="21"/>
  <c r="Y357" i="21"/>
  <c r="Z357" i="21"/>
  <c r="AA357" i="21"/>
  <c r="M357" i="21"/>
  <c r="N357" i="21"/>
  <c r="L357" i="21"/>
  <c r="K357" i="21"/>
  <c r="I357" i="21"/>
  <c r="G357" i="21"/>
  <c r="F357" i="21"/>
  <c r="AH356" i="21"/>
  <c r="AG356" i="21"/>
  <c r="AF356" i="21"/>
  <c r="AC356" i="21"/>
  <c r="AE356" i="21"/>
  <c r="W356" i="21"/>
  <c r="U356" i="21"/>
  <c r="D357" i="21"/>
  <c r="AD357" i="21" s="1"/>
  <c r="C357" i="21"/>
  <c r="B357" i="21"/>
  <c r="E357" i="21"/>
  <c r="A358" i="21"/>
  <c r="O357" i="21" l="1"/>
  <c r="R357" i="21"/>
  <c r="Y358" i="21"/>
  <c r="Z358" i="21"/>
  <c r="AA358" i="21"/>
  <c r="X358" i="21"/>
  <c r="AB358" i="21"/>
  <c r="M358" i="21"/>
  <c r="N358" i="21"/>
  <c r="L358" i="21"/>
  <c r="K358" i="21"/>
  <c r="I358" i="21"/>
  <c r="G358" i="21"/>
  <c r="F358" i="21"/>
  <c r="AH357" i="21"/>
  <c r="AG357" i="21"/>
  <c r="AF357" i="21"/>
  <c r="AE357" i="21"/>
  <c r="AC357" i="21"/>
  <c r="U357" i="21"/>
  <c r="W357" i="21"/>
  <c r="A359" i="21"/>
  <c r="D358" i="21"/>
  <c r="AD358" i="21" s="1"/>
  <c r="C358" i="21"/>
  <c r="E358" i="21"/>
  <c r="B358" i="21"/>
  <c r="O358" i="21" l="1"/>
  <c r="R358" i="21"/>
  <c r="AH358" i="21"/>
  <c r="AG358" i="21"/>
  <c r="AF358" i="21"/>
  <c r="AE358" i="21"/>
  <c r="AC358" i="21"/>
  <c r="Y359" i="21"/>
  <c r="Z359" i="21"/>
  <c r="AA359" i="21"/>
  <c r="X359" i="21"/>
  <c r="AB359" i="21"/>
  <c r="M359" i="21"/>
  <c r="N359" i="21"/>
  <c r="L359" i="21"/>
  <c r="K359" i="21"/>
  <c r="I359" i="21"/>
  <c r="G359" i="21"/>
  <c r="F359" i="21"/>
  <c r="W358" i="21"/>
  <c r="U358" i="21"/>
  <c r="E359" i="21"/>
  <c r="A360" i="21"/>
  <c r="D359" i="21"/>
  <c r="AD359" i="21" s="1"/>
  <c r="C359" i="21"/>
  <c r="B359" i="21"/>
  <c r="O359" i="21" l="1"/>
  <c r="R359" i="21"/>
  <c r="AH359" i="21"/>
  <c r="AG359" i="21"/>
  <c r="AF359" i="21"/>
  <c r="AE359" i="21"/>
  <c r="AC359" i="21"/>
  <c r="Y360" i="21"/>
  <c r="Z360" i="21"/>
  <c r="X360" i="21"/>
  <c r="AB360" i="21"/>
  <c r="AA360" i="21"/>
  <c r="M360" i="21"/>
  <c r="N360" i="21"/>
  <c r="L360" i="21"/>
  <c r="K360" i="21"/>
  <c r="I360" i="21"/>
  <c r="G360" i="21"/>
  <c r="F360" i="21"/>
  <c r="B360" i="21"/>
  <c r="A361" i="21"/>
  <c r="E360" i="21"/>
  <c r="D360" i="21"/>
  <c r="AD360" i="21" s="1"/>
  <c r="C360" i="21"/>
  <c r="W359" i="21"/>
  <c r="U359" i="21"/>
  <c r="O360" i="21" l="1"/>
  <c r="R360" i="21"/>
  <c r="AH360" i="21"/>
  <c r="AG360" i="21"/>
  <c r="AF360" i="21"/>
  <c r="AE360" i="21"/>
  <c r="AC360" i="21"/>
  <c r="X361" i="21"/>
  <c r="AB361" i="21"/>
  <c r="Y361" i="21"/>
  <c r="Z361" i="21"/>
  <c r="AA361" i="21"/>
  <c r="N361" i="21"/>
  <c r="K361" i="21"/>
  <c r="M361" i="21"/>
  <c r="L361" i="21"/>
  <c r="I361" i="21"/>
  <c r="G361" i="21"/>
  <c r="F361" i="21"/>
  <c r="E361" i="21"/>
  <c r="D361" i="21"/>
  <c r="AD361" i="21" s="1"/>
  <c r="C361" i="21"/>
  <c r="A362" i="21"/>
  <c r="B361" i="21"/>
  <c r="W360" i="21"/>
  <c r="U360" i="21"/>
  <c r="O361" i="21" l="1"/>
  <c r="R361" i="21"/>
  <c r="Y362" i="21"/>
  <c r="Z362" i="21"/>
  <c r="AA362" i="21"/>
  <c r="X362" i="21"/>
  <c r="AB362" i="21"/>
  <c r="L362" i="21"/>
  <c r="M362" i="21"/>
  <c r="N362" i="21"/>
  <c r="K362" i="21"/>
  <c r="I362" i="21"/>
  <c r="G362" i="21"/>
  <c r="F362" i="21"/>
  <c r="AH361" i="21"/>
  <c r="AG361" i="21"/>
  <c r="AF361" i="21"/>
  <c r="AE361" i="21"/>
  <c r="AC361" i="21"/>
  <c r="W361" i="21"/>
  <c r="U361" i="21"/>
  <c r="A363" i="21"/>
  <c r="D362" i="21"/>
  <c r="AD362" i="21" s="1"/>
  <c r="C362" i="21"/>
  <c r="E362" i="21"/>
  <c r="B362" i="21"/>
  <c r="O362" i="21" l="1"/>
  <c r="R362" i="21"/>
  <c r="AH362" i="21"/>
  <c r="AG362" i="21"/>
  <c r="AF362" i="21"/>
  <c r="AE362" i="21"/>
  <c r="AC362" i="21"/>
  <c r="Y363" i="21"/>
  <c r="Z363" i="21"/>
  <c r="AA363" i="21"/>
  <c r="X363" i="21"/>
  <c r="AB363" i="21"/>
  <c r="L363" i="21"/>
  <c r="M363" i="21"/>
  <c r="N363" i="21"/>
  <c r="K363" i="21"/>
  <c r="I363" i="21"/>
  <c r="G363" i="21"/>
  <c r="F363" i="21"/>
  <c r="W362" i="21"/>
  <c r="U362" i="21"/>
  <c r="E363" i="21"/>
  <c r="A364" i="21"/>
  <c r="D363" i="21"/>
  <c r="AD363" i="21" s="1"/>
  <c r="C363" i="21"/>
  <c r="B363" i="21"/>
  <c r="O363" i="21" l="1"/>
  <c r="R363" i="21"/>
  <c r="AH363" i="21"/>
  <c r="AG363" i="21"/>
  <c r="AF363" i="21"/>
  <c r="AE363" i="21"/>
  <c r="AC363" i="21"/>
  <c r="AB364" i="21"/>
  <c r="Y364" i="21"/>
  <c r="Z364" i="21"/>
  <c r="AA364" i="21"/>
  <c r="X364" i="21"/>
  <c r="L364" i="21"/>
  <c r="M364" i="21"/>
  <c r="N364" i="21"/>
  <c r="G364" i="21"/>
  <c r="K364" i="21"/>
  <c r="I364" i="21"/>
  <c r="F364" i="21"/>
  <c r="W363" i="21"/>
  <c r="U363" i="21"/>
  <c r="B364" i="21"/>
  <c r="C364" i="21"/>
  <c r="E364" i="21"/>
  <c r="D364" i="21"/>
  <c r="AD364" i="21" s="1"/>
  <c r="A365" i="21"/>
  <c r="O364" i="21" l="1"/>
  <c r="R364" i="21"/>
  <c r="X365" i="21"/>
  <c r="AB365" i="21"/>
  <c r="Y365" i="21"/>
  <c r="Z365" i="21"/>
  <c r="AA365" i="21"/>
  <c r="L365" i="21"/>
  <c r="M365" i="21"/>
  <c r="N365" i="21"/>
  <c r="I365" i="21"/>
  <c r="K365" i="21"/>
  <c r="G365" i="21"/>
  <c r="F365" i="21"/>
  <c r="AH364" i="21"/>
  <c r="AG364" i="21"/>
  <c r="AE364" i="21"/>
  <c r="AF364" i="21"/>
  <c r="AC364" i="21"/>
  <c r="U364" i="21"/>
  <c r="W364" i="21"/>
  <c r="E365" i="21"/>
  <c r="A366" i="21"/>
  <c r="D365" i="21"/>
  <c r="AD365" i="21" s="1"/>
  <c r="C365" i="21"/>
  <c r="B365" i="21"/>
  <c r="O365" i="21" l="1"/>
  <c r="R365" i="21"/>
  <c r="AH365" i="21"/>
  <c r="AG365" i="21"/>
  <c r="AF365" i="21"/>
  <c r="AE365" i="21"/>
  <c r="AC365" i="21"/>
  <c r="Y366" i="21"/>
  <c r="Z366" i="21"/>
  <c r="X366" i="21"/>
  <c r="AB366" i="21"/>
  <c r="AA366" i="21"/>
  <c r="L366" i="21"/>
  <c r="M366" i="21"/>
  <c r="N366" i="21"/>
  <c r="I366" i="21"/>
  <c r="K366" i="21"/>
  <c r="G366" i="21"/>
  <c r="F366" i="21"/>
  <c r="A367" i="21"/>
  <c r="D366" i="21"/>
  <c r="AD366" i="21" s="1"/>
  <c r="C366" i="21"/>
  <c r="E366" i="21"/>
  <c r="B366" i="21"/>
  <c r="U365" i="21"/>
  <c r="W365" i="21"/>
  <c r="O366" i="21" l="1"/>
  <c r="R366" i="21"/>
  <c r="AH366" i="21"/>
  <c r="AG366" i="21"/>
  <c r="AF366" i="21"/>
  <c r="AE366" i="21"/>
  <c r="AC366" i="21"/>
  <c r="X367" i="21"/>
  <c r="AB367" i="21"/>
  <c r="Y367" i="21"/>
  <c r="Z367" i="21"/>
  <c r="AA367" i="21"/>
  <c r="N367" i="21"/>
  <c r="L367" i="21"/>
  <c r="M367" i="21"/>
  <c r="I367" i="21"/>
  <c r="K367" i="21"/>
  <c r="F367" i="21"/>
  <c r="G367" i="21"/>
  <c r="W366" i="21"/>
  <c r="U366" i="21"/>
  <c r="E367" i="21"/>
  <c r="A368" i="21"/>
  <c r="D367" i="21"/>
  <c r="AD367" i="21" s="1"/>
  <c r="C367" i="21"/>
  <c r="B367" i="21"/>
  <c r="O367" i="21" l="1"/>
  <c r="R367" i="21"/>
  <c r="AH367" i="21"/>
  <c r="AG367" i="21"/>
  <c r="AF367" i="21"/>
  <c r="AE367" i="21"/>
  <c r="AC367" i="21"/>
  <c r="X368" i="21"/>
  <c r="AB368" i="21"/>
  <c r="Y368" i="21"/>
  <c r="Z368" i="21"/>
  <c r="AA368" i="21"/>
  <c r="M368" i="21"/>
  <c r="N368" i="21"/>
  <c r="L368" i="21"/>
  <c r="K368" i="21"/>
  <c r="I368" i="21"/>
  <c r="F368" i="21"/>
  <c r="G368" i="21"/>
  <c r="B368" i="21"/>
  <c r="D368" i="21"/>
  <c r="AD368" i="21" s="1"/>
  <c r="C368" i="21"/>
  <c r="A369" i="21"/>
  <c r="C9" i="13" s="1"/>
  <c r="E368" i="21"/>
  <c r="W367" i="21"/>
  <c r="U367" i="21"/>
  <c r="O368" i="21" l="1"/>
  <c r="R368" i="21"/>
  <c r="X369" i="21"/>
  <c r="AB369" i="21"/>
  <c r="Y369" i="21"/>
  <c r="Z369" i="21"/>
  <c r="AA369" i="21"/>
  <c r="M369" i="21"/>
  <c r="N369" i="21"/>
  <c r="L369" i="21"/>
  <c r="K369" i="21"/>
  <c r="I369" i="21"/>
  <c r="F369" i="21"/>
  <c r="G369" i="21"/>
  <c r="C12" i="13"/>
  <c r="C18" i="13"/>
  <c r="D18" i="13"/>
  <c r="C15" i="13"/>
  <c r="AH368" i="21"/>
  <c r="AG368" i="21"/>
  <c r="AF368" i="21"/>
  <c r="AC368" i="21"/>
  <c r="AE368" i="21"/>
  <c r="W368" i="21"/>
  <c r="U368" i="21"/>
  <c r="C369" i="21"/>
  <c r="B369" i="21"/>
  <c r="D369" i="21"/>
  <c r="E369" i="21"/>
  <c r="AD369" i="21" l="1"/>
  <c r="Z51" i="22"/>
  <c r="Z40" i="22"/>
  <c r="Z17" i="22"/>
  <c r="Z32" i="22"/>
  <c r="Z60" i="22"/>
  <c r="Z61" i="22"/>
  <c r="Z19" i="22"/>
  <c r="Z52" i="22"/>
  <c r="Z35" i="22"/>
  <c r="Z39" i="22"/>
  <c r="Z22" i="22"/>
  <c r="Z4" i="22"/>
  <c r="Z37" i="22"/>
  <c r="Z92" i="22"/>
  <c r="Z55" i="22"/>
  <c r="Z88" i="22"/>
  <c r="Z28" i="22"/>
  <c r="Z57" i="22"/>
  <c r="Z91" i="22"/>
  <c r="Z89" i="22"/>
  <c r="Z18" i="22"/>
  <c r="Z44" i="22"/>
  <c r="Z23" i="22"/>
  <c r="Z24" i="22"/>
  <c r="Z33" i="22"/>
  <c r="Z49" i="22"/>
  <c r="Z14" i="22"/>
  <c r="Z93" i="22"/>
  <c r="Z27" i="22"/>
  <c r="Z20" i="22"/>
  <c r="Z5" i="22"/>
  <c r="Z26" i="22"/>
  <c r="Z30" i="22"/>
  <c r="Z94" i="22"/>
  <c r="Z34" i="22"/>
  <c r="Z31" i="22"/>
  <c r="Z36" i="22"/>
  <c r="Z2" i="22"/>
  <c r="Z46" i="22"/>
  <c r="Z7" i="22"/>
  <c r="Z53" i="22"/>
  <c r="Z95" i="22"/>
  <c r="Z43" i="22"/>
  <c r="Z45" i="22"/>
  <c r="Z9" i="22"/>
  <c r="Z38" i="22"/>
  <c r="Z90" i="22"/>
  <c r="Z6" i="22"/>
  <c r="Z59" i="22"/>
  <c r="Z48" i="22"/>
  <c r="Z25" i="22"/>
  <c r="Z21" i="22"/>
  <c r="Z15" i="22"/>
  <c r="Z54" i="22"/>
  <c r="Z47" i="22"/>
  <c r="Z96" i="22"/>
  <c r="Z10" i="22"/>
  <c r="Z56" i="22"/>
  <c r="Z29" i="22"/>
  <c r="Z13" i="22"/>
  <c r="Z50" i="22"/>
  <c r="Z8" i="22"/>
  <c r="Z58" i="22"/>
  <c r="Z16" i="22"/>
  <c r="Z11" i="22"/>
  <c r="Z42" i="22"/>
  <c r="Z3" i="22"/>
  <c r="Z41" i="22"/>
  <c r="Z97" i="22"/>
  <c r="Z12" i="22"/>
  <c r="O369" i="21"/>
  <c r="R369" i="21"/>
  <c r="AH369" i="21"/>
  <c r="AG369" i="21"/>
  <c r="AF369" i="21"/>
  <c r="AE369" i="21"/>
  <c r="AC369" i="21"/>
  <c r="D12" i="12"/>
  <c r="D20" i="12"/>
  <c r="Q2" i="22"/>
  <c r="D21" i="12"/>
  <c r="Q13" i="22"/>
  <c r="D16" i="12"/>
  <c r="Q10" i="22"/>
  <c r="Q11" i="22"/>
  <c r="D18" i="12"/>
  <c r="Q6" i="22"/>
  <c r="D11" i="12"/>
  <c r="Q4" i="22"/>
  <c r="D19" i="12"/>
  <c r="Q7" i="22"/>
  <c r="D15" i="12"/>
  <c r="Q5" i="22"/>
  <c r="Q8" i="22"/>
  <c r="D14" i="12"/>
  <c r="Q12" i="22"/>
  <c r="D13" i="12"/>
  <c r="Q9" i="22"/>
  <c r="Q3" i="22"/>
  <c r="D10" i="12"/>
  <c r="D17" i="12"/>
  <c r="Q88" i="22"/>
  <c r="B12" i="12" s="1"/>
  <c r="Q89" i="22"/>
  <c r="B13" i="12" s="1"/>
  <c r="Q90" i="22"/>
  <c r="B14" i="12" s="1"/>
  <c r="Q91" i="22"/>
  <c r="B15" i="12" s="1"/>
  <c r="Q92" i="22"/>
  <c r="B16" i="12" s="1"/>
  <c r="Q93" i="22"/>
  <c r="B17" i="12" s="1"/>
  <c r="Q94" i="22"/>
  <c r="B18" i="12" s="1"/>
  <c r="Q95" i="22"/>
  <c r="B19" i="12" s="1"/>
  <c r="Q96" i="22"/>
  <c r="B20" i="12" s="1"/>
  <c r="Q97" i="22"/>
  <c r="B21" i="12" s="1"/>
  <c r="U369" i="21"/>
  <c r="W369" i="21"/>
  <c r="R3" i="22" l="1"/>
  <c r="U3" i="22"/>
  <c r="X3" i="22" s="1"/>
  <c r="R9" i="22"/>
  <c r="U9" i="22"/>
  <c r="X9" i="22" s="1"/>
  <c r="U12" i="22"/>
  <c r="X12" i="22" s="1"/>
  <c r="R12" i="22"/>
  <c r="R8" i="22"/>
  <c r="U8" i="22"/>
  <c r="X8" i="22" s="1"/>
  <c r="U5" i="22"/>
  <c r="R5" i="22"/>
  <c r="S5" i="22" s="1"/>
  <c r="R7" i="22"/>
  <c r="U7" i="22"/>
  <c r="X7" i="22" s="1"/>
  <c r="U4" i="22"/>
  <c r="R4" i="22"/>
  <c r="S4" i="22" s="1"/>
  <c r="R6" i="22"/>
  <c r="U6" i="22"/>
  <c r="U11" i="22"/>
  <c r="X11" i="22" s="1"/>
  <c r="R11" i="22"/>
  <c r="R10" i="22"/>
  <c r="U10" i="22"/>
  <c r="X10" i="22" s="1"/>
  <c r="R13" i="22"/>
  <c r="U13" i="22"/>
  <c r="X13" i="22" s="1"/>
  <c r="U2" i="22"/>
  <c r="R2" i="22"/>
  <c r="U97" i="22"/>
  <c r="X97" i="22" s="1"/>
  <c r="R97" i="22"/>
  <c r="U96" i="22"/>
  <c r="X96" i="22" s="1"/>
  <c r="R96" i="22"/>
  <c r="U95" i="22"/>
  <c r="X95" i="22" s="1"/>
  <c r="R95" i="22"/>
  <c r="U94" i="22"/>
  <c r="X94" i="22" s="1"/>
  <c r="R94" i="22"/>
  <c r="U93" i="22"/>
  <c r="X93" i="22" s="1"/>
  <c r="R93" i="22"/>
  <c r="U92" i="22"/>
  <c r="X92" i="22" s="1"/>
  <c r="R92" i="22"/>
  <c r="U91" i="22"/>
  <c r="X91" i="22" s="1"/>
  <c r="R91" i="22"/>
  <c r="U90" i="22"/>
  <c r="X90" i="22" s="1"/>
  <c r="R90" i="22"/>
  <c r="U89" i="22"/>
  <c r="X89" i="22" s="1"/>
  <c r="R89" i="22"/>
  <c r="U88" i="22"/>
  <c r="X88" i="22" s="1"/>
  <c r="R88" i="22"/>
  <c r="S10" i="22" l="1"/>
  <c r="S3" i="22"/>
  <c r="S2" i="22"/>
  <c r="X2" i="22"/>
  <c r="V2" i="22"/>
  <c r="Y2" i="22" s="1"/>
  <c r="V3" i="22"/>
  <c r="Y3" i="22" s="1"/>
  <c r="X6" i="22"/>
  <c r="V8" i="22"/>
  <c r="Y8" i="22" s="1"/>
  <c r="V10" i="22"/>
  <c r="Y10" i="22" s="1"/>
  <c r="V13" i="22"/>
  <c r="Y13" i="22" s="1"/>
  <c r="V7" i="22"/>
  <c r="Y7" i="22" s="1"/>
  <c r="V6" i="22"/>
  <c r="Y6" i="22" s="1"/>
  <c r="V11" i="22"/>
  <c r="Y11" i="22" s="1"/>
  <c r="V9" i="22"/>
  <c r="Y9" i="22" s="1"/>
  <c r="V12" i="22"/>
  <c r="Y12" i="22" s="1"/>
  <c r="S6" i="22"/>
  <c r="S7" i="22"/>
  <c r="S13" i="22"/>
  <c r="S9" i="22"/>
  <c r="S11" i="22"/>
  <c r="S8" i="22"/>
  <c r="S12" i="22"/>
  <c r="X4" i="22"/>
  <c r="V4" i="22"/>
  <c r="Y4" i="22" s="1"/>
  <c r="X5" i="22"/>
  <c r="V5" i="22"/>
  <c r="Y5" i="22" s="1"/>
  <c r="W4" i="1" l="1"/>
  <c r="V4" i="6" s="1"/>
  <c r="X4" i="1"/>
  <c r="W4" i="6" s="1"/>
  <c r="Y4" i="1"/>
  <c r="X4" i="6" s="1"/>
  <c r="W5" i="1"/>
  <c r="V5" i="6" s="1"/>
  <c r="X5" i="1"/>
  <c r="W5" i="6" s="1"/>
  <c r="Y5" i="1"/>
  <c r="X5" i="6" s="1"/>
  <c r="W6" i="1"/>
  <c r="V6" i="6" s="1"/>
  <c r="X6" i="1"/>
  <c r="W6" i="6" s="1"/>
  <c r="Y6" i="1"/>
  <c r="X6" i="6" s="1"/>
  <c r="W7" i="1"/>
  <c r="V7" i="6" s="1"/>
  <c r="X7" i="1"/>
  <c r="W7" i="6" s="1"/>
  <c r="Y7" i="1"/>
  <c r="X7" i="6" s="1"/>
  <c r="W8" i="1"/>
  <c r="V8" i="6" s="1"/>
  <c r="X8" i="1"/>
  <c r="W8" i="6" s="1"/>
  <c r="Y8" i="1"/>
  <c r="X8" i="6" s="1"/>
  <c r="W9" i="1"/>
  <c r="V9" i="6" s="1"/>
  <c r="X9" i="1"/>
  <c r="W9" i="6" s="1"/>
  <c r="Y9" i="1"/>
  <c r="X9" i="6" s="1"/>
  <c r="W10" i="1"/>
  <c r="V10" i="6" s="1"/>
  <c r="X10" i="1"/>
  <c r="W10" i="6" s="1"/>
  <c r="Y10" i="1"/>
  <c r="X10" i="6" s="1"/>
  <c r="W11" i="1"/>
  <c r="V11" i="6" s="1"/>
  <c r="X11" i="1"/>
  <c r="W11" i="6" s="1"/>
  <c r="Y11" i="1"/>
  <c r="X11" i="6" s="1"/>
  <c r="W12" i="1"/>
  <c r="V12" i="6" s="1"/>
  <c r="X12" i="1"/>
  <c r="W12" i="6" s="1"/>
  <c r="Y12" i="1"/>
  <c r="X12" i="6" s="1"/>
  <c r="W13" i="1"/>
  <c r="V13" i="6" s="1"/>
  <c r="X13" i="1"/>
  <c r="W13" i="6" s="1"/>
  <c r="Y13" i="1"/>
  <c r="X13" i="6" s="1"/>
  <c r="W14" i="1"/>
  <c r="V14" i="6" s="1"/>
  <c r="X14" i="1"/>
  <c r="W14" i="6" s="1"/>
  <c r="Y14" i="1"/>
  <c r="X14" i="6" s="1"/>
  <c r="W15" i="1"/>
  <c r="V15" i="6" s="1"/>
  <c r="X15" i="1"/>
  <c r="W15" i="6" s="1"/>
  <c r="Y15" i="1"/>
  <c r="X15" i="6" s="1"/>
  <c r="W16" i="1"/>
  <c r="X16" i="1"/>
  <c r="W16" i="6" s="1"/>
  <c r="Y16" i="1"/>
  <c r="X16" i="6" s="1"/>
  <c r="W17" i="1"/>
  <c r="V17" i="6" s="1"/>
  <c r="X17" i="1"/>
  <c r="W17" i="6" s="1"/>
  <c r="Y17" i="1"/>
  <c r="X17" i="6" s="1"/>
  <c r="W18" i="1"/>
  <c r="V18" i="6" s="1"/>
  <c r="X18" i="1"/>
  <c r="W18" i="6" s="1"/>
  <c r="Y18" i="1"/>
  <c r="X18" i="6" s="1"/>
  <c r="W19" i="1"/>
  <c r="V19" i="6" s="1"/>
  <c r="X19" i="1"/>
  <c r="W19" i="6" s="1"/>
  <c r="Y19" i="1"/>
  <c r="X19" i="6" s="1"/>
  <c r="W20" i="1"/>
  <c r="V20" i="6" s="1"/>
  <c r="X20" i="1"/>
  <c r="W20" i="6" s="1"/>
  <c r="Y20" i="1"/>
  <c r="X20" i="6" s="1"/>
  <c r="W21" i="1"/>
  <c r="V21" i="6" s="1"/>
  <c r="X21" i="1"/>
  <c r="W21" i="6" s="1"/>
  <c r="Y21" i="1"/>
  <c r="X21" i="6" s="1"/>
  <c r="W22" i="1"/>
  <c r="V22" i="6" s="1"/>
  <c r="X22" i="1"/>
  <c r="W22" i="6" s="1"/>
  <c r="Y22" i="1"/>
  <c r="X22" i="6" s="1"/>
  <c r="W23" i="1"/>
  <c r="V23" i="6" s="1"/>
  <c r="X23" i="1"/>
  <c r="W23" i="6" s="1"/>
  <c r="Y23" i="1"/>
  <c r="X23" i="6" s="1"/>
  <c r="W24" i="1"/>
  <c r="V24" i="6" s="1"/>
  <c r="X24" i="1"/>
  <c r="W24" i="6" s="1"/>
  <c r="Y24" i="1"/>
  <c r="X24" i="6" s="1"/>
  <c r="W25" i="1"/>
  <c r="V25" i="6" s="1"/>
  <c r="X25" i="1"/>
  <c r="W25" i="6" s="1"/>
  <c r="Y25" i="1"/>
  <c r="X25" i="6" s="1"/>
  <c r="W26" i="1"/>
  <c r="V26" i="6" s="1"/>
  <c r="X26" i="1"/>
  <c r="W26" i="6" s="1"/>
  <c r="Y26" i="1"/>
  <c r="X26" i="6" s="1"/>
  <c r="W27" i="1"/>
  <c r="V27" i="6" s="1"/>
  <c r="X27" i="1"/>
  <c r="W27" i="6" s="1"/>
  <c r="Y27" i="1"/>
  <c r="X27" i="6" s="1"/>
  <c r="W28" i="1"/>
  <c r="V28" i="6" s="1"/>
  <c r="X28" i="1"/>
  <c r="W28" i="6" s="1"/>
  <c r="Y28" i="1"/>
  <c r="X28" i="6" s="1"/>
  <c r="W29" i="1"/>
  <c r="V29" i="6" s="1"/>
  <c r="X29" i="1"/>
  <c r="W29" i="6" s="1"/>
  <c r="Y29" i="1"/>
  <c r="X29" i="6" s="1"/>
  <c r="V30" i="6"/>
  <c r="W30" i="6"/>
  <c r="X30" i="6"/>
  <c r="W31" i="1"/>
  <c r="V31" i="6" s="1"/>
  <c r="X31" i="1"/>
  <c r="W31" i="6" s="1"/>
  <c r="Y31" i="1"/>
  <c r="X31" i="6" s="1"/>
  <c r="W32" i="1"/>
  <c r="V32" i="6" s="1"/>
  <c r="X32" i="1"/>
  <c r="W32" i="6" s="1"/>
  <c r="Y32" i="1"/>
  <c r="X32" i="6" s="1"/>
  <c r="W33" i="1"/>
  <c r="V33" i="6" s="1"/>
  <c r="X33" i="1"/>
  <c r="W33" i="6" s="1"/>
  <c r="Y33" i="1"/>
  <c r="X33" i="6" s="1"/>
  <c r="W34" i="1"/>
  <c r="V34" i="6" s="1"/>
  <c r="X34" i="1"/>
  <c r="W34" i="6" s="1"/>
  <c r="Y34" i="1"/>
  <c r="X34" i="6" s="1"/>
  <c r="W35" i="1"/>
  <c r="V35" i="6" s="1"/>
  <c r="X35" i="1"/>
  <c r="W35" i="6" s="1"/>
  <c r="Y35" i="1"/>
  <c r="X35" i="6" s="1"/>
  <c r="W36" i="1"/>
  <c r="X36" i="1"/>
  <c r="Y36" i="1"/>
  <c r="W37" i="1"/>
  <c r="X37" i="1"/>
  <c r="Y37" i="1"/>
  <c r="W38" i="1"/>
  <c r="X38" i="1"/>
  <c r="Y38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AB2" i="21"/>
  <c r="AB3" i="21"/>
  <c r="AB4" i="21"/>
  <c r="AB5" i="21"/>
  <c r="AB6" i="21"/>
  <c r="AB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B46" i="21"/>
  <c r="AB47" i="21"/>
  <c r="AB48" i="21"/>
  <c r="AB49" i="21"/>
  <c r="AB50" i="21"/>
  <c r="AB51" i="21"/>
  <c r="AB52" i="21"/>
  <c r="AB53" i="21"/>
  <c r="AI50" i="1"/>
  <c r="X48" i="21" s="1"/>
  <c r="AI51" i="1"/>
  <c r="X49" i="21" s="1"/>
  <c r="AI52" i="1"/>
  <c r="X50" i="21" s="1"/>
  <c r="AI53" i="1"/>
  <c r="X51" i="21" s="1"/>
  <c r="AI54" i="1"/>
  <c r="X52" i="21" s="1"/>
  <c r="AI55" i="1"/>
  <c r="X53" i="21" s="1"/>
  <c r="AJ4" i="1"/>
  <c r="Y2" i="21" s="1"/>
  <c r="AJ5" i="1"/>
  <c r="Y3" i="21" s="1"/>
  <c r="AJ6" i="1"/>
  <c r="Y4" i="21" s="1"/>
  <c r="AJ7" i="1"/>
  <c r="Y5" i="21" s="1"/>
  <c r="AJ9" i="1"/>
  <c r="AJ10" i="1"/>
  <c r="AJ11" i="1"/>
  <c r="AJ12" i="1"/>
  <c r="AJ13" i="1"/>
  <c r="AJ14" i="1"/>
  <c r="Y12" i="21" s="1"/>
  <c r="AJ15" i="1"/>
  <c r="AJ16" i="1"/>
  <c r="AJ17" i="1"/>
  <c r="AJ18" i="1"/>
  <c r="AJ19" i="1"/>
  <c r="AJ20" i="1"/>
  <c r="AJ21" i="1"/>
  <c r="AJ22" i="1"/>
  <c r="AJ23" i="1"/>
  <c r="Y21" i="21" s="1"/>
  <c r="AJ24" i="1"/>
  <c r="AJ25" i="1"/>
  <c r="AJ26" i="1"/>
  <c r="AJ27" i="1"/>
  <c r="Y25" i="21" s="1"/>
  <c r="AJ28" i="1"/>
  <c r="AJ29" i="1"/>
  <c r="AJ30" i="1"/>
  <c r="AJ31" i="1"/>
  <c r="AJ32" i="1"/>
  <c r="AJ33" i="1"/>
  <c r="AJ34" i="1"/>
  <c r="AJ35" i="1"/>
  <c r="AJ36" i="1"/>
  <c r="AJ37" i="1"/>
  <c r="AJ38" i="1"/>
  <c r="AJ39" i="1"/>
  <c r="Y37" i="21" s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Z86" i="22" l="1"/>
  <c r="AL39" i="1"/>
  <c r="AA37" i="21" s="1"/>
  <c r="O37" i="21" s="1"/>
  <c r="Z87" i="22"/>
  <c r="Z85" i="22"/>
  <c r="AL55" i="1"/>
  <c r="AA53" i="21" s="1"/>
  <c r="W53" i="21" s="1"/>
  <c r="Y53" i="21"/>
  <c r="AL51" i="1"/>
  <c r="AA49" i="21" s="1"/>
  <c r="U49" i="21" s="1"/>
  <c r="Y49" i="21"/>
  <c r="AL43" i="1"/>
  <c r="AA41" i="21" s="1"/>
  <c r="U41" i="21" s="1"/>
  <c r="Y41" i="21"/>
  <c r="AL19" i="1"/>
  <c r="AA17" i="21" s="1"/>
  <c r="W17" i="21" s="1"/>
  <c r="Y17" i="21"/>
  <c r="AL27" i="1"/>
  <c r="AA25" i="21" s="1"/>
  <c r="W25" i="21" s="1"/>
  <c r="AL50" i="1"/>
  <c r="AA48" i="21" s="1"/>
  <c r="U48" i="21" s="1"/>
  <c r="Y48" i="21"/>
  <c r="AL42" i="1"/>
  <c r="AA40" i="21" s="1"/>
  <c r="Y40" i="21"/>
  <c r="AL34" i="1"/>
  <c r="AA32" i="21" s="1"/>
  <c r="W32" i="21" s="1"/>
  <c r="Y32" i="21"/>
  <c r="AL22" i="1"/>
  <c r="AA20" i="21" s="1"/>
  <c r="Y20" i="21"/>
  <c r="Z33" i="6"/>
  <c r="AK31" i="7" s="1"/>
  <c r="Y33" i="6"/>
  <c r="AJ31" i="7" s="1"/>
  <c r="Y29" i="6"/>
  <c r="AH27" i="7" s="1"/>
  <c r="Z29" i="6"/>
  <c r="AK27" i="7" s="1"/>
  <c r="Z25" i="6"/>
  <c r="AK23" i="7" s="1"/>
  <c r="Y25" i="6"/>
  <c r="AI23" i="7" s="1"/>
  <c r="Z21" i="6"/>
  <c r="AL19" i="7" s="1"/>
  <c r="Y21" i="6"/>
  <c r="AI19" i="7" s="1"/>
  <c r="Y5" i="6"/>
  <c r="AH3" i="7" s="1"/>
  <c r="Z5" i="6"/>
  <c r="AK3" i="7" s="1"/>
  <c r="AL47" i="1"/>
  <c r="AA45" i="21" s="1"/>
  <c r="Y45" i="21"/>
  <c r="Z30" i="6"/>
  <c r="AL28" i="7" s="1"/>
  <c r="Z24" i="6"/>
  <c r="AK22" i="7" s="1"/>
  <c r="Y24" i="6"/>
  <c r="AH22" i="7" s="1"/>
  <c r="Z6" i="6"/>
  <c r="AL4" i="7" s="1"/>
  <c r="Z4" i="6"/>
  <c r="AK2" i="7" s="1"/>
  <c r="AL54" i="1"/>
  <c r="AA52" i="21" s="1"/>
  <c r="U52" i="21" s="1"/>
  <c r="Y52" i="21"/>
  <c r="AL46" i="1"/>
  <c r="AA44" i="21" s="1"/>
  <c r="Y44" i="21"/>
  <c r="AL38" i="1"/>
  <c r="AA36" i="21" s="1"/>
  <c r="Y36" i="21"/>
  <c r="AL30" i="1"/>
  <c r="AA28" i="21" s="1"/>
  <c r="Y28" i="21"/>
  <c r="AL26" i="1"/>
  <c r="AA24" i="21" s="1"/>
  <c r="Y24" i="21"/>
  <c r="AL18" i="1"/>
  <c r="AA16" i="21" s="1"/>
  <c r="Y16" i="21"/>
  <c r="AL23" i="1"/>
  <c r="AA21" i="21" s="1"/>
  <c r="U21" i="21" s="1"/>
  <c r="AL53" i="1"/>
  <c r="AA51" i="21" s="1"/>
  <c r="U51" i="21" s="1"/>
  <c r="Y51" i="21"/>
  <c r="AL49" i="1"/>
  <c r="AA47" i="21" s="1"/>
  <c r="Y47" i="21"/>
  <c r="AL45" i="1"/>
  <c r="AA43" i="21" s="1"/>
  <c r="Y43" i="21"/>
  <c r="AL41" i="1"/>
  <c r="AA39" i="21" s="1"/>
  <c r="Y39" i="21"/>
  <c r="AL37" i="1"/>
  <c r="AA35" i="21" s="1"/>
  <c r="Y35" i="21"/>
  <c r="AL33" i="1"/>
  <c r="AA31" i="21" s="1"/>
  <c r="W31" i="21" s="1"/>
  <c r="Y31" i="21"/>
  <c r="AL29" i="1"/>
  <c r="AA27" i="21" s="1"/>
  <c r="U27" i="21" s="1"/>
  <c r="Y27" i="21"/>
  <c r="AL25" i="1"/>
  <c r="AA23" i="21" s="1"/>
  <c r="Y23" i="21"/>
  <c r="AL21" i="1"/>
  <c r="AA19" i="21" s="1"/>
  <c r="Y19" i="21"/>
  <c r="Z35" i="6"/>
  <c r="AL33" i="7" s="1"/>
  <c r="Z34" i="6"/>
  <c r="AM32" i="7" s="1"/>
  <c r="Y34" i="6"/>
  <c r="Z31" i="6"/>
  <c r="AM29" i="7" s="1"/>
  <c r="AK28" i="7"/>
  <c r="Y30" i="6"/>
  <c r="Y28" i="6"/>
  <c r="AH26" i="7" s="1"/>
  <c r="Z26" i="6"/>
  <c r="AL24" i="7" s="1"/>
  <c r="Y26" i="6"/>
  <c r="Y23" i="6"/>
  <c r="AJ21" i="7" s="1"/>
  <c r="Y22" i="6"/>
  <c r="AJ20" i="7" s="1"/>
  <c r="Y20" i="6"/>
  <c r="AH18" i="7" s="1"/>
  <c r="Z18" i="6"/>
  <c r="AM16" i="7" s="1"/>
  <c r="Y18" i="6"/>
  <c r="AI16" i="7" s="1"/>
  <c r="Y7" i="6"/>
  <c r="AJ5" i="7" s="1"/>
  <c r="Y6" i="6"/>
  <c r="Y4" i="6"/>
  <c r="AI2" i="7" s="1"/>
  <c r="AL35" i="1"/>
  <c r="AA33" i="21" s="1"/>
  <c r="U33" i="21" s="1"/>
  <c r="Y33" i="21"/>
  <c r="AL31" i="1"/>
  <c r="AA29" i="21" s="1"/>
  <c r="Y29" i="21"/>
  <c r="Z32" i="6"/>
  <c r="AM30" i="7" s="1"/>
  <c r="Y32" i="6"/>
  <c r="AJ30" i="7" s="1"/>
  <c r="Z28" i="6"/>
  <c r="AK26" i="7" s="1"/>
  <c r="Z22" i="6"/>
  <c r="AM20" i="7" s="1"/>
  <c r="Z20" i="6"/>
  <c r="AM18" i="7" s="1"/>
  <c r="AL3" i="7"/>
  <c r="AL52" i="1"/>
  <c r="AA50" i="21" s="1"/>
  <c r="Y50" i="21"/>
  <c r="AL48" i="1"/>
  <c r="AA46" i="21" s="1"/>
  <c r="Y46" i="21"/>
  <c r="AL44" i="1"/>
  <c r="AA42" i="21" s="1"/>
  <c r="U42" i="21" s="1"/>
  <c r="Y42" i="21"/>
  <c r="AL40" i="1"/>
  <c r="AA38" i="21" s="1"/>
  <c r="Y38" i="21"/>
  <c r="AL36" i="1"/>
  <c r="AA34" i="21" s="1"/>
  <c r="U34" i="21" s="1"/>
  <c r="Y34" i="21"/>
  <c r="AL32" i="1"/>
  <c r="AA30" i="21" s="1"/>
  <c r="W30" i="21" s="1"/>
  <c r="Y30" i="21"/>
  <c r="AL28" i="1"/>
  <c r="AA26" i="21" s="1"/>
  <c r="Y26" i="21"/>
  <c r="AL24" i="1"/>
  <c r="AA22" i="21" s="1"/>
  <c r="Y22" i="21"/>
  <c r="AL20" i="1"/>
  <c r="AA18" i="21" s="1"/>
  <c r="Y18" i="21"/>
  <c r="Y35" i="6"/>
  <c r="AH33" i="7" s="1"/>
  <c r="Y31" i="6"/>
  <c r="AM27" i="7"/>
  <c r="Z27" i="6"/>
  <c r="AL25" i="7" s="1"/>
  <c r="Y27" i="6"/>
  <c r="AJ25" i="7" s="1"/>
  <c r="Z23" i="6"/>
  <c r="Z19" i="6"/>
  <c r="AK17" i="7" s="1"/>
  <c r="Y19" i="6"/>
  <c r="AJ17" i="7" s="1"/>
  <c r="Z7" i="6"/>
  <c r="AK5" i="7" s="1"/>
  <c r="AL2" i="7"/>
  <c r="Z17" i="6"/>
  <c r="AK15" i="7" s="1"/>
  <c r="Y17" i="6"/>
  <c r="AL17" i="1"/>
  <c r="AA15" i="21" s="1"/>
  <c r="Y15" i="21"/>
  <c r="AI16" i="1"/>
  <c r="X14" i="21" s="1"/>
  <c r="V16" i="6"/>
  <c r="AL16" i="1"/>
  <c r="AA14" i="21" s="1"/>
  <c r="Y14" i="21"/>
  <c r="AL15" i="1"/>
  <c r="AA13" i="21" s="1"/>
  <c r="Y13" i="21"/>
  <c r="Y15" i="6"/>
  <c r="AJ13" i="7" s="1"/>
  <c r="Z15" i="6"/>
  <c r="AK13" i="7" s="1"/>
  <c r="Z14" i="6"/>
  <c r="AM12" i="7" s="1"/>
  <c r="AL14" i="1"/>
  <c r="AA12" i="21" s="1"/>
  <c r="Y14" i="6"/>
  <c r="AJ12" i="7" s="1"/>
  <c r="Z13" i="6"/>
  <c r="Y13" i="6"/>
  <c r="AJ11" i="7" s="1"/>
  <c r="AL13" i="1"/>
  <c r="AA11" i="21" s="1"/>
  <c r="Y11" i="21"/>
  <c r="Z12" i="6"/>
  <c r="Y12" i="6"/>
  <c r="AH10" i="7" s="1"/>
  <c r="AL12" i="1"/>
  <c r="AA10" i="21" s="1"/>
  <c r="Y10" i="21"/>
  <c r="AL11" i="1"/>
  <c r="AA9" i="21" s="1"/>
  <c r="Y9" i="21"/>
  <c r="Z11" i="6"/>
  <c r="AM9" i="7" s="1"/>
  <c r="Y11" i="6"/>
  <c r="AH9" i="7" s="1"/>
  <c r="AL10" i="1"/>
  <c r="AA8" i="21" s="1"/>
  <c r="Y8" i="21"/>
  <c r="Z10" i="6"/>
  <c r="Y10" i="6"/>
  <c r="AH8" i="7" s="1"/>
  <c r="AL9" i="1"/>
  <c r="AA7" i="21" s="1"/>
  <c r="Y7" i="21"/>
  <c r="Z9" i="6"/>
  <c r="AL7" i="7" s="1"/>
  <c r="Y9" i="6"/>
  <c r="Z8" i="6"/>
  <c r="AM6" i="7" s="1"/>
  <c r="Y8" i="6"/>
  <c r="AJ6" i="7" s="1"/>
  <c r="AI48" i="1"/>
  <c r="X46" i="21" s="1"/>
  <c r="AI40" i="1"/>
  <c r="X38" i="21" s="1"/>
  <c r="AL8" i="1"/>
  <c r="AA6" i="21" s="1"/>
  <c r="Y6" i="21"/>
  <c r="AL7" i="1"/>
  <c r="AA5" i="21" s="1"/>
  <c r="AL6" i="1"/>
  <c r="AA4" i="21" s="1"/>
  <c r="AL5" i="1"/>
  <c r="AA3" i="21" s="1"/>
  <c r="AL4" i="1"/>
  <c r="AA2" i="21" s="1"/>
  <c r="AI24" i="1"/>
  <c r="X22" i="21" s="1"/>
  <c r="AI8" i="1"/>
  <c r="X6" i="21" s="1"/>
  <c r="AI32" i="1"/>
  <c r="X30" i="21" s="1"/>
  <c r="AI47" i="1"/>
  <c r="X45" i="21" s="1"/>
  <c r="AI44" i="1"/>
  <c r="X42" i="21" s="1"/>
  <c r="AI43" i="1"/>
  <c r="X41" i="21" s="1"/>
  <c r="AI39" i="1"/>
  <c r="X37" i="21" s="1"/>
  <c r="AI36" i="1"/>
  <c r="X34" i="21" s="1"/>
  <c r="AI35" i="1"/>
  <c r="X33" i="21" s="1"/>
  <c r="AI31" i="1"/>
  <c r="X29" i="21" s="1"/>
  <c r="AI28" i="1"/>
  <c r="X26" i="21" s="1"/>
  <c r="AI27" i="1"/>
  <c r="X25" i="21" s="1"/>
  <c r="AI23" i="1"/>
  <c r="X21" i="21" s="1"/>
  <c r="AI20" i="1"/>
  <c r="X18" i="21" s="1"/>
  <c r="AI19" i="1"/>
  <c r="X17" i="21" s="1"/>
  <c r="AI15" i="1"/>
  <c r="X13" i="21" s="1"/>
  <c r="AI12" i="1"/>
  <c r="X10" i="21" s="1"/>
  <c r="AI11" i="1"/>
  <c r="X9" i="21" s="1"/>
  <c r="AI7" i="1"/>
  <c r="X5" i="21" s="1"/>
  <c r="AI4" i="1"/>
  <c r="X2" i="21" s="1"/>
  <c r="AI49" i="1"/>
  <c r="X47" i="21" s="1"/>
  <c r="AI46" i="1"/>
  <c r="X44" i="21" s="1"/>
  <c r="AI45" i="1"/>
  <c r="X43" i="21" s="1"/>
  <c r="AI42" i="1"/>
  <c r="X40" i="21" s="1"/>
  <c r="AI41" i="1"/>
  <c r="X39" i="21" s="1"/>
  <c r="AI38" i="1"/>
  <c r="X36" i="21" s="1"/>
  <c r="AI37" i="1"/>
  <c r="X35" i="21" s="1"/>
  <c r="AI34" i="1"/>
  <c r="X32" i="21" s="1"/>
  <c r="AI33" i="1"/>
  <c r="X31" i="21" s="1"/>
  <c r="AI30" i="1"/>
  <c r="X28" i="21" s="1"/>
  <c r="AI29" i="1"/>
  <c r="X27" i="21" s="1"/>
  <c r="AI26" i="1"/>
  <c r="X24" i="21" s="1"/>
  <c r="AI25" i="1"/>
  <c r="X23" i="21" s="1"/>
  <c r="AI22" i="1"/>
  <c r="X20" i="21" s="1"/>
  <c r="AI21" i="1"/>
  <c r="X19" i="21" s="1"/>
  <c r="AI18" i="1"/>
  <c r="X16" i="21" s="1"/>
  <c r="AI17" i="1"/>
  <c r="X15" i="21" s="1"/>
  <c r="AI14" i="1"/>
  <c r="X12" i="21" s="1"/>
  <c r="AI13" i="1"/>
  <c r="X11" i="21" s="1"/>
  <c r="AI10" i="1"/>
  <c r="X8" i="21" s="1"/>
  <c r="AI9" i="1"/>
  <c r="X7" i="21" s="1"/>
  <c r="AI6" i="1"/>
  <c r="X4" i="21" s="1"/>
  <c r="AI5" i="1"/>
  <c r="X3" i="21" s="1"/>
  <c r="AJ19" i="7" l="1"/>
  <c r="AM3" i="7"/>
  <c r="AM2" i="7"/>
  <c r="D9" i="13"/>
  <c r="E9" i="13" s="1"/>
  <c r="AL31" i="7"/>
  <c r="W37" i="21"/>
  <c r="AI3" i="7"/>
  <c r="U32" i="21"/>
  <c r="AJ3" i="7"/>
  <c r="U37" i="21"/>
  <c r="R37" i="21"/>
  <c r="W48" i="21"/>
  <c r="U53" i="21"/>
  <c r="AM31" i="7"/>
  <c r="AI31" i="7"/>
  <c r="AI30" i="7"/>
  <c r="AH30" i="7"/>
  <c r="U25" i="21"/>
  <c r="W41" i="21"/>
  <c r="AM28" i="7"/>
  <c r="AL30" i="7"/>
  <c r="W49" i="21"/>
  <c r="AJ27" i="7"/>
  <c r="AL26" i="7"/>
  <c r="U10" i="21"/>
  <c r="O10" i="21"/>
  <c r="R10" i="21"/>
  <c r="U11" i="21"/>
  <c r="O11" i="21"/>
  <c r="R11" i="21"/>
  <c r="W12" i="21"/>
  <c r="O12" i="21"/>
  <c r="R12" i="21"/>
  <c r="AI26" i="7"/>
  <c r="W18" i="21"/>
  <c r="O18" i="21"/>
  <c r="R18" i="21"/>
  <c r="W26" i="21"/>
  <c r="O26" i="21"/>
  <c r="R26" i="21"/>
  <c r="W34" i="21"/>
  <c r="O34" i="21"/>
  <c r="R34" i="21"/>
  <c r="W42" i="21"/>
  <c r="O42" i="21"/>
  <c r="R42" i="21"/>
  <c r="W50" i="21"/>
  <c r="O50" i="21"/>
  <c r="R50" i="21"/>
  <c r="U19" i="21"/>
  <c r="O19" i="21"/>
  <c r="R19" i="21"/>
  <c r="W27" i="21"/>
  <c r="O27" i="21"/>
  <c r="R27" i="21"/>
  <c r="U35" i="21"/>
  <c r="O35" i="21"/>
  <c r="R35" i="21"/>
  <c r="U43" i="21"/>
  <c r="O43" i="21"/>
  <c r="R43" i="21"/>
  <c r="W51" i="21"/>
  <c r="O51" i="21"/>
  <c r="R51" i="21"/>
  <c r="O32" i="21"/>
  <c r="R32" i="21"/>
  <c r="O48" i="21"/>
  <c r="R48" i="21"/>
  <c r="U17" i="21"/>
  <c r="W5" i="21"/>
  <c r="O5" i="21"/>
  <c r="R5" i="21"/>
  <c r="W14" i="21"/>
  <c r="R14" i="21"/>
  <c r="O14" i="21"/>
  <c r="U15" i="21"/>
  <c r="O15" i="21"/>
  <c r="R15" i="21"/>
  <c r="W29" i="21"/>
  <c r="O29" i="21"/>
  <c r="R29" i="21"/>
  <c r="U16" i="21"/>
  <c r="O16" i="21"/>
  <c r="R16" i="21"/>
  <c r="O28" i="21"/>
  <c r="R28" i="21"/>
  <c r="O44" i="21"/>
  <c r="R44" i="21"/>
  <c r="W16" i="21"/>
  <c r="W44" i="21"/>
  <c r="U29" i="21"/>
  <c r="U2" i="21"/>
  <c r="O2" i="21"/>
  <c r="R2" i="21"/>
  <c r="W28" i="21"/>
  <c r="U44" i="21"/>
  <c r="W3" i="21"/>
  <c r="O3" i="21"/>
  <c r="R3" i="21"/>
  <c r="W6" i="21"/>
  <c r="O6" i="21"/>
  <c r="R6" i="21"/>
  <c r="U13" i="21"/>
  <c r="O13" i="21"/>
  <c r="R13" i="21"/>
  <c r="W33" i="21"/>
  <c r="O33" i="21"/>
  <c r="R33" i="21"/>
  <c r="W21" i="21"/>
  <c r="O21" i="21"/>
  <c r="R21" i="21"/>
  <c r="O24" i="21"/>
  <c r="U24" i="21"/>
  <c r="R24" i="21"/>
  <c r="U36" i="21"/>
  <c r="O36" i="21"/>
  <c r="R36" i="21"/>
  <c r="W52" i="21"/>
  <c r="O52" i="21"/>
  <c r="R52" i="21"/>
  <c r="O25" i="21"/>
  <c r="R25" i="21"/>
  <c r="O41" i="21"/>
  <c r="R41" i="21"/>
  <c r="O53" i="21"/>
  <c r="R53" i="21"/>
  <c r="U28" i="21"/>
  <c r="U4" i="21"/>
  <c r="O4" i="21"/>
  <c r="R4" i="21"/>
  <c r="W7" i="21"/>
  <c r="O7" i="21"/>
  <c r="R7" i="21"/>
  <c r="U8" i="21"/>
  <c r="O8" i="21"/>
  <c r="R8" i="21"/>
  <c r="U9" i="21"/>
  <c r="O9" i="21"/>
  <c r="R9" i="21"/>
  <c r="W22" i="21"/>
  <c r="O22" i="21"/>
  <c r="R22" i="21"/>
  <c r="U30" i="21"/>
  <c r="R30" i="21"/>
  <c r="O30" i="21"/>
  <c r="U38" i="21"/>
  <c r="O38" i="21"/>
  <c r="R38" i="21"/>
  <c r="W46" i="21"/>
  <c r="O46" i="21"/>
  <c r="R46" i="21"/>
  <c r="U23" i="21"/>
  <c r="O23" i="21"/>
  <c r="R23" i="21"/>
  <c r="U31" i="21"/>
  <c r="O31" i="21"/>
  <c r="R31" i="21"/>
  <c r="U39" i="21"/>
  <c r="O39" i="21"/>
  <c r="R39" i="21"/>
  <c r="U47" i="21"/>
  <c r="O47" i="21"/>
  <c r="R47" i="21"/>
  <c r="W45" i="21"/>
  <c r="O45" i="21"/>
  <c r="R45" i="21"/>
  <c r="U20" i="21"/>
  <c r="O20" i="21"/>
  <c r="R20" i="21"/>
  <c r="U40" i="21"/>
  <c r="O40" i="21"/>
  <c r="R40" i="21"/>
  <c r="O17" i="21"/>
  <c r="R17" i="21"/>
  <c r="O49" i="21"/>
  <c r="R49" i="21"/>
  <c r="AL22" i="7"/>
  <c r="AM22" i="7"/>
  <c r="W39" i="21"/>
  <c r="U45" i="21"/>
  <c r="W47" i="21"/>
  <c r="AK24" i="7"/>
  <c r="AM23" i="7"/>
  <c r="AL23" i="7"/>
  <c r="AJ23" i="7"/>
  <c r="AI22" i="7"/>
  <c r="AH21" i="7"/>
  <c r="AK29" i="7"/>
  <c r="AJ22" i="7"/>
  <c r="AH5" i="7"/>
  <c r="AH25" i="7"/>
  <c r="AK25" i="7"/>
  <c r="AK4" i="7"/>
  <c r="AM4" i="7"/>
  <c r="AK33" i="7"/>
  <c r="AI5" i="7"/>
  <c r="AL29" i="7"/>
  <c r="W19" i="21"/>
  <c r="W43" i="21"/>
  <c r="U14" i="21"/>
  <c r="W23" i="21"/>
  <c r="U50" i="21"/>
  <c r="AM19" i="7"/>
  <c r="U18" i="21"/>
  <c r="U7" i="21"/>
  <c r="W8" i="21"/>
  <c r="W15" i="21"/>
  <c r="W35" i="21"/>
  <c r="AK20" i="7"/>
  <c r="W38" i="21"/>
  <c r="W9" i="21"/>
  <c r="W24" i="21"/>
  <c r="U26" i="21"/>
  <c r="AI18" i="7"/>
  <c r="W40" i="21"/>
  <c r="AL18" i="7"/>
  <c r="AJ18" i="7"/>
  <c r="W20" i="21"/>
  <c r="U22" i="21"/>
  <c r="U46" i="21"/>
  <c r="W36" i="21"/>
  <c r="U12" i="21"/>
  <c r="AH17" i="7"/>
  <c r="AK16" i="7"/>
  <c r="U6" i="21"/>
  <c r="U3" i="21"/>
  <c r="W10" i="21"/>
  <c r="W11" i="21"/>
  <c r="AF21" i="7"/>
  <c r="AB21" i="7"/>
  <c r="X21" i="7"/>
  <c r="AD21" i="7"/>
  <c r="Y21" i="7"/>
  <c r="AC21" i="7"/>
  <c r="W21" i="7"/>
  <c r="AG21" i="7"/>
  <c r="V21" i="7"/>
  <c r="AE21" i="7"/>
  <c r="AA21" i="7"/>
  <c r="Z21" i="7"/>
  <c r="U33" i="7"/>
  <c r="Q33" i="7"/>
  <c r="M33" i="7"/>
  <c r="T33" i="7"/>
  <c r="O33" i="7"/>
  <c r="J33" i="7"/>
  <c r="P33" i="7"/>
  <c r="N33" i="7"/>
  <c r="S33" i="7"/>
  <c r="R33" i="7"/>
  <c r="L33" i="7"/>
  <c r="K33" i="7"/>
  <c r="AK18" i="7"/>
  <c r="AD20" i="7"/>
  <c r="Z20" i="7"/>
  <c r="V20" i="7"/>
  <c r="AG20" i="7"/>
  <c r="AB20" i="7"/>
  <c r="W20" i="7"/>
  <c r="AF20" i="7"/>
  <c r="AA20" i="7"/>
  <c r="AE20" i="7"/>
  <c r="AC20" i="7"/>
  <c r="Y20" i="7"/>
  <c r="X20" i="7"/>
  <c r="AE26" i="7"/>
  <c r="AA26" i="7"/>
  <c r="W26" i="7"/>
  <c r="AG26" i="7"/>
  <c r="AB26" i="7"/>
  <c r="V26" i="7"/>
  <c r="Z26" i="7"/>
  <c r="AF26" i="7"/>
  <c r="Y26" i="7"/>
  <c r="AD26" i="7"/>
  <c r="AC26" i="7"/>
  <c r="X26" i="7"/>
  <c r="R2" i="7"/>
  <c r="N2" i="7"/>
  <c r="J2" i="7"/>
  <c r="U2" i="7"/>
  <c r="P2" i="7"/>
  <c r="K2" i="7"/>
  <c r="S2" i="7"/>
  <c r="L2" i="7"/>
  <c r="Q2" i="7"/>
  <c r="O2" i="7"/>
  <c r="M2" i="7"/>
  <c r="T2" i="7"/>
  <c r="AL17" i="7"/>
  <c r="R20" i="7"/>
  <c r="N20" i="7"/>
  <c r="J20" i="7"/>
  <c r="Q20" i="7"/>
  <c r="L20" i="7"/>
  <c r="U20" i="7"/>
  <c r="P20" i="7"/>
  <c r="K20" i="7"/>
  <c r="T20" i="7"/>
  <c r="S20" i="7"/>
  <c r="O20" i="7"/>
  <c r="M20" i="7"/>
  <c r="AI21" i="7"/>
  <c r="S24" i="7"/>
  <c r="O24" i="7"/>
  <c r="K24" i="7"/>
  <c r="R24" i="7"/>
  <c r="M24" i="7"/>
  <c r="P24" i="7"/>
  <c r="U24" i="7"/>
  <c r="N24" i="7"/>
  <c r="T24" i="7"/>
  <c r="Q24" i="7"/>
  <c r="L24" i="7"/>
  <c r="J24" i="7"/>
  <c r="S26" i="7"/>
  <c r="O26" i="7"/>
  <c r="K26" i="7"/>
  <c r="Q26" i="7"/>
  <c r="L26" i="7"/>
  <c r="T26" i="7"/>
  <c r="M26" i="7"/>
  <c r="R26" i="7"/>
  <c r="J26" i="7"/>
  <c r="P26" i="7"/>
  <c r="N26" i="7"/>
  <c r="U26" i="7"/>
  <c r="AE32" i="7"/>
  <c r="AA32" i="7"/>
  <c r="W32" i="7"/>
  <c r="AC32" i="7"/>
  <c r="X32" i="7"/>
  <c r="AF32" i="7"/>
  <c r="Y32" i="7"/>
  <c r="AD32" i="7"/>
  <c r="V32" i="7"/>
  <c r="AG32" i="7"/>
  <c r="AB32" i="7"/>
  <c r="Z32" i="7"/>
  <c r="AH2" i="7"/>
  <c r="R22" i="7"/>
  <c r="N22" i="7"/>
  <c r="J22" i="7"/>
  <c r="U22" i="7"/>
  <c r="P22" i="7"/>
  <c r="K22" i="7"/>
  <c r="T22" i="7"/>
  <c r="O22" i="7"/>
  <c r="M22" i="7"/>
  <c r="L22" i="7"/>
  <c r="S22" i="7"/>
  <c r="Q22" i="7"/>
  <c r="AJ24" i="7"/>
  <c r="AE28" i="7"/>
  <c r="AA28" i="7"/>
  <c r="W28" i="7"/>
  <c r="AF28" i="7"/>
  <c r="Z28" i="7"/>
  <c r="AD28" i="7"/>
  <c r="X28" i="7"/>
  <c r="AC28" i="7"/>
  <c r="V28" i="7"/>
  <c r="AB28" i="7"/>
  <c r="Y28" i="7"/>
  <c r="AG28" i="7"/>
  <c r="AK19" i="7"/>
  <c r="AG23" i="7"/>
  <c r="AC23" i="7"/>
  <c r="Y23" i="7"/>
  <c r="AF23" i="7"/>
  <c r="AA23" i="7"/>
  <c r="V23" i="7"/>
  <c r="AE23" i="7"/>
  <c r="X23" i="7"/>
  <c r="AD23" i="7"/>
  <c r="W23" i="7"/>
  <c r="AB23" i="7"/>
  <c r="Z23" i="7"/>
  <c r="AG31" i="7"/>
  <c r="AC31" i="7"/>
  <c r="Y31" i="7"/>
  <c r="AF31" i="7"/>
  <c r="AA31" i="7"/>
  <c r="V31" i="7"/>
  <c r="Z31" i="7"/>
  <c r="AE31" i="7"/>
  <c r="X31" i="7"/>
  <c r="W31" i="7"/>
  <c r="AD31" i="7"/>
  <c r="AB31" i="7"/>
  <c r="AJ33" i="7"/>
  <c r="AF5" i="7"/>
  <c r="AB5" i="7"/>
  <c r="X5" i="7"/>
  <c r="AG5" i="7"/>
  <c r="AA5" i="7"/>
  <c r="V5" i="7"/>
  <c r="AC5" i="7"/>
  <c r="Z5" i="7"/>
  <c r="Y5" i="7"/>
  <c r="W5" i="7"/>
  <c r="AE5" i="7"/>
  <c r="AD5" i="7"/>
  <c r="U25" i="7"/>
  <c r="Q25" i="7"/>
  <c r="M25" i="7"/>
  <c r="T25" i="7"/>
  <c r="O25" i="7"/>
  <c r="J25" i="7"/>
  <c r="N25" i="7"/>
  <c r="S25" i="7"/>
  <c r="L25" i="7"/>
  <c r="R25" i="7"/>
  <c r="P25" i="7"/>
  <c r="K25" i="7"/>
  <c r="U29" i="7"/>
  <c r="Q29" i="7"/>
  <c r="M29" i="7"/>
  <c r="R29" i="7"/>
  <c r="L29" i="7"/>
  <c r="O29" i="7"/>
  <c r="T29" i="7"/>
  <c r="N29" i="7"/>
  <c r="K29" i="7"/>
  <c r="J29" i="7"/>
  <c r="S29" i="7"/>
  <c r="P29" i="7"/>
  <c r="AE30" i="7"/>
  <c r="AA30" i="7"/>
  <c r="W30" i="7"/>
  <c r="AD30" i="7"/>
  <c r="Y30" i="7"/>
  <c r="AB30" i="7"/>
  <c r="AG30" i="7"/>
  <c r="Z30" i="7"/>
  <c r="X30" i="7"/>
  <c r="V30" i="7"/>
  <c r="AF30" i="7"/>
  <c r="AC30" i="7"/>
  <c r="R4" i="7"/>
  <c r="N4" i="7"/>
  <c r="J4" i="7"/>
  <c r="T4" i="7"/>
  <c r="O4" i="7"/>
  <c r="P4" i="7"/>
  <c r="U4" i="7"/>
  <c r="M4" i="7"/>
  <c r="L4" i="7"/>
  <c r="K4" i="7"/>
  <c r="S4" i="7"/>
  <c r="Q4" i="7"/>
  <c r="AL5" i="7"/>
  <c r="AH16" i="7"/>
  <c r="T21" i="7"/>
  <c r="P21" i="7"/>
  <c r="L21" i="7"/>
  <c r="S21" i="7"/>
  <c r="N21" i="7"/>
  <c r="R21" i="7"/>
  <c r="M21" i="7"/>
  <c r="K21" i="7"/>
  <c r="U21" i="7"/>
  <c r="J21" i="7"/>
  <c r="Q21" i="7"/>
  <c r="O21" i="7"/>
  <c r="AI25" i="7"/>
  <c r="S28" i="7"/>
  <c r="O28" i="7"/>
  <c r="K28" i="7"/>
  <c r="U28" i="7"/>
  <c r="P28" i="7"/>
  <c r="J28" i="7"/>
  <c r="Q28" i="7"/>
  <c r="N28" i="7"/>
  <c r="M28" i="7"/>
  <c r="L28" i="7"/>
  <c r="T28" i="7"/>
  <c r="R28" i="7"/>
  <c r="AI29" i="7"/>
  <c r="S32" i="7"/>
  <c r="O32" i="7"/>
  <c r="K32" i="7"/>
  <c r="R32" i="7"/>
  <c r="M32" i="7"/>
  <c r="Q32" i="7"/>
  <c r="J32" i="7"/>
  <c r="P32" i="7"/>
  <c r="U32" i="7"/>
  <c r="T32" i="7"/>
  <c r="N32" i="7"/>
  <c r="L32" i="7"/>
  <c r="AI33" i="7"/>
  <c r="AJ16" i="7"/>
  <c r="AM24" i="7"/>
  <c r="AI4" i="7"/>
  <c r="T19" i="7"/>
  <c r="P19" i="7"/>
  <c r="L19" i="7"/>
  <c r="U19" i="7"/>
  <c r="O19" i="7"/>
  <c r="J19" i="7"/>
  <c r="S19" i="7"/>
  <c r="N19" i="7"/>
  <c r="R19" i="7"/>
  <c r="Q19" i="7"/>
  <c r="M19" i="7"/>
  <c r="K19" i="7"/>
  <c r="AI20" i="7"/>
  <c r="U23" i="7"/>
  <c r="Q23" i="7"/>
  <c r="M23" i="7"/>
  <c r="P23" i="7"/>
  <c r="K23" i="7"/>
  <c r="R23" i="7"/>
  <c r="J23" i="7"/>
  <c r="O23" i="7"/>
  <c r="T23" i="7"/>
  <c r="S23" i="7"/>
  <c r="N23" i="7"/>
  <c r="L23" i="7"/>
  <c r="U31" i="7"/>
  <c r="Q31" i="7"/>
  <c r="M31" i="7"/>
  <c r="P31" i="7"/>
  <c r="K31" i="7"/>
  <c r="S31" i="7"/>
  <c r="L31" i="7"/>
  <c r="R31" i="7"/>
  <c r="J31" i="7"/>
  <c r="T31" i="7"/>
  <c r="O31" i="7"/>
  <c r="N31" i="7"/>
  <c r="AL32" i="7"/>
  <c r="T17" i="7"/>
  <c r="P17" i="7"/>
  <c r="L17" i="7"/>
  <c r="Q17" i="7"/>
  <c r="K17" i="7"/>
  <c r="U17" i="7"/>
  <c r="O17" i="7"/>
  <c r="J17" i="7"/>
  <c r="N17" i="7"/>
  <c r="M17" i="7"/>
  <c r="S17" i="7"/>
  <c r="R17" i="7"/>
  <c r="AK21" i="7"/>
  <c r="AG25" i="7"/>
  <c r="AC25" i="7"/>
  <c r="Y25" i="7"/>
  <c r="AE25" i="7"/>
  <c r="Z25" i="7"/>
  <c r="AB25" i="7"/>
  <c r="V25" i="7"/>
  <c r="AA25" i="7"/>
  <c r="AF25" i="7"/>
  <c r="AD25" i="7"/>
  <c r="X25" i="7"/>
  <c r="W25" i="7"/>
  <c r="AH29" i="7"/>
  <c r="S30" i="7"/>
  <c r="O30" i="7"/>
  <c r="K30" i="7"/>
  <c r="T30" i="7"/>
  <c r="N30" i="7"/>
  <c r="U30" i="7"/>
  <c r="M30" i="7"/>
  <c r="R30" i="7"/>
  <c r="L30" i="7"/>
  <c r="J30" i="7"/>
  <c r="Q30" i="7"/>
  <c r="P30" i="7"/>
  <c r="AJ32" i="7"/>
  <c r="AJ2" i="7"/>
  <c r="T5" i="7"/>
  <c r="P5" i="7"/>
  <c r="L5" i="7"/>
  <c r="Q5" i="7"/>
  <c r="K5" i="7"/>
  <c r="U5" i="7"/>
  <c r="N5" i="7"/>
  <c r="S5" i="7"/>
  <c r="M5" i="7"/>
  <c r="J5" i="7"/>
  <c r="R5" i="7"/>
  <c r="O5" i="7"/>
  <c r="AD16" i="7"/>
  <c r="Z16" i="7"/>
  <c r="V16" i="7"/>
  <c r="AE16" i="7"/>
  <c r="Y16" i="7"/>
  <c r="AC16" i="7"/>
  <c r="X16" i="7"/>
  <c r="AG16" i="7"/>
  <c r="W16" i="7"/>
  <c r="AF16" i="7"/>
  <c r="AB16" i="7"/>
  <c r="AA16" i="7"/>
  <c r="AH20" i="7"/>
  <c r="AH24" i="7"/>
  <c r="AJ26" i="7"/>
  <c r="AH28" i="7"/>
  <c r="AG29" i="7"/>
  <c r="AC29" i="7"/>
  <c r="Y29" i="7"/>
  <c r="AB29" i="7"/>
  <c r="W29" i="7"/>
  <c r="AD29" i="7"/>
  <c r="V29" i="7"/>
  <c r="AA29" i="7"/>
  <c r="Z29" i="7"/>
  <c r="X29" i="7"/>
  <c r="AF29" i="7"/>
  <c r="AE29" i="7"/>
  <c r="AK32" i="7"/>
  <c r="AD2" i="7"/>
  <c r="Z2" i="7"/>
  <c r="V2" i="7"/>
  <c r="AF2" i="7"/>
  <c r="AA2" i="7"/>
  <c r="AG2" i="7"/>
  <c r="Y2" i="7"/>
  <c r="AE2" i="7"/>
  <c r="X2" i="7"/>
  <c r="AC2" i="7"/>
  <c r="AB2" i="7"/>
  <c r="W2" i="7"/>
  <c r="AJ4" i="7"/>
  <c r="AJ28" i="7"/>
  <c r="AF3" i="7"/>
  <c r="AB3" i="7"/>
  <c r="X3" i="7"/>
  <c r="AC3" i="7"/>
  <c r="W3" i="7"/>
  <c r="AE3" i="7"/>
  <c r="Y3" i="7"/>
  <c r="AD3" i="7"/>
  <c r="V3" i="7"/>
  <c r="AA3" i="7"/>
  <c r="Z3" i="7"/>
  <c r="AG3" i="7"/>
  <c r="AL16" i="7"/>
  <c r="AH19" i="7"/>
  <c r="AL20" i="7"/>
  <c r="AH23" i="7"/>
  <c r="AI24" i="7"/>
  <c r="AG27" i="7"/>
  <c r="AC27" i="7"/>
  <c r="Y27" i="7"/>
  <c r="AD27" i="7"/>
  <c r="X27" i="7"/>
  <c r="AF27" i="7"/>
  <c r="Z27" i="7"/>
  <c r="AE27" i="7"/>
  <c r="W27" i="7"/>
  <c r="AB27" i="7"/>
  <c r="AA27" i="7"/>
  <c r="V27" i="7"/>
  <c r="AI28" i="7"/>
  <c r="AH31" i="7"/>
  <c r="AI32" i="7"/>
  <c r="AL27" i="7"/>
  <c r="AF17" i="7"/>
  <c r="AB17" i="7"/>
  <c r="X17" i="7"/>
  <c r="AG17" i="7"/>
  <c r="AA17" i="7"/>
  <c r="V17" i="7"/>
  <c r="AE17" i="7"/>
  <c r="Z17" i="7"/>
  <c r="Y17" i="7"/>
  <c r="W17" i="7"/>
  <c r="AD17" i="7"/>
  <c r="AC17" i="7"/>
  <c r="AD18" i="7"/>
  <c r="Z18" i="7"/>
  <c r="V18" i="7"/>
  <c r="AC18" i="7"/>
  <c r="X18" i="7"/>
  <c r="AG18" i="7"/>
  <c r="AB18" i="7"/>
  <c r="W18" i="7"/>
  <c r="AA18" i="7"/>
  <c r="Y18" i="7"/>
  <c r="AF18" i="7"/>
  <c r="AE18" i="7"/>
  <c r="AK30" i="7"/>
  <c r="AH4" i="7"/>
  <c r="R16" i="7"/>
  <c r="N16" i="7"/>
  <c r="J16" i="7"/>
  <c r="T16" i="7"/>
  <c r="O16" i="7"/>
  <c r="S16" i="7"/>
  <c r="M16" i="7"/>
  <c r="L16" i="7"/>
  <c r="U16" i="7"/>
  <c r="K16" i="7"/>
  <c r="Q16" i="7"/>
  <c r="P16" i="7"/>
  <c r="AI17" i="7"/>
  <c r="R18" i="7"/>
  <c r="N18" i="7"/>
  <c r="J18" i="7"/>
  <c r="S18" i="7"/>
  <c r="M18" i="7"/>
  <c r="Q18" i="7"/>
  <c r="L18" i="7"/>
  <c r="P18" i="7"/>
  <c r="O18" i="7"/>
  <c r="K18" i="7"/>
  <c r="U18" i="7"/>
  <c r="T18" i="7"/>
  <c r="AL21" i="7"/>
  <c r="AE24" i="7"/>
  <c r="AA24" i="7"/>
  <c r="W24" i="7"/>
  <c r="AC24" i="7"/>
  <c r="X24" i="7"/>
  <c r="AD24" i="7"/>
  <c r="V24" i="7"/>
  <c r="AB24" i="7"/>
  <c r="AG24" i="7"/>
  <c r="AF24" i="7"/>
  <c r="Z24" i="7"/>
  <c r="Y24" i="7"/>
  <c r="AM26" i="7"/>
  <c r="AH32" i="7"/>
  <c r="AG33" i="7"/>
  <c r="AC33" i="7"/>
  <c r="Y33" i="7"/>
  <c r="AE33" i="7"/>
  <c r="Z33" i="7"/>
  <c r="AD33" i="7"/>
  <c r="W33" i="7"/>
  <c r="AB33" i="7"/>
  <c r="V33" i="7"/>
  <c r="AF33" i="7"/>
  <c r="AA33" i="7"/>
  <c r="X33" i="7"/>
  <c r="AD4" i="7"/>
  <c r="Z4" i="7"/>
  <c r="V4" i="7"/>
  <c r="AE4" i="7"/>
  <c r="Y4" i="7"/>
  <c r="AC4" i="7"/>
  <c r="W4" i="7"/>
  <c r="AB4" i="7"/>
  <c r="AA4" i="7"/>
  <c r="X4" i="7"/>
  <c r="AG4" i="7"/>
  <c r="AF4" i="7"/>
  <c r="AE22" i="7"/>
  <c r="AD22" i="7"/>
  <c r="Z22" i="7"/>
  <c r="V22" i="7"/>
  <c r="AG22" i="7"/>
  <c r="AA22" i="7"/>
  <c r="AF22" i="7"/>
  <c r="Y22" i="7"/>
  <c r="X22" i="7"/>
  <c r="W22" i="7"/>
  <c r="AC22" i="7"/>
  <c r="AB22" i="7"/>
  <c r="T3" i="7"/>
  <c r="P3" i="7"/>
  <c r="L3" i="7"/>
  <c r="R3" i="7"/>
  <c r="M3" i="7"/>
  <c r="Q3" i="7"/>
  <c r="J3" i="7"/>
  <c r="O3" i="7"/>
  <c r="N3" i="7"/>
  <c r="K3" i="7"/>
  <c r="U3" i="7"/>
  <c r="S3" i="7"/>
  <c r="AM5" i="7"/>
  <c r="AM17" i="7"/>
  <c r="AF19" i="7"/>
  <c r="AB19" i="7"/>
  <c r="X19" i="7"/>
  <c r="AE19" i="7"/>
  <c r="Z19" i="7"/>
  <c r="AD19" i="7"/>
  <c r="Y19" i="7"/>
  <c r="AC19" i="7"/>
  <c r="AA19" i="7"/>
  <c r="W19" i="7"/>
  <c r="AG19" i="7"/>
  <c r="V19" i="7"/>
  <c r="AM21" i="7"/>
  <c r="AM25" i="7"/>
  <c r="U27" i="7"/>
  <c r="Q27" i="7"/>
  <c r="M27" i="7"/>
  <c r="S27" i="7"/>
  <c r="N27" i="7"/>
  <c r="R27" i="7"/>
  <c r="K27" i="7"/>
  <c r="P27" i="7"/>
  <c r="J27" i="7"/>
  <c r="O27" i="7"/>
  <c r="L27" i="7"/>
  <c r="T27" i="7"/>
  <c r="AJ29" i="7"/>
  <c r="AM33" i="7"/>
  <c r="AI27" i="7"/>
  <c r="AL15" i="7"/>
  <c r="AM15" i="7"/>
  <c r="R15" i="7"/>
  <c r="N15" i="7"/>
  <c r="J15" i="7"/>
  <c r="U15" i="7"/>
  <c r="Q15" i="7"/>
  <c r="M15" i="7"/>
  <c r="T15" i="7"/>
  <c r="P15" i="7"/>
  <c r="L15" i="7"/>
  <c r="S15" i="7"/>
  <c r="O15" i="7"/>
  <c r="K15" i="7"/>
  <c r="AI15" i="7"/>
  <c r="AH15" i="7"/>
  <c r="AJ15" i="7"/>
  <c r="AD15" i="7"/>
  <c r="Z15" i="7"/>
  <c r="V15" i="7"/>
  <c r="AG15" i="7"/>
  <c r="AC15" i="7"/>
  <c r="Y15" i="7"/>
  <c r="AF15" i="7"/>
  <c r="AB15" i="7"/>
  <c r="X15" i="7"/>
  <c r="AE15" i="7"/>
  <c r="AA15" i="7"/>
  <c r="W15" i="7"/>
  <c r="W13" i="21"/>
  <c r="Z16" i="6"/>
  <c r="AK14" i="7" s="1"/>
  <c r="Y16" i="6"/>
  <c r="AG13" i="7"/>
  <c r="AC13" i="7"/>
  <c r="Y13" i="7"/>
  <c r="AE13" i="7"/>
  <c r="W13" i="7"/>
  <c r="AF13" i="7"/>
  <c r="AB13" i="7"/>
  <c r="X13" i="7"/>
  <c r="AA13" i="7"/>
  <c r="AD13" i="7"/>
  <c r="Z13" i="7"/>
  <c r="V13" i="7"/>
  <c r="AL13" i="7"/>
  <c r="AH13" i="7"/>
  <c r="AI13" i="7"/>
  <c r="U13" i="7"/>
  <c r="Q13" i="7"/>
  <c r="M13" i="7"/>
  <c r="K13" i="7"/>
  <c r="T13" i="7"/>
  <c r="P13" i="7"/>
  <c r="L13" i="7"/>
  <c r="S13" i="7"/>
  <c r="O13" i="7"/>
  <c r="R13" i="7"/>
  <c r="N13" i="7"/>
  <c r="J13" i="7"/>
  <c r="AM13" i="7"/>
  <c r="AL12" i="7"/>
  <c r="AK12" i="7"/>
  <c r="AI12" i="7"/>
  <c r="AH12" i="7"/>
  <c r="S12" i="7"/>
  <c r="O12" i="7"/>
  <c r="K12" i="7"/>
  <c r="Q12" i="7"/>
  <c r="R12" i="7"/>
  <c r="N12" i="7"/>
  <c r="J12" i="7"/>
  <c r="M12" i="7"/>
  <c r="T12" i="7"/>
  <c r="P12" i="7"/>
  <c r="U12" i="7"/>
  <c r="L12" i="7"/>
  <c r="AE12" i="7"/>
  <c r="AA12" i="7"/>
  <c r="W12" i="7"/>
  <c r="AG12" i="7"/>
  <c r="Y12" i="7"/>
  <c r="AD12" i="7"/>
  <c r="Z12" i="7"/>
  <c r="V12" i="7"/>
  <c r="AC12" i="7"/>
  <c r="AF12" i="7"/>
  <c r="AB12" i="7"/>
  <c r="X12" i="7"/>
  <c r="AG11" i="7"/>
  <c r="AC11" i="7"/>
  <c r="Y11" i="7"/>
  <c r="AA11" i="7"/>
  <c r="AF11" i="7"/>
  <c r="AB11" i="7"/>
  <c r="X11" i="7"/>
  <c r="AE11" i="7"/>
  <c r="W11" i="7"/>
  <c r="AD11" i="7"/>
  <c r="Z11" i="7"/>
  <c r="V11" i="7"/>
  <c r="AK11" i="7"/>
  <c r="U11" i="7"/>
  <c r="Q11" i="7"/>
  <c r="M11" i="7"/>
  <c r="S11" i="7"/>
  <c r="T11" i="7"/>
  <c r="P11" i="7"/>
  <c r="L11" i="7"/>
  <c r="O11" i="7"/>
  <c r="K11" i="7"/>
  <c r="R11" i="7"/>
  <c r="N11" i="7"/>
  <c r="J11" i="7"/>
  <c r="AL11" i="7"/>
  <c r="AM11" i="7"/>
  <c r="AH11" i="7"/>
  <c r="AI11" i="7"/>
  <c r="AI10" i="7"/>
  <c r="AJ10" i="7"/>
  <c r="W2" i="21"/>
  <c r="T10" i="7"/>
  <c r="P10" i="7"/>
  <c r="L10" i="7"/>
  <c r="R10" i="7"/>
  <c r="J10" i="7"/>
  <c r="U10" i="7"/>
  <c r="Q10" i="7"/>
  <c r="M10" i="7"/>
  <c r="S10" i="7"/>
  <c r="O10" i="7"/>
  <c r="K10" i="7"/>
  <c r="N10" i="7"/>
  <c r="AF10" i="7"/>
  <c r="AB10" i="7"/>
  <c r="X10" i="7"/>
  <c r="AD10" i="7"/>
  <c r="Z10" i="7"/>
  <c r="AG10" i="7"/>
  <c r="AC10" i="7"/>
  <c r="Y10" i="7"/>
  <c r="AE10" i="7"/>
  <c r="AA10" i="7"/>
  <c r="W10" i="7"/>
  <c r="V10" i="7"/>
  <c r="AL10" i="7"/>
  <c r="AM10" i="7"/>
  <c r="AK10" i="7"/>
  <c r="AK9" i="7"/>
  <c r="AD9" i="7"/>
  <c r="Z9" i="7"/>
  <c r="V9" i="7"/>
  <c r="AB9" i="7"/>
  <c r="AG9" i="7"/>
  <c r="AC9" i="7"/>
  <c r="Y9" i="7"/>
  <c r="AF9" i="7"/>
  <c r="X9" i="7"/>
  <c r="AE9" i="7"/>
  <c r="AA9" i="7"/>
  <c r="W9" i="7"/>
  <c r="AI9" i="7"/>
  <c r="AL9" i="7"/>
  <c r="R9" i="7"/>
  <c r="N9" i="7"/>
  <c r="J9" i="7"/>
  <c r="T9" i="7"/>
  <c r="L9" i="7"/>
  <c r="U9" i="7"/>
  <c r="Q9" i="7"/>
  <c r="M9" i="7"/>
  <c r="P9" i="7"/>
  <c r="S9" i="7"/>
  <c r="O9" i="7"/>
  <c r="K9" i="7"/>
  <c r="AJ9" i="7"/>
  <c r="AE8" i="7"/>
  <c r="AA8" i="7"/>
  <c r="W8" i="7"/>
  <c r="AG8" i="7"/>
  <c r="Y8" i="7"/>
  <c r="AF8" i="7"/>
  <c r="X8" i="7"/>
  <c r="AD8" i="7"/>
  <c r="Z8" i="7"/>
  <c r="V8" i="7"/>
  <c r="AC8" i="7"/>
  <c r="AB8" i="7"/>
  <c r="S8" i="7"/>
  <c r="O8" i="7"/>
  <c r="K8" i="7"/>
  <c r="Q8" i="7"/>
  <c r="P8" i="7"/>
  <c r="L8" i="7"/>
  <c r="R8" i="7"/>
  <c r="N8" i="7"/>
  <c r="J8" i="7"/>
  <c r="U8" i="7"/>
  <c r="M8" i="7"/>
  <c r="T8" i="7"/>
  <c r="AL8" i="7"/>
  <c r="AJ8" i="7"/>
  <c r="AK8" i="7"/>
  <c r="AI8" i="7"/>
  <c r="AM8" i="7"/>
  <c r="AK7" i="7"/>
  <c r="AM7" i="7"/>
  <c r="S7" i="7"/>
  <c r="O7" i="7"/>
  <c r="K7" i="7"/>
  <c r="R7" i="7"/>
  <c r="N7" i="7"/>
  <c r="J7" i="7"/>
  <c r="U7" i="7"/>
  <c r="Q7" i="7"/>
  <c r="M7" i="7"/>
  <c r="T7" i="7"/>
  <c r="P7" i="7"/>
  <c r="L7" i="7"/>
  <c r="AJ7" i="7"/>
  <c r="AH7" i="7"/>
  <c r="AE7" i="7"/>
  <c r="AA7" i="7"/>
  <c r="W7" i="7"/>
  <c r="AD7" i="7"/>
  <c r="Z7" i="7"/>
  <c r="V7" i="7"/>
  <c r="AG7" i="7"/>
  <c r="AC7" i="7"/>
  <c r="Y7" i="7"/>
  <c r="AF7" i="7"/>
  <c r="AB7" i="7"/>
  <c r="X7" i="7"/>
  <c r="AI7" i="7"/>
  <c r="AI6" i="7"/>
  <c r="AK6" i="7"/>
  <c r="AL6" i="7"/>
  <c r="AH6" i="7"/>
  <c r="R6" i="7"/>
  <c r="N6" i="7"/>
  <c r="J6" i="7"/>
  <c r="U6" i="7"/>
  <c r="Q6" i="7"/>
  <c r="M6" i="7"/>
  <c r="T6" i="7"/>
  <c r="P6" i="7"/>
  <c r="L6" i="7"/>
  <c r="S6" i="7"/>
  <c r="O6" i="7"/>
  <c r="K6" i="7"/>
  <c r="AD6" i="7"/>
  <c r="Z6" i="7"/>
  <c r="V6" i="7"/>
  <c r="AG6" i="7"/>
  <c r="AC6" i="7"/>
  <c r="Y6" i="7"/>
  <c r="AF6" i="7"/>
  <c r="AB6" i="7"/>
  <c r="X6" i="7"/>
  <c r="W6" i="7"/>
  <c r="AE6" i="7"/>
  <c r="AA6" i="7"/>
  <c r="W4" i="21"/>
  <c r="U5" i="21"/>
  <c r="C2" i="7"/>
  <c r="F2" i="7"/>
  <c r="G2" i="7" s="1"/>
  <c r="D12" i="13" l="1"/>
  <c r="D15" i="13"/>
  <c r="D24" i="13"/>
  <c r="D21" i="13"/>
  <c r="Q87" i="22"/>
  <c r="B11" i="12" s="1"/>
  <c r="Q85" i="22"/>
  <c r="Q86" i="22"/>
  <c r="B10" i="12" s="1"/>
  <c r="T14" i="7"/>
  <c r="P14" i="7"/>
  <c r="L14" i="7"/>
  <c r="N14" i="7"/>
  <c r="U14" i="7"/>
  <c r="M14" i="7"/>
  <c r="S14" i="7"/>
  <c r="O14" i="7"/>
  <c r="K14" i="7"/>
  <c r="R14" i="7"/>
  <c r="J14" i="7"/>
  <c r="Q14" i="7"/>
  <c r="AJ14" i="7"/>
  <c r="AI14" i="7"/>
  <c r="AH14" i="7"/>
  <c r="AF14" i="7"/>
  <c r="AB14" i="7"/>
  <c r="X14" i="7"/>
  <c r="AD14" i="7"/>
  <c r="Z14" i="7"/>
  <c r="V14" i="7"/>
  <c r="Y14" i="7"/>
  <c r="AE14" i="7"/>
  <c r="AA14" i="7"/>
  <c r="W14" i="7"/>
  <c r="AG14" i="7"/>
  <c r="AC14" i="7"/>
  <c r="AM14" i="7"/>
  <c r="AL14" i="7"/>
  <c r="U85" i="22" l="1"/>
  <c r="X85" i="22" s="1"/>
  <c r="R85" i="22"/>
  <c r="U86" i="22"/>
  <c r="R86" i="22"/>
  <c r="U87" i="22"/>
  <c r="X87" i="22" s="1"/>
  <c r="R87" i="22"/>
  <c r="S87" i="22" l="1"/>
  <c r="S89" i="22"/>
  <c r="S90" i="22"/>
  <c r="S92" i="22"/>
  <c r="S86" i="22"/>
  <c r="S88" i="22"/>
  <c r="S91" i="22"/>
  <c r="S93" i="22"/>
  <c r="S95" i="22"/>
  <c r="S94" i="22"/>
  <c r="S96" i="22"/>
  <c r="S97" i="22"/>
  <c r="X86" i="22"/>
  <c r="V89" i="22"/>
  <c r="Y89" i="22" s="1"/>
  <c r="V90" i="22"/>
  <c r="Y90" i="22" s="1"/>
  <c r="V94" i="22"/>
  <c r="Y94" i="22" s="1"/>
  <c r="V93" i="22"/>
  <c r="Y93" i="22" s="1"/>
  <c r="V87" i="22"/>
  <c r="Y87" i="22" s="1"/>
  <c r="V92" i="22"/>
  <c r="Y92" i="22" s="1"/>
  <c r="V86" i="22"/>
  <c r="Y86" i="22" s="1"/>
  <c r="V95" i="22"/>
  <c r="Y95" i="22" s="1"/>
  <c r="V91" i="22"/>
  <c r="Y91" i="22" s="1"/>
  <c r="V96" i="22"/>
  <c r="Y96" i="22" s="1"/>
  <c r="V97" i="22"/>
  <c r="Y97" i="22" s="1"/>
  <c r="V88" i="22"/>
  <c r="Y88" i="22" s="1"/>
  <c r="C4" i="6" l="1"/>
  <c r="F4" i="6"/>
  <c r="G4" i="6" s="1"/>
  <c r="Z84" i="22" l="1"/>
  <c r="Q84" i="22" l="1"/>
  <c r="R84" i="22" l="1"/>
  <c r="U84" i="22"/>
  <c r="X84" i="22" l="1"/>
  <c r="B3" i="15" l="1"/>
  <c r="C3" i="15"/>
  <c r="H4" i="15"/>
  <c r="F3" i="15"/>
  <c r="G3" i="15" s="1"/>
  <c r="B4" i="15" l="1"/>
  <c r="C4" i="15"/>
  <c r="F4" i="15"/>
  <c r="G4" i="15" s="1"/>
  <c r="H5" i="15"/>
  <c r="B5" i="15" l="1"/>
  <c r="C5" i="15"/>
  <c r="F5" i="15"/>
  <c r="G5" i="15" s="1"/>
  <c r="H6" i="15"/>
  <c r="B6" i="15" l="1"/>
  <c r="C6" i="15"/>
  <c r="F6" i="15"/>
  <c r="G6" i="15" s="1"/>
  <c r="H7" i="15"/>
  <c r="B7" i="15" l="1"/>
  <c r="C7" i="15"/>
  <c r="H8" i="15"/>
  <c r="F7" i="15"/>
  <c r="G7" i="15" s="1"/>
  <c r="B8" i="15" l="1"/>
  <c r="C8" i="15"/>
  <c r="F8" i="15"/>
  <c r="G8" i="15" s="1"/>
  <c r="H9" i="15"/>
  <c r="B9" i="15" l="1"/>
  <c r="C9" i="15"/>
  <c r="H10" i="15"/>
  <c r="F9" i="15"/>
  <c r="G9" i="15" s="1"/>
  <c r="B10" i="15" l="1"/>
  <c r="C10" i="15"/>
  <c r="H11" i="15"/>
  <c r="F10" i="15"/>
  <c r="G10" i="15" s="1"/>
  <c r="Z83" i="22"/>
  <c r="B11" i="15" l="1"/>
  <c r="C11" i="15"/>
  <c r="H12" i="15"/>
  <c r="F11" i="15"/>
  <c r="G11" i="15" s="1"/>
  <c r="Z82" i="22"/>
  <c r="Z81" i="22"/>
  <c r="H13" i="15" l="1"/>
  <c r="B12" i="15"/>
  <c r="C12" i="15"/>
  <c r="F12" i="15"/>
  <c r="G12" i="15" s="1"/>
  <c r="Q81" i="22"/>
  <c r="Q82" i="22"/>
  <c r="Q83" i="22"/>
  <c r="B13" i="15" l="1"/>
  <c r="C13" i="15"/>
  <c r="F13" i="15"/>
  <c r="G13" i="15" s="1"/>
  <c r="U82" i="22"/>
  <c r="R82" i="22"/>
  <c r="U83" i="22"/>
  <c r="R83" i="22"/>
  <c r="U81" i="22"/>
  <c r="R81" i="22"/>
  <c r="X83" i="22" l="1"/>
  <c r="X81" i="22"/>
  <c r="X82" i="22"/>
  <c r="Q80" i="22" l="1"/>
  <c r="U80" i="22" l="1"/>
  <c r="R80" i="22"/>
  <c r="X80" i="22" l="1"/>
  <c r="Z78" i="22" l="1"/>
  <c r="Z79" i="22"/>
  <c r="Z80" i="22" l="1"/>
  <c r="Q79" i="22" l="1"/>
  <c r="Q78" i="22"/>
  <c r="R79" i="22" l="1"/>
  <c r="U79" i="22"/>
  <c r="R78" i="22"/>
  <c r="U78" i="22"/>
  <c r="X78" i="22" l="1"/>
  <c r="X79" i="22"/>
  <c r="Z77" i="22" l="1"/>
  <c r="Z76" i="22"/>
  <c r="E23" i="20"/>
  <c r="D23" i="20"/>
  <c r="D22" i="20"/>
  <c r="D21" i="20"/>
  <c r="C7" i="20"/>
  <c r="C28" i="20" s="1"/>
  <c r="F23" i="20" l="1"/>
  <c r="C24" i="20"/>
  <c r="C13" i="20"/>
  <c r="C21" i="20"/>
  <c r="C25" i="20"/>
  <c r="C14" i="20"/>
  <c r="C26" i="20"/>
  <c r="C12" i="20"/>
  <c r="C30" i="20"/>
  <c r="C8" i="20"/>
  <c r="C16" i="20"/>
  <c r="C9" i="20"/>
  <c r="C17" i="20"/>
  <c r="C29" i="20"/>
  <c r="C15" i="20"/>
  <c r="C23" i="20"/>
  <c r="C10" i="20"/>
  <c r="C18" i="20"/>
  <c r="C22" i="20"/>
  <c r="C27" i="20"/>
  <c r="C20" i="20"/>
  <c r="C11" i="20"/>
  <c r="C19" i="20"/>
  <c r="Q77" i="22" l="1"/>
  <c r="Q76" i="22"/>
  <c r="R77" i="22" l="1"/>
  <c r="U77" i="22"/>
  <c r="U76" i="22"/>
  <c r="X76" i="22" s="1"/>
  <c r="R76" i="22"/>
  <c r="X77" i="22" l="1"/>
  <c r="B4" i="13" l="1"/>
  <c r="A4" i="10"/>
  <c r="Z73" i="2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J21" i="2"/>
  <c r="J20" i="2"/>
  <c r="J19" i="2"/>
  <c r="K19" i="2"/>
  <c r="J18" i="2"/>
  <c r="J17" i="2"/>
  <c r="J16" i="2"/>
  <c r="J15" i="2"/>
  <c r="J14" i="2"/>
  <c r="J13" i="2"/>
  <c r="J12" i="2"/>
  <c r="J11" i="2"/>
  <c r="K11" i="2"/>
  <c r="J10" i="2"/>
  <c r="J7" i="2"/>
  <c r="J6" i="2"/>
  <c r="J5" i="2"/>
  <c r="J4" i="2"/>
  <c r="J3" i="2"/>
  <c r="I2" i="1"/>
  <c r="J2" i="1" s="1"/>
  <c r="W2" i="1" s="1"/>
  <c r="X2" i="1" s="1"/>
  <c r="Y2" i="1" s="1"/>
  <c r="Z2" i="1"/>
  <c r="AA2" i="1" s="1"/>
  <c r="AB2" i="1" s="1"/>
  <c r="AC2" i="1" s="1"/>
  <c r="AD2" i="1"/>
  <c r="AE2" i="1" s="1"/>
  <c r="AF2" i="1" s="1"/>
  <c r="AG2" i="1" s="1"/>
  <c r="AH2" i="1" s="1"/>
  <c r="AI2" i="1" s="1"/>
  <c r="AJ2" i="1" s="1"/>
  <c r="AK2" i="1" s="1"/>
  <c r="AL2" i="1" s="1"/>
  <c r="AM2" i="1"/>
  <c r="W1" i="6"/>
  <c r="X1" i="6"/>
  <c r="V1" i="6"/>
  <c r="K8" i="2"/>
  <c r="K9" i="2"/>
  <c r="K22" i="2"/>
  <c r="K23" i="2"/>
  <c r="K4" i="2"/>
  <c r="K3" i="2"/>
  <c r="K21" i="2"/>
  <c r="K20" i="2"/>
  <c r="K18" i="2"/>
  <c r="K17" i="2"/>
  <c r="K16" i="2"/>
  <c r="K15" i="2"/>
  <c r="K14" i="2"/>
  <c r="K13" i="2"/>
  <c r="K12" i="2"/>
  <c r="K10" i="2"/>
  <c r="K7" i="2"/>
  <c r="K6" i="2"/>
  <c r="K5" i="2"/>
  <c r="J2" i="2"/>
  <c r="K2" i="2"/>
  <c r="E30" i="20"/>
  <c r="D7" i="20"/>
  <c r="G23" i="20" s="1"/>
  <c r="D30" i="20"/>
  <c r="Z69" i="22" l="1"/>
  <c r="Z62" i="22"/>
  <c r="Z70" i="22"/>
  <c r="Z65" i="22"/>
  <c r="Z75" i="22"/>
  <c r="Z68" i="22"/>
  <c r="D4" i="10"/>
  <c r="D19" i="13" s="1"/>
  <c r="C4" i="10"/>
  <c r="C19" i="13" s="1"/>
  <c r="Z66" i="22"/>
  <c r="Z63" i="22"/>
  <c r="Z72" i="22"/>
  <c r="Z74" i="22"/>
  <c r="Z67" i="22"/>
  <c r="Z64" i="22"/>
  <c r="Z71" i="22"/>
  <c r="F16" i="12"/>
  <c r="F18" i="12"/>
  <c r="F17" i="12"/>
  <c r="F12" i="12"/>
  <c r="F14" i="12"/>
  <c r="F15" i="12"/>
  <c r="F13" i="12"/>
  <c r="M4" i="10"/>
  <c r="K4" i="10"/>
  <c r="N4" i="10"/>
  <c r="D22" i="13" s="1"/>
  <c r="E4" i="10"/>
  <c r="L4" i="10"/>
  <c r="D25" i="13" s="1"/>
  <c r="F4" i="10"/>
  <c r="A12" i="10"/>
  <c r="F30" i="20"/>
  <c r="G30" i="20" s="1"/>
  <c r="E18" i="13"/>
  <c r="A4" i="12"/>
  <c r="B8" i="10"/>
  <c r="B7" i="10" s="1"/>
  <c r="B4" i="10"/>
  <c r="G4" i="10" l="1"/>
  <c r="C16" i="13" s="1"/>
  <c r="F11" i="12"/>
  <c r="J11" i="12" s="1"/>
  <c r="L13" i="12"/>
  <c r="L12" i="12"/>
  <c r="L17" i="12"/>
  <c r="L18" i="12"/>
  <c r="N17" i="12"/>
  <c r="Q69" i="22"/>
  <c r="F10" i="12"/>
  <c r="H10" i="12" s="1"/>
  <c r="Q62" i="22"/>
  <c r="L10" i="12"/>
  <c r="L15" i="12"/>
  <c r="L14" i="12"/>
  <c r="L16" i="12"/>
  <c r="L11" i="12"/>
  <c r="N14" i="12"/>
  <c r="Q66" i="22"/>
  <c r="H11" i="12"/>
  <c r="J10" i="12"/>
  <c r="F21" i="12"/>
  <c r="H13" i="12"/>
  <c r="J13" i="12"/>
  <c r="H12" i="12"/>
  <c r="J12" i="12"/>
  <c r="J17" i="12"/>
  <c r="H17" i="12"/>
  <c r="H15" i="12"/>
  <c r="J15" i="12"/>
  <c r="H18" i="12"/>
  <c r="J18" i="12"/>
  <c r="F19" i="12"/>
  <c r="F20" i="12"/>
  <c r="H14" i="12"/>
  <c r="J14" i="12"/>
  <c r="H16" i="12"/>
  <c r="J16" i="12"/>
  <c r="E19" i="13"/>
  <c r="D4" i="12"/>
  <c r="D20" i="13" s="1"/>
  <c r="F4" i="12"/>
  <c r="L4" i="12"/>
  <c r="D26" i="13" s="1"/>
  <c r="D10" i="13"/>
  <c r="J4" i="10"/>
  <c r="D13" i="13" s="1"/>
  <c r="H4" i="10"/>
  <c r="D16" i="13" s="1"/>
  <c r="C10" i="13"/>
  <c r="I4" i="10"/>
  <c r="C13" i="13" s="1"/>
  <c r="M12" i="10"/>
  <c r="K12" i="10"/>
  <c r="N4" i="12"/>
  <c r="D23" i="13" s="1"/>
  <c r="N10" i="12"/>
  <c r="N12" i="12"/>
  <c r="Q64" i="22"/>
  <c r="N18" i="12"/>
  <c r="Q70" i="22"/>
  <c r="E22" i="13"/>
  <c r="E12" i="13"/>
  <c r="E15" i="13"/>
  <c r="E12" i="10"/>
  <c r="Q44" i="22" l="1"/>
  <c r="Q41" i="22"/>
  <c r="Q61" i="22"/>
  <c r="Q53" i="22"/>
  <c r="Q60" i="22"/>
  <c r="R60" i="22" s="1"/>
  <c r="Q28" i="22"/>
  <c r="Q36" i="22"/>
  <c r="N19" i="12"/>
  <c r="Q74" i="22"/>
  <c r="U74" i="22" s="1"/>
  <c r="X74" i="22" s="1"/>
  <c r="Q52" i="22"/>
  <c r="R52" i="22" s="1"/>
  <c r="Q17" i="22"/>
  <c r="U17" i="22" s="1"/>
  <c r="X17" i="22" s="1"/>
  <c r="Q35" i="22"/>
  <c r="U35" i="22" s="1"/>
  <c r="X35" i="22" s="1"/>
  <c r="Q40" i="22"/>
  <c r="U40" i="22" s="1"/>
  <c r="X40" i="22" s="1"/>
  <c r="Q47" i="22"/>
  <c r="U47" i="22" s="1"/>
  <c r="X47" i="22" s="1"/>
  <c r="Q18" i="22"/>
  <c r="Q19" i="22"/>
  <c r="U19" i="22" s="1"/>
  <c r="X19" i="22" s="1"/>
  <c r="Q20" i="22"/>
  <c r="Q21" i="22"/>
  <c r="R21" i="22" s="1"/>
  <c r="Q24" i="22"/>
  <c r="Q25" i="22"/>
  <c r="U25" i="22" s="1"/>
  <c r="X25" i="22" s="1"/>
  <c r="Q31" i="22"/>
  <c r="U31" i="22" s="1"/>
  <c r="X31" i="22" s="1"/>
  <c r="Q33" i="22"/>
  <c r="R33" i="22" s="1"/>
  <c r="Q29" i="22"/>
  <c r="U29" i="22" s="1"/>
  <c r="X29" i="22" s="1"/>
  <c r="Q49" i="22"/>
  <c r="U49" i="22" s="1"/>
  <c r="X49" i="22" s="1"/>
  <c r="Q37" i="22"/>
  <c r="R37" i="22" s="1"/>
  <c r="Q43" i="22"/>
  <c r="U43" i="22" s="1"/>
  <c r="X43" i="22" s="1"/>
  <c r="Q30" i="22"/>
  <c r="U30" i="22" s="1"/>
  <c r="X30" i="22" s="1"/>
  <c r="E10" i="13"/>
  <c r="Q23" i="22"/>
  <c r="R23" i="22" s="1"/>
  <c r="Q34" i="22"/>
  <c r="R34" i="22" s="1"/>
  <c r="Q45" i="22"/>
  <c r="R45" i="22" s="1"/>
  <c r="Q46" i="22"/>
  <c r="R46" i="22" s="1"/>
  <c r="R31" i="22"/>
  <c r="U33" i="22"/>
  <c r="X33" i="22" s="1"/>
  <c r="Q26" i="22"/>
  <c r="Q75" i="22"/>
  <c r="L20" i="12"/>
  <c r="Q16" i="22"/>
  <c r="U69" i="22"/>
  <c r="R69" i="22"/>
  <c r="C17" i="12" s="1"/>
  <c r="Q48" i="22"/>
  <c r="Q38" i="22"/>
  <c r="Q55" i="22"/>
  <c r="Q15" i="22"/>
  <c r="Q42" i="22"/>
  <c r="Q51" i="22"/>
  <c r="Q22" i="22"/>
  <c r="Q27" i="22"/>
  <c r="L21" i="12"/>
  <c r="Q54" i="22"/>
  <c r="U66" i="22"/>
  <c r="R66" i="22"/>
  <c r="C14" i="12" s="1"/>
  <c r="Q39" i="22"/>
  <c r="Q50" i="22"/>
  <c r="Q73" i="22"/>
  <c r="N21" i="12"/>
  <c r="L19" i="12"/>
  <c r="J20" i="12"/>
  <c r="H20" i="12"/>
  <c r="H19" i="12"/>
  <c r="J19" i="12"/>
  <c r="J21" i="12"/>
  <c r="H21" i="12"/>
  <c r="Q14" i="22"/>
  <c r="Q71" i="22"/>
  <c r="R71" i="22" s="1"/>
  <c r="C19" i="12" s="1"/>
  <c r="Q72" i="22"/>
  <c r="R72" i="22" s="1"/>
  <c r="C20" i="12" s="1"/>
  <c r="R30" i="22"/>
  <c r="R36" i="22"/>
  <c r="U36" i="22"/>
  <c r="X36" i="22" s="1"/>
  <c r="Q63" i="22"/>
  <c r="R63" i="22" s="1"/>
  <c r="C11" i="12" s="1"/>
  <c r="N11" i="12"/>
  <c r="N20" i="12"/>
  <c r="Q65" i="22"/>
  <c r="R65" i="22" s="1"/>
  <c r="C13" i="12" s="1"/>
  <c r="Q59" i="22"/>
  <c r="R59" i="22" s="1"/>
  <c r="E13" i="13"/>
  <c r="E16" i="13"/>
  <c r="B12" i="10"/>
  <c r="C12" i="10"/>
  <c r="D12" i="10"/>
  <c r="L12" i="10"/>
  <c r="N12" i="10"/>
  <c r="F12" i="10"/>
  <c r="Q68" i="22"/>
  <c r="Q58" i="22"/>
  <c r="Q57" i="22"/>
  <c r="Q56" i="22"/>
  <c r="N16" i="12"/>
  <c r="N13" i="12"/>
  <c r="Q32" i="22"/>
  <c r="N15" i="12"/>
  <c r="R44" i="22"/>
  <c r="U44" i="22"/>
  <c r="X44" i="22" s="1"/>
  <c r="U41" i="22"/>
  <c r="X41" i="22" s="1"/>
  <c r="R41" i="22"/>
  <c r="R74" i="22"/>
  <c r="U18" i="22"/>
  <c r="X18" i="22" s="1"/>
  <c r="R18" i="22"/>
  <c r="U60" i="22"/>
  <c r="X60" i="22" s="1"/>
  <c r="U70" i="22"/>
  <c r="X70" i="22" s="1"/>
  <c r="R70" i="22"/>
  <c r="C18" i="12" s="1"/>
  <c r="Q67" i="22"/>
  <c r="U62" i="22"/>
  <c r="X62" i="22" s="1"/>
  <c r="R62" i="22"/>
  <c r="U20" i="22"/>
  <c r="X20" i="22" s="1"/>
  <c r="R20" i="22"/>
  <c r="R24" i="22"/>
  <c r="U24" i="22"/>
  <c r="X24" i="22" s="1"/>
  <c r="U64" i="22"/>
  <c r="X64" i="22" s="1"/>
  <c r="R64" i="22"/>
  <c r="C12" i="12" s="1"/>
  <c r="U53" i="22"/>
  <c r="X53" i="22" s="1"/>
  <c r="R53" i="22"/>
  <c r="U61" i="22"/>
  <c r="X61" i="22" s="1"/>
  <c r="R61" i="22"/>
  <c r="R28" i="22"/>
  <c r="U28" i="22"/>
  <c r="X28" i="22" s="1"/>
  <c r="D11" i="13"/>
  <c r="J4" i="12"/>
  <c r="D14" i="13" s="1"/>
  <c r="H4" i="12"/>
  <c r="D17" i="13" s="1"/>
  <c r="E21" i="13"/>
  <c r="E21" i="20"/>
  <c r="F21" i="20" s="1"/>
  <c r="G21" i="20" s="1"/>
  <c r="F26" i="20"/>
  <c r="E7" i="20"/>
  <c r="F7" i="20" s="1"/>
  <c r="E26" i="20"/>
  <c r="D26" i="20"/>
  <c r="E24" i="13"/>
  <c r="E22" i="20"/>
  <c r="F22" i="20" s="1"/>
  <c r="G22" i="20" s="1"/>
  <c r="E26" i="13"/>
  <c r="E23" i="13"/>
  <c r="E25" i="13"/>
  <c r="R47" i="22" l="1"/>
  <c r="U34" i="22"/>
  <c r="X34" i="22" s="1"/>
  <c r="U21" i="22"/>
  <c r="X21" i="22" s="1"/>
  <c r="U37" i="22"/>
  <c r="X37" i="22" s="1"/>
  <c r="U52" i="22"/>
  <c r="X52" i="22" s="1"/>
  <c r="R40" i="22"/>
  <c r="R43" i="22"/>
  <c r="U46" i="22"/>
  <c r="X46" i="22" s="1"/>
  <c r="R19" i="22"/>
  <c r="R25" i="22"/>
  <c r="R35" i="22"/>
  <c r="U23" i="22"/>
  <c r="X23" i="22" s="1"/>
  <c r="R49" i="22"/>
  <c r="R29" i="22"/>
  <c r="R17" i="22"/>
  <c r="U45" i="22"/>
  <c r="X45" i="22" s="1"/>
  <c r="U50" i="22"/>
  <c r="R50" i="22"/>
  <c r="U54" i="22"/>
  <c r="X54" i="22" s="1"/>
  <c r="R54" i="22"/>
  <c r="R51" i="22"/>
  <c r="U51" i="22"/>
  <c r="X51" i="22" s="1"/>
  <c r="R48" i="22"/>
  <c r="U48" i="22"/>
  <c r="X48" i="22" s="1"/>
  <c r="R39" i="22"/>
  <c r="U39" i="22"/>
  <c r="X39" i="22" s="1"/>
  <c r="U42" i="22"/>
  <c r="X42" i="22" s="1"/>
  <c r="R42" i="22"/>
  <c r="R75" i="22"/>
  <c r="S84" i="22" s="1"/>
  <c r="U75" i="22"/>
  <c r="V75" i="22" s="1"/>
  <c r="Y75" i="22" s="1"/>
  <c r="R27" i="22"/>
  <c r="U27" i="22"/>
  <c r="X27" i="22" s="1"/>
  <c r="U15" i="22"/>
  <c r="X15" i="22" s="1"/>
  <c r="R15" i="22"/>
  <c r="U38" i="22"/>
  <c r="R38" i="22"/>
  <c r="X69" i="22"/>
  <c r="E17" i="12"/>
  <c r="I17" i="12" s="1"/>
  <c r="U73" i="22"/>
  <c r="R73" i="22"/>
  <c r="C21" i="12" s="1"/>
  <c r="X66" i="22"/>
  <c r="E14" i="12"/>
  <c r="I14" i="12" s="1"/>
  <c r="R22" i="22"/>
  <c r="U22" i="22"/>
  <c r="X22" i="22" s="1"/>
  <c r="U55" i="22"/>
  <c r="X55" i="22" s="1"/>
  <c r="R55" i="22"/>
  <c r="R16" i="22"/>
  <c r="U16" i="22"/>
  <c r="X16" i="22" s="1"/>
  <c r="U26" i="22"/>
  <c r="R26" i="22"/>
  <c r="U14" i="22"/>
  <c r="X14" i="22" s="1"/>
  <c r="R14" i="22"/>
  <c r="U71" i="22"/>
  <c r="X71" i="22" s="1"/>
  <c r="U72" i="22"/>
  <c r="X72" i="22" s="1"/>
  <c r="U59" i="22"/>
  <c r="X59" i="22" s="1"/>
  <c r="U63" i="22"/>
  <c r="X63" i="22" s="1"/>
  <c r="R32" i="22"/>
  <c r="U65" i="22"/>
  <c r="X65" i="22" s="1"/>
  <c r="R57" i="22"/>
  <c r="U32" i="22"/>
  <c r="X32" i="22" s="1"/>
  <c r="U57" i="22"/>
  <c r="X57" i="22" s="1"/>
  <c r="U58" i="22"/>
  <c r="X58" i="22" s="1"/>
  <c r="R58" i="22"/>
  <c r="H12" i="10"/>
  <c r="J12" i="10"/>
  <c r="I12" i="10"/>
  <c r="G12" i="10"/>
  <c r="U68" i="22"/>
  <c r="X68" i="22" s="1"/>
  <c r="R68" i="22"/>
  <c r="C16" i="12" s="1"/>
  <c r="U56" i="22"/>
  <c r="X56" i="22" s="1"/>
  <c r="R56" i="22"/>
  <c r="E12" i="12"/>
  <c r="I12" i="12" s="1"/>
  <c r="V74" i="22"/>
  <c r="Y74" i="22" s="1"/>
  <c r="S74" i="22"/>
  <c r="C10" i="12"/>
  <c r="S62" i="22"/>
  <c r="S64" i="22"/>
  <c r="S65" i="22"/>
  <c r="S63" i="22"/>
  <c r="S66" i="22"/>
  <c r="E11" i="12"/>
  <c r="I11" i="12" s="1"/>
  <c r="U67" i="22"/>
  <c r="X67" i="22" s="1"/>
  <c r="R67" i="22"/>
  <c r="C15" i="12" s="1"/>
  <c r="E16" i="12"/>
  <c r="I16" i="12" s="1"/>
  <c r="E10" i="12"/>
  <c r="I10" i="12" s="1"/>
  <c r="V62" i="22"/>
  <c r="Y62" i="22" s="1"/>
  <c r="E18" i="12"/>
  <c r="I18" i="12" s="1"/>
  <c r="E29" i="20"/>
  <c r="F29" i="20" s="1"/>
  <c r="V80" i="22" l="1"/>
  <c r="Y80" i="22" s="1"/>
  <c r="V31" i="22"/>
  <c r="Y31" i="22" s="1"/>
  <c r="V83" i="22"/>
  <c r="Y83" i="22" s="1"/>
  <c r="S30" i="22"/>
  <c r="S75" i="22"/>
  <c r="S83" i="22"/>
  <c r="S28" i="22"/>
  <c r="V85" i="22"/>
  <c r="Y85" i="22" s="1"/>
  <c r="V17" i="22"/>
  <c r="Y17" i="22" s="1"/>
  <c r="V79" i="22"/>
  <c r="Y79" i="22" s="1"/>
  <c r="V84" i="22"/>
  <c r="Y84" i="22" s="1"/>
  <c r="V78" i="22"/>
  <c r="Y78" i="22" s="1"/>
  <c r="V82" i="22"/>
  <c r="Y82" i="22" s="1"/>
  <c r="V77" i="22"/>
  <c r="Y77" i="22" s="1"/>
  <c r="V28" i="22"/>
  <c r="Y28" i="22" s="1"/>
  <c r="V76" i="22"/>
  <c r="Y76" i="22" s="1"/>
  <c r="V81" i="22"/>
  <c r="Y81" i="22" s="1"/>
  <c r="S44" i="22"/>
  <c r="S53" i="22"/>
  <c r="V54" i="22"/>
  <c r="Y54" i="22" s="1"/>
  <c r="S55" i="22"/>
  <c r="S52" i="22"/>
  <c r="S76" i="22"/>
  <c r="S78" i="22"/>
  <c r="S82" i="22"/>
  <c r="V52" i="22"/>
  <c r="Y52" i="22" s="1"/>
  <c r="V25" i="22"/>
  <c r="Y25" i="22" s="1"/>
  <c r="V22" i="22"/>
  <c r="Y22" i="22" s="1"/>
  <c r="S79" i="22"/>
  <c r="S80" i="22"/>
  <c r="V53" i="22"/>
  <c r="Y53" i="22" s="1"/>
  <c r="V19" i="22"/>
  <c r="Y19" i="22" s="1"/>
  <c r="V15" i="22"/>
  <c r="Y15" i="22" s="1"/>
  <c r="S81" i="22"/>
  <c r="S77" i="22"/>
  <c r="S85" i="22"/>
  <c r="C4" i="12" s="1"/>
  <c r="C20" i="13" s="1"/>
  <c r="E20" i="13" s="1"/>
  <c r="V18" i="22"/>
  <c r="Y18" i="22" s="1"/>
  <c r="S46" i="22"/>
  <c r="S54" i="22"/>
  <c r="V42" i="22"/>
  <c r="Y42" i="22" s="1"/>
  <c r="S45" i="22"/>
  <c r="S31" i="22"/>
  <c r="S43" i="22"/>
  <c r="S48" i="22"/>
  <c r="S42" i="22"/>
  <c r="S49" i="22"/>
  <c r="V16" i="22"/>
  <c r="Y16" i="22" s="1"/>
  <c r="V21" i="22"/>
  <c r="Y21" i="22" s="1"/>
  <c r="V48" i="22"/>
  <c r="Y48" i="22" s="1"/>
  <c r="V24" i="22"/>
  <c r="Y24" i="22" s="1"/>
  <c r="V47" i="22"/>
  <c r="Y47" i="22" s="1"/>
  <c r="V23" i="22"/>
  <c r="Y23" i="22" s="1"/>
  <c r="V45" i="22"/>
  <c r="Y45" i="22" s="1"/>
  <c r="V55" i="22"/>
  <c r="Y55" i="22" s="1"/>
  <c r="V14" i="22"/>
  <c r="Y14" i="22" s="1"/>
  <c r="V30" i="22"/>
  <c r="Y30" i="22" s="1"/>
  <c r="V20" i="22"/>
  <c r="Y20" i="22" s="1"/>
  <c r="S47" i="22"/>
  <c r="S56" i="22"/>
  <c r="V44" i="22"/>
  <c r="Y44" i="22" s="1"/>
  <c r="V49" i="22"/>
  <c r="Y49" i="22" s="1"/>
  <c r="V41" i="22"/>
  <c r="Y41" i="22" s="1"/>
  <c r="V43" i="22"/>
  <c r="Y43" i="22" s="1"/>
  <c r="V46" i="22"/>
  <c r="Y46" i="22" s="1"/>
  <c r="S34" i="22"/>
  <c r="S22" i="22"/>
  <c r="S41" i="22"/>
  <c r="S38" i="22"/>
  <c r="S39" i="22"/>
  <c r="S40" i="22"/>
  <c r="X73" i="22"/>
  <c r="E21" i="12"/>
  <c r="I21" i="12" s="1"/>
  <c r="X38" i="22"/>
  <c r="V38" i="22"/>
  <c r="Y38" i="22" s="1"/>
  <c r="V39" i="22"/>
  <c r="Y39" i="22" s="1"/>
  <c r="V40" i="22"/>
  <c r="Y40" i="22" s="1"/>
  <c r="S27" i="22"/>
  <c r="S26" i="22"/>
  <c r="G14" i="12"/>
  <c r="G17" i="12"/>
  <c r="X75" i="22"/>
  <c r="S51" i="22"/>
  <c r="S50" i="22"/>
  <c r="X26" i="22"/>
  <c r="V26" i="22"/>
  <c r="Y26" i="22" s="1"/>
  <c r="V27" i="22"/>
  <c r="Y27" i="22" s="1"/>
  <c r="X50" i="22"/>
  <c r="V50" i="22"/>
  <c r="Y50" i="22" s="1"/>
  <c r="V51" i="22"/>
  <c r="Y51" i="22" s="1"/>
  <c r="V64" i="22"/>
  <c r="Y64" i="22" s="1"/>
  <c r="V33" i="22"/>
  <c r="Y33" i="22" s="1"/>
  <c r="V29" i="22"/>
  <c r="Y29" i="22" s="1"/>
  <c r="S25" i="22"/>
  <c r="S14" i="22"/>
  <c r="S23" i="22"/>
  <c r="S15" i="22"/>
  <c r="S19" i="22"/>
  <c r="S18" i="22"/>
  <c r="S21" i="22"/>
  <c r="S17" i="22"/>
  <c r="S20" i="22"/>
  <c r="S16" i="22"/>
  <c r="S24" i="22"/>
  <c r="V32" i="22"/>
  <c r="Y32" i="22" s="1"/>
  <c r="V36" i="22"/>
  <c r="Y36" i="22" s="1"/>
  <c r="V35" i="22"/>
  <c r="Y35" i="22" s="1"/>
  <c r="E19" i="12"/>
  <c r="V34" i="22"/>
  <c r="Y34" i="22" s="1"/>
  <c r="S36" i="22"/>
  <c r="S33" i="22"/>
  <c r="E20" i="12"/>
  <c r="I20" i="12" s="1"/>
  <c r="S35" i="22"/>
  <c r="S37" i="22"/>
  <c r="S29" i="22"/>
  <c r="V63" i="22"/>
  <c r="Y63" i="22" s="1"/>
  <c r="S32" i="22"/>
  <c r="S59" i="22"/>
  <c r="S60" i="22"/>
  <c r="V61" i="22"/>
  <c r="Y61" i="22" s="1"/>
  <c r="S61" i="22"/>
  <c r="S58" i="22"/>
  <c r="E13" i="12"/>
  <c r="I13" i="12" s="1"/>
  <c r="V66" i="22"/>
  <c r="Y66" i="22" s="1"/>
  <c r="V65" i="22"/>
  <c r="Y65" i="22" s="1"/>
  <c r="S57" i="22"/>
  <c r="V56" i="22"/>
  <c r="Y56" i="22" s="1"/>
  <c r="V58" i="22"/>
  <c r="Y58" i="22" s="1"/>
  <c r="V60" i="22"/>
  <c r="Y60" i="22" s="1"/>
  <c r="V59" i="22"/>
  <c r="Y59" i="22" s="1"/>
  <c r="V57" i="22"/>
  <c r="Y57" i="22" s="1"/>
  <c r="V37" i="22"/>
  <c r="Y37" i="22" s="1"/>
  <c r="V69" i="22"/>
  <c r="Y69" i="22" s="1"/>
  <c r="V72" i="22"/>
  <c r="Y72" i="22" s="1"/>
  <c r="V68" i="22"/>
  <c r="Y68" i="22" s="1"/>
  <c r="V73" i="22"/>
  <c r="Y73" i="22" s="1"/>
  <c r="V70" i="22"/>
  <c r="Y70" i="22" s="1"/>
  <c r="V71" i="22"/>
  <c r="Y71" i="22" s="1"/>
  <c r="V67" i="22"/>
  <c r="Y67" i="22" s="1"/>
  <c r="G18" i="12"/>
  <c r="E15" i="12"/>
  <c r="I15" i="12" s="1"/>
  <c r="S72" i="22"/>
  <c r="E4" i="12"/>
  <c r="G12" i="12"/>
  <c r="G11" i="12"/>
  <c r="S73" i="22"/>
  <c r="G10" i="12"/>
  <c r="S70" i="22"/>
  <c r="G16" i="12"/>
  <c r="S69" i="22"/>
  <c r="S68" i="22"/>
  <c r="S67" i="22"/>
  <c r="S71" i="22"/>
  <c r="G19" i="12" l="1"/>
  <c r="I19" i="12"/>
  <c r="G21" i="12"/>
  <c r="G13" i="12"/>
  <c r="G20" i="12"/>
  <c r="G15" i="12"/>
  <c r="C11" i="13"/>
  <c r="E11" i="13" s="1"/>
  <c r="I4" i="12"/>
  <c r="C14" i="13" s="1"/>
  <c r="E14" i="13" s="1"/>
  <c r="G4" i="12"/>
  <c r="C17" i="13" s="1"/>
  <c r="E17" i="13" s="1"/>
  <c r="H5" i="6" l="1"/>
  <c r="H6" i="6" l="1"/>
  <c r="C5" i="6"/>
  <c r="F5" i="6"/>
  <c r="G5" i="6" s="1"/>
  <c r="H7" i="6" l="1"/>
  <c r="C6" i="6"/>
  <c r="F6" i="6"/>
  <c r="G6" i="6" s="1"/>
  <c r="H8" i="6" l="1"/>
  <c r="C7" i="6"/>
  <c r="F7" i="6"/>
  <c r="G7" i="6" s="1"/>
  <c r="H9" i="6" l="1"/>
  <c r="C8" i="6"/>
  <c r="F8" i="6"/>
  <c r="G8" i="6" s="1"/>
  <c r="H10" i="6" l="1"/>
  <c r="C9" i="6"/>
  <c r="F9" i="6"/>
  <c r="G9" i="6" s="1"/>
  <c r="H11" i="6" l="1"/>
  <c r="C10" i="6"/>
  <c r="F10" i="6"/>
  <c r="G10" i="6" s="1"/>
  <c r="H12" i="6" l="1"/>
  <c r="C11" i="6"/>
  <c r="F11" i="6"/>
  <c r="G11" i="6" s="1"/>
  <c r="H13" i="6" l="1"/>
  <c r="C12" i="6"/>
  <c r="F12" i="6"/>
  <c r="G12" i="6" s="1"/>
  <c r="H14" i="6" l="1"/>
  <c r="C13" i="6"/>
  <c r="F13" i="6"/>
  <c r="G13" i="6" s="1"/>
  <c r="H15" i="6" l="1"/>
  <c r="F14" i="6"/>
  <c r="G14" i="6" s="1"/>
  <c r="C14" i="6"/>
  <c r="H16" i="6" l="1"/>
  <c r="C15" i="6"/>
  <c r="F15" i="6"/>
  <c r="G15" i="6" s="1"/>
  <c r="H17" i="6" l="1"/>
  <c r="C16" i="6"/>
  <c r="F16" i="6"/>
  <c r="G16" i="6" s="1"/>
  <c r="H18" i="6" l="1"/>
  <c r="C17" i="6"/>
  <c r="F17" i="6"/>
  <c r="G17" i="6" s="1"/>
  <c r="H3" i="7"/>
  <c r="H4" i="7" l="1"/>
  <c r="C3" i="7"/>
  <c r="F3" i="7"/>
  <c r="G3" i="7" s="1"/>
  <c r="H19" i="6"/>
  <c r="C18" i="6"/>
  <c r="F18" i="6"/>
  <c r="G18" i="6" s="1"/>
  <c r="H5" i="7" l="1"/>
  <c r="C4" i="7"/>
  <c r="F4" i="7"/>
  <c r="G4" i="7" s="1"/>
  <c r="H20" i="6"/>
  <c r="C19" i="6"/>
  <c r="F19" i="6"/>
  <c r="G19" i="6" s="1"/>
  <c r="H6" i="7" l="1"/>
  <c r="F5" i="7"/>
  <c r="G5" i="7" s="1"/>
  <c r="C5" i="7"/>
  <c r="H21" i="6"/>
  <c r="C20" i="6"/>
  <c r="F20" i="6"/>
  <c r="G20" i="6" s="1"/>
  <c r="H7" i="7" l="1"/>
  <c r="F6" i="7"/>
  <c r="G6" i="7" s="1"/>
  <c r="C6" i="7"/>
  <c r="H22" i="6"/>
  <c r="C21" i="6"/>
  <c r="F21" i="6"/>
  <c r="G21" i="6" s="1"/>
  <c r="H8" i="7" l="1"/>
  <c r="F7" i="7"/>
  <c r="G7" i="7" s="1"/>
  <c r="C7" i="7"/>
  <c r="H23" i="6"/>
  <c r="C22" i="6"/>
  <c r="F22" i="6"/>
  <c r="G22" i="6" s="1"/>
  <c r="H9" i="7" l="1"/>
  <c r="C8" i="7"/>
  <c r="F8" i="7"/>
  <c r="G8" i="7" s="1"/>
  <c r="H24" i="6"/>
  <c r="C23" i="6"/>
  <c r="F23" i="6"/>
  <c r="G23" i="6" s="1"/>
  <c r="H10" i="7" l="1"/>
  <c r="C9" i="7"/>
  <c r="F9" i="7"/>
  <c r="G9" i="7" s="1"/>
  <c r="H25" i="6"/>
  <c r="C24" i="6"/>
  <c r="F24" i="6"/>
  <c r="G24" i="6" s="1"/>
  <c r="H11" i="7" l="1"/>
  <c r="C10" i="7"/>
  <c r="F10" i="7"/>
  <c r="G10" i="7" s="1"/>
  <c r="H26" i="6"/>
  <c r="F25" i="6"/>
  <c r="G25" i="6" s="1"/>
  <c r="C25" i="6"/>
  <c r="H12" i="7" l="1"/>
  <c r="C11" i="7"/>
  <c r="F11" i="7"/>
  <c r="G11" i="7" s="1"/>
  <c r="H27" i="6"/>
  <c r="F26" i="6"/>
  <c r="G26" i="6" s="1"/>
  <c r="C26" i="6"/>
  <c r="H13" i="7" l="1"/>
  <c r="C12" i="7"/>
  <c r="F12" i="7"/>
  <c r="G12" i="7" s="1"/>
  <c r="H28" i="6"/>
  <c r="C27" i="6"/>
  <c r="F27" i="6"/>
  <c r="G27" i="6" s="1"/>
  <c r="H14" i="7" l="1"/>
  <c r="C13" i="7"/>
  <c r="F13" i="7"/>
  <c r="G13" i="7" s="1"/>
  <c r="H29" i="6"/>
  <c r="C28" i="6"/>
  <c r="F28" i="6"/>
  <c r="G28" i="6" s="1"/>
  <c r="H15" i="7" l="1"/>
  <c r="C14" i="7"/>
  <c r="F14" i="7"/>
  <c r="G14" i="7" s="1"/>
  <c r="H30" i="6"/>
  <c r="C29" i="6"/>
  <c r="F29" i="6"/>
  <c r="G29" i="6" s="1"/>
  <c r="H16" i="7" l="1"/>
  <c r="C15" i="7"/>
  <c r="F15" i="7"/>
  <c r="G15" i="7" s="1"/>
  <c r="H31" i="6"/>
  <c r="C30" i="6"/>
  <c r="F30" i="6"/>
  <c r="G30" i="6" s="1"/>
  <c r="H17" i="7" l="1"/>
  <c r="C16" i="7"/>
  <c r="F16" i="7"/>
  <c r="G16" i="7" s="1"/>
  <c r="H32" i="6"/>
  <c r="C31" i="6"/>
  <c r="F31" i="6"/>
  <c r="G31" i="6" s="1"/>
  <c r="H18" i="7" l="1"/>
  <c r="F17" i="7"/>
  <c r="G17" i="7" s="1"/>
  <c r="C17" i="7"/>
  <c r="H33" i="6"/>
  <c r="C32" i="6"/>
  <c r="F32" i="6"/>
  <c r="G32" i="6" s="1"/>
  <c r="H19" i="7" l="1"/>
  <c r="F18" i="7"/>
  <c r="G18" i="7" s="1"/>
  <c r="C18" i="7"/>
  <c r="H34" i="6"/>
  <c r="C33" i="6"/>
  <c r="F33" i="6"/>
  <c r="G33" i="6" s="1"/>
  <c r="H20" i="7" l="1"/>
  <c r="F19" i="7"/>
  <c r="G19" i="7" s="1"/>
  <c r="C19" i="7"/>
  <c r="H35" i="6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C34" i="6"/>
  <c r="F34" i="6"/>
  <c r="G34" i="6" s="1"/>
  <c r="H21" i="7" l="1"/>
  <c r="C20" i="7"/>
  <c r="F20" i="7"/>
  <c r="G20" i="7" s="1"/>
  <c r="C35" i="6"/>
  <c r="F35" i="6"/>
  <c r="G35" i="6" s="1"/>
  <c r="H22" i="7" l="1"/>
  <c r="C21" i="7"/>
  <c r="F21" i="7"/>
  <c r="G21" i="7" s="1"/>
  <c r="H23" i="7" l="1"/>
  <c r="C22" i="7"/>
  <c r="F22" i="7"/>
  <c r="G22" i="7" s="1"/>
  <c r="H24" i="7" l="1"/>
  <c r="C23" i="7"/>
  <c r="F23" i="7"/>
  <c r="G23" i="7" s="1"/>
  <c r="H25" i="7" l="1"/>
  <c r="C24" i="7"/>
  <c r="F24" i="7"/>
  <c r="G24" i="7" s="1"/>
  <c r="H26" i="7" l="1"/>
  <c r="C25" i="7"/>
  <c r="F25" i="7"/>
  <c r="G25" i="7" s="1"/>
  <c r="H27" i="7" l="1"/>
  <c r="C26" i="7"/>
  <c r="F26" i="7"/>
  <c r="G26" i="7" s="1"/>
  <c r="H28" i="7" l="1"/>
  <c r="C27" i="7"/>
  <c r="F27" i="7"/>
  <c r="G27" i="7" s="1"/>
  <c r="H29" i="7" l="1"/>
  <c r="C28" i="7"/>
  <c r="F28" i="7"/>
  <c r="G28" i="7" s="1"/>
  <c r="H30" i="7" l="1"/>
  <c r="F29" i="7"/>
  <c r="G29" i="7" s="1"/>
  <c r="C29" i="7"/>
  <c r="H31" i="7" l="1"/>
  <c r="F30" i="7"/>
  <c r="G30" i="7" s="1"/>
  <c r="C30" i="7"/>
  <c r="H32" i="7" l="1"/>
  <c r="F31" i="7"/>
  <c r="G31" i="7" s="1"/>
  <c r="C31" i="7"/>
  <c r="H33" i="7" l="1"/>
  <c r="C32" i="7"/>
  <c r="F32" i="7"/>
  <c r="G32" i="7" s="1"/>
  <c r="H34" i="7" l="1"/>
  <c r="C33" i="7"/>
  <c r="F33" i="7"/>
  <c r="G33" i="7" s="1"/>
  <c r="H35" i="7" l="1"/>
  <c r="C34" i="7"/>
  <c r="F34" i="7"/>
  <c r="G34" i="7" s="1"/>
  <c r="H36" i="7" l="1"/>
  <c r="C35" i="7"/>
  <c r="F35" i="7"/>
  <c r="G35" i="7" s="1"/>
  <c r="H37" i="7" l="1"/>
  <c r="C36" i="7"/>
  <c r="F36" i="7"/>
  <c r="G36" i="7" s="1"/>
  <c r="H38" i="7" l="1"/>
  <c r="C37" i="7"/>
  <c r="F37" i="7"/>
  <c r="G37" i="7" s="1"/>
  <c r="H39" i="7" l="1"/>
  <c r="F38" i="7"/>
  <c r="G38" i="7" s="1"/>
  <c r="C38" i="7"/>
  <c r="H40" i="7" l="1"/>
  <c r="C39" i="7"/>
  <c r="F39" i="7"/>
  <c r="G39" i="7" s="1"/>
  <c r="H41" i="7" l="1"/>
  <c r="C40" i="7"/>
  <c r="F40" i="7"/>
  <c r="G40" i="7" s="1"/>
  <c r="H42" i="7" l="1"/>
  <c r="F41" i="7"/>
  <c r="G41" i="7" s="1"/>
  <c r="C41" i="7"/>
  <c r="H43" i="7" l="1"/>
  <c r="F42" i="7"/>
  <c r="G42" i="7" s="1"/>
  <c r="C42" i="7"/>
  <c r="H44" i="7" l="1"/>
  <c r="F43" i="7"/>
  <c r="G43" i="7" s="1"/>
  <c r="C43" i="7"/>
  <c r="C44" i="7" l="1"/>
  <c r="F44" i="7"/>
  <c r="G44" i="7" s="1"/>
</calcChain>
</file>

<file path=xl/sharedStrings.xml><?xml version="1.0" encoding="utf-8"?>
<sst xmlns="http://schemas.openxmlformats.org/spreadsheetml/2006/main" count="6130" uniqueCount="1536">
  <si>
    <t>IC1_IDT</t>
  </si>
  <si>
    <t>IC2_IDT</t>
  </si>
  <si>
    <t>Equipment</t>
  </si>
  <si>
    <t>DC Capacity</t>
  </si>
  <si>
    <t>NA</t>
  </si>
  <si>
    <t>ICOG1_IC1</t>
  </si>
  <si>
    <t>Module</t>
  </si>
  <si>
    <t>String Cable</t>
  </si>
  <si>
    <t xml:space="preserve">String Fuse </t>
  </si>
  <si>
    <t>SCB</t>
  </si>
  <si>
    <t>SCB Cable</t>
  </si>
  <si>
    <t xml:space="preserve">SCB Fuse </t>
  </si>
  <si>
    <t>Inverter</t>
  </si>
  <si>
    <t>InverterAC Cable</t>
  </si>
  <si>
    <t>IDT</t>
  </si>
  <si>
    <t>IDT MV Cable</t>
  </si>
  <si>
    <t>IC MV Panel</t>
  </si>
  <si>
    <t>Incomer MV Cable</t>
  </si>
  <si>
    <t>Incomer MV Panel</t>
  </si>
  <si>
    <t>Metering System Plant</t>
  </si>
  <si>
    <t>Grid System</t>
  </si>
  <si>
    <t>Metering System Grid</t>
  </si>
  <si>
    <t>Fault Category Plant BD sheet</t>
  </si>
  <si>
    <t>Fault Category Tracker BD sheet</t>
  </si>
  <si>
    <t xml:space="preserve">MSAT100_PCB </t>
  </si>
  <si>
    <t xml:space="preserve">MSAT200_PCB </t>
  </si>
  <si>
    <t>Tilt Sensor</t>
  </si>
  <si>
    <t>Actuator</t>
  </si>
  <si>
    <t>Battery</t>
  </si>
  <si>
    <t>Charge Controller</t>
  </si>
  <si>
    <t>RTC</t>
  </si>
  <si>
    <t>Gateway</t>
  </si>
  <si>
    <t>MMS</t>
  </si>
  <si>
    <t>WMS</t>
  </si>
  <si>
    <t>IC_UPS</t>
  </si>
  <si>
    <t>Battery Charger_MCR</t>
  </si>
  <si>
    <t>IC_Auxiliary Tranformer</t>
  </si>
  <si>
    <t>IC_Auxiliary DB</t>
  </si>
  <si>
    <t>IC_SCADA Panel</t>
  </si>
  <si>
    <t>Affected DC Capacity</t>
  </si>
  <si>
    <t>Month Year</t>
  </si>
  <si>
    <t>Date</t>
  </si>
  <si>
    <t>Sunrise Time (POA&gt;20 W/m2)</t>
  </si>
  <si>
    <t>Sunset Time (POA&lt;20 W/m2)</t>
  </si>
  <si>
    <t>33 kV Outgoinng Export Reading</t>
  </si>
  <si>
    <t>33 kV Outgoinng Import Reading</t>
  </si>
  <si>
    <t>GHI(Wh/m2)</t>
  </si>
  <si>
    <t>Avg. Ambient Temp (POA&gt;20W/m2)</t>
  </si>
  <si>
    <t>Avg. Module Temp (POA&gt;20W/m2)</t>
  </si>
  <si>
    <t>Avg. Wind Speed (m/s)</t>
  </si>
  <si>
    <t>Max. Wind Speed (m/s)</t>
  </si>
  <si>
    <t>Rain Fall (mm)</t>
  </si>
  <si>
    <t>Finacial Year</t>
  </si>
  <si>
    <t>Calendor Year</t>
  </si>
  <si>
    <t>Contrcatual Year</t>
  </si>
  <si>
    <t>Days</t>
  </si>
  <si>
    <t>Plant DC Capcity (MW)</t>
  </si>
  <si>
    <t>Operating Year</t>
  </si>
  <si>
    <t>Sr. No.</t>
  </si>
  <si>
    <t>Affceted Equipment</t>
  </si>
  <si>
    <t>Affected Equipmenet Location</t>
  </si>
  <si>
    <t>Fault Catrgory</t>
  </si>
  <si>
    <t>Fault Code (As per HMI)</t>
  </si>
  <si>
    <t>Fault Time</t>
  </si>
  <si>
    <t xml:space="preserve">Acknowledgemnet Time </t>
  </si>
  <si>
    <t>Work Start time on Fault</t>
  </si>
  <si>
    <t>Work Completiuon time on fualt</t>
  </si>
  <si>
    <t>Response Time</t>
  </si>
  <si>
    <t xml:space="preserve">Acknowdlegemnet time </t>
  </si>
  <si>
    <t>Resolution Time</t>
  </si>
  <si>
    <t>Breakdown Description</t>
  </si>
  <si>
    <t>Action taken</t>
  </si>
  <si>
    <t>Status</t>
  </si>
  <si>
    <t>Approxuimate Energy Loss (KWh)</t>
  </si>
  <si>
    <t>Tracker Equipment</t>
  </si>
  <si>
    <t>Remarks</t>
  </si>
  <si>
    <t>Weightage of BD</t>
  </si>
  <si>
    <t>Repeater</t>
  </si>
  <si>
    <t>Switch</t>
  </si>
  <si>
    <t>Plant Equivalent Weightage</t>
  </si>
  <si>
    <t>Open</t>
  </si>
  <si>
    <t>Close</t>
  </si>
  <si>
    <t>DC Capacity Affceted (kW)</t>
  </si>
  <si>
    <t>Month</t>
  </si>
  <si>
    <t>Year</t>
  </si>
  <si>
    <t>Start Month</t>
  </si>
  <si>
    <t>Avg. SY</t>
  </si>
  <si>
    <t>Max. SY</t>
  </si>
  <si>
    <t>Net Export (kWh)</t>
  </si>
  <si>
    <t>Import (kWh)</t>
  </si>
  <si>
    <t>Export  (kWh)</t>
  </si>
  <si>
    <t>Inverters Generation ( kWh)</t>
  </si>
  <si>
    <t>PR(%)</t>
  </si>
  <si>
    <t>PA(%)</t>
  </si>
  <si>
    <t>Operating Hours</t>
  </si>
  <si>
    <t>Estimated POA(KWh/m2)</t>
  </si>
  <si>
    <t>Measured POA (KWh/m2)</t>
  </si>
  <si>
    <t>Budgeted Energy (MWh)</t>
  </si>
  <si>
    <t>Measured Energy (MWh)</t>
  </si>
  <si>
    <t>Targt PR (%)</t>
  </si>
  <si>
    <t>Measured PR(%)</t>
  </si>
  <si>
    <t>Target DC CUF (%)</t>
  </si>
  <si>
    <t>Measured DC CUF (%)</t>
  </si>
  <si>
    <t>Target GA (%)</t>
  </si>
  <si>
    <t>Measured GA (%)</t>
  </si>
  <si>
    <t>Target PA (%)</t>
  </si>
  <si>
    <t>Measured PA (%)</t>
  </si>
  <si>
    <t>FY2025-26</t>
  </si>
  <si>
    <t>Breakdown Time</t>
  </si>
  <si>
    <t>Total Generation Time</t>
  </si>
  <si>
    <t>Plant Equivalent breakdown</t>
  </si>
  <si>
    <t>MC4 Connector</t>
  </si>
  <si>
    <t>Y-Connector</t>
  </si>
  <si>
    <t>Till Date</t>
  </si>
  <si>
    <t xml:space="preserve">Month </t>
  </si>
  <si>
    <t xml:space="preserve">Date </t>
  </si>
  <si>
    <t>Operation Year</t>
  </si>
  <si>
    <t>Year Start Date</t>
  </si>
  <si>
    <t>Year End Date</t>
  </si>
  <si>
    <t>Particular</t>
  </si>
  <si>
    <t>Target</t>
  </si>
  <si>
    <t>Measured</t>
  </si>
  <si>
    <t>Deviation</t>
  </si>
  <si>
    <t>E_Grid Daily (MWh)</t>
  </si>
  <si>
    <t>E_Grid MTD(MWh)</t>
  </si>
  <si>
    <t>E_Grid YTD (MWh)</t>
  </si>
  <si>
    <t>CUF Daily(%)</t>
  </si>
  <si>
    <t>CUF MTD(%)</t>
  </si>
  <si>
    <t>CUF YTD(%)</t>
  </si>
  <si>
    <t>PR_Daily (%)</t>
  </si>
  <si>
    <t>PR_MTD (%)</t>
  </si>
  <si>
    <t>PR_YTD (%)</t>
  </si>
  <si>
    <t>POA Daily (KWh/m2)</t>
  </si>
  <si>
    <t>POA MTD(KWh/m2)</t>
  </si>
  <si>
    <t>POA YTD(KWh/m2)</t>
  </si>
  <si>
    <t>PA Daily (KWh/m2)</t>
  </si>
  <si>
    <t>PA MTD(KWh/m2)</t>
  </si>
  <si>
    <t>PA YTD(KWh/m2)</t>
  </si>
  <si>
    <t>GA Daily (KWh/m2)</t>
  </si>
  <si>
    <t>GA MTD(KWh/m2)</t>
  </si>
  <si>
    <t>GA YTD(KWh/m2)</t>
  </si>
  <si>
    <t>Cycle Number</t>
  </si>
  <si>
    <t>Resources</t>
  </si>
  <si>
    <t>Morning Start Time</t>
  </si>
  <si>
    <t>Morning End Time</t>
  </si>
  <si>
    <t>Evening Start Time</t>
  </si>
  <si>
    <t>Evening End time</t>
  </si>
  <si>
    <t>Brush/MOP Replcemnet</t>
  </si>
  <si>
    <t>Remarks for the day</t>
  </si>
  <si>
    <t>Water Test Report</t>
  </si>
  <si>
    <t>Total Number of Table cut</t>
  </si>
  <si>
    <t>Qty Consumed</t>
  </si>
  <si>
    <t>Place of Consumption</t>
  </si>
  <si>
    <t>Ownership of Spare/Consumable</t>
  </si>
  <si>
    <t>Item Consumed</t>
  </si>
  <si>
    <t>Fault Catergory</t>
  </si>
  <si>
    <t>MSAT_Type1 (5*63)</t>
  </si>
  <si>
    <t>MSAT_Type2(4*63)</t>
  </si>
  <si>
    <t>MSAT_Type3(3*63)</t>
  </si>
  <si>
    <t>MSAT_Type4(5*42)</t>
  </si>
  <si>
    <t>MSAT_Type5(4*42)</t>
  </si>
  <si>
    <t>MSAT_Type6(3*42)</t>
  </si>
  <si>
    <t>Tilt Sensor_Type1(1*63)</t>
  </si>
  <si>
    <t>Tilt Sensor_Type2(1*42)</t>
  </si>
  <si>
    <t>Baatery_Type1(5*63)</t>
  </si>
  <si>
    <t>Baatery_Type2(4*63)</t>
  </si>
  <si>
    <t>Baatery_Type3(3*63)</t>
  </si>
  <si>
    <t>Baatery_Type4(5*42)</t>
  </si>
  <si>
    <t>Baatery_Type5(4*42)</t>
  </si>
  <si>
    <t>Baatery_Type6(3*42)</t>
  </si>
  <si>
    <t>CCU_Type1(5*63)</t>
  </si>
  <si>
    <t>CCU_Type2(4*63)</t>
  </si>
  <si>
    <t>CCU_Type3(3*63)</t>
  </si>
  <si>
    <t>CCU_Type4(5*42)</t>
  </si>
  <si>
    <t>CCU_Type5(4*42)</t>
  </si>
  <si>
    <t>CCU_Type6(3*42)</t>
  </si>
  <si>
    <t>Actuator Type1(1*63)</t>
  </si>
  <si>
    <t>Actuator Type2(1*42)</t>
  </si>
  <si>
    <t>Lost PoA(Wh/m2)</t>
  </si>
  <si>
    <t>Lost POA (Wh/m2)</t>
  </si>
  <si>
    <t>Inv1</t>
  </si>
  <si>
    <t>Inv2</t>
  </si>
  <si>
    <t>Inv3</t>
  </si>
  <si>
    <t>Inv1_CB1</t>
  </si>
  <si>
    <t>Inv1_CB2</t>
  </si>
  <si>
    <t>Inv1_CB3</t>
  </si>
  <si>
    <t>Inv1_CB4</t>
  </si>
  <si>
    <t>Inv1_CB5</t>
  </si>
  <si>
    <t>Inv1_CB6</t>
  </si>
  <si>
    <t>Inv1_CB7</t>
  </si>
  <si>
    <t>Inv1_CB8</t>
  </si>
  <si>
    <t>Inv1_CB9</t>
  </si>
  <si>
    <t>Inv1_CB10</t>
  </si>
  <si>
    <t>Inv1_CB11</t>
  </si>
  <si>
    <t>Inv1_CB12</t>
  </si>
  <si>
    <t>Inv1_CB13</t>
  </si>
  <si>
    <t>Inv1_CB14</t>
  </si>
  <si>
    <t>Inv1_CB15</t>
  </si>
  <si>
    <t>Inv1_CB16</t>
  </si>
  <si>
    <t>Inv1_CB17</t>
  </si>
  <si>
    <t>Inv1_CB18</t>
  </si>
  <si>
    <t>Inv1_CB19</t>
  </si>
  <si>
    <t>Inv1_CB20</t>
  </si>
  <si>
    <t>Inv1_CB21</t>
  </si>
  <si>
    <t>Inv2_CB1</t>
  </si>
  <si>
    <t>Inv2_CB2</t>
  </si>
  <si>
    <t>Inv2_CB3</t>
  </si>
  <si>
    <t>Inv2_CB4</t>
  </si>
  <si>
    <t>Inv2_CB5</t>
  </si>
  <si>
    <t>Inv2_CB6</t>
  </si>
  <si>
    <t>Inv2_CB7</t>
  </si>
  <si>
    <t>Inv2_CB8</t>
  </si>
  <si>
    <t>Inv2_CB9</t>
  </si>
  <si>
    <t>Inv2_CB10</t>
  </si>
  <si>
    <t>Inv2_CB11</t>
  </si>
  <si>
    <t>Inv2_CB12</t>
  </si>
  <si>
    <t>Inv2_CB13</t>
  </si>
  <si>
    <t>Inv2_CB14</t>
  </si>
  <si>
    <t>Inv2_CB15</t>
  </si>
  <si>
    <t>Inv2_CB16</t>
  </si>
  <si>
    <t>Inv2_CB17</t>
  </si>
  <si>
    <t>Inv2_CB18</t>
  </si>
  <si>
    <t>Inv2_CB19</t>
  </si>
  <si>
    <t>Inv2_CB20</t>
  </si>
  <si>
    <t>Inv2_CB21</t>
  </si>
  <si>
    <t>IC3_IDT</t>
  </si>
  <si>
    <t>ICOG2_IC2</t>
  </si>
  <si>
    <t>ICOG3_IC3</t>
  </si>
  <si>
    <t>Isolator1</t>
  </si>
  <si>
    <t>Isolator2</t>
  </si>
  <si>
    <t>Isolator3</t>
  </si>
  <si>
    <t>Inv 1 (630kw) unit 1</t>
  </si>
  <si>
    <t>Inv 1 (630kw) unit 2</t>
  </si>
  <si>
    <t>Inv 1 (630kw) unit 3</t>
  </si>
  <si>
    <t>Inv 1 (630kw) unit 4</t>
  </si>
  <si>
    <t>Inv 2 (630kw) unit 1</t>
  </si>
  <si>
    <t>Inv 2 (630kw) unit 2</t>
  </si>
  <si>
    <t>Inv 2 (630kw) unit 3</t>
  </si>
  <si>
    <t>Inv 2 (630kw) unit 4</t>
  </si>
  <si>
    <t>Inv 3 (630kw) unit 4</t>
  </si>
  <si>
    <t>Inv 3 (630kw) unit 1</t>
  </si>
  <si>
    <t>Inv 3 (630kw) unit 2</t>
  </si>
  <si>
    <t>Inv 3 (630kw) unit 3</t>
  </si>
  <si>
    <t>Inv3_CB1</t>
  </si>
  <si>
    <t>Inv3_CB2</t>
  </si>
  <si>
    <t>Inv3_CB3</t>
  </si>
  <si>
    <t>Inv3_CB4</t>
  </si>
  <si>
    <t>Inv3_CB5</t>
  </si>
  <si>
    <t>Inv3_CB6</t>
  </si>
  <si>
    <t>Inv3_CB7</t>
  </si>
  <si>
    <t>Inv3_CB8</t>
  </si>
  <si>
    <t>Inv3_CB9</t>
  </si>
  <si>
    <t>Inv3_CB10</t>
  </si>
  <si>
    <t>Inv3_CB11</t>
  </si>
  <si>
    <t>Inv3_CB12</t>
  </si>
  <si>
    <t>Inv3_CB13</t>
  </si>
  <si>
    <t>Inv3_CB14</t>
  </si>
  <si>
    <t>Inv3_CB15</t>
  </si>
  <si>
    <t>Inv3_CB16</t>
  </si>
  <si>
    <t>Inv3_CB17</t>
  </si>
  <si>
    <t>Inv3_CB18</t>
  </si>
  <si>
    <t>Inv3_CB19</t>
  </si>
  <si>
    <t>Inv3_CB20</t>
  </si>
  <si>
    <t>Inv3_CB21</t>
  </si>
  <si>
    <t>Inv1_CB22</t>
  </si>
  <si>
    <t>Inv1_CB23</t>
  </si>
  <si>
    <t>Inv1_CB24</t>
  </si>
  <si>
    <t>Inv2_CB22</t>
  </si>
  <si>
    <t>Inv2_CB23</t>
  </si>
  <si>
    <t>Inv2_CB24</t>
  </si>
  <si>
    <t>Inv3_CB22</t>
  </si>
  <si>
    <t>Inv3_CB23</t>
  </si>
  <si>
    <t>Inv3_CB24</t>
  </si>
  <si>
    <t>Inv 1 (630kw) unit 1 wrt avg</t>
  </si>
  <si>
    <t>Inv 1 (630kw) unit 2 wrt avg</t>
  </si>
  <si>
    <t>Inv 1 (630kw) unit 3 wrt avg</t>
  </si>
  <si>
    <t>Inv 1 (630kw) unit 4 wrt avg</t>
  </si>
  <si>
    <t>Inv 2 (630kw) unit 1 wrt avg</t>
  </si>
  <si>
    <t>Inv 2 (630kw) unit 2 wrt avg</t>
  </si>
  <si>
    <t>Inv 2 (630kw) unit 3 wrt avg</t>
  </si>
  <si>
    <t>Inv 2 (630kw) unit 4 wrt avg</t>
  </si>
  <si>
    <t>Inv 3 (630kw) unit 1 wrt avg</t>
  </si>
  <si>
    <t>Inv 3 (630kw) unit 2 wrt avg</t>
  </si>
  <si>
    <t>Inv 3 (630kw) unit 3 wrt avg</t>
  </si>
  <si>
    <t>Inv 3 (630kw) unit 4 wrt avg</t>
  </si>
  <si>
    <t>Inv1 wrt avg</t>
  </si>
  <si>
    <t>Inv2 wrt avg</t>
  </si>
  <si>
    <t>Inv3 wrt avg</t>
  </si>
  <si>
    <t>Inv1 wrt avg2</t>
  </si>
  <si>
    <t>Inv2 wrt avg3</t>
  </si>
  <si>
    <t>Inv3 wrt avg4</t>
  </si>
  <si>
    <t>Inv 1 (630kw) unit 1 wrt max</t>
  </si>
  <si>
    <t>Inv 1 (630kw) unit 2 wrt max</t>
  </si>
  <si>
    <t>Inv 1 (630kw) unit 3 wrt max</t>
  </si>
  <si>
    <t>Inv 1 (630kw) unit 4 wrt max</t>
  </si>
  <si>
    <t>Inv 2 (630kw) unit 1 wrt max</t>
  </si>
  <si>
    <t>Inv 2 (630kw) unit 2 wrt max</t>
  </si>
  <si>
    <t>Inv 2 (630kw) unit 3 wrt max</t>
  </si>
  <si>
    <t>Inv 2 (630kw) unit 4 wrt max</t>
  </si>
  <si>
    <t>Inv 3 (630kw) unit 1 wrt max</t>
  </si>
  <si>
    <t>Inv 3 (630kw) unit 2 wrt max</t>
  </si>
  <si>
    <t>Inv 3 (630kw) unit 3 wrt max</t>
  </si>
  <si>
    <t>Inv 3 (630kw) unit 4 wrt max</t>
  </si>
  <si>
    <t>Inverter_2</t>
  </si>
  <si>
    <t>Outgoing</t>
  </si>
  <si>
    <t>PLANT</t>
  </si>
  <si>
    <t>Due to 33kv Incoming supply failure</t>
  </si>
  <si>
    <t>Inv1_U1</t>
  </si>
  <si>
    <t>Inv1_U2</t>
  </si>
  <si>
    <t>Inv1_U3</t>
  </si>
  <si>
    <t>Inv1_U4</t>
  </si>
  <si>
    <t>Inv2_U1</t>
  </si>
  <si>
    <t>Inv2_U2</t>
  </si>
  <si>
    <t>Inv2_U3</t>
  </si>
  <si>
    <t>Inv2_U4</t>
  </si>
  <si>
    <t>Inv3_U1</t>
  </si>
  <si>
    <t>Inv3_U2</t>
  </si>
  <si>
    <t>Inv3_U3</t>
  </si>
  <si>
    <t>Inv3_U4</t>
  </si>
  <si>
    <t>POA(kWh/m2)</t>
  </si>
  <si>
    <t>Total NO. Module cleaned</t>
  </si>
  <si>
    <t>7.5 MW Dres Energy Private Limited Performance Summary</t>
  </si>
  <si>
    <t>7.5 MW Dres Energy Private Limited Performance Summary-YTD</t>
  </si>
  <si>
    <t>Inverter_1</t>
  </si>
  <si>
    <t>7.5 MW Dres Energy Private Limited Performance Summary-Monthwise</t>
  </si>
  <si>
    <t>Ground Fault</t>
  </si>
  <si>
    <t>Start Date</t>
  </si>
  <si>
    <t>End Date</t>
  </si>
  <si>
    <t>DRES Energy Private Limited 7.5 MW Performance Summary</t>
  </si>
  <si>
    <t>Year_2</t>
  </si>
  <si>
    <t>Performance Summary DRES 8MW</t>
  </si>
  <si>
    <t>Inv3_cb13_S 2</t>
  </si>
  <si>
    <t>Inv1_cb1_S 1</t>
  </si>
  <si>
    <t>Inv1_cb1_S 2</t>
  </si>
  <si>
    <t>Inv1_cb1_S 3</t>
  </si>
  <si>
    <t>Inv1_cb1_S 4</t>
  </si>
  <si>
    <t>Inv1_cb1_S 5</t>
  </si>
  <si>
    <t>Inv1_cb1_S 6</t>
  </si>
  <si>
    <t>Inv1_cb1_S 7</t>
  </si>
  <si>
    <t>Inv1_cb1_S 8</t>
  </si>
  <si>
    <t>Inv1_cb1_S 9</t>
  </si>
  <si>
    <t>Inv1_cb1_S 10</t>
  </si>
  <si>
    <t>Inv1_cb2_S 1</t>
  </si>
  <si>
    <t>Inv1_cb2_S 2</t>
  </si>
  <si>
    <t>Inv1_cb2_S 3</t>
  </si>
  <si>
    <t>Inv1_cb2_S 4</t>
  </si>
  <si>
    <t>Inv1_cb2_S 5</t>
  </si>
  <si>
    <t>Inv1_cb2_S 6</t>
  </si>
  <si>
    <t>Inv1_cb2_S 7</t>
  </si>
  <si>
    <t>Inv1_cb2_S 8</t>
  </si>
  <si>
    <t>Inv1_cb2_S 9</t>
  </si>
  <si>
    <t>Inv1_cb2_S 10</t>
  </si>
  <si>
    <t>Inv1_cb3_S 1</t>
  </si>
  <si>
    <t>Inv1_cb3_S 2</t>
  </si>
  <si>
    <t>Inv1_cb3_S 3</t>
  </si>
  <si>
    <t>Inv1_cb3_S 4</t>
  </si>
  <si>
    <t>Inv1_cb3_S 5</t>
  </si>
  <si>
    <t>Inv1_cb3_S 6</t>
  </si>
  <si>
    <t>Inv1_cb3_S 7</t>
  </si>
  <si>
    <t>Inv1_cb3_S 8</t>
  </si>
  <si>
    <t>Inv1_cb3_S 9</t>
  </si>
  <si>
    <t>Inv1_cb3_S 10</t>
  </si>
  <si>
    <t>Inv1_cb4_S 1</t>
  </si>
  <si>
    <t>Inv1_cb4_S 2</t>
  </si>
  <si>
    <t>Inv1_cb4_S 3</t>
  </si>
  <si>
    <t>Inv1_cb4_S 4</t>
  </si>
  <si>
    <t>Inv1_cb4_S 5</t>
  </si>
  <si>
    <t>Inv1_cb4_S 6</t>
  </si>
  <si>
    <t>Inv1_cb4_S 7</t>
  </si>
  <si>
    <t>Inv1_cb4_S 8</t>
  </si>
  <si>
    <t>Inv1_cb4_S 9</t>
  </si>
  <si>
    <t>Inv1_cb4_S 10</t>
  </si>
  <si>
    <t>Inv1_cb5_S 1</t>
  </si>
  <si>
    <t>Inv1_cb5_S 2</t>
  </si>
  <si>
    <t>Inv1_cb5_S 3</t>
  </si>
  <si>
    <t>Inv1_cb5_S 4</t>
  </si>
  <si>
    <t>Inv1_cb5_S 5</t>
  </si>
  <si>
    <t>Inv1_cb5_S 6</t>
  </si>
  <si>
    <t>Inv1_cb5_S 7</t>
  </si>
  <si>
    <t>Inv1_cb5_S 8</t>
  </si>
  <si>
    <t>Inv1_cb5_S 9</t>
  </si>
  <si>
    <t>Inv1_cb5_S 10</t>
  </si>
  <si>
    <t>Inv1_cb6_S 1</t>
  </si>
  <si>
    <t>Inv1_cb6_S 2</t>
  </si>
  <si>
    <t>Inv1_cb6_S 3</t>
  </si>
  <si>
    <t>Inv1_cb6_S 4</t>
  </si>
  <si>
    <t>Inv1_cb6_S 5</t>
  </si>
  <si>
    <t>Inv1_cb6_S 6</t>
  </si>
  <si>
    <t>Inv1_cb6_S 7</t>
  </si>
  <si>
    <t>Inv1_cb6_S 8</t>
  </si>
  <si>
    <t>Inv1_cb6_S 9</t>
  </si>
  <si>
    <t>Inv1_cb6_S 10</t>
  </si>
  <si>
    <t>Inv1_cb7_S 1</t>
  </si>
  <si>
    <t>Inv1_cb7_S 2</t>
  </si>
  <si>
    <t>Inv1_cb7_S 3</t>
  </si>
  <si>
    <t>Inv1_cb7_S 4</t>
  </si>
  <si>
    <t>Inv1_cb7_S 5</t>
  </si>
  <si>
    <t>Inv1_cb7_S 6</t>
  </si>
  <si>
    <t>Inv1_cb7_S 7</t>
  </si>
  <si>
    <t>Inv1_cb7_S 8</t>
  </si>
  <si>
    <t>Inv1_cb7_S 9</t>
  </si>
  <si>
    <t>Inv1_cb7_S 10</t>
  </si>
  <si>
    <t>Inv1_cb8_S 1</t>
  </si>
  <si>
    <t>Inv1_cb8_S 2</t>
  </si>
  <si>
    <t>Inv1_cb8_S 3</t>
  </si>
  <si>
    <t>Inv1_cb8_S 4</t>
  </si>
  <si>
    <t>Inv1_cb8_S 5</t>
  </si>
  <si>
    <t>Inv1_cb8_S 6</t>
  </si>
  <si>
    <t>Inv1_cb8_S 7</t>
  </si>
  <si>
    <t>Inv1_cb8_S 8</t>
  </si>
  <si>
    <t>Inv1_cb8_S 9</t>
  </si>
  <si>
    <t>Inv1_cb8_S 10</t>
  </si>
  <si>
    <t>Inv1_cb9_S 1</t>
  </si>
  <si>
    <t>Inv1_cb9_S 2</t>
  </si>
  <si>
    <t>Inv1_cb9_S 3</t>
  </si>
  <si>
    <t>Inv1_cb9_S 4</t>
  </si>
  <si>
    <t>Inv1_cb9_S 5</t>
  </si>
  <si>
    <t>Inv1_cb9_S 6</t>
  </si>
  <si>
    <t>Inv1_cb9_S 7</t>
  </si>
  <si>
    <t>Inv1_cb9_S 8</t>
  </si>
  <si>
    <t>Inv1_cb9_S 9</t>
  </si>
  <si>
    <t>Inv1_cb9_S 10</t>
  </si>
  <si>
    <t>Inv1_cb10_S 1</t>
  </si>
  <si>
    <t>Inv1_cb10_S 2</t>
  </si>
  <si>
    <t>Inv1_cb10_S 3</t>
  </si>
  <si>
    <t>Inv1_cb10_S 4</t>
  </si>
  <si>
    <t>Inv1_cb10_S 5</t>
  </si>
  <si>
    <t>Inv1_cb10_S 6</t>
  </si>
  <si>
    <t>Inv1_cb10_S 7</t>
  </si>
  <si>
    <t>Inv1_cb10_S 8</t>
  </si>
  <si>
    <t>Inv1_cb10_S 9</t>
  </si>
  <si>
    <t>Inv1_cb10_S 10</t>
  </si>
  <si>
    <t>Inv1_cb11_S 1</t>
  </si>
  <si>
    <t>Inv1_cb11_S 2</t>
  </si>
  <si>
    <t>Inv1_cb11_S 3</t>
  </si>
  <si>
    <t>Inv1_cb11_S 4</t>
  </si>
  <si>
    <t>Inv1_cb11_S 5</t>
  </si>
  <si>
    <t>Inv1_cb11_S 6</t>
  </si>
  <si>
    <t>Inv1_cb11_S 7</t>
  </si>
  <si>
    <t>Inv1_cb11_S 8</t>
  </si>
  <si>
    <t>Inv1_cb11_S 9</t>
  </si>
  <si>
    <t>Inv1_cb11_S 10</t>
  </si>
  <si>
    <t>Inv1_cb12_S 1</t>
  </si>
  <si>
    <t>Inv1_cb12_S 2</t>
  </si>
  <si>
    <t>Inv1_cb12_S 3</t>
  </si>
  <si>
    <t>Inv1_cb12_S 4</t>
  </si>
  <si>
    <t>Inv1_cb12_S 5</t>
  </si>
  <si>
    <t>Inv1_cb12_S 6</t>
  </si>
  <si>
    <t>Inv1_cb12_S 7</t>
  </si>
  <si>
    <t>Inv1_cb12_S 8</t>
  </si>
  <si>
    <t>Inv1_cb12_S 9</t>
  </si>
  <si>
    <t>Inv1_cb12_S 10</t>
  </si>
  <si>
    <t>Inv1_cb13_S 1</t>
  </si>
  <si>
    <t>Inv1_cb13_S 2</t>
  </si>
  <si>
    <t>Inv1_cb13_S 3</t>
  </si>
  <si>
    <t>Inv1_cb13_S 4</t>
  </si>
  <si>
    <t>Inv1_cb13_S 5</t>
  </si>
  <si>
    <t>Inv1_cb13_S 6</t>
  </si>
  <si>
    <t>Inv1_cb13_S 7</t>
  </si>
  <si>
    <t>Inv1_cb13_S 8</t>
  </si>
  <si>
    <t>Inv1_cb13_S 9</t>
  </si>
  <si>
    <t>Inv1_cb13_S 10</t>
  </si>
  <si>
    <t>Inv1_cb14_S 1</t>
  </si>
  <si>
    <t>Inv1_cb14_S 2</t>
  </si>
  <si>
    <t>Inv1_cb14_S 3</t>
  </si>
  <si>
    <t>Inv1_cb14_S 4</t>
  </si>
  <si>
    <t>Inv1_cb14_S 5</t>
  </si>
  <si>
    <t>Inv1_cb14_S 6</t>
  </si>
  <si>
    <t>Inv1_cb14_S 7</t>
  </si>
  <si>
    <t>Inv1_cb14_S 8</t>
  </si>
  <si>
    <t>Inv1_cb14_S 9</t>
  </si>
  <si>
    <t>Inv1_cb14_S 10</t>
  </si>
  <si>
    <t>Inv1_cb15_S 1</t>
  </si>
  <si>
    <t>Inv1_cb15_S 2</t>
  </si>
  <si>
    <t>Inv1_cb15_S 3</t>
  </si>
  <si>
    <t>Inv1_cb15_S 4</t>
  </si>
  <si>
    <t>Inv1_cb15_S 5</t>
  </si>
  <si>
    <t>Inv1_cb15_S 6</t>
  </si>
  <si>
    <t>Inv1_cb15_S 7</t>
  </si>
  <si>
    <t>Inv1_cb15_S 8</t>
  </si>
  <si>
    <t>Inv1_cb15_S 9</t>
  </si>
  <si>
    <t>Inv1_cb15_S 10</t>
  </si>
  <si>
    <t>Inv1_cb16_S 1</t>
  </si>
  <si>
    <t>Inv1_cb16_S 2</t>
  </si>
  <si>
    <t>Inv1_cb16_S 3</t>
  </si>
  <si>
    <t>Inv1_cb16_S 4</t>
  </si>
  <si>
    <t>Inv1_cb16_S 5</t>
  </si>
  <si>
    <t>Inv1_cb16_S 6</t>
  </si>
  <si>
    <t>Inv1_cb16_S 7</t>
  </si>
  <si>
    <t>Inv1_cb16_S 8</t>
  </si>
  <si>
    <t>Inv1_cb16_S 9</t>
  </si>
  <si>
    <t>Inv1_cb16_S 10</t>
  </si>
  <si>
    <t>Inv1_cb17_S 1</t>
  </si>
  <si>
    <t>Inv1_cb17_S 2</t>
  </si>
  <si>
    <t>Inv1_cb17_S 3</t>
  </si>
  <si>
    <t>Inv1_cb17_S 4</t>
  </si>
  <si>
    <t>Inv1_cb17_S 5</t>
  </si>
  <si>
    <t>Inv1_cb17_S 6</t>
  </si>
  <si>
    <t>Inv1_cb17_S 7</t>
  </si>
  <si>
    <t>Inv1_cb17_S 8</t>
  </si>
  <si>
    <t>Inv1_cb17_S 9</t>
  </si>
  <si>
    <t>Inv1_cb17_S 10</t>
  </si>
  <si>
    <t>Inv1_cb18_S 1</t>
  </si>
  <si>
    <t>Inv1_cb18_S 2</t>
  </si>
  <si>
    <t>Inv1_cb18_S 3</t>
  </si>
  <si>
    <t>Inv1_cb18_S 4</t>
  </si>
  <si>
    <t>Inv1_cb18_S 5</t>
  </si>
  <si>
    <t>Inv1_cb18_S 6</t>
  </si>
  <si>
    <t>Inv1_cb18_S 7</t>
  </si>
  <si>
    <t>Inv1_cb18_S 8</t>
  </si>
  <si>
    <t>Inv1_cb18_S 9</t>
  </si>
  <si>
    <t>Inv1_cb18_S 10</t>
  </si>
  <si>
    <t>Inv1_cb19_S 1</t>
  </si>
  <si>
    <t>Inv1_cb19_S 2</t>
  </si>
  <si>
    <t>Inv1_cb19_S 3</t>
  </si>
  <si>
    <t>Inv1_cb19_S 4</t>
  </si>
  <si>
    <t>Inv1_cb19_S 5</t>
  </si>
  <si>
    <t>Inv1_cb19_S 6</t>
  </si>
  <si>
    <t>Inv1_cb19_S 7</t>
  </si>
  <si>
    <t>Inv1_cb19_S 8</t>
  </si>
  <si>
    <t>Inv1_cb19_S 9</t>
  </si>
  <si>
    <t>Inv1_cb19_S 10</t>
  </si>
  <si>
    <t>Inv1_cb20_S 1</t>
  </si>
  <si>
    <t>Inv1_cb20_S 2</t>
  </si>
  <si>
    <t>Inv1_cb20_S 3</t>
  </si>
  <si>
    <t>Inv1_cb20_S 4</t>
  </si>
  <si>
    <t>Inv1_cb20_S 5</t>
  </si>
  <si>
    <t>Inv1_cb20_S 6</t>
  </si>
  <si>
    <t>Inv1_cb20_S 7</t>
  </si>
  <si>
    <t>Inv1_cb20_S 8</t>
  </si>
  <si>
    <t>Inv1_cb20_S 9</t>
  </si>
  <si>
    <t>Inv1_cb20_S 10</t>
  </si>
  <si>
    <t>Inv1_cb21_S 1</t>
  </si>
  <si>
    <t>Inv1_cb21_S 2</t>
  </si>
  <si>
    <t>Inv1_cb21_S 3</t>
  </si>
  <si>
    <t>Inv1_cb21_S 4</t>
  </si>
  <si>
    <t>Inv1_cb21_S 5</t>
  </si>
  <si>
    <t>Inv1_cb21_S 6</t>
  </si>
  <si>
    <t>Inv1_cb21_S 7</t>
  </si>
  <si>
    <t>Inv1_cb21_S 8</t>
  </si>
  <si>
    <t>Inv1_cb21_S 9</t>
  </si>
  <si>
    <t>Inv1_cb21_S 10</t>
  </si>
  <si>
    <t>Inv1_cb22_S 1</t>
  </si>
  <si>
    <t>Inv1_cb22_S 2</t>
  </si>
  <si>
    <t>Inv1_cb22_S 3</t>
  </si>
  <si>
    <t>Inv1_cb22_S 4</t>
  </si>
  <si>
    <t>Inv1_cb22_S 5</t>
  </si>
  <si>
    <t>Inv1_cb22_S 6</t>
  </si>
  <si>
    <t>Inv1_cb22_S 7</t>
  </si>
  <si>
    <t>Inv1_cb22_S 8</t>
  </si>
  <si>
    <t>Inv1_cb22_S 9</t>
  </si>
  <si>
    <t>Inv1_cb22_S 10</t>
  </si>
  <si>
    <t>Inv1_cb23_S 1</t>
  </si>
  <si>
    <t>Inv1_cb23_S 2</t>
  </si>
  <si>
    <t>Inv1_cb23_S 3</t>
  </si>
  <si>
    <t>Inv1_cb23_S 4</t>
  </si>
  <si>
    <t>Inv1_cb23_S 5</t>
  </si>
  <si>
    <t>Inv1_cb23_S 6</t>
  </si>
  <si>
    <t>Inv1_cb23_S 7</t>
  </si>
  <si>
    <t>Inv1_cb23_S 8</t>
  </si>
  <si>
    <t>Inv1_cb23_S 9</t>
  </si>
  <si>
    <t>Inv1_cb23_S 10</t>
  </si>
  <si>
    <t>Inv1_cb24_S 1</t>
  </si>
  <si>
    <t>Inv1_cb24_S 2</t>
  </si>
  <si>
    <t>Inv1_cb24_S 3</t>
  </si>
  <si>
    <t>Inv1_cb24_S 4</t>
  </si>
  <si>
    <t>Inv1_cb24_S 5</t>
  </si>
  <si>
    <t>Inv1_cb24_S 6</t>
  </si>
  <si>
    <t>Inv1_cb24_S 7</t>
  </si>
  <si>
    <t>Inv1_cb24_S 8</t>
  </si>
  <si>
    <t>Inv1_cb24_S 9</t>
  </si>
  <si>
    <t>Inv1_cb24_S 10</t>
  </si>
  <si>
    <t>Inv2_cb1_S 1</t>
  </si>
  <si>
    <t>Inv2_cb1_S 2</t>
  </si>
  <si>
    <t>Inv2_cb1_S 3</t>
  </si>
  <si>
    <t>Inv2_cb1_S 4</t>
  </si>
  <si>
    <t>Inv2_cb1_S 5</t>
  </si>
  <si>
    <t>Inv2_cb1_S 6</t>
  </si>
  <si>
    <t>Inv2_cb1_S 7</t>
  </si>
  <si>
    <t>Inv2_cb1_S 8</t>
  </si>
  <si>
    <t>Inv2_cb1_S 9</t>
  </si>
  <si>
    <t>Inv2_cb1_S 10</t>
  </si>
  <si>
    <t>Inv2_cb2_S 1</t>
  </si>
  <si>
    <t>Inv2_cb2_S 2</t>
  </si>
  <si>
    <t>Inv2_cb2_S 3</t>
  </si>
  <si>
    <t>Inv2_cb2_S 4</t>
  </si>
  <si>
    <t>Inv2_cb2_S 5</t>
  </si>
  <si>
    <t>Inv2_cb2_S 6</t>
  </si>
  <si>
    <t>Inv2_cb2_S 7</t>
  </si>
  <si>
    <t>Inv2_cb2_S 8</t>
  </si>
  <si>
    <t>Inv2_cb2_S 9</t>
  </si>
  <si>
    <t>Inv2_cb2_S 10</t>
  </si>
  <si>
    <t>Inv2_cb3_S 1</t>
  </si>
  <si>
    <t>Inv2_cb3_S 2</t>
  </si>
  <si>
    <t>Inv2_cb3_S 3</t>
  </si>
  <si>
    <t>Inv2_cb3_S 4</t>
  </si>
  <si>
    <t>Inv2_cb3_S 5</t>
  </si>
  <si>
    <t>Inv2_cb3_S 6</t>
  </si>
  <si>
    <t>Inv2_cb3_S 7</t>
  </si>
  <si>
    <t>Inv2_cb3_S 8</t>
  </si>
  <si>
    <t>Inv2_cb3_S 9</t>
  </si>
  <si>
    <t>Inv2_cb3_S 10</t>
  </si>
  <si>
    <t>Inv2_cb4_S 1</t>
  </si>
  <si>
    <t>Inv2_cb4_S 2</t>
  </si>
  <si>
    <t>Inv2_cb4_S 3</t>
  </si>
  <si>
    <t>Inv2_cb4_S 4</t>
  </si>
  <si>
    <t>Inv2_cb4_S 5</t>
  </si>
  <si>
    <t>Inv2_cb4_S 6</t>
  </si>
  <si>
    <t>Inv2_cb4_S 7</t>
  </si>
  <si>
    <t>Inv2_cb4_S 8</t>
  </si>
  <si>
    <t>Inv2_cb4_S 9</t>
  </si>
  <si>
    <t>Inv2_cb4_S 10</t>
  </si>
  <si>
    <t>Inv2_cb5_S 1</t>
  </si>
  <si>
    <t>Inv2_cb5_S 2</t>
  </si>
  <si>
    <t>Inv2_cb5_S 3</t>
  </si>
  <si>
    <t>Inv2_cb5_S 4</t>
  </si>
  <si>
    <t>Inv2_cb5_S 5</t>
  </si>
  <si>
    <t>Inv2_cb5_S 6</t>
  </si>
  <si>
    <t>Inv2_cb5_S 7</t>
  </si>
  <si>
    <t>Inv2_cb5_S 8</t>
  </si>
  <si>
    <t>Inv2_cb5_S 9</t>
  </si>
  <si>
    <t>Inv2_cb5_S 10</t>
  </si>
  <si>
    <t>Inv2_cb6_S 1</t>
  </si>
  <si>
    <t>Inv2_cb6_S 2</t>
  </si>
  <si>
    <t>Inv2_cb6_S 3</t>
  </si>
  <si>
    <t>Inv2_cb6_S 4</t>
  </si>
  <si>
    <t>Inv2_cb6_S 5</t>
  </si>
  <si>
    <t>Inv2_cb6_S 6</t>
  </si>
  <si>
    <t>Inv2_cb6_S 7</t>
  </si>
  <si>
    <t>Inv2_cb6_S 8</t>
  </si>
  <si>
    <t>Inv2_cb6_S 9</t>
  </si>
  <si>
    <t>Inv2_cb6_S 10</t>
  </si>
  <si>
    <t>Inv2_cb7_S 1</t>
  </si>
  <si>
    <t>Inv2_cb7_S 2</t>
  </si>
  <si>
    <t>Inv2_cb7_S 3</t>
  </si>
  <si>
    <t>Inv2_cb7_S 4</t>
  </si>
  <si>
    <t>Inv2_cb7_S 5</t>
  </si>
  <si>
    <t>Inv2_cb7_S 6</t>
  </si>
  <si>
    <t>Inv2_cb7_S 7</t>
  </si>
  <si>
    <t>Inv2_cb7_S 8</t>
  </si>
  <si>
    <t>Inv2_cb7_S 9</t>
  </si>
  <si>
    <t>Inv2_cb7_S 10</t>
  </si>
  <si>
    <t>Inv2_cb8_S 1</t>
  </si>
  <si>
    <t>Inv2_cb8_S 2</t>
  </si>
  <si>
    <t>Inv2_cb8_S 3</t>
  </si>
  <si>
    <t>Inv2_cb8_S 4</t>
  </si>
  <si>
    <t>Inv2_cb8_S 5</t>
  </si>
  <si>
    <t>Inv2_cb8_S 6</t>
  </si>
  <si>
    <t>Inv2_cb8_S 7</t>
  </si>
  <si>
    <t>Inv2_cb8_S 8</t>
  </si>
  <si>
    <t>Inv2_cb8_S 9</t>
  </si>
  <si>
    <t>Inv2_cb8_S 10</t>
  </si>
  <si>
    <t>Inv2_cb9_S 1</t>
  </si>
  <si>
    <t>Inv2_cb9_S 2</t>
  </si>
  <si>
    <t>Inv2_cb9_S 3</t>
  </si>
  <si>
    <t>Inv2_cb9_S 4</t>
  </si>
  <si>
    <t>Inv2_cb9_S 5</t>
  </si>
  <si>
    <t>Inv2_cb9_S 6</t>
  </si>
  <si>
    <t>Inv2_cb9_S 7</t>
  </si>
  <si>
    <t>Inv2_cb9_S 8</t>
  </si>
  <si>
    <t>Inv2_cb9_S 9</t>
  </si>
  <si>
    <t>Inv2_cb9_S 10</t>
  </si>
  <si>
    <t>Inv2_cb10_S 1</t>
  </si>
  <si>
    <t>Inv2_cb10_S 2</t>
  </si>
  <si>
    <t>Inv2_cb10_S 3</t>
  </si>
  <si>
    <t>Inv2_cb10_S 4</t>
  </si>
  <si>
    <t>Inv2_cb10_S 5</t>
  </si>
  <si>
    <t>Inv2_cb10_S 6</t>
  </si>
  <si>
    <t>Inv2_cb10_S 7</t>
  </si>
  <si>
    <t>Inv2_cb10_S 8</t>
  </si>
  <si>
    <t>Inv2_cb10_S 9</t>
  </si>
  <si>
    <t>Inv2_cb10_S 10</t>
  </si>
  <si>
    <t>Inv2_cb11_S 1</t>
  </si>
  <si>
    <t>Inv2_cb11_S 2</t>
  </si>
  <si>
    <t>Inv2_cb11_S 3</t>
  </si>
  <si>
    <t>Inv2_cb11_S 4</t>
  </si>
  <si>
    <t>Inv2_cb11_S 5</t>
  </si>
  <si>
    <t>Inv2_cb11_S 6</t>
  </si>
  <si>
    <t>Inv2_cb11_S 7</t>
  </si>
  <si>
    <t>Inv2_cb11_S 8</t>
  </si>
  <si>
    <t>Inv2_cb11_S 9</t>
  </si>
  <si>
    <t>Inv2_cb11_S 10</t>
  </si>
  <si>
    <t>Inv2_cb12_S 1</t>
  </si>
  <si>
    <t>Inv2_cb12_S 2</t>
  </si>
  <si>
    <t>Inv2_cb12_S 3</t>
  </si>
  <si>
    <t>Inv2_cb12_S 4</t>
  </si>
  <si>
    <t>Inv2_cb12_S 5</t>
  </si>
  <si>
    <t>Inv2_cb12_S 6</t>
  </si>
  <si>
    <t>Inv2_cb12_S 7</t>
  </si>
  <si>
    <t>Inv2_cb12_S 8</t>
  </si>
  <si>
    <t>Inv2_cb12_S 9</t>
  </si>
  <si>
    <t>Inv2_cb12_S 10</t>
  </si>
  <si>
    <t>Inv2_cb13_S 1</t>
  </si>
  <si>
    <t>Inv2_cb13_S 2</t>
  </si>
  <si>
    <t>Inv2_cb13_S 3</t>
  </si>
  <si>
    <t>Inv2_cb13_S 4</t>
  </si>
  <si>
    <t>Inv2_cb13_S 5</t>
  </si>
  <si>
    <t>Inv2_cb13_S 6</t>
  </si>
  <si>
    <t>Inv2_cb13_S 7</t>
  </si>
  <si>
    <t>Inv2_cb13_S 8</t>
  </si>
  <si>
    <t>Inv2_cb13_S 9</t>
  </si>
  <si>
    <t>Inv2_cb13_S 10</t>
  </si>
  <si>
    <t>Inv2_cb14_S 1</t>
  </si>
  <si>
    <t>Inv2_cb14_S 2</t>
  </si>
  <si>
    <t>Inv2_cb14_S 3</t>
  </si>
  <si>
    <t>Inv2_cb14_S 4</t>
  </si>
  <si>
    <t>Inv2_cb14_S 5</t>
  </si>
  <si>
    <t>Inv2_cb14_S 6</t>
  </si>
  <si>
    <t>Inv2_cb14_S 7</t>
  </si>
  <si>
    <t>Inv2_cb14_S 8</t>
  </si>
  <si>
    <t>Inv2_cb14_S 9</t>
  </si>
  <si>
    <t>Inv2_cb14_S 10</t>
  </si>
  <si>
    <t>Inv2_cb15_S 1</t>
  </si>
  <si>
    <t>Inv2_cb15_S 2</t>
  </si>
  <si>
    <t>Inv2_cb15_S 3</t>
  </si>
  <si>
    <t>Inv2_cb15_S 4</t>
  </si>
  <si>
    <t>Inv2_cb15_S 5</t>
  </si>
  <si>
    <t>Inv2_cb15_S 6</t>
  </si>
  <si>
    <t>Inv2_cb15_S 7</t>
  </si>
  <si>
    <t>Inv2_cb15_S 8</t>
  </si>
  <si>
    <t>Inv2_cb15_S 9</t>
  </si>
  <si>
    <t>Inv2_cb15_S 10</t>
  </si>
  <si>
    <t>Inv2_cb16_S 1</t>
  </si>
  <si>
    <t>Inv2_cb16_S 2</t>
  </si>
  <si>
    <t>Inv2_cb16_S 3</t>
  </si>
  <si>
    <t>Inv2_cb16_S 4</t>
  </si>
  <si>
    <t>Inv2_cb16_S 5</t>
  </si>
  <si>
    <t>Inv2_cb16_S 6</t>
  </si>
  <si>
    <t>Inv2_cb16_S 7</t>
  </si>
  <si>
    <t>Inv2_cb16_S 8</t>
  </si>
  <si>
    <t>Inv2_cb16_S 9</t>
  </si>
  <si>
    <t>Inv2_cb16_S 10</t>
  </si>
  <si>
    <t>Inv2_cb17_S 1</t>
  </si>
  <si>
    <t>Inv2_cb17_S 2</t>
  </si>
  <si>
    <t>Inv2_cb17_S 3</t>
  </si>
  <si>
    <t>Inv2_cb17_S 4</t>
  </si>
  <si>
    <t>Inv2_cb17_S 5</t>
  </si>
  <si>
    <t>Inv2_cb17_S 6</t>
  </si>
  <si>
    <t>Inv2_cb17_S 7</t>
  </si>
  <si>
    <t>Inv2_cb17_S 8</t>
  </si>
  <si>
    <t>Inv2_cb17_S 9</t>
  </si>
  <si>
    <t>Inv2_cb17_S 10</t>
  </si>
  <si>
    <t>Inv2_cb18_S 1</t>
  </si>
  <si>
    <t>Inv2_cb18_S 2</t>
  </si>
  <si>
    <t>Inv2_cb18_S 3</t>
  </si>
  <si>
    <t>Inv2_cb18_S 4</t>
  </si>
  <si>
    <t>Inv2_cb18_S 5</t>
  </si>
  <si>
    <t>Inv2_cb18_S 6</t>
  </si>
  <si>
    <t>Inv2_cb18_S 7</t>
  </si>
  <si>
    <t>Inv2_cb18_S 8</t>
  </si>
  <si>
    <t>Inv2_cb18_S 9</t>
  </si>
  <si>
    <t>Inv2_cb18_S 10</t>
  </si>
  <si>
    <t>Inv2_cb19_S 1</t>
  </si>
  <si>
    <t>Inv2_cb19_S 2</t>
  </si>
  <si>
    <t>Inv2_cb19_S 3</t>
  </si>
  <si>
    <t>Inv2_cb19_S 4</t>
  </si>
  <si>
    <t>Inv2_cb19_S 5</t>
  </si>
  <si>
    <t>Inv2_cb19_S 6</t>
  </si>
  <si>
    <t>Inv2_cb19_S 7</t>
  </si>
  <si>
    <t>Inv2_cb19_S 8</t>
  </si>
  <si>
    <t>Inv2_cb19_S 9</t>
  </si>
  <si>
    <t>Inv2_cb19_S 10</t>
  </si>
  <si>
    <t>Inv2_cb20_S 1</t>
  </si>
  <si>
    <t>Inv2_cb20_S 2</t>
  </si>
  <si>
    <t>Inv2_cb20_S 3</t>
  </si>
  <si>
    <t>Inv2_cb20_S 4</t>
  </si>
  <si>
    <t>Inv2_cb20_S 5</t>
  </si>
  <si>
    <t>Inv2_cb20_S 6</t>
  </si>
  <si>
    <t>Inv2_cb20_S 7</t>
  </si>
  <si>
    <t>Inv2_cb20_S 8</t>
  </si>
  <si>
    <t>Inv2_cb20_S 9</t>
  </si>
  <si>
    <t>Inv2_cb20_S 10</t>
  </si>
  <si>
    <t>Inv2_cb21_S 1</t>
  </si>
  <si>
    <t>Inv2_cb21_S 2</t>
  </si>
  <si>
    <t>Inv2_cb21_S 3</t>
  </si>
  <si>
    <t>Inv2_cb21_S 4</t>
  </si>
  <si>
    <t>Inv2_cb21_S 5</t>
  </si>
  <si>
    <t>Inv2_cb21_S 6</t>
  </si>
  <si>
    <t>Inv2_cb21_S 7</t>
  </si>
  <si>
    <t>Inv2_cb21_S 8</t>
  </si>
  <si>
    <t>Inv2_cb21_S 9</t>
  </si>
  <si>
    <t>Inv2_cb21_S 10</t>
  </si>
  <si>
    <t>Inv2_cb22_S 1</t>
  </si>
  <si>
    <t>Inv2_cb22_S 2</t>
  </si>
  <si>
    <t>Inv2_cb22_S 3</t>
  </si>
  <si>
    <t>Inv2_cb22_S 4</t>
  </si>
  <si>
    <t>Inv2_cb22_S 5</t>
  </si>
  <si>
    <t>Inv2_cb22_S 6</t>
  </si>
  <si>
    <t>Inv2_cb22_S 7</t>
  </si>
  <si>
    <t>Inv2_cb22_S 8</t>
  </si>
  <si>
    <t>Inv2_cb22_S 9</t>
  </si>
  <si>
    <t>Inv2_cb22_S 10</t>
  </si>
  <si>
    <t>Inv2_cb23_S 1</t>
  </si>
  <si>
    <t>Inv2_cb23_S 2</t>
  </si>
  <si>
    <t>Inv2_cb23_S 3</t>
  </si>
  <si>
    <t>Inv2_cb23_S 4</t>
  </si>
  <si>
    <t>Inv2_cb23_S 5</t>
  </si>
  <si>
    <t>Inv2_cb23_S 6</t>
  </si>
  <si>
    <t>Inv2_cb23_S 7</t>
  </si>
  <si>
    <t>Inv2_cb23_S 8</t>
  </si>
  <si>
    <t>Inv2_cb23_S 9</t>
  </si>
  <si>
    <t>Inv2_cb23_S 10</t>
  </si>
  <si>
    <t>Inv2_cb24_S 1</t>
  </si>
  <si>
    <t>Inv2_cb24_S 2</t>
  </si>
  <si>
    <t>Inv2_cb24_S 3</t>
  </si>
  <si>
    <t>Inv2_cb24_S 4</t>
  </si>
  <si>
    <t>Inv2_cb24_S 5</t>
  </si>
  <si>
    <t>Inv2_cb24_S 6</t>
  </si>
  <si>
    <t>Inv2_cb24_S 7</t>
  </si>
  <si>
    <t>Inv2_cb24_S 8</t>
  </si>
  <si>
    <t>Inv2_cb24_S 9</t>
  </si>
  <si>
    <t>Inv2_cb24_S 10</t>
  </si>
  <si>
    <t>Inv3_cb1_S 1</t>
  </si>
  <si>
    <t>Inv3_cb1_S 2</t>
  </si>
  <si>
    <t>Inv3_cb1_S 3</t>
  </si>
  <si>
    <t>Inv3_cb1_S 4</t>
  </si>
  <si>
    <t>Inv3_cb1_S 5</t>
  </si>
  <si>
    <t>Inv3_cb1_S 6</t>
  </si>
  <si>
    <t>Inv3_cb1_S 7</t>
  </si>
  <si>
    <t>Inv3_cb1_S 8</t>
  </si>
  <si>
    <t>Inv3_cb1_S 9</t>
  </si>
  <si>
    <t>Inv3_cb1_S 10</t>
  </si>
  <si>
    <t>Inv3_cb2_S 1</t>
  </si>
  <si>
    <t>Inv3_cb2_S 2</t>
  </si>
  <si>
    <t>Inv3_cb2_S 3</t>
  </si>
  <si>
    <t>Inv3_cb2_S 4</t>
  </si>
  <si>
    <t>Inv3_cb2_S 5</t>
  </si>
  <si>
    <t>Inv3_cb2_S 6</t>
  </si>
  <si>
    <t>Inv3_cb2_S 7</t>
  </si>
  <si>
    <t>Inv3_cb2_S 8</t>
  </si>
  <si>
    <t>Inv3_cb2_S 9</t>
  </si>
  <si>
    <t>Inv3_cb2_S 10</t>
  </si>
  <si>
    <t>Inv3_cb3_S 1</t>
  </si>
  <si>
    <t>Inv3_cb3_S 2</t>
  </si>
  <si>
    <t>Inv3_cb3_S 3</t>
  </si>
  <si>
    <t>Inv3_cb3_S 4</t>
  </si>
  <si>
    <t>Inv3_cb3_S 5</t>
  </si>
  <si>
    <t>Inv3_cb3_S 6</t>
  </si>
  <si>
    <t>Inv3_cb3_S 7</t>
  </si>
  <si>
    <t>Inv3_cb3_S 8</t>
  </si>
  <si>
    <t>Inv3_cb3_S 9</t>
  </si>
  <si>
    <t>Inv3_cb3_S 10</t>
  </si>
  <si>
    <t>Inv3_cb4_S 1</t>
  </si>
  <si>
    <t>Inv3_cb4_S 2</t>
  </si>
  <si>
    <t>Inv3_cb4_S 3</t>
  </si>
  <si>
    <t>Inv3_cb4_S 4</t>
  </si>
  <si>
    <t>Inv3_cb4_S 5</t>
  </si>
  <si>
    <t>Inv3_cb4_S 6</t>
  </si>
  <si>
    <t>Inv3_cb4_S 7</t>
  </si>
  <si>
    <t>Inv3_cb4_S 8</t>
  </si>
  <si>
    <t>Inv3_cb4_S 9</t>
  </si>
  <si>
    <t>Inv3_cb4_S 10</t>
  </si>
  <si>
    <t>Inv3_cb5_S 1</t>
  </si>
  <si>
    <t>Inv3_cb5_S 2</t>
  </si>
  <si>
    <t>Inv3_cb5_S 3</t>
  </si>
  <si>
    <t>Inv3_cb5_S 4</t>
  </si>
  <si>
    <t>Inv3_cb5_S 5</t>
  </si>
  <si>
    <t>Inv3_cb5_S 6</t>
  </si>
  <si>
    <t>Inv3_cb5_S 7</t>
  </si>
  <si>
    <t>Inv3_cb5_S 8</t>
  </si>
  <si>
    <t>Inv3_cb5_S 9</t>
  </si>
  <si>
    <t>Inv3_cb5_S 10</t>
  </si>
  <si>
    <t>Inv3_cb6_S 1</t>
  </si>
  <si>
    <t>Inv3_cb6_S 2</t>
  </si>
  <si>
    <t>Inv3_cb6_S 3</t>
  </si>
  <si>
    <t>Inv3_cb6_S 4</t>
  </si>
  <si>
    <t>Inv3_cb6_S 5</t>
  </si>
  <si>
    <t>Inv3_cb6_S 6</t>
  </si>
  <si>
    <t>Inv3_cb6_S 7</t>
  </si>
  <si>
    <t>Inv3_cb6_S 8</t>
  </si>
  <si>
    <t>Inv3_cb6_S 9</t>
  </si>
  <si>
    <t>Inv3_cb6_S 10</t>
  </si>
  <si>
    <t>Inv3_cb7_S 1</t>
  </si>
  <si>
    <t>Inv3_cb7_S 2</t>
  </si>
  <si>
    <t>Inv3_cb7_S 3</t>
  </si>
  <si>
    <t>Inv3_cb7_S 4</t>
  </si>
  <si>
    <t>Inv3_cb7_S 5</t>
  </si>
  <si>
    <t>Inv3_cb7_S 6</t>
  </si>
  <si>
    <t>Inv3_cb7_S 7</t>
  </si>
  <si>
    <t>Inv3_cb7_S 8</t>
  </si>
  <si>
    <t>Inv3_cb7_S 9</t>
  </si>
  <si>
    <t>Inv3_cb7_S 10</t>
  </si>
  <si>
    <t>Inv3_cb8_S 1</t>
  </si>
  <si>
    <t>Inv3_cb8_S 2</t>
  </si>
  <si>
    <t>Inv3_cb8_S 3</t>
  </si>
  <si>
    <t>Inv3_cb8_S 4</t>
  </si>
  <si>
    <t>Inv3_cb8_S 5</t>
  </si>
  <si>
    <t>Inv3_cb8_S 6</t>
  </si>
  <si>
    <t>Inv3_cb8_S 7</t>
  </si>
  <si>
    <t>Inv3_cb8_S 8</t>
  </si>
  <si>
    <t>Inv3_cb8_S 9</t>
  </si>
  <si>
    <t>Inv3_cb8_S 10</t>
  </si>
  <si>
    <t>Inv3_cb9_S 1</t>
  </si>
  <si>
    <t>Inv3_cb9_S 2</t>
  </si>
  <si>
    <t>Inv3_cb9_S 3</t>
  </si>
  <si>
    <t>Inv3_cb9_S 4</t>
  </si>
  <si>
    <t>Inv3_cb9_S 5</t>
  </si>
  <si>
    <t>Inv3_cb9_S 6</t>
  </si>
  <si>
    <t>Inv3_cb9_S 7</t>
  </si>
  <si>
    <t>Inv3_cb9_S 8</t>
  </si>
  <si>
    <t>Inv3_cb9_S 9</t>
  </si>
  <si>
    <t>Inv3_cb9_S 10</t>
  </si>
  <si>
    <t>Inv3_cb10_S 1</t>
  </si>
  <si>
    <t>Inv3_cb10_S 2</t>
  </si>
  <si>
    <t>Inv3_cb10_S 3</t>
  </si>
  <si>
    <t>Inv3_cb10_S 4</t>
  </si>
  <si>
    <t>Inv3_cb10_S 5</t>
  </si>
  <si>
    <t>Inv3_cb10_S 6</t>
  </si>
  <si>
    <t>Inv3_cb10_S 7</t>
  </si>
  <si>
    <t>Inv3_cb10_S 8</t>
  </si>
  <si>
    <t>Inv3_cb10_S 9</t>
  </si>
  <si>
    <t>Inv3_cb10_S 10</t>
  </si>
  <si>
    <t>Inv3_cb11_S 1</t>
  </si>
  <si>
    <t>Inv3_cb11_S 2</t>
  </si>
  <si>
    <t>Inv3_cb11_S 3</t>
  </si>
  <si>
    <t>Inv3_cb11_S 4</t>
  </si>
  <si>
    <t>Inv3_cb11_S 5</t>
  </si>
  <si>
    <t>Inv3_cb11_S 6</t>
  </si>
  <si>
    <t>Inv3_cb11_S 7</t>
  </si>
  <si>
    <t>Inv3_cb11_S 8</t>
  </si>
  <si>
    <t>Inv3_cb11_S 9</t>
  </si>
  <si>
    <t>Inv3_cb11_S 10</t>
  </si>
  <si>
    <t>Inv3_cb12_S 1</t>
  </si>
  <si>
    <t>Inv3_cb12_S 2</t>
  </si>
  <si>
    <t>Inv3_cb12_S 3</t>
  </si>
  <si>
    <t>Inv3_cb12_S 4</t>
  </si>
  <si>
    <t>Inv3_cb12_S 5</t>
  </si>
  <si>
    <t>Inv3_cb12_S 6</t>
  </si>
  <si>
    <t>Inv3_cb12_S 7</t>
  </si>
  <si>
    <t>Inv3_cb12_S 8</t>
  </si>
  <si>
    <t>Inv3_cb12_S 9</t>
  </si>
  <si>
    <t>Inv3_cb12_S 10</t>
  </si>
  <si>
    <t>Inv3_cb13_S 1</t>
  </si>
  <si>
    <t>Inv3_cb13_S 3</t>
  </si>
  <si>
    <t>Inv3_cb13_S 4</t>
  </si>
  <si>
    <t>Inv3_cb13_S 5</t>
  </si>
  <si>
    <t>Inv3_cb13_S 6</t>
  </si>
  <si>
    <t>Inv3_cb13_S 7</t>
  </si>
  <si>
    <t>Inv3_cb13_S 8</t>
  </si>
  <si>
    <t>Inv3_cb13_S 9</t>
  </si>
  <si>
    <t>Inv3_cb13_S 10</t>
  </si>
  <si>
    <t>Inv3_cb14_S 1</t>
  </si>
  <si>
    <t>Inv3_cb14_S 2</t>
  </si>
  <si>
    <t>Inv3_cb14_S 3</t>
  </si>
  <si>
    <t>Inv3_cb14_S 4</t>
  </si>
  <si>
    <t>Inv3_cb14_S 5</t>
  </si>
  <si>
    <t>Inv3_cb14_S 6</t>
  </si>
  <si>
    <t>Inv3_cb14_S 7</t>
  </si>
  <si>
    <t>Inv3_cb14_S 8</t>
  </si>
  <si>
    <t>Inv3_cb14_S 9</t>
  </si>
  <si>
    <t>Inv3_cb14_S 10</t>
  </si>
  <si>
    <t>Inv3_cb15_S 1</t>
  </si>
  <si>
    <t>Inv3_cb15_S 2</t>
  </si>
  <si>
    <t>Inv3_cb15_S 3</t>
  </si>
  <si>
    <t>Inv3_cb15_S 4</t>
  </si>
  <si>
    <t>Inv3_cb15_S 5</t>
  </si>
  <si>
    <t>Inv3_cb15_S 6</t>
  </si>
  <si>
    <t>Inv3_cb15_S 7</t>
  </si>
  <si>
    <t>Inv3_cb15_S 8</t>
  </si>
  <si>
    <t>Inv3_cb15_S 9</t>
  </si>
  <si>
    <t>Inv3_cb15_S 10</t>
  </si>
  <si>
    <t>Inv3_cb16_S 1</t>
  </si>
  <si>
    <t>Inv3_cb16_S 2</t>
  </si>
  <si>
    <t>Inv3_cb16_S 3</t>
  </si>
  <si>
    <t>Inv3_cb16_S 4</t>
  </si>
  <si>
    <t>Inv3_cb16_S 5</t>
  </si>
  <si>
    <t>Inv3_cb16_S 6</t>
  </si>
  <si>
    <t>Inv3_cb16_S 7</t>
  </si>
  <si>
    <t>Inv3_cb16_S 8</t>
  </si>
  <si>
    <t>Inv3_cb16_S 9</t>
  </si>
  <si>
    <t>Inv3_cb16_S 10</t>
  </si>
  <si>
    <t>Inv3_cb17_S 1</t>
  </si>
  <si>
    <t>Inv3_cb17_S 2</t>
  </si>
  <si>
    <t>Inv3_cb17_S 3</t>
  </si>
  <si>
    <t>Inv3_cb17_S 4</t>
  </si>
  <si>
    <t>Inv3_cb17_S 5</t>
  </si>
  <si>
    <t>Inv3_cb17_S 6</t>
  </si>
  <si>
    <t>Inv3_cb17_S 7</t>
  </si>
  <si>
    <t>Inv3_cb17_S 8</t>
  </si>
  <si>
    <t>Inv3_cb17_S 9</t>
  </si>
  <si>
    <t>Inv3_cb17_S 10</t>
  </si>
  <si>
    <t>Inv3_cb18_S 1</t>
  </si>
  <si>
    <t>Inv3_cb18_S 2</t>
  </si>
  <si>
    <t>Inv3_cb18_S 3</t>
  </si>
  <si>
    <t>Inv3_cb18_S 4</t>
  </si>
  <si>
    <t>Inv3_cb18_S 5</t>
  </si>
  <si>
    <t>Inv3_cb18_S 6</t>
  </si>
  <si>
    <t>Inv3_cb18_S 7</t>
  </si>
  <si>
    <t>Inv3_cb18_S 8</t>
  </si>
  <si>
    <t>Inv3_cb18_S 9</t>
  </si>
  <si>
    <t>Inv3_cb18_S 10</t>
  </si>
  <si>
    <t>Inv3_cb19_S 1</t>
  </si>
  <si>
    <t>Inv3_cb19_S 2</t>
  </si>
  <si>
    <t>Inv3_cb19_S 3</t>
  </si>
  <si>
    <t>Inv3_cb19_S 4</t>
  </si>
  <si>
    <t>Inv3_cb19_S 5</t>
  </si>
  <si>
    <t>Inv3_cb19_S 6</t>
  </si>
  <si>
    <t>Inv3_cb19_S 7</t>
  </si>
  <si>
    <t>Inv3_cb19_S 8</t>
  </si>
  <si>
    <t>Inv3_cb19_S 9</t>
  </si>
  <si>
    <t>Inv3_cb19_S 10</t>
  </si>
  <si>
    <t>Inv3_cb20_S 1</t>
  </si>
  <si>
    <t>Inv3_cb20_S 2</t>
  </si>
  <si>
    <t>Inv3_cb20_S 3</t>
  </si>
  <si>
    <t>Inv3_cb20_S 4</t>
  </si>
  <si>
    <t>Inv3_cb20_S 5</t>
  </si>
  <si>
    <t>Inv3_cb20_S 6</t>
  </si>
  <si>
    <t>Inv3_cb20_S 7</t>
  </si>
  <si>
    <t>Inv3_cb20_S 8</t>
  </si>
  <si>
    <t>Inv3_cb20_S 9</t>
  </si>
  <si>
    <t>Inv3_cb20_S 10</t>
  </si>
  <si>
    <t>Inv3_cb21_S 1</t>
  </si>
  <si>
    <t>Inv3_cb21_S 2</t>
  </si>
  <si>
    <t>Inv3_cb21_S 3</t>
  </si>
  <si>
    <t>Inv3_cb21_S 4</t>
  </si>
  <si>
    <t>Inv3_cb21_S 5</t>
  </si>
  <si>
    <t>Inv3_cb21_S 6</t>
  </si>
  <si>
    <t>Inv3_cb21_S 7</t>
  </si>
  <si>
    <t>Inv3_cb21_S 8</t>
  </si>
  <si>
    <t>Inv3_cb21_S 9</t>
  </si>
  <si>
    <t>Inv3_cb21_S 10</t>
  </si>
  <si>
    <t>Inv3_cb22_S 1</t>
  </si>
  <si>
    <t>Inv3_cb22_S 2</t>
  </si>
  <si>
    <t>Inv3_cb22_S 3</t>
  </si>
  <si>
    <t>Inv3_cb22_S 4</t>
  </si>
  <si>
    <t>Inv3_cb22_S 5</t>
  </si>
  <si>
    <t>Inv3_cb22_S 6</t>
  </si>
  <si>
    <t>Inv3_cb22_S 7</t>
  </si>
  <si>
    <t>Inv3_cb22_S 8</t>
  </si>
  <si>
    <t>Inv3_cb22_S 9</t>
  </si>
  <si>
    <t>Inv3_cb22_S 10</t>
  </si>
  <si>
    <t>Inv3_cb23_S 1</t>
  </si>
  <si>
    <t>Inv3_cb23_S 2</t>
  </si>
  <si>
    <t>Inv3_cb23_S 3</t>
  </si>
  <si>
    <t>Inv3_cb23_S 4</t>
  </si>
  <si>
    <t>Inv3_cb23_S 5</t>
  </si>
  <si>
    <t>Inv3_cb23_S 6</t>
  </si>
  <si>
    <t>Inv3_cb23_S 7</t>
  </si>
  <si>
    <t>Inv3_cb23_S 8</t>
  </si>
  <si>
    <t>Inv3_cb23_S 9</t>
  </si>
  <si>
    <t>Inv3_cb23_S 10</t>
  </si>
  <si>
    <t>Inv3_cb24_S 1</t>
  </si>
  <si>
    <t>Inv3_cb24_S 2</t>
  </si>
  <si>
    <t>Inv3_cb24_S 3</t>
  </si>
  <si>
    <t>Inv3_cb24_S 4</t>
  </si>
  <si>
    <t>Inv3_cb24_S 5</t>
  </si>
  <si>
    <t>Inv3_cb24_S 6</t>
  </si>
  <si>
    <t>Inv3_cb24_S 7</t>
  </si>
  <si>
    <t>Inv3_cb24_S 8</t>
  </si>
  <si>
    <t>Inv3_cb24_S 9</t>
  </si>
  <si>
    <t>Inv3_cb24_S 10</t>
  </si>
  <si>
    <t>Due to Rain module cleaning not done</t>
  </si>
  <si>
    <t>Helpers Taken Weekly OFF</t>
  </si>
  <si>
    <t>Daily</t>
  </si>
  <si>
    <t>Tagname</t>
  </si>
  <si>
    <t>Actual</t>
  </si>
  <si>
    <t>Difference</t>
  </si>
  <si>
    <t>E Grid Target</t>
  </si>
  <si>
    <t>Shadding</t>
  </si>
  <si>
    <t>Soiling</t>
  </si>
  <si>
    <t>IAM</t>
  </si>
  <si>
    <t>Bifacial Gain</t>
  </si>
  <si>
    <t>Temperature</t>
  </si>
  <si>
    <t>Mismatch</t>
  </si>
  <si>
    <t>DC Ohmic</t>
  </si>
  <si>
    <t>AC Ohmic</t>
  </si>
  <si>
    <t>Inverter Conversion</t>
  </si>
  <si>
    <t>MPPT Mismatch</t>
  </si>
  <si>
    <t>Clipping Loss</t>
  </si>
  <si>
    <t>Curtailment Order</t>
  </si>
  <si>
    <t>Reactive Power</t>
  </si>
  <si>
    <t>Plant Uptime</t>
  </si>
  <si>
    <t>Grid Uptime</t>
  </si>
  <si>
    <t>Tracker Uptime</t>
  </si>
  <si>
    <t>Tracker Gain</t>
  </si>
  <si>
    <t>Dc Unbalanced Load</t>
  </si>
  <si>
    <t>Repowering Delay</t>
  </si>
  <si>
    <t>Capacity Shortfall</t>
  </si>
  <si>
    <t>PR</t>
  </si>
  <si>
    <t>POA</t>
  </si>
  <si>
    <t>open</t>
  </si>
  <si>
    <t>close</t>
  </si>
  <si>
    <t>Year_3</t>
  </si>
  <si>
    <t>2024-2025</t>
  </si>
  <si>
    <t>Waiting for inverter spares</t>
  </si>
  <si>
    <t>PM High Fault</t>
  </si>
  <si>
    <t>Inverter restarted</t>
  </si>
  <si>
    <t>Kept off Due to unit-4 IGBT's to Block-1 .</t>
  </si>
  <si>
    <t>Kept off Due to unit-1 Flash Over</t>
  </si>
  <si>
    <t>Inverter trip due to Pm high fault</t>
  </si>
  <si>
    <t>Unit-2 Kept off Due to Inverter Continous PM High Fault</t>
  </si>
  <si>
    <t>Inverter Manually key stop to start the Unit-2</t>
  </si>
  <si>
    <t>Financial Year</t>
  </si>
  <si>
    <t>Calendar Year</t>
  </si>
  <si>
    <t>GHI-UP (KWh/m2)</t>
  </si>
  <si>
    <t>GHI-Down(KWh/m2)</t>
  </si>
  <si>
    <t>POA-UP(KWh/m2)</t>
  </si>
  <si>
    <t>POA-Down(KWh/m2)</t>
  </si>
  <si>
    <t>Amb_Temp(°C)</t>
  </si>
  <si>
    <t>Mod_Temp(°C)</t>
  </si>
  <si>
    <t>WS_Avg(m/s)</t>
  </si>
  <si>
    <t>WS_Max(m/s)</t>
  </si>
  <si>
    <t>MA (%)</t>
  </si>
  <si>
    <t>IGA (%)</t>
  </si>
  <si>
    <t>EGA(%)</t>
  </si>
  <si>
    <t>EMA (%)</t>
  </si>
  <si>
    <t>TA (%)</t>
  </si>
  <si>
    <t>WPR(%)</t>
  </si>
  <si>
    <t>CUF(%)</t>
  </si>
  <si>
    <t>Gen_Exp (kWh)</t>
  </si>
  <si>
    <t>Mtr_Export (kWh)</t>
  </si>
  <si>
    <t>Mtr_Import (kWh)</t>
  </si>
  <si>
    <t>Mtr_Net_Exp (KWh)</t>
  </si>
  <si>
    <t>Operational Capacity (MW)</t>
  </si>
  <si>
    <t>Bugt_Resource</t>
  </si>
  <si>
    <t>Bugt_Energy</t>
  </si>
  <si>
    <t>Bugt PR</t>
  </si>
  <si>
    <t>Bugt CUF</t>
  </si>
  <si>
    <t>Bugt_PA</t>
  </si>
  <si>
    <t>Bugt_EGA</t>
  </si>
  <si>
    <t>Expected Energy</t>
  </si>
  <si>
    <t>Actual Energy WPR</t>
  </si>
  <si>
    <t>RA (%)</t>
  </si>
  <si>
    <t>Mod Clean Dry (Num)</t>
  </si>
  <si>
    <t>Mod Clean Wet (Num)</t>
  </si>
  <si>
    <t>Line Loss(%)</t>
  </si>
  <si>
    <t>Reactive Power (%)</t>
  </si>
  <si>
    <t>Bugt Line loss (%) (Wind)</t>
  </si>
  <si>
    <t>Bugt Reactive Power (%) (Wind)</t>
  </si>
  <si>
    <t>Month Name</t>
  </si>
  <si>
    <t>Month Number</t>
  </si>
  <si>
    <t>CY</t>
  </si>
  <si>
    <t>FY</t>
  </si>
  <si>
    <t>No. of Days in Month</t>
  </si>
  <si>
    <t>GHI</t>
  </si>
  <si>
    <t>WS</t>
  </si>
  <si>
    <t>Tamb</t>
  </si>
  <si>
    <t>Tmod</t>
  </si>
  <si>
    <t>Egrid (MWh)</t>
  </si>
  <si>
    <t>Bugt_Capacity</t>
  </si>
  <si>
    <t>Daily POA</t>
  </si>
  <si>
    <t>Days Operated</t>
  </si>
  <si>
    <t>MTD POA</t>
  </si>
  <si>
    <t>YTD POA</t>
  </si>
  <si>
    <t>Daily Energy (MWh)</t>
  </si>
  <si>
    <t>MTD Energy (MWh)</t>
  </si>
  <si>
    <t>YTD Energy (MWh)</t>
  </si>
  <si>
    <t>Bugt CUF (%)</t>
  </si>
  <si>
    <t>Bugt CUF (%) MTD</t>
  </si>
  <si>
    <t>Bugt CUF (%)YTD</t>
  </si>
  <si>
    <t>Ave. Cap MTD</t>
  </si>
  <si>
    <t>Ave. Cap YTD</t>
  </si>
  <si>
    <t>CC Energy MTD</t>
  </si>
  <si>
    <t>WS MTD</t>
  </si>
  <si>
    <t>WS YTD</t>
  </si>
  <si>
    <t>Bugt PA</t>
  </si>
  <si>
    <t>Bugt EGA</t>
  </si>
  <si>
    <t>Bugt TA</t>
  </si>
  <si>
    <t>Bugt MA</t>
  </si>
  <si>
    <t>Bugt IGA</t>
  </si>
  <si>
    <t>Corelation</t>
  </si>
  <si>
    <t>Bugt Line loss</t>
  </si>
  <si>
    <t>Bugt Reactive Power</t>
  </si>
  <si>
    <t>April</t>
  </si>
  <si>
    <t>FY19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</si>
  <si>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</si>
  <si>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</si>
  <si>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</si>
  <si>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</si>
  <si>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</si>
  <si>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</si>
  <si>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</si>
  <si>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</si>
  <si>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</si>
  <si>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</si>
  <si>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</si>
  <si>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FY20</t>
  </si>
  <si>
    <t>FY21</t>
  </si>
  <si>
    <t>FY22</t>
  </si>
  <si>
    <t>FY23</t>
  </si>
  <si>
    <t>FY24</t>
  </si>
  <si>
    <t>FY25</t>
  </si>
  <si>
    <t>FY26</t>
  </si>
  <si>
    <t>Operating hours</t>
  </si>
  <si>
    <t>Due to Heavy wind &amp; Rain TGSPDCL 33kv Line  Breakdown</t>
  </si>
  <si>
    <t>Inverter trip due to Over temperature</t>
  </si>
  <si>
    <t>shutdown taken for IGBT Interchange purpose</t>
  </si>
  <si>
    <t>Manually stopped Service engineer visited site Inverter inspection continous pm high fault</t>
  </si>
  <si>
    <t>Manually stopped Service engineer visited site. 
Inverter inspection work in progress due to continous pm high fault</t>
  </si>
  <si>
    <t>Pyranometer sent for Calibration.Poa Values are Taken From 7 MW DRES Medchal Site.</t>
  </si>
  <si>
    <t>PTW No.</t>
  </si>
  <si>
    <t>Job Card No.</t>
  </si>
  <si>
    <t>Due to Heavy wind &amp; Rain TGSPDCL 33kv Incomimg Failure</t>
  </si>
  <si>
    <t>Bugt Capacity</t>
  </si>
  <si>
    <t>CC*Bugt</t>
  </si>
  <si>
    <t>Not Done Due to Rain</t>
  </si>
  <si>
    <t>Breakdown At TGSPDCL Substation</t>
  </si>
  <si>
    <t>Breakdown At 132 kv TGSPDCL Substation</t>
  </si>
  <si>
    <t>PTR Breakdown at 33 kv TGSPDCL Substation</t>
  </si>
  <si>
    <t>Inverter_3</t>
  </si>
  <si>
    <t>Isolated Faulty string from Scb</t>
  </si>
  <si>
    <t>HT panel Tripped Over cureent and Earth Fault</t>
  </si>
  <si>
    <t>Visual inspection done found Healthy.We have Checked the IR Values got Fine Charged the Panel</t>
  </si>
  <si>
    <t>Due to TGSPDCL  33kv line Breakdown</t>
  </si>
  <si>
    <t>Due to TGSPDCL  33kv line maintenance</t>
  </si>
  <si>
    <t>Due to grid failure from 132 kv ss</t>
  </si>
  <si>
    <t>FY2025-27</t>
  </si>
  <si>
    <t>FY2025-28</t>
  </si>
  <si>
    <t>FY2025-29</t>
  </si>
  <si>
    <t>FY2025-30</t>
  </si>
  <si>
    <t>FY2025-31</t>
  </si>
  <si>
    <t>FY2025-32</t>
  </si>
  <si>
    <t>FY2025-33</t>
  </si>
  <si>
    <t>FY2025-34</t>
  </si>
  <si>
    <t>FY2025-35</t>
  </si>
  <si>
    <t>FY2025-36</t>
  </si>
  <si>
    <t>FY2025-37</t>
  </si>
  <si>
    <t>FY2025-38</t>
  </si>
  <si>
    <t>FY2025-39</t>
  </si>
  <si>
    <t>FY2025-40</t>
  </si>
  <si>
    <t>FY2025-41</t>
  </si>
  <si>
    <t>FY2025-42</t>
  </si>
  <si>
    <t>FY2025-43</t>
  </si>
  <si>
    <t>FY2025-44</t>
  </si>
  <si>
    <t>FY2025-45</t>
  </si>
  <si>
    <t>FY2025-46</t>
  </si>
  <si>
    <t>FY2025-47</t>
  </si>
  <si>
    <t>FY2025-48</t>
  </si>
  <si>
    <t>FY2025-49</t>
  </si>
  <si>
    <t>FY2025-50</t>
  </si>
  <si>
    <t>FY2025-51</t>
  </si>
  <si>
    <t>FY2025-52</t>
  </si>
  <si>
    <t>FY2025-53</t>
  </si>
  <si>
    <t>FY2025-54</t>
  </si>
  <si>
    <t>FY2025-55</t>
  </si>
  <si>
    <t>FY2025-56</t>
  </si>
  <si>
    <t>FY2025-57</t>
  </si>
  <si>
    <t>FY2025-58</t>
  </si>
  <si>
    <t>FY2025-59</t>
  </si>
  <si>
    <t>FY2025-60</t>
  </si>
  <si>
    <t>FY2025-61</t>
  </si>
  <si>
    <t>FY2025-62</t>
  </si>
  <si>
    <t>FY2025-63</t>
  </si>
  <si>
    <t>FY2025-64</t>
  </si>
  <si>
    <t>FY2025-65</t>
  </si>
  <si>
    <t>FY2025-66</t>
  </si>
  <si>
    <t>FY2025-67</t>
  </si>
  <si>
    <t>FY2025-68</t>
  </si>
  <si>
    <t>FY2025-69</t>
  </si>
  <si>
    <t>FY2025-70</t>
  </si>
  <si>
    <t>FY2025-71</t>
  </si>
  <si>
    <t>FY2025-72</t>
  </si>
  <si>
    <t>FY2025-73</t>
  </si>
  <si>
    <t>FY2025-74</t>
  </si>
  <si>
    <t>FY2025-75</t>
  </si>
  <si>
    <t>FY2025-76</t>
  </si>
  <si>
    <t>FY2025-77</t>
  </si>
  <si>
    <t>FY2025-78</t>
  </si>
  <si>
    <t>FY2025-79</t>
  </si>
  <si>
    <t>FY2025-80</t>
  </si>
  <si>
    <t>FY2025-81</t>
  </si>
  <si>
    <t>FY2025-82</t>
  </si>
  <si>
    <t>FY2025-83</t>
  </si>
  <si>
    <t>FY2025-84</t>
  </si>
  <si>
    <t>FY2025-85</t>
  </si>
  <si>
    <t>FY2025-86</t>
  </si>
  <si>
    <t>FY2025-87</t>
  </si>
  <si>
    <t>FY2025-88</t>
  </si>
  <si>
    <t>FY2025-89</t>
  </si>
  <si>
    <t>FY2025-90</t>
  </si>
  <si>
    <t>FY2025-91</t>
  </si>
  <si>
    <t>FY2025-92</t>
  </si>
  <si>
    <t>FY2025-93</t>
  </si>
  <si>
    <t>FY2025-94</t>
  </si>
  <si>
    <t>FY2025-95</t>
  </si>
  <si>
    <t>FY2025-96</t>
  </si>
  <si>
    <t>FY2025-97</t>
  </si>
  <si>
    <t>FY2025-98</t>
  </si>
  <si>
    <t>FY2025-99</t>
  </si>
  <si>
    <t>FY2025-100</t>
  </si>
  <si>
    <t>FY2025-101</t>
  </si>
  <si>
    <t>FY2025-102</t>
  </si>
  <si>
    <t>FY2025-103</t>
  </si>
  <si>
    <t>FY2025-104</t>
  </si>
  <si>
    <t>FY2025-105</t>
  </si>
  <si>
    <t>FY2025-106</t>
  </si>
  <si>
    <t>FY2025-107</t>
  </si>
  <si>
    <t>FY2025-108</t>
  </si>
  <si>
    <t>FY2025-109</t>
  </si>
  <si>
    <t>FY2025-110</t>
  </si>
  <si>
    <t>FY2025-111</t>
  </si>
  <si>
    <t>FY2025-112</t>
  </si>
  <si>
    <t>FY2025-113</t>
  </si>
  <si>
    <t>FY2025-114</t>
  </si>
  <si>
    <t>FY2025-115</t>
  </si>
  <si>
    <t>FY2025-116</t>
  </si>
  <si>
    <t>FY2025-117</t>
  </si>
  <si>
    <t>FY2025-118</t>
  </si>
  <si>
    <t>FY2025-119</t>
  </si>
  <si>
    <t>FY2025-120</t>
  </si>
  <si>
    <t>FY2025-121</t>
  </si>
  <si>
    <t>FY2025-122</t>
  </si>
  <si>
    <t>FY2025-123</t>
  </si>
  <si>
    <t>FY2025-124</t>
  </si>
  <si>
    <t>FY2025-125</t>
  </si>
  <si>
    <t>FY2025-126</t>
  </si>
  <si>
    <t>FY2025-127</t>
  </si>
  <si>
    <t>FY2025-128</t>
  </si>
  <si>
    <t>FY2025-129</t>
  </si>
  <si>
    <t>FY2025-130</t>
  </si>
  <si>
    <t>FY2025-131</t>
  </si>
  <si>
    <t>FY2025-132</t>
  </si>
  <si>
    <t>FY2025-133</t>
  </si>
  <si>
    <t>FY2025-134</t>
  </si>
  <si>
    <t>FY2025-135</t>
  </si>
  <si>
    <t>FY2025-136</t>
  </si>
  <si>
    <t>FY2025-137</t>
  </si>
  <si>
    <t>FY2025-138</t>
  </si>
  <si>
    <t>FY2025-139</t>
  </si>
  <si>
    <t>FY2025-140</t>
  </si>
  <si>
    <t>FY2025-141</t>
  </si>
  <si>
    <t>FY2025-142</t>
  </si>
  <si>
    <t>FY2025-143</t>
  </si>
  <si>
    <t>FY2025-144</t>
  </si>
  <si>
    <t>FY2025-145</t>
  </si>
  <si>
    <t>FY2025-146</t>
  </si>
  <si>
    <t>FY2025-147</t>
  </si>
  <si>
    <t>FY2025-148</t>
  </si>
  <si>
    <t>FY2025-149</t>
  </si>
  <si>
    <t>FY2025-150</t>
  </si>
  <si>
    <t>FY2025-151</t>
  </si>
  <si>
    <t>FY2025-152</t>
  </si>
  <si>
    <t>FY2025-153</t>
  </si>
  <si>
    <t>FY2025-154</t>
  </si>
  <si>
    <t>FY2025-155</t>
  </si>
  <si>
    <t>FY2025-156</t>
  </si>
  <si>
    <t>FY2025-157</t>
  </si>
  <si>
    <t>FY2025-158</t>
  </si>
  <si>
    <t>FY2025-159</t>
  </si>
  <si>
    <t>FY2025-160</t>
  </si>
  <si>
    <t>FY2025-161</t>
  </si>
  <si>
    <t>FY2025-162</t>
  </si>
  <si>
    <t>FY2025-163</t>
  </si>
  <si>
    <t>FY2025-164</t>
  </si>
  <si>
    <t>FY2025-165</t>
  </si>
  <si>
    <t>FY2025-166</t>
  </si>
  <si>
    <t>FY2025-167</t>
  </si>
  <si>
    <t>FY2025-168</t>
  </si>
  <si>
    <t>FY2025-169</t>
  </si>
  <si>
    <t>FY2025-170</t>
  </si>
  <si>
    <t>FY2025-171</t>
  </si>
  <si>
    <t>FY2025-172</t>
  </si>
  <si>
    <t>FY2025-173</t>
  </si>
  <si>
    <t>FY2025-174</t>
  </si>
  <si>
    <t>FY2025-175</t>
  </si>
  <si>
    <t>FY2025-176</t>
  </si>
  <si>
    <t>FY2025-177</t>
  </si>
  <si>
    <t>FY2025-178</t>
  </si>
  <si>
    <t>FY2025-179</t>
  </si>
  <si>
    <t>FY2025-180</t>
  </si>
  <si>
    <t>FY2025-181</t>
  </si>
  <si>
    <t>FY2025-182</t>
  </si>
  <si>
    <t>FY2025-183</t>
  </si>
  <si>
    <t>FY2025-184</t>
  </si>
  <si>
    <t>FY2025-185</t>
  </si>
  <si>
    <t>FY2025-186</t>
  </si>
  <si>
    <t>FY2025-187</t>
  </si>
  <si>
    <t>FY2025-188</t>
  </si>
  <si>
    <t>FY2025-189</t>
  </si>
  <si>
    <t>FY2025-190</t>
  </si>
  <si>
    <t>FY2025-191</t>
  </si>
  <si>
    <t>FY2025-192</t>
  </si>
  <si>
    <t>FY2025-193</t>
  </si>
  <si>
    <t>FY2025-194</t>
  </si>
  <si>
    <t>FY2025-195</t>
  </si>
  <si>
    <t>FY2025-196</t>
  </si>
  <si>
    <t>FY2025-197</t>
  </si>
  <si>
    <t>FY2025-198</t>
  </si>
  <si>
    <t>FY2025-199</t>
  </si>
  <si>
    <t>FY2025-200</t>
  </si>
  <si>
    <t>FY2025-201</t>
  </si>
  <si>
    <t>FY2025-202</t>
  </si>
  <si>
    <t>FY2025-203</t>
  </si>
  <si>
    <t>FY2025-204</t>
  </si>
  <si>
    <t>FY2025-205</t>
  </si>
  <si>
    <t>FY2025-206</t>
  </si>
  <si>
    <t>FY2025-207</t>
  </si>
  <si>
    <t>FY2025-208</t>
  </si>
  <si>
    <t>FY2025-209</t>
  </si>
  <si>
    <t>FY2025-210</t>
  </si>
  <si>
    <t>FY2025-211</t>
  </si>
  <si>
    <t>FY2025-212</t>
  </si>
  <si>
    <t>FY2025-213</t>
  </si>
  <si>
    <t>FY2025-214</t>
  </si>
  <si>
    <t>FY2025-215</t>
  </si>
  <si>
    <t>FY2025-216</t>
  </si>
  <si>
    <t>FY2025-217</t>
  </si>
  <si>
    <t>FY2025-218</t>
  </si>
  <si>
    <t>FY2025-219</t>
  </si>
  <si>
    <t>FY2025-220</t>
  </si>
  <si>
    <t>FY2025-221</t>
  </si>
  <si>
    <t>FY2025-222</t>
  </si>
  <si>
    <t>FY2025-223</t>
  </si>
  <si>
    <t>FY2025-224</t>
  </si>
  <si>
    <t>FY2025-225</t>
  </si>
  <si>
    <t>FY2025-226</t>
  </si>
  <si>
    <t>FY2025-227</t>
  </si>
  <si>
    <t>FY2025-228</t>
  </si>
  <si>
    <t>FY2025-229</t>
  </si>
  <si>
    <t>FY2025-230</t>
  </si>
  <si>
    <t>FY2025-231</t>
  </si>
  <si>
    <t>FY2025-232</t>
  </si>
  <si>
    <t>FY2025-233</t>
  </si>
  <si>
    <t>FY2025-234</t>
  </si>
  <si>
    <t>FY2025-235</t>
  </si>
  <si>
    <t>FY2025-236</t>
  </si>
  <si>
    <t>FY2025-237</t>
  </si>
  <si>
    <t>FY2025-238</t>
  </si>
  <si>
    <t>FY2025-239</t>
  </si>
  <si>
    <t>FY2025-240</t>
  </si>
  <si>
    <t>FY2025-241</t>
  </si>
  <si>
    <t>FY2025-242</t>
  </si>
  <si>
    <t>FY2025-243</t>
  </si>
  <si>
    <t>FY2025-244</t>
  </si>
  <si>
    <t>FY2025-245</t>
  </si>
  <si>
    <t>FY2025-246</t>
  </si>
  <si>
    <t>FY2025-247</t>
  </si>
  <si>
    <t>FY2025-248</t>
  </si>
  <si>
    <t>FY2025-249</t>
  </si>
  <si>
    <t>FY2025-250</t>
  </si>
  <si>
    <t>FY2025-251</t>
  </si>
  <si>
    <t>FY2025-252</t>
  </si>
  <si>
    <t>FY2025-253</t>
  </si>
  <si>
    <t>FY2025-254</t>
  </si>
  <si>
    <t>FY2025-255</t>
  </si>
  <si>
    <t>FY2025-256</t>
  </si>
  <si>
    <t>FY2025-257</t>
  </si>
  <si>
    <t>FY2025-258</t>
  </si>
  <si>
    <t>FY2025-259</t>
  </si>
  <si>
    <t>FY2025-260</t>
  </si>
  <si>
    <t>FY2025-261</t>
  </si>
  <si>
    <t>FY2025-262</t>
  </si>
  <si>
    <t>FY2025-263</t>
  </si>
  <si>
    <t>FY2025-264</t>
  </si>
  <si>
    <t>FY2025-265</t>
  </si>
  <si>
    <t>FY2025-266</t>
  </si>
  <si>
    <t>FY2025-267</t>
  </si>
  <si>
    <t>FY2025-268</t>
  </si>
  <si>
    <t>FY2025-269</t>
  </si>
  <si>
    <t>FY2025-270</t>
  </si>
  <si>
    <t>FY2025-271</t>
  </si>
  <si>
    <t>FY2025-272</t>
  </si>
  <si>
    <t>FY2025-273</t>
  </si>
  <si>
    <t>FY2025-274</t>
  </si>
  <si>
    <t>FY2025-275</t>
  </si>
  <si>
    <t>FY2025-276</t>
  </si>
  <si>
    <t>FY2025-277</t>
  </si>
  <si>
    <t>FY2025-278</t>
  </si>
  <si>
    <t>FY2025-279</t>
  </si>
  <si>
    <t>FY2025-280</t>
  </si>
  <si>
    <t>FY2025-281</t>
  </si>
  <si>
    <t>FY2025-282</t>
  </si>
  <si>
    <t>FY2025-283</t>
  </si>
  <si>
    <t>FY2025-284</t>
  </si>
  <si>
    <t>FY2025-285</t>
  </si>
  <si>
    <t>FY2025-286</t>
  </si>
  <si>
    <t>FY2025-287</t>
  </si>
  <si>
    <t>FY2025-288</t>
  </si>
  <si>
    <t>FY2025-289</t>
  </si>
  <si>
    <t>FY2025-290</t>
  </si>
  <si>
    <t>FY2025-291</t>
  </si>
  <si>
    <t>FY2025-292</t>
  </si>
  <si>
    <t>FY2025-293</t>
  </si>
  <si>
    <t>FY2025-294</t>
  </si>
  <si>
    <t>FY2025-295</t>
  </si>
  <si>
    <t>FY2025-296</t>
  </si>
  <si>
    <t>FY2025-297</t>
  </si>
  <si>
    <t>FY2025-298</t>
  </si>
  <si>
    <t>FY2025-299</t>
  </si>
  <si>
    <t>FY2025-300</t>
  </si>
  <si>
    <t>FY2025-301</t>
  </si>
  <si>
    <t>FY2025-302</t>
  </si>
  <si>
    <t>FY2025-303</t>
  </si>
  <si>
    <t>FY2025-304</t>
  </si>
  <si>
    <t>FY2025-305</t>
  </si>
  <si>
    <t>FY2025-306</t>
  </si>
  <si>
    <t>FY2025-307</t>
  </si>
  <si>
    <t>FY2025-308</t>
  </si>
  <si>
    <t>FY2025-309</t>
  </si>
  <si>
    <t>FY2025-310</t>
  </si>
  <si>
    <t>FY2025-311</t>
  </si>
  <si>
    <t>FY2025-312</t>
  </si>
  <si>
    <t>FY2025-313</t>
  </si>
  <si>
    <t>FY2025-314</t>
  </si>
  <si>
    <t>FY2025-315</t>
  </si>
  <si>
    <t>FY2025-316</t>
  </si>
  <si>
    <t>FY2025-317</t>
  </si>
  <si>
    <t>FY2025-318</t>
  </si>
  <si>
    <t>FY2025-319</t>
  </si>
  <si>
    <t>FY2025-320</t>
  </si>
  <si>
    <t>FY2025-321</t>
  </si>
  <si>
    <t>FY2025-322</t>
  </si>
  <si>
    <t>FY2025-323</t>
  </si>
  <si>
    <t>FY2025-324</t>
  </si>
  <si>
    <t>FY2025-325</t>
  </si>
  <si>
    <t>FY2025-326</t>
  </si>
  <si>
    <t>FY2025-327</t>
  </si>
  <si>
    <t>FY2025-328</t>
  </si>
  <si>
    <t>FY2025-329</t>
  </si>
  <si>
    <t>FY2025-330</t>
  </si>
  <si>
    <t>FY2025-331</t>
  </si>
  <si>
    <t>FY2025-332</t>
  </si>
  <si>
    <t>FY2025-333</t>
  </si>
  <si>
    <t>FY2025-334</t>
  </si>
  <si>
    <t>FY2025-335</t>
  </si>
  <si>
    <t>FY2025-336</t>
  </si>
  <si>
    <t>FY2025-337</t>
  </si>
  <si>
    <t>FY2025-338</t>
  </si>
  <si>
    <t>FY2025-339</t>
  </si>
  <si>
    <t>FY2025-340</t>
  </si>
  <si>
    <t>FY2025-341</t>
  </si>
  <si>
    <t>FY2025-342</t>
  </si>
  <si>
    <t>FY2025-343</t>
  </si>
  <si>
    <t>FY2025-344</t>
  </si>
  <si>
    <t>FY2025-345</t>
  </si>
  <si>
    <t>FY2025-346</t>
  </si>
  <si>
    <t>FY2025-347</t>
  </si>
  <si>
    <t>FY2025-348</t>
  </si>
  <si>
    <t>FY2025-349</t>
  </si>
  <si>
    <t>FY2025-350</t>
  </si>
  <si>
    <t>FY2025-351</t>
  </si>
  <si>
    <t>FY2025-352</t>
  </si>
  <si>
    <t>FY2025-353</t>
  </si>
  <si>
    <t>FY2025-354</t>
  </si>
  <si>
    <t>FY2025-355</t>
  </si>
  <si>
    <t>FY2025-356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</si>
</sst>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0.000"/>
    <numFmt numFmtId="165" formatCode="0.0"/>
    <numFmt numFmtId="166" formatCode="0.0%"/>
    <numFmt numFmtId="167" formatCode="[$-409]d/mmm/yy;@"/>
    <numFmt numFmtId="168" formatCode="h:mm;@"/>
    <numFmt numFmtId="169" formatCode="[$-F800]dddd\,\ mmmm\ dd\,\ yyyy"/>
    <numFmt numFmtId="170" formatCode="[$-409]mmm/yy;@"/>
    <numFmt numFmtId="171" formatCode="[h]:mm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omic Sans MS"/>
      <family val="4"/>
    </font>
    <font>
      <b/>
      <sz val="9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Hadassah Friedlaender"/>
      <family val="1"/>
      <charset val="177"/>
    </font>
    <font>
      <b/>
      <sz val="10"/>
      <color theme="0"/>
      <name val="Hadassah Friedlaender"/>
      <family val="1"/>
      <charset val="177"/>
    </font>
    <font>
      <sz val="10"/>
      <name val="Hadassah Friedlaender"/>
      <family val="1"/>
      <charset val="177"/>
    </font>
    <font>
      <sz val="10"/>
      <color theme="1"/>
      <name val="Hadassah Friedlaender"/>
      <family val="1"/>
      <charset val="177"/>
    </font>
    <font>
      <b/>
      <sz val="10"/>
      <name val="Hadassah Friedlaender"/>
      <family val="1"/>
      <charset val="177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54832605975527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5" tint="0.3995483260597552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8" tint="0.7995544297616504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54832605975527"/>
        <bgColor indexed="64"/>
      </patternFill>
    </fill>
    <fill>
      <patternFill patternType="solid">
        <fgColor theme="8" tint="0.3995483260597552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54832605975527"/>
        <bgColor indexed="64"/>
      </patternFill>
    </fill>
    <fill>
      <patternFill patternType="solid">
        <fgColor theme="7" tint="0.3995483260597552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9" tint="0.59999389629810485"/>
      </patternFill>
    </fill>
    <fill>
      <patternFill patternType="solid">
        <fgColor rgb="FFFEF2CB"/>
        <bgColor rgb="FFFEF2CB"/>
      </patternFill>
    </fill>
    <fill>
      <patternFill patternType="solid">
        <fgColor theme="9" tint="0.59999389629810485"/>
        <bgColor theme="9" tint="0.59999389629810485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medium">
        <color theme="4" tint="0.3995483260597552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theme="5" tint="0.59996337778862885"/>
      </left>
      <right style="double">
        <color theme="5" tint="0.59996337778862885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tted">
        <color theme="5" tint="0.59996337778862885"/>
      </left>
      <right style="dotted">
        <color theme="5" tint="0.59996337778862885"/>
      </right>
      <top style="hair">
        <color auto="1"/>
      </top>
      <bottom style="hair">
        <color auto="1"/>
      </bottom>
      <diagonal/>
    </border>
    <border>
      <left/>
      <right style="dotted">
        <color theme="5" tint="0.59996337778862885"/>
      </right>
      <top style="hair">
        <color auto="1"/>
      </top>
      <bottom style="hair">
        <color auto="1"/>
      </bottom>
      <diagonal/>
    </border>
    <border>
      <left style="dotted">
        <color theme="5" tint="0.59996337778862885"/>
      </left>
      <right style="dotted">
        <color theme="5" tint="0.59996337778862885"/>
      </right>
      <top/>
      <bottom style="hair">
        <color auto="1"/>
      </bottom>
      <diagonal/>
    </border>
    <border>
      <left/>
      <right style="dotted">
        <color theme="5" tint="0.59996337778862885"/>
      </right>
      <top/>
      <bottom style="hair">
        <color auto="1"/>
      </bottom>
      <diagonal/>
    </border>
    <border>
      <left/>
      <right style="dotted">
        <color theme="5" tint="0.59996337778862885"/>
      </right>
      <top style="hair">
        <color auto="1"/>
      </top>
      <bottom/>
      <diagonal/>
    </border>
    <border>
      <left style="dotted">
        <color theme="5" tint="0.59996337778862885"/>
      </left>
      <right style="dotted">
        <color theme="5" tint="0.59996337778862885"/>
      </right>
      <top style="hair">
        <color auto="1"/>
      </top>
      <bottom/>
      <diagonal/>
    </border>
    <border>
      <left style="dotted">
        <color theme="5" tint="0.59996337778862885"/>
      </left>
      <right style="dotted">
        <color theme="5" tint="0.59996337778862885"/>
      </right>
      <top/>
      <bottom/>
      <diagonal/>
    </border>
    <border>
      <left style="medium">
        <color indexed="64"/>
      </left>
      <right style="double">
        <color theme="5" tint="0.59996337778862885"/>
      </right>
      <top style="medium">
        <color indexed="64"/>
      </top>
      <bottom/>
      <diagonal/>
    </border>
    <border>
      <left style="double">
        <color theme="5" tint="0.59996337778862885"/>
      </left>
      <right style="double">
        <color theme="5" tint="0.59996337778862885"/>
      </right>
      <top style="medium">
        <color indexed="64"/>
      </top>
      <bottom/>
      <diagonal/>
    </border>
    <border>
      <left style="double">
        <color theme="5" tint="0.5999633777886288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theme="5" tint="0.59996337778862885"/>
      </right>
      <top style="hair">
        <color auto="1"/>
      </top>
      <bottom style="hair">
        <color auto="1"/>
      </bottom>
      <diagonal/>
    </border>
    <border>
      <left style="double">
        <color theme="5" tint="0.59996337778862885"/>
      </left>
      <right style="double">
        <color theme="5" tint="0.59996337778862885"/>
      </right>
      <top style="hair">
        <color auto="1"/>
      </top>
      <bottom style="hair">
        <color auto="1"/>
      </bottom>
      <diagonal/>
    </border>
    <border>
      <left style="double">
        <color theme="5" tint="0.59996337778862885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double">
        <color theme="5" tint="0.59996337778862885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double">
        <color theme="5" tint="0.59996337778862885"/>
      </right>
      <top style="hair">
        <color auto="1"/>
      </top>
      <bottom style="medium">
        <color indexed="64"/>
      </bottom>
      <diagonal/>
    </border>
    <border>
      <left style="double">
        <color theme="5" tint="0.59996337778862885"/>
      </left>
      <right style="double">
        <color theme="5" tint="0.59996337778862885"/>
      </right>
      <top style="hair">
        <color auto="1"/>
      </top>
      <bottom style="medium">
        <color indexed="64"/>
      </bottom>
      <diagonal/>
    </border>
    <border>
      <left style="double">
        <color theme="5" tint="0.59996337778862885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dotted">
        <color theme="5" tint="0.59996337778862885"/>
      </right>
      <top/>
      <bottom/>
      <diagonal/>
    </border>
    <border>
      <left style="dotted">
        <color rgb="FFF7CAAC"/>
      </left>
      <right style="dotted">
        <color rgb="FFF7CAAC"/>
      </right>
      <top style="hair">
        <color rgb="FF000000"/>
      </top>
      <bottom/>
      <diagonal/>
    </border>
    <border>
      <left style="dotted">
        <color rgb="FFF7CAAC"/>
      </left>
      <right style="dotted">
        <color rgb="FFF7CAAC"/>
      </right>
      <top style="hair">
        <color rgb="FF000000"/>
      </top>
      <bottom style="hair">
        <color rgb="FF000000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dotted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4045">
    <xf numFmtId="0" fontId="0" fillId="0" borderId="0"/>
    <xf numFmtId="9" fontId="1" fillId="0" borderId="0" applyFont="0" applyFill="0" applyBorder="0" applyAlignment="0" applyProtection="0"/>
    <xf numFmtId="0" fontId="17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5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5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23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4" fillId="0" borderId="0" applyNumberFormat="0" applyFill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0" fillId="0" borderId="5" applyNumberFormat="0" applyFill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5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5" fillId="2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5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9" fillId="19" borderId="3" applyNumberForma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20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5" fillId="3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5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20" fillId="0" borderId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3" fillId="0" borderId="0" applyNumberFormat="0" applyFill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5" fillId="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8" fillId="0" borderId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5" fillId="28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5" fillId="31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0" borderId="0"/>
    <xf numFmtId="0" fontId="1" fillId="12" borderId="0" applyNumberFormat="0" applyBorder="0" applyAlignment="0" applyProtection="0"/>
    <xf numFmtId="0" fontId="1" fillId="0" borderId="0"/>
    <xf numFmtId="0" fontId="2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0" fillId="0" borderId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23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22" fillId="21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5" fillId="2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9" fontId="24" fillId="33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43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43" fontId="1" fillId="0" borderId="0" applyFont="0" applyFill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8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7" fillId="30" borderId="3" applyNumberForma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5" fillId="2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5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3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8" fillId="0" borderId="0"/>
    <xf numFmtId="0" fontId="1" fillId="1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9" fontId="23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22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5" fillId="2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8" fillId="19" borderId="4" applyNumberForma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23" fillId="0" borderId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20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20" fillId="0" borderId="0"/>
    <xf numFmtId="0" fontId="21" fillId="0" borderId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4" fillId="0" borderId="8" applyNumberFormat="0" applyFill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6" fillId="2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2" fillId="0" borderId="1" applyNumberFormat="0" applyFill="0" applyAlignment="0" applyProtection="0"/>
    <xf numFmtId="0" fontId="1" fillId="9" borderId="0" applyNumberFormat="0" applyBorder="0" applyAlignment="0" applyProtection="0"/>
    <xf numFmtId="0" fontId="3" fillId="0" borderId="2" applyNumberFormat="0" applyFill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1" fillId="35" borderId="6" applyNumberForma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5" fillId="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5" fillId="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5" fillId="3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5" fillId="3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4" fillId="0" borderId="14" applyNumberFormat="0" applyFill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23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5" fillId="22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23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9" fontId="20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23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2" fillId="0" borderId="0" applyNumberFormat="0" applyFill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23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43" fontId="1" fillId="0" borderId="0" applyFont="0" applyFill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4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4"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165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19" fillId="23" borderId="9" xfId="2" applyFont="1" applyFill="1" applyBorder="1" applyAlignment="1">
      <alignment horizontal="center" vertical="center" wrapText="1"/>
    </xf>
    <xf numFmtId="167" fontId="19" fillId="23" borderId="9" xfId="2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166" fontId="0" fillId="0" borderId="9" xfId="1" applyNumberFormat="1" applyFon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9" fillId="23" borderId="11" xfId="2" applyFont="1" applyFill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5" fillId="23" borderId="16" xfId="2" applyFont="1" applyFill="1" applyBorder="1" applyAlignment="1">
      <alignment horizontal="center" vertical="center" wrapText="1"/>
    </xf>
    <xf numFmtId="0" fontId="25" fillId="23" borderId="12" xfId="2" applyFont="1" applyFill="1" applyBorder="1" applyAlignment="1">
      <alignment horizontal="center" vertical="center" wrapText="1"/>
    </xf>
    <xf numFmtId="0" fontId="25" fillId="23" borderId="15" xfId="2" applyFont="1" applyFill="1" applyBorder="1" applyAlignment="1">
      <alignment horizontal="center" vertical="center" wrapText="1"/>
    </xf>
    <xf numFmtId="167" fontId="25" fillId="23" borderId="11" xfId="2" applyNumberFormat="1" applyFont="1" applyFill="1" applyBorder="1" applyAlignment="1">
      <alignment horizontal="center" vertical="center" wrapText="1"/>
    </xf>
    <xf numFmtId="0" fontId="25" fillId="23" borderId="11" xfId="2" applyFont="1" applyFill="1" applyBorder="1" applyAlignment="1">
      <alignment horizontal="center" vertical="center" wrapText="1"/>
    </xf>
    <xf numFmtId="0" fontId="25" fillId="23" borderId="13" xfId="2" applyFont="1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17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11" fillId="24" borderId="9" xfId="0" applyFont="1" applyFill="1" applyBorder="1" applyAlignment="1">
      <alignment vertical="center"/>
    </xf>
    <xf numFmtId="0" fontId="11" fillId="24" borderId="9" xfId="0" applyFont="1" applyFill="1" applyBorder="1" applyAlignment="1">
      <alignment horizontal="center" vertical="center" wrapText="1"/>
    </xf>
    <xf numFmtId="1" fontId="0" fillId="12" borderId="9" xfId="0" applyNumberFormat="1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166" fontId="0" fillId="12" borderId="9" xfId="1" applyNumberFormat="1" applyFont="1" applyFill="1" applyBorder="1" applyAlignment="1">
      <alignment horizontal="center"/>
    </xf>
    <xf numFmtId="166" fontId="0" fillId="5" borderId="9" xfId="1" applyNumberFormat="1" applyFont="1" applyFill="1" applyBorder="1" applyAlignment="1">
      <alignment horizontal="center"/>
    </xf>
    <xf numFmtId="17" fontId="15" fillId="24" borderId="9" xfId="0" applyNumberFormat="1" applyFont="1" applyFill="1" applyBorder="1" applyAlignment="1">
      <alignment horizontal="center"/>
    </xf>
    <xf numFmtId="166" fontId="0" fillId="2" borderId="9" xfId="1" applyNumberFormat="1" applyFont="1" applyFill="1" applyBorder="1" applyAlignment="1">
      <alignment horizontal="center" vertical="center" wrapText="1"/>
    </xf>
    <xf numFmtId="0" fontId="11" fillId="24" borderId="9" xfId="0" applyFont="1" applyFill="1" applyBorder="1" applyAlignment="1">
      <alignment horizontal="center" vertical="center"/>
    </xf>
    <xf numFmtId="1" fontId="0" fillId="12" borderId="9" xfId="0" applyNumberFormat="1" applyFill="1" applyBorder="1" applyAlignment="1">
      <alignment horizontal="center" vertical="center"/>
    </xf>
    <xf numFmtId="1" fontId="0" fillId="5" borderId="9" xfId="0" applyNumberFormat="1" applyFill="1" applyBorder="1" applyAlignment="1">
      <alignment horizontal="center" vertical="center"/>
    </xf>
    <xf numFmtId="166" fontId="0" fillId="12" borderId="9" xfId="1" applyNumberFormat="1" applyFont="1" applyFill="1" applyBorder="1" applyAlignment="1">
      <alignment horizontal="center" vertical="center"/>
    </xf>
    <xf numFmtId="166" fontId="0" fillId="5" borderId="9" xfId="1" applyNumberFormat="1" applyFont="1" applyFill="1" applyBorder="1" applyAlignment="1">
      <alignment horizontal="center" vertical="center"/>
    </xf>
    <xf numFmtId="10" fontId="0" fillId="5" borderId="9" xfId="1" applyNumberFormat="1" applyFont="1" applyFill="1" applyBorder="1" applyAlignment="1">
      <alignment horizontal="center" vertical="center"/>
    </xf>
    <xf numFmtId="167" fontId="31" fillId="3" borderId="17" xfId="27312" applyNumberFormat="1" applyFont="1" applyFill="1" applyBorder="1" applyAlignment="1">
      <alignment horizontal="left" vertical="center"/>
    </xf>
    <xf numFmtId="0" fontId="0" fillId="27" borderId="0" xfId="0" applyFill="1" applyAlignment="1">
      <alignment vertical="center"/>
    </xf>
    <xf numFmtId="15" fontId="0" fillId="37" borderId="0" xfId="0" applyNumberFormat="1" applyFill="1" applyAlignment="1">
      <alignment horizontal="center" vertical="center"/>
    </xf>
    <xf numFmtId="0" fontId="25" fillId="23" borderId="9" xfId="2" applyFont="1" applyFill="1" applyBorder="1" applyAlignment="1">
      <alignment horizontal="center" vertical="center" wrapText="1"/>
    </xf>
    <xf numFmtId="167" fontId="25" fillId="23" borderId="9" xfId="2" applyNumberFormat="1" applyFont="1" applyFill="1" applyBorder="1" applyAlignment="1">
      <alignment horizontal="center" vertical="center" wrapText="1"/>
    </xf>
    <xf numFmtId="0" fontId="33" fillId="23" borderId="9" xfId="2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38" borderId="20" xfId="0" applyFill="1" applyBorder="1" applyAlignment="1">
      <alignment horizontal="center"/>
    </xf>
    <xf numFmtId="167" fontId="32" fillId="38" borderId="19" xfId="0" applyNumberFormat="1" applyFont="1" applyFill="1" applyBorder="1" applyAlignment="1">
      <alignment horizontal="center"/>
    </xf>
    <xf numFmtId="0" fontId="0" fillId="39" borderId="11" xfId="0" applyFill="1" applyBorder="1" applyAlignment="1">
      <alignment horizontal="center"/>
    </xf>
    <xf numFmtId="0" fontId="0" fillId="38" borderId="21" xfId="0" applyFill="1" applyBorder="1" applyAlignment="1">
      <alignment horizontal="center"/>
    </xf>
    <xf numFmtId="0" fontId="0" fillId="38" borderId="22" xfId="0" applyFill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6" fontId="0" fillId="0" borderId="11" xfId="1" applyNumberFormat="1" applyFont="1" applyBorder="1" applyAlignment="1">
      <alignment horizontal="center"/>
    </xf>
    <xf numFmtId="0" fontId="0" fillId="38" borderId="9" xfId="0" applyFill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7" fontId="25" fillId="23" borderId="12" xfId="2" applyNumberFormat="1" applyFont="1" applyFill="1" applyBorder="1" applyAlignment="1">
      <alignment horizontal="center" vertical="center" wrapText="1"/>
    </xf>
    <xf numFmtId="15" fontId="32" fillId="38" borderId="9" xfId="0" applyNumberFormat="1" applyFont="1" applyFill="1" applyBorder="1" applyAlignment="1">
      <alignment horizontal="center" vertical="center"/>
    </xf>
    <xf numFmtId="165" fontId="0" fillId="38" borderId="9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0" fontId="0" fillId="38" borderId="23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34" fillId="23" borderId="11" xfId="2" applyFont="1" applyFill="1" applyBorder="1" applyAlignment="1">
      <alignment horizontal="center" vertical="center" wrapText="1"/>
    </xf>
    <xf numFmtId="167" fontId="32" fillId="38" borderId="24" xfId="0" applyNumberFormat="1" applyFont="1" applyFill="1" applyBorder="1" applyAlignment="1">
      <alignment horizontal="center"/>
    </xf>
    <xf numFmtId="0" fontId="34" fillId="23" borderId="18" xfId="2" applyFont="1" applyFill="1" applyBorder="1" applyAlignment="1">
      <alignment horizontal="center" vertical="center" wrapText="1"/>
    </xf>
    <xf numFmtId="0" fontId="34" fillId="23" borderId="11" xfId="34037" applyFont="1" applyFill="1" applyBorder="1" applyAlignment="1">
      <alignment horizontal="center" vertical="center" wrapText="1"/>
    </xf>
    <xf numFmtId="167" fontId="34" fillId="23" borderId="11" xfId="34037" applyNumberFormat="1" applyFont="1" applyFill="1" applyBorder="1" applyAlignment="1">
      <alignment horizontal="center" vertical="center" wrapText="1"/>
    </xf>
    <xf numFmtId="20" fontId="0" fillId="0" borderId="0" xfId="0" applyNumberFormat="1" applyAlignment="1">
      <alignment horizontal="center"/>
    </xf>
    <xf numFmtId="0" fontId="0" fillId="38" borderId="19" xfId="0" applyFill="1" applyBorder="1" applyAlignment="1">
      <alignment horizontal="center" vertical="center"/>
    </xf>
    <xf numFmtId="0" fontId="0" fillId="38" borderId="20" xfId="0" applyFill="1" applyBorder="1" applyAlignment="1">
      <alignment horizontal="center" vertical="center"/>
    </xf>
    <xf numFmtId="168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0" fontId="28" fillId="36" borderId="26" xfId="0" applyFont="1" applyFill="1" applyBorder="1" applyAlignment="1">
      <alignment horizontal="center" vertical="center" wrapText="1"/>
    </xf>
    <xf numFmtId="0" fontId="28" fillId="36" borderId="27" xfId="0" applyFont="1" applyFill="1" applyBorder="1" applyAlignment="1">
      <alignment horizontal="center" vertical="center" wrapText="1"/>
    </xf>
    <xf numFmtId="0" fontId="28" fillId="36" borderId="28" xfId="0" applyFont="1" applyFill="1" applyBorder="1" applyAlignment="1">
      <alignment horizontal="center" vertical="center" wrapText="1"/>
    </xf>
    <xf numFmtId="1" fontId="29" fillId="3" borderId="11" xfId="27312" applyNumberFormat="1" applyFont="1" applyFill="1" applyBorder="1" applyAlignment="1">
      <alignment horizontal="center" vertical="center"/>
    </xf>
    <xf numFmtId="166" fontId="29" fillId="3" borderId="11" xfId="1" applyNumberFormat="1" applyFont="1" applyFill="1" applyBorder="1" applyAlignment="1">
      <alignment horizontal="center" vertical="center"/>
    </xf>
    <xf numFmtId="1" fontId="29" fillId="3" borderId="41" xfId="27312" applyNumberFormat="1" applyFont="1" applyFill="1" applyBorder="1" applyAlignment="1">
      <alignment horizontal="center" vertical="center"/>
    </xf>
    <xf numFmtId="1" fontId="29" fillId="3" borderId="44" xfId="27312" applyNumberFormat="1" applyFont="1" applyFill="1" applyBorder="1" applyAlignment="1">
      <alignment horizontal="center" vertical="center"/>
    </xf>
    <xf numFmtId="166" fontId="29" fillId="3" borderId="41" xfId="1" applyNumberFormat="1" applyFont="1" applyFill="1" applyBorder="1" applyAlignment="1">
      <alignment horizontal="center" vertical="center"/>
    </xf>
    <xf numFmtId="166" fontId="29" fillId="3" borderId="44" xfId="1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38" borderId="9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24" xfId="0" applyNumberFormat="1" applyBorder="1" applyAlignment="1">
      <alignment horizontal="center"/>
    </xf>
    <xf numFmtId="20" fontId="35" fillId="40" borderId="48" xfId="0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 vertical="center"/>
    </xf>
    <xf numFmtId="0" fontId="35" fillId="40" borderId="0" xfId="0" applyFont="1" applyFill="1" applyAlignment="1">
      <alignment horizontal="center"/>
    </xf>
    <xf numFmtId="0" fontId="37" fillId="40" borderId="9" xfId="0" applyFont="1" applyFill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0" fontId="0" fillId="38" borderId="21" xfId="0" applyFill="1" applyBorder="1" applyAlignment="1">
      <alignment horizontal="center" vertical="center"/>
    </xf>
    <xf numFmtId="167" fontId="32" fillId="38" borderId="0" xfId="0" applyNumberFormat="1" applyFon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68" fontId="0" fillId="38" borderId="0" xfId="0" applyNumberFormat="1" applyFill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7" fontId="36" fillId="40" borderId="0" xfId="0" applyNumberFormat="1" applyFont="1" applyFill="1" applyAlignment="1">
      <alignment vertical="center"/>
    </xf>
    <xf numFmtId="168" fontId="0" fillId="0" borderId="25" xfId="0" applyNumberFormat="1" applyBorder="1" applyAlignment="1">
      <alignment horizontal="center"/>
    </xf>
    <xf numFmtId="1" fontId="15" fillId="24" borderId="9" xfId="0" applyNumberFormat="1" applyFont="1" applyFill="1" applyBorder="1" applyAlignment="1">
      <alignment horizontal="left" vertical="center" indent="2"/>
    </xf>
    <xf numFmtId="168" fontId="0" fillId="0" borderId="0" xfId="0" applyNumberFormat="1"/>
    <xf numFmtId="165" fontId="0" fillId="0" borderId="0" xfId="0" applyNumberFormat="1" applyAlignment="1">
      <alignment horizontal="left"/>
    </xf>
    <xf numFmtId="0" fontId="1" fillId="0" borderId="0" xfId="34038"/>
    <xf numFmtId="0" fontId="1" fillId="0" borderId="9" xfId="34038" applyBorder="1"/>
    <xf numFmtId="14" fontId="1" fillId="0" borderId="9" xfId="34038" applyNumberFormat="1" applyBorder="1"/>
    <xf numFmtId="1" fontId="1" fillId="0" borderId="9" xfId="34038" applyNumberFormat="1" applyBorder="1"/>
    <xf numFmtId="43" fontId="0" fillId="0" borderId="0" xfId="34039" applyFont="1"/>
    <xf numFmtId="3" fontId="1" fillId="0" borderId="9" xfId="34038" applyNumberFormat="1" applyBorder="1"/>
    <xf numFmtId="2" fontId="1" fillId="0" borderId="9" xfId="34038" applyNumberFormat="1" applyBorder="1"/>
    <xf numFmtId="17" fontId="0" fillId="0" borderId="0" xfId="0" applyNumberFormat="1"/>
    <xf numFmtId="166" fontId="0" fillId="0" borderId="0" xfId="0" applyNumberFormat="1" applyAlignment="1">
      <alignment horizontal="center" vertical="center"/>
    </xf>
    <xf numFmtId="0" fontId="35" fillId="40" borderId="47" xfId="0" applyFont="1" applyFill="1" applyBorder="1" applyAlignment="1">
      <alignment horizontal="center"/>
    </xf>
    <xf numFmtId="20" fontId="35" fillId="40" borderId="0" xfId="0" applyNumberFormat="1" applyFont="1" applyFill="1" applyAlignment="1">
      <alignment horizontal="center"/>
    </xf>
    <xf numFmtId="171" fontId="0" fillId="0" borderId="0" xfId="0" applyNumberFormat="1" applyAlignment="1">
      <alignment horizontal="center" vertical="center"/>
    </xf>
    <xf numFmtId="0" fontId="38" fillId="41" borderId="52" xfId="0" applyFont="1" applyFill="1" applyBorder="1" applyAlignment="1">
      <alignment horizontal="center"/>
    </xf>
    <xf numFmtId="17" fontId="38" fillId="41" borderId="52" xfId="0" applyNumberFormat="1" applyFont="1" applyFill="1" applyBorder="1" applyAlignment="1">
      <alignment horizontal="center"/>
    </xf>
    <xf numFmtId="15" fontId="38" fillId="41" borderId="52" xfId="0" applyNumberFormat="1" applyFont="1" applyFill="1" applyBorder="1"/>
    <xf numFmtId="0" fontId="38" fillId="41" borderId="9" xfId="0" applyFont="1" applyFill="1" applyBorder="1" applyAlignment="1">
      <alignment horizontal="center"/>
    </xf>
    <xf numFmtId="15" fontId="38" fillId="41" borderId="9" xfId="0" applyNumberFormat="1" applyFont="1" applyFill="1" applyBorder="1"/>
    <xf numFmtId="17" fontId="38" fillId="41" borderId="9" xfId="0" applyNumberFormat="1" applyFont="1" applyFill="1" applyBorder="1"/>
    <xf numFmtId="167" fontId="36" fillId="38" borderId="19" xfId="0" applyNumberFormat="1" applyFont="1" applyFill="1" applyBorder="1" applyAlignment="1">
      <alignment horizontal="center"/>
    </xf>
    <xf numFmtId="167" fontId="25" fillId="0" borderId="53" xfId="34040" applyNumberFormat="1" applyFont="1" applyBorder="1" applyAlignment="1">
      <alignment horizontal="center" vertical="center" wrapText="1"/>
    </xf>
    <xf numFmtId="0" fontId="25" fillId="0" borderId="53" xfId="34040" applyFont="1" applyBorder="1" applyAlignment="1">
      <alignment horizontal="center" vertical="center" wrapText="1"/>
    </xf>
    <xf numFmtId="0" fontId="11" fillId="0" borderId="53" xfId="34041" applyFont="1" applyBorder="1" applyAlignment="1">
      <alignment horizontal="center" vertical="center" wrapText="1"/>
    </xf>
    <xf numFmtId="9" fontId="11" fillId="0" borderId="53" xfId="34042" applyFont="1" applyFill="1" applyBorder="1" applyAlignment="1">
      <alignment horizontal="center" vertical="center" wrapText="1"/>
    </xf>
    <xf numFmtId="15" fontId="40" fillId="0" borderId="0" xfId="34041" applyNumberFormat="1" applyAlignment="1">
      <alignment horizontal="center" vertical="center"/>
    </xf>
    <xf numFmtId="1" fontId="40" fillId="0" borderId="0" xfId="34041" applyNumberFormat="1" applyAlignment="1">
      <alignment horizontal="center" vertical="center"/>
    </xf>
    <xf numFmtId="0" fontId="40" fillId="0" borderId="0" xfId="34041" applyAlignment="1">
      <alignment horizontal="center" vertical="center"/>
    </xf>
    <xf numFmtId="17" fontId="40" fillId="0" borderId="0" xfId="34041" applyNumberFormat="1" applyAlignment="1">
      <alignment horizontal="center" vertical="center"/>
    </xf>
    <xf numFmtId="2" fontId="0" fillId="0" borderId="0" xfId="34043" applyNumberFormat="1" applyFont="1" applyFill="1" applyAlignment="1">
      <alignment horizontal="center" vertical="center"/>
    </xf>
    <xf numFmtId="165" fontId="0" fillId="0" borderId="0" xfId="34043" applyNumberFormat="1" applyFont="1" applyFill="1" applyBorder="1" applyAlignment="1">
      <alignment horizontal="center" vertical="center"/>
    </xf>
    <xf numFmtId="9" fontId="0" fillId="0" borderId="0" xfId="34043" applyFont="1" applyFill="1" applyAlignment="1">
      <alignment horizontal="center" vertical="center"/>
    </xf>
    <xf numFmtId="10" fontId="39" fillId="0" borderId="0" xfId="34043" applyNumberFormat="1" applyFont="1" applyFill="1" applyAlignment="1">
      <alignment horizontal="center" vertical="center"/>
    </xf>
    <xf numFmtId="166" fontId="0" fillId="0" borderId="0" xfId="34043" applyNumberFormat="1" applyFont="1" applyFill="1" applyAlignment="1">
      <alignment horizontal="center" vertical="center"/>
    </xf>
    <xf numFmtId="10" fontId="0" fillId="0" borderId="0" xfId="34043" applyNumberFormat="1" applyFont="1" applyFill="1" applyAlignment="1">
      <alignment horizontal="center" vertical="center"/>
    </xf>
    <xf numFmtId="165" fontId="40" fillId="0" borderId="0" xfId="34041" applyNumberFormat="1" applyAlignment="1">
      <alignment horizontal="center" vertical="center"/>
    </xf>
    <xf numFmtId="10" fontId="40" fillId="0" borderId="0" xfId="34042" applyNumberFormat="1" applyFont="1" applyFill="1" applyAlignment="1">
      <alignment horizontal="center" vertical="center"/>
    </xf>
    <xf numFmtId="9" fontId="0" fillId="0" borderId="0" xfId="34042" applyFont="1" applyFill="1" applyAlignment="1">
      <alignment horizontal="center" vertical="center"/>
    </xf>
    <xf numFmtId="10" fontId="0" fillId="0" borderId="0" xfId="34042" applyNumberFormat="1" applyFont="1" applyFill="1" applyAlignment="1">
      <alignment horizontal="center" vertical="center"/>
    </xf>
    <xf numFmtId="0" fontId="11" fillId="0" borderId="54" xfId="34041" applyFont="1" applyBorder="1" applyAlignment="1">
      <alignment horizontal="center" vertical="center" wrapText="1"/>
    </xf>
    <xf numFmtId="2" fontId="40" fillId="0" borderId="0" xfId="34041" applyNumberFormat="1" applyAlignment="1">
      <alignment horizontal="center" vertical="center"/>
    </xf>
    <xf numFmtId="1" fontId="0" fillId="0" borderId="55" xfId="34044" applyNumberFormat="1" applyFont="1" applyFill="1" applyBorder="1" applyAlignment="1">
      <alignment horizontal="center" vertical="center"/>
    </xf>
    <xf numFmtId="1" fontId="0" fillId="0" borderId="56" xfId="34044" applyNumberFormat="1" applyFont="1" applyFill="1" applyBorder="1" applyAlignment="1">
      <alignment horizontal="center" vertical="center"/>
    </xf>
    <xf numFmtId="17" fontId="0" fillId="0" borderId="55" xfId="34044" applyNumberFormat="1" applyFont="1" applyFill="1" applyBorder="1" applyAlignment="1">
      <alignment horizontal="center" vertical="center"/>
    </xf>
    <xf numFmtId="0" fontId="0" fillId="0" borderId="55" xfId="34044" applyNumberFormat="1" applyFont="1" applyFill="1" applyBorder="1" applyAlignment="1">
      <alignment horizontal="center" vertical="center"/>
    </xf>
    <xf numFmtId="0" fontId="40" fillId="0" borderId="55" xfId="34041" applyBorder="1" applyAlignment="1">
      <alignment horizontal="center" vertical="center"/>
    </xf>
    <xf numFmtId="2" fontId="40" fillId="0" borderId="56" xfId="34041" applyNumberFormat="1" applyBorder="1" applyAlignment="1">
      <alignment horizontal="center" vertical="center"/>
    </xf>
    <xf numFmtId="165" fontId="40" fillId="0" borderId="55" xfId="34041" applyNumberFormat="1" applyBorder="1" applyAlignment="1">
      <alignment horizontal="center" vertical="center"/>
    </xf>
    <xf numFmtId="1" fontId="40" fillId="0" borderId="55" xfId="34041" applyNumberFormat="1" applyBorder="1" applyAlignment="1">
      <alignment horizontal="center" vertical="center"/>
    </xf>
    <xf numFmtId="10" fontId="0" fillId="0" borderId="55" xfId="34043" applyNumberFormat="1" applyFont="1" applyFill="1" applyBorder="1" applyAlignment="1">
      <alignment horizontal="center" vertical="center"/>
    </xf>
    <xf numFmtId="2" fontId="40" fillId="0" borderId="55" xfId="34041" applyNumberFormat="1" applyBorder="1" applyAlignment="1">
      <alignment horizontal="center" vertical="center"/>
    </xf>
    <xf numFmtId="0" fontId="0" fillId="0" borderId="56" xfId="34044" applyNumberFormat="1" applyFont="1" applyFill="1" applyBorder="1" applyAlignment="1">
      <alignment horizontal="center" vertical="center"/>
    </xf>
    <xf numFmtId="0" fontId="40" fillId="0" borderId="56" xfId="34041" applyBorder="1" applyAlignment="1">
      <alignment horizontal="center" vertical="center"/>
    </xf>
    <xf numFmtId="165" fontId="40" fillId="0" borderId="56" xfId="34041" applyNumberFormat="1" applyBorder="1" applyAlignment="1">
      <alignment horizontal="center" vertical="center"/>
    </xf>
    <xf numFmtId="1" fontId="40" fillId="0" borderId="56" xfId="34041" applyNumberFormat="1" applyBorder="1" applyAlignment="1">
      <alignment horizontal="center" vertical="center"/>
    </xf>
    <xf numFmtId="10" fontId="0" fillId="0" borderId="56" xfId="34043" applyNumberFormat="1" applyFont="1" applyFill="1" applyBorder="1" applyAlignment="1">
      <alignment horizontal="center" vertical="center"/>
    </xf>
    <xf numFmtId="1" fontId="0" fillId="0" borderId="55" xfId="34041" applyNumberFormat="1" applyFont="1" applyBorder="1" applyAlignment="1">
      <alignment horizontal="center" vertical="center"/>
    </xf>
    <xf numFmtId="2" fontId="0" fillId="0" borderId="55" xfId="34041" applyNumberFormat="1" applyFont="1" applyBorder="1" applyAlignment="1">
      <alignment horizontal="center" vertical="center"/>
    </xf>
    <xf numFmtId="165" fontId="0" fillId="0" borderId="55" xfId="34041" applyNumberFormat="1" applyFont="1" applyBorder="1" applyAlignment="1">
      <alignment horizontal="center" vertical="center"/>
    </xf>
    <xf numFmtId="0" fontId="41" fillId="23" borderId="12" xfId="2" applyFont="1" applyFill="1" applyBorder="1" applyAlignment="1">
      <alignment horizontal="center" vertical="center" wrapText="1"/>
    </xf>
    <xf numFmtId="10" fontId="40" fillId="0" borderId="0" xfId="1" applyNumberFormat="1" applyFont="1" applyAlignment="1">
      <alignment horizontal="center" vertical="center"/>
    </xf>
    <xf numFmtId="2" fontId="0" fillId="12" borderId="9" xfId="0" applyNumberFormat="1" applyFill="1" applyBorder="1" applyAlignment="1">
      <alignment horizontal="center"/>
    </xf>
    <xf numFmtId="2" fontId="29" fillId="3" borderId="41" xfId="1" applyNumberFormat="1" applyFont="1" applyFill="1" applyBorder="1" applyAlignment="1">
      <alignment horizontal="center" vertical="center"/>
    </xf>
    <xf numFmtId="2" fontId="29" fillId="3" borderId="11" xfId="1" applyNumberFormat="1" applyFont="1" applyFill="1" applyBorder="1" applyAlignment="1">
      <alignment horizontal="center" vertical="center"/>
    </xf>
    <xf numFmtId="2" fontId="29" fillId="3" borderId="44" xfId="1" applyNumberFormat="1" applyFont="1" applyFill="1" applyBorder="1" applyAlignment="1">
      <alignment horizontal="center" vertical="center"/>
    </xf>
    <xf numFmtId="20" fontId="35" fillId="40" borderId="9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1" fontId="0" fillId="0" borderId="19" xfId="0" applyNumberFormat="1" applyBorder="1" applyAlignment="1">
      <alignment horizontal="center" vertical="center"/>
    </xf>
    <xf numFmtId="0" fontId="35" fillId="40" borderId="47" xfId="0" applyFont="1" applyFill="1" applyBorder="1" applyAlignment="1">
      <alignment horizontal="center" vertical="center"/>
    </xf>
    <xf numFmtId="0" fontId="35" fillId="40" borderId="0" xfId="0" applyFont="1" applyFill="1" applyAlignment="1">
      <alignment horizontal="center" vertical="center"/>
    </xf>
    <xf numFmtId="0" fontId="35" fillId="40" borderId="0" xfId="0" applyFont="1" applyFill="1" applyAlignment="1">
      <alignment horizontal="center" vertical="center" wrapText="1"/>
    </xf>
    <xf numFmtId="20" fontId="35" fillId="40" borderId="48" xfId="0" applyNumberFormat="1" applyFont="1" applyFill="1" applyBorder="1" applyAlignment="1">
      <alignment horizontal="center" vertical="center"/>
    </xf>
    <xf numFmtId="20" fontId="35" fillId="40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7" fontId="0" fillId="0" borderId="19" xfId="0" applyNumberFormat="1" applyBorder="1" applyAlignment="1">
      <alignment horizontal="center"/>
    </xf>
    <xf numFmtId="0" fontId="42" fillId="23" borderId="12" xfId="2" applyFont="1" applyFill="1" applyBorder="1" applyAlignment="1">
      <alignment horizontal="center" vertical="center" wrapText="1"/>
    </xf>
    <xf numFmtId="10" fontId="11" fillId="0" borderId="56" xfId="1" applyNumberFormat="1" applyFont="1" applyFill="1" applyBorder="1" applyAlignment="1">
      <alignment horizontal="center" vertical="center"/>
    </xf>
    <xf numFmtId="10" fontId="11" fillId="0" borderId="54" xfId="1" applyNumberFormat="1" applyFont="1" applyFill="1" applyBorder="1" applyAlignment="1">
      <alignment horizontal="center" vertical="center"/>
    </xf>
    <xf numFmtId="10" fontId="11" fillId="0" borderId="55" xfId="1" applyNumberFormat="1" applyFont="1" applyFill="1" applyBorder="1" applyAlignment="1">
      <alignment horizontal="center" vertical="center"/>
    </xf>
    <xf numFmtId="0" fontId="11" fillId="0" borderId="57" xfId="34041" applyFont="1" applyBorder="1" applyAlignment="1">
      <alignment horizontal="center" vertical="center" wrapText="1"/>
    </xf>
    <xf numFmtId="0" fontId="11" fillId="0" borderId="53" xfId="34041" applyFont="1" applyBorder="1" applyAlignment="1" applyProtection="1">
      <alignment horizontal="center" vertical="center" wrapText="1"/>
      <protection locked="0"/>
    </xf>
    <xf numFmtId="0" fontId="40" fillId="0" borderId="0" xfId="34041" applyAlignment="1" applyProtection="1">
      <alignment horizontal="center" vertical="center"/>
      <protection locked="0"/>
    </xf>
    <xf numFmtId="17" fontId="0" fillId="0" borderId="24" xfId="0" applyNumberFormat="1" applyBorder="1" applyAlignment="1">
      <alignment horizontal="center"/>
    </xf>
    <xf numFmtId="0" fontId="0" fillId="3" borderId="0" xfId="0" applyFill="1" applyAlignment="1">
      <alignment vertical="center"/>
    </xf>
    <xf numFmtId="0" fontId="28" fillId="36" borderId="29" xfId="0" applyFont="1" applyFill="1" applyBorder="1" applyAlignment="1">
      <alignment vertical="center"/>
    </xf>
    <xf numFmtId="0" fontId="28" fillId="36" borderId="35" xfId="0" applyFont="1" applyFill="1" applyBorder="1" applyAlignment="1">
      <alignment vertical="center"/>
    </xf>
    <xf numFmtId="0" fontId="30" fillId="3" borderId="17" xfId="0" applyFont="1" applyFill="1" applyBorder="1" applyAlignment="1">
      <alignment vertical="center"/>
    </xf>
    <xf numFmtId="0" fontId="30" fillId="3" borderId="41" xfId="0" applyFont="1" applyFill="1" applyBorder="1" applyAlignment="1">
      <alignment vertical="center"/>
    </xf>
    <xf numFmtId="3" fontId="30" fillId="3" borderId="41" xfId="0" applyNumberFormat="1" applyFont="1" applyFill="1" applyBorder="1" applyAlignment="1">
      <alignment horizontal="center" vertical="center"/>
    </xf>
    <xf numFmtId="10" fontId="30" fillId="3" borderId="41" xfId="25095" applyNumberFormat="1" applyFont="1" applyFill="1" applyBorder="1" applyAlignment="1">
      <alignment horizontal="center" vertical="center"/>
    </xf>
    <xf numFmtId="0" fontId="30" fillId="3" borderId="42" xfId="0" applyFont="1" applyFill="1" applyBorder="1" applyAlignment="1" applyProtection="1">
      <alignment vertical="center"/>
      <protection locked="0"/>
    </xf>
    <xf numFmtId="0" fontId="30" fillId="3" borderId="11" xfId="0" applyFont="1" applyFill="1" applyBorder="1" applyAlignment="1">
      <alignment vertical="center"/>
    </xf>
    <xf numFmtId="1" fontId="30" fillId="3" borderId="11" xfId="0" applyNumberFormat="1" applyFont="1" applyFill="1" applyBorder="1" applyAlignment="1">
      <alignment horizontal="center" vertical="center"/>
    </xf>
    <xf numFmtId="10" fontId="30" fillId="3" borderId="11" xfId="25095" applyNumberFormat="1" applyFont="1" applyFill="1" applyBorder="1" applyAlignment="1">
      <alignment horizontal="center" vertical="center"/>
    </xf>
    <xf numFmtId="0" fontId="30" fillId="3" borderId="39" xfId="0" applyFont="1" applyFill="1" applyBorder="1" applyAlignment="1" applyProtection="1">
      <alignment vertical="center"/>
      <protection locked="0"/>
    </xf>
    <xf numFmtId="0" fontId="30" fillId="3" borderId="44" xfId="0" applyFont="1" applyFill="1" applyBorder="1" applyAlignment="1">
      <alignment vertical="center"/>
    </xf>
    <xf numFmtId="1" fontId="30" fillId="3" borderId="44" xfId="0" applyNumberFormat="1" applyFont="1" applyFill="1" applyBorder="1" applyAlignment="1">
      <alignment horizontal="center" vertical="center"/>
    </xf>
    <xf numFmtId="10" fontId="30" fillId="3" borderId="44" xfId="25095" applyNumberFormat="1" applyFont="1" applyFill="1" applyBorder="1" applyAlignment="1">
      <alignment horizontal="center" vertical="center"/>
    </xf>
    <xf numFmtId="0" fontId="30" fillId="3" borderId="45" xfId="0" applyFont="1" applyFill="1" applyBorder="1" applyAlignment="1" applyProtection="1">
      <alignment vertical="center"/>
      <protection locked="0"/>
    </xf>
    <xf numFmtId="166" fontId="30" fillId="3" borderId="41" xfId="1" applyNumberFormat="1" applyFont="1" applyFill="1" applyBorder="1" applyAlignment="1">
      <alignment horizontal="center" vertical="center"/>
    </xf>
    <xf numFmtId="1" fontId="30" fillId="3" borderId="42" xfId="0" applyNumberFormat="1" applyFont="1" applyFill="1" applyBorder="1" applyAlignment="1" applyProtection="1">
      <alignment vertical="center"/>
      <protection locked="0"/>
    </xf>
    <xf numFmtId="166" fontId="30" fillId="3" borderId="11" xfId="1" applyNumberFormat="1" applyFont="1" applyFill="1" applyBorder="1" applyAlignment="1">
      <alignment horizontal="center" vertical="center"/>
    </xf>
    <xf numFmtId="166" fontId="30" fillId="3" borderId="44" xfId="1" applyNumberFormat="1" applyFont="1" applyFill="1" applyBorder="1" applyAlignment="1">
      <alignment horizontal="center" vertical="center"/>
    </xf>
    <xf numFmtId="2" fontId="30" fillId="3" borderId="41" xfId="0" applyNumberFormat="1" applyFont="1" applyFill="1" applyBorder="1" applyAlignment="1">
      <alignment horizontal="center" vertical="center"/>
    </xf>
    <xf numFmtId="0" fontId="30" fillId="3" borderId="42" xfId="0" applyFont="1" applyFill="1" applyBorder="1" applyAlignment="1" applyProtection="1">
      <alignment vertical="center" wrapText="1"/>
      <protection locked="0"/>
    </xf>
    <xf numFmtId="2" fontId="30" fillId="3" borderId="11" xfId="0" applyNumberFormat="1" applyFont="1" applyFill="1" applyBorder="1" applyAlignment="1">
      <alignment horizontal="center" vertical="center"/>
    </xf>
    <xf numFmtId="0" fontId="30" fillId="3" borderId="39" xfId="0" applyFont="1" applyFill="1" applyBorder="1" applyAlignment="1" applyProtection="1">
      <alignment vertical="center" wrapText="1"/>
      <protection locked="0"/>
    </xf>
    <xf numFmtId="2" fontId="30" fillId="3" borderId="44" xfId="0" applyNumberFormat="1" applyFont="1" applyFill="1" applyBorder="1" applyAlignment="1">
      <alignment horizontal="center" vertical="center"/>
    </xf>
    <xf numFmtId="0" fontId="30" fillId="3" borderId="45" xfId="0" applyFont="1" applyFill="1" applyBorder="1" applyAlignment="1" applyProtection="1">
      <alignment vertical="center" wrapText="1"/>
      <protection locked="0"/>
    </xf>
    <xf numFmtId="9" fontId="0" fillId="0" borderId="0" xfId="34042" applyFont="1" applyAlignment="1">
      <alignment horizontal="center" vertical="center"/>
    </xf>
    <xf numFmtId="167" fontId="0" fillId="38" borderId="20" xfId="0" applyNumberFormat="1" applyFill="1" applyBorder="1" applyAlignment="1">
      <alignment horizontal="center" vertical="center"/>
    </xf>
    <xf numFmtId="0" fontId="0" fillId="38" borderId="22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8" borderId="23" xfId="0" applyFill="1" applyBorder="1" applyAlignment="1">
      <alignment horizontal="center" vertical="center"/>
    </xf>
    <xf numFmtId="0" fontId="35" fillId="38" borderId="23" xfId="0" applyFont="1" applyFill="1" applyBorder="1" applyAlignment="1">
      <alignment horizontal="center" vertical="center"/>
    </xf>
    <xf numFmtId="0" fontId="0" fillId="38" borderId="58" xfId="0" applyFill="1" applyBorder="1" applyAlignment="1">
      <alignment horizontal="center"/>
    </xf>
    <xf numFmtId="0" fontId="0" fillId="38" borderId="25" xfId="0" applyFill="1" applyBorder="1" applyAlignment="1">
      <alignment horizontal="center" vertical="center"/>
    </xf>
    <xf numFmtId="0" fontId="0" fillId="38" borderId="25" xfId="0" applyFill="1" applyBorder="1" applyAlignment="1">
      <alignment horizontal="center"/>
    </xf>
    <xf numFmtId="167" fontId="29" fillId="3" borderId="36" xfId="27312" applyNumberFormat="1" applyFont="1" applyFill="1" applyBorder="1" applyAlignment="1">
      <alignment horizontal="left" vertical="center"/>
    </xf>
    <xf numFmtId="167" fontId="29" fillId="3" borderId="37" xfId="27312" applyNumberFormat="1" applyFont="1" applyFill="1" applyBorder="1" applyAlignment="1">
      <alignment horizontal="left" vertical="center"/>
    </xf>
    <xf numFmtId="0" fontId="27" fillId="36" borderId="26" xfId="0" applyFont="1" applyFill="1" applyBorder="1" applyAlignment="1">
      <alignment horizontal="center" vertical="center"/>
    </xf>
    <xf numFmtId="0" fontId="27" fillId="36" borderId="27" xfId="0" applyFont="1" applyFill="1" applyBorder="1" applyAlignment="1">
      <alignment horizontal="center" vertical="center"/>
    </xf>
    <xf numFmtId="0" fontId="27" fillId="36" borderId="28" xfId="0" applyFont="1" applyFill="1" applyBorder="1" applyAlignment="1">
      <alignment horizontal="center" vertical="center"/>
    </xf>
    <xf numFmtId="170" fontId="29" fillId="3" borderId="32" xfId="27312" applyNumberFormat="1" applyFont="1" applyFill="1" applyBorder="1" applyAlignment="1" applyProtection="1">
      <alignment horizontal="left" vertical="center"/>
      <protection locked="0"/>
    </xf>
    <xf numFmtId="170" fontId="29" fillId="3" borderId="33" xfId="27312" applyNumberFormat="1" applyFont="1" applyFill="1" applyBorder="1" applyAlignment="1" applyProtection="1">
      <alignment horizontal="left" vertical="center"/>
      <protection locked="0"/>
    </xf>
    <xf numFmtId="170" fontId="29" fillId="3" borderId="34" xfId="27312" applyNumberFormat="1" applyFont="1" applyFill="1" applyBorder="1" applyAlignment="1" applyProtection="1">
      <alignment horizontal="left" vertical="center"/>
      <protection locked="0"/>
    </xf>
    <xf numFmtId="167" fontId="29" fillId="3" borderId="30" xfId="27312" applyNumberFormat="1" applyFont="1" applyFill="1" applyBorder="1" applyAlignment="1" applyProtection="1">
      <alignment horizontal="left" vertical="center"/>
      <protection locked="0"/>
    </xf>
    <xf numFmtId="167" fontId="29" fillId="3" borderId="31" xfId="27312" applyNumberFormat="1" applyFont="1" applyFill="1" applyBorder="1" applyAlignment="1" applyProtection="1">
      <alignment horizontal="left" vertical="center"/>
      <protection locked="0"/>
    </xf>
    <xf numFmtId="1" fontId="30" fillId="3" borderId="30" xfId="0" applyNumberFormat="1" applyFont="1" applyFill="1" applyBorder="1" applyAlignment="1">
      <alignment horizontal="left" vertical="center"/>
    </xf>
    <xf numFmtId="1" fontId="30" fillId="3" borderId="31" xfId="0" applyNumberFormat="1" applyFont="1" applyFill="1" applyBorder="1" applyAlignment="1">
      <alignment horizontal="left" vertical="center"/>
    </xf>
    <xf numFmtId="167" fontId="29" fillId="3" borderId="32" xfId="27312" applyNumberFormat="1" applyFont="1" applyFill="1" applyBorder="1" applyAlignment="1">
      <alignment horizontal="left" vertical="center"/>
    </xf>
    <xf numFmtId="167" fontId="29" fillId="3" borderId="33" xfId="27312" applyNumberFormat="1" applyFont="1" applyFill="1" applyBorder="1" applyAlignment="1">
      <alignment horizontal="left" vertical="center"/>
    </xf>
    <xf numFmtId="167" fontId="29" fillId="3" borderId="34" xfId="27312" applyNumberFormat="1" applyFont="1" applyFill="1" applyBorder="1" applyAlignment="1">
      <alignment horizontal="left" vertical="center"/>
    </xf>
    <xf numFmtId="0" fontId="30" fillId="3" borderId="40" xfId="0" applyFont="1" applyFill="1" applyBorder="1" applyAlignment="1">
      <alignment horizontal="center" vertical="center"/>
    </xf>
    <xf numFmtId="0" fontId="30" fillId="3" borderId="38" xfId="0" applyFont="1" applyFill="1" applyBorder="1" applyAlignment="1">
      <alignment horizontal="center" vertical="center"/>
    </xf>
    <xf numFmtId="0" fontId="30" fillId="3" borderId="43" xfId="0" applyFont="1" applyFill="1" applyBorder="1" applyAlignment="1">
      <alignment horizontal="center" vertical="center"/>
    </xf>
    <xf numFmtId="0" fontId="26" fillId="34" borderId="9" xfId="0" applyFont="1" applyFill="1" applyBorder="1" applyAlignment="1">
      <alignment horizontal="center" vertical="center"/>
    </xf>
  </cellXfs>
  <cellStyles count="34045">
    <cellStyle name="20% - Accent1 10" xfId="610" xr:uid="{00000000-0005-0000-0000-000000000000}"/>
    <cellStyle name="20% - Accent1 10 2" xfId="6918" xr:uid="{00000000-0005-0000-0000-000001000000}"/>
    <cellStyle name="20% - Accent1 10 2 2" xfId="2499" xr:uid="{00000000-0005-0000-0000-000002000000}"/>
    <cellStyle name="20% - Accent1 10 3" xfId="1411" xr:uid="{00000000-0005-0000-0000-000003000000}"/>
    <cellStyle name="20% - Accent1 11" xfId="945" xr:uid="{00000000-0005-0000-0000-000004000000}"/>
    <cellStyle name="20% - Accent1 11 2" xfId="2692" xr:uid="{00000000-0005-0000-0000-000005000000}"/>
    <cellStyle name="20% - Accent1 12" xfId="32926" xr:uid="{00000000-0005-0000-0000-000006000000}"/>
    <cellStyle name="20% - Accent1 13" xfId="17236" xr:uid="{00000000-0005-0000-0000-000007000000}"/>
    <cellStyle name="20% - Accent1 2" xfId="17288" xr:uid="{00000000-0005-0000-0000-000008000000}"/>
    <cellStyle name="20% - Accent1 2 10" xfId="5847" xr:uid="{00000000-0005-0000-0000-000009000000}"/>
    <cellStyle name="20% - Accent1 2 10 2" xfId="6265" xr:uid="{00000000-0005-0000-0000-00000A000000}"/>
    <cellStyle name="20% - Accent1 2 11" xfId="4803" xr:uid="{00000000-0005-0000-0000-00000B000000}"/>
    <cellStyle name="20% - Accent1 2 2" xfId="17290" xr:uid="{00000000-0005-0000-0000-00000C000000}"/>
    <cellStyle name="20% - Accent1 2 2 10" xfId="119" xr:uid="{00000000-0005-0000-0000-00000D000000}"/>
    <cellStyle name="20% - Accent1 2 2 2" xfId="2405" xr:uid="{00000000-0005-0000-0000-00000E000000}"/>
    <cellStyle name="20% - Accent1 2 2 2 2" xfId="1433" xr:uid="{00000000-0005-0000-0000-00000F000000}"/>
    <cellStyle name="20% - Accent1 2 2 2 2 2" xfId="7882" xr:uid="{00000000-0005-0000-0000-000010000000}"/>
    <cellStyle name="20% - Accent1 2 2 2 2 2 2" xfId="2018" xr:uid="{00000000-0005-0000-0000-000011000000}"/>
    <cellStyle name="20% - Accent1 2 2 2 2 2 2 2" xfId="6905" xr:uid="{00000000-0005-0000-0000-000012000000}"/>
    <cellStyle name="20% - Accent1 2 2 2 2 2 2 2 2" xfId="777" xr:uid="{00000000-0005-0000-0000-000013000000}"/>
    <cellStyle name="20% - Accent1 2 2 2 2 2 2 2 2 2" xfId="6305" xr:uid="{00000000-0005-0000-0000-000014000000}"/>
    <cellStyle name="20% - Accent1 2 2 2 2 2 2 2 2 2 2" xfId="12127" xr:uid="{00000000-0005-0000-0000-000015000000}"/>
    <cellStyle name="20% - Accent1 2 2 2 2 2 2 2 2 2 2 2" xfId="1108" xr:uid="{00000000-0005-0000-0000-000016000000}"/>
    <cellStyle name="20% - Accent1 2 2 2 2 2 2 2 2 2 3" xfId="1830" xr:uid="{00000000-0005-0000-0000-000017000000}"/>
    <cellStyle name="20% - Accent1 2 2 2 2 2 2 2 2 3" xfId="7179" xr:uid="{00000000-0005-0000-0000-000018000000}"/>
    <cellStyle name="20% - Accent1 2 2 2 2 2 2 2 2 3 2" xfId="18844" xr:uid="{00000000-0005-0000-0000-000019000000}"/>
    <cellStyle name="20% - Accent1 2 2 2 2 2 2 2 2 4" xfId="7186" xr:uid="{00000000-0005-0000-0000-00001A000000}"/>
    <cellStyle name="20% - Accent1 2 2 2 2 2 2 2 3" xfId="17813" xr:uid="{00000000-0005-0000-0000-00001B000000}"/>
    <cellStyle name="20% - Accent1 2 2 2 2 2 2 2 3 2" xfId="19065" xr:uid="{00000000-0005-0000-0000-00001C000000}"/>
    <cellStyle name="20% - Accent1 2 2 2 2 2 2 2 3 2 2" xfId="13403" xr:uid="{00000000-0005-0000-0000-00001D000000}"/>
    <cellStyle name="20% - Accent1 2 2 2 2 2 2 2 3 3" xfId="5414" xr:uid="{00000000-0005-0000-0000-00001E000000}"/>
    <cellStyle name="20% - Accent1 2 2 2 2 2 2 2 4" xfId="33298" xr:uid="{00000000-0005-0000-0000-00001F000000}"/>
    <cellStyle name="20% - Accent1 2 2 2 2 2 2 2 4 2" xfId="16324" xr:uid="{00000000-0005-0000-0000-000020000000}"/>
    <cellStyle name="20% - Accent1 2 2 2 2 2 2 2 5" xfId="9017" xr:uid="{00000000-0005-0000-0000-000021000000}"/>
    <cellStyle name="20% - Accent1 2 2 2 2 2 2 3" xfId="2872" xr:uid="{00000000-0005-0000-0000-000022000000}"/>
    <cellStyle name="20% - Accent1 2 2 2 2 2 2 3 2" xfId="398" xr:uid="{00000000-0005-0000-0000-000023000000}"/>
    <cellStyle name="20% - Accent1 2 2 2 2 2 2 3 2 2" xfId="7193" xr:uid="{00000000-0005-0000-0000-000024000000}"/>
    <cellStyle name="20% - Accent1 2 2 2 2 2 2 3 2 2 2" xfId="13773" xr:uid="{00000000-0005-0000-0000-000025000000}"/>
    <cellStyle name="20% - Accent1 2 2 2 2 2 2 3 2 3" xfId="8582" xr:uid="{00000000-0005-0000-0000-000026000000}"/>
    <cellStyle name="20% - Accent1 2 2 2 2 2 2 3 3" xfId="71" xr:uid="{00000000-0005-0000-0000-000027000000}"/>
    <cellStyle name="20% - Accent1 2 2 2 2 2 2 3 3 2" xfId="10502" xr:uid="{00000000-0005-0000-0000-000028000000}"/>
    <cellStyle name="20% - Accent1 2 2 2 2 2 2 3 4" xfId="20" xr:uid="{00000000-0005-0000-0000-000029000000}"/>
    <cellStyle name="20% - Accent1 2 2 2 2 2 2 4" xfId="7381" xr:uid="{00000000-0005-0000-0000-00002A000000}"/>
    <cellStyle name="20% - Accent1 2 2 2 2 2 2 4 2" xfId="3369" xr:uid="{00000000-0005-0000-0000-00002B000000}"/>
    <cellStyle name="20% - Accent1 2 2 2 2 2 2 4 2 2" xfId="8676" xr:uid="{00000000-0005-0000-0000-00002C000000}"/>
    <cellStyle name="20% - Accent1 2 2 2 2 2 2 4 3" xfId="3390" xr:uid="{00000000-0005-0000-0000-00002D000000}"/>
    <cellStyle name="20% - Accent1 2 2 2 2 2 2 5" xfId="11118" xr:uid="{00000000-0005-0000-0000-00002E000000}"/>
    <cellStyle name="20% - Accent1 2 2 2 2 2 2 5 2" xfId="22810" xr:uid="{00000000-0005-0000-0000-00002F000000}"/>
    <cellStyle name="20% - Accent1 2 2 2 2 2 2 6" xfId="11122" xr:uid="{00000000-0005-0000-0000-000030000000}"/>
    <cellStyle name="20% - Accent1 2 2 2 2 2 3" xfId="2547" xr:uid="{00000000-0005-0000-0000-000031000000}"/>
    <cellStyle name="20% - Accent1 2 2 2 2 2 3 2" xfId="4488" xr:uid="{00000000-0005-0000-0000-000032000000}"/>
    <cellStyle name="20% - Accent1 2 2 2 2 2 3 2 2" xfId="3640" xr:uid="{00000000-0005-0000-0000-000033000000}"/>
    <cellStyle name="20% - Accent1 2 2 2 2 2 3 2 2 2" xfId="7219" xr:uid="{00000000-0005-0000-0000-000034000000}"/>
    <cellStyle name="20% - Accent1 2 2 2 2 2 3 2 2 2 2" xfId="3768" xr:uid="{00000000-0005-0000-0000-000035000000}"/>
    <cellStyle name="20% - Accent1 2 2 2 2 2 3 2 2 3" xfId="7229" xr:uid="{00000000-0005-0000-0000-000036000000}"/>
    <cellStyle name="20% - Accent1 2 2 2 2 2 3 2 3" xfId="5691" xr:uid="{00000000-0005-0000-0000-000037000000}"/>
    <cellStyle name="20% - Accent1 2 2 2 2 2 3 2 3 2" xfId="8407" xr:uid="{00000000-0005-0000-0000-000038000000}"/>
    <cellStyle name="20% - Accent1 2 2 2 2 2 3 2 4" xfId="1053" xr:uid="{00000000-0005-0000-0000-000039000000}"/>
    <cellStyle name="20% - Accent1 2 2 2 2 2 3 3" xfId="30989" xr:uid="{00000000-0005-0000-0000-00003A000000}"/>
    <cellStyle name="20% - Accent1 2 2 2 2 2 3 3 2" xfId="578" xr:uid="{00000000-0005-0000-0000-00003B000000}"/>
    <cellStyle name="20% - Accent1 2 2 2 2 2 3 3 2 2" xfId="20915" xr:uid="{00000000-0005-0000-0000-00003C000000}"/>
    <cellStyle name="20% - Accent1 2 2 2 2 2 3 3 3" xfId="5805" xr:uid="{00000000-0005-0000-0000-00003D000000}"/>
    <cellStyle name="20% - Accent1 2 2 2 2 2 3 4" xfId="11126" xr:uid="{00000000-0005-0000-0000-00003E000000}"/>
    <cellStyle name="20% - Accent1 2 2 2 2 2 3 4 2" xfId="308" xr:uid="{00000000-0005-0000-0000-00003F000000}"/>
    <cellStyle name="20% - Accent1 2 2 2 2 2 3 5" xfId="17001" xr:uid="{00000000-0005-0000-0000-000040000000}"/>
    <cellStyle name="20% - Accent1 2 2 2 2 2 4" xfId="223" xr:uid="{00000000-0005-0000-0000-000041000000}"/>
    <cellStyle name="20% - Accent1 2 2 2 2 2 4 2" xfId="4845" xr:uid="{00000000-0005-0000-0000-000042000000}"/>
    <cellStyle name="20% - Accent1 2 2 2 2 2 4 2 2" xfId="5188" xr:uid="{00000000-0005-0000-0000-000043000000}"/>
    <cellStyle name="20% - Accent1 2 2 2 2 2 4 2 2 2" xfId="9547" xr:uid="{00000000-0005-0000-0000-000044000000}"/>
    <cellStyle name="20% - Accent1 2 2 2 2 2 4 2 3" xfId="6219" xr:uid="{00000000-0005-0000-0000-000045000000}"/>
    <cellStyle name="20% - Accent1 2 2 2 2 2 4 3" xfId="2922" xr:uid="{00000000-0005-0000-0000-000046000000}"/>
    <cellStyle name="20% - Accent1 2 2 2 2 2 4 3 2" xfId="2995" xr:uid="{00000000-0005-0000-0000-000047000000}"/>
    <cellStyle name="20% - Accent1 2 2 2 2 2 4 4" xfId="5964" xr:uid="{00000000-0005-0000-0000-000048000000}"/>
    <cellStyle name="20% - Accent1 2 2 2 2 2 5" xfId="154" xr:uid="{00000000-0005-0000-0000-000049000000}"/>
    <cellStyle name="20% - Accent1 2 2 2 2 2 5 2" xfId="10202" xr:uid="{00000000-0005-0000-0000-00004A000000}"/>
    <cellStyle name="20% - Accent1 2 2 2 2 2 5 2 2" xfId="663" xr:uid="{00000000-0005-0000-0000-00004B000000}"/>
    <cellStyle name="20% - Accent1 2 2 2 2 2 5 3" xfId="12509" xr:uid="{00000000-0005-0000-0000-00004C000000}"/>
    <cellStyle name="20% - Accent1 2 2 2 2 2 6" xfId="246" xr:uid="{00000000-0005-0000-0000-00004D000000}"/>
    <cellStyle name="20% - Accent1 2 2 2 2 2 6 2" xfId="4077" xr:uid="{00000000-0005-0000-0000-00004E000000}"/>
    <cellStyle name="20% - Accent1 2 2 2 2 2 7" xfId="266" xr:uid="{00000000-0005-0000-0000-00004F000000}"/>
    <cellStyle name="20% - Accent1 2 2 2 2 3" xfId="6472" xr:uid="{00000000-0005-0000-0000-000050000000}"/>
    <cellStyle name="20% - Accent1 2 2 2 2 3 2" xfId="1025" xr:uid="{00000000-0005-0000-0000-000051000000}"/>
    <cellStyle name="20% - Accent1 2 2 2 2 3 2 2" xfId="4918" xr:uid="{00000000-0005-0000-0000-000052000000}"/>
    <cellStyle name="20% - Accent1 2 2 2 2 3 2 2 2" xfId="770" xr:uid="{00000000-0005-0000-0000-000053000000}"/>
    <cellStyle name="20% - Accent1 2 2 2 2 3 2 2 2 2" xfId="12577" xr:uid="{00000000-0005-0000-0000-000054000000}"/>
    <cellStyle name="20% - Accent1 2 2 2 2 3 2 2 2 2 2" xfId="14561" xr:uid="{00000000-0005-0000-0000-000055000000}"/>
    <cellStyle name="20% - Accent1 2 2 2 2 3 2 2 2 3" xfId="12585" xr:uid="{00000000-0005-0000-0000-000056000000}"/>
    <cellStyle name="20% - Accent1 2 2 2 2 3 2 2 3" xfId="123" xr:uid="{00000000-0005-0000-0000-000057000000}"/>
    <cellStyle name="20% - Accent1 2 2 2 2 3 2 2 3 2" xfId="12610" xr:uid="{00000000-0005-0000-0000-000058000000}"/>
    <cellStyle name="20% - Accent1 2 2 2 2 3 2 2 4" xfId="15674" xr:uid="{00000000-0005-0000-0000-000059000000}"/>
    <cellStyle name="20% - Accent1 2 2 2 2 3 2 3" xfId="31570" xr:uid="{00000000-0005-0000-0000-00005A000000}"/>
    <cellStyle name="20% - Accent1 2 2 2 2 3 2 3 2" xfId="27241" xr:uid="{00000000-0005-0000-0000-00005B000000}"/>
    <cellStyle name="20% - Accent1 2 2 2 2 3 2 3 2 2" xfId="7453" xr:uid="{00000000-0005-0000-0000-00005C000000}"/>
    <cellStyle name="20% - Accent1 2 2 2 2 3 2 3 3" xfId="26134" xr:uid="{00000000-0005-0000-0000-00005D000000}"/>
    <cellStyle name="20% - Accent1 2 2 2 2 3 2 4" xfId="9913" xr:uid="{00000000-0005-0000-0000-00005E000000}"/>
    <cellStyle name="20% - Accent1 2 2 2 2 3 2 4 2" xfId="27766" xr:uid="{00000000-0005-0000-0000-00005F000000}"/>
    <cellStyle name="20% - Accent1 2 2 2 2 3 2 5" xfId="2993" xr:uid="{00000000-0005-0000-0000-000060000000}"/>
    <cellStyle name="20% - Accent1 2 2 2 2 3 3" xfId="5220" xr:uid="{00000000-0005-0000-0000-000061000000}"/>
    <cellStyle name="20% - Accent1 2 2 2 2 3 3 2" xfId="9386" xr:uid="{00000000-0005-0000-0000-000062000000}"/>
    <cellStyle name="20% - Accent1 2 2 2 2 3 3 2 2" xfId="141" xr:uid="{00000000-0005-0000-0000-000063000000}"/>
    <cellStyle name="20% - Accent1 2 2 2 2 3 3 2 2 2" xfId="17549" xr:uid="{00000000-0005-0000-0000-000064000000}"/>
    <cellStyle name="20% - Accent1 2 2 2 2 3 3 2 3" xfId="5702" xr:uid="{00000000-0005-0000-0000-000065000000}"/>
    <cellStyle name="20% - Accent1 2 2 2 2 3 3 3" xfId="11162" xr:uid="{00000000-0005-0000-0000-000066000000}"/>
    <cellStyle name="20% - Accent1 2 2 2 2 3 3 3 2" xfId="153" xr:uid="{00000000-0005-0000-0000-000067000000}"/>
    <cellStyle name="20% - Accent1 2 2 2 2 3 3 4" xfId="10078" xr:uid="{00000000-0005-0000-0000-000068000000}"/>
    <cellStyle name="20% - Accent1 2 2 2 2 3 4" xfId="5225" xr:uid="{00000000-0005-0000-0000-000069000000}"/>
    <cellStyle name="20% - Accent1 2 2 2 2 3 4 2" xfId="7917" xr:uid="{00000000-0005-0000-0000-00006A000000}"/>
    <cellStyle name="20% - Accent1 2 2 2 2 3 4 2 2" xfId="366" xr:uid="{00000000-0005-0000-0000-00006B000000}"/>
    <cellStyle name="20% - Accent1 2 2 2 2 3 4 3" xfId="7740" xr:uid="{00000000-0005-0000-0000-00006C000000}"/>
    <cellStyle name="20% - Accent1 2 2 2 2 3 5" xfId="252" xr:uid="{00000000-0005-0000-0000-00006D000000}"/>
    <cellStyle name="20% - Accent1 2 2 2 2 3 5 2" xfId="12537" xr:uid="{00000000-0005-0000-0000-00006E000000}"/>
    <cellStyle name="20% - Accent1 2 2 2 2 3 6" xfId="129" xr:uid="{00000000-0005-0000-0000-00006F000000}"/>
    <cellStyle name="20% - Accent1 2 2 2 2 4" xfId="6476" xr:uid="{00000000-0005-0000-0000-000070000000}"/>
    <cellStyle name="20% - Accent1 2 2 2 2 4 2" xfId="166" xr:uid="{00000000-0005-0000-0000-000071000000}"/>
    <cellStyle name="20% - Accent1 2 2 2 2 4 2 2" xfId="1767" xr:uid="{00000000-0005-0000-0000-000072000000}"/>
    <cellStyle name="20% - Accent1 2 2 2 2 4 2 2 2" xfId="177" xr:uid="{00000000-0005-0000-0000-000073000000}"/>
    <cellStyle name="20% - Accent1 2 2 2 2 4 2 2 2 2" xfId="13789" xr:uid="{00000000-0005-0000-0000-000074000000}"/>
    <cellStyle name="20% - Accent1 2 2 2 2 4 2 2 3" xfId="1572" xr:uid="{00000000-0005-0000-0000-000075000000}"/>
    <cellStyle name="20% - Accent1 2 2 2 2 4 2 3" xfId="4237" xr:uid="{00000000-0005-0000-0000-000076000000}"/>
    <cellStyle name="20% - Accent1 2 2 2 2 4 2 3 2" xfId="1787" xr:uid="{00000000-0005-0000-0000-000077000000}"/>
    <cellStyle name="20% - Accent1 2 2 2 2 4 2 4" xfId="12616" xr:uid="{00000000-0005-0000-0000-000078000000}"/>
    <cellStyle name="20% - Accent1 2 2 2 2 4 3" xfId="456" xr:uid="{00000000-0005-0000-0000-000079000000}"/>
    <cellStyle name="20% - Accent1 2 2 2 2 4 3 2" xfId="2259" xr:uid="{00000000-0005-0000-0000-00007A000000}"/>
    <cellStyle name="20% - Accent1 2 2 2 2 4 3 2 2" xfId="188" xr:uid="{00000000-0005-0000-0000-00007B000000}"/>
    <cellStyle name="20% - Accent1 2 2 2 2 4 3 3" xfId="11177" xr:uid="{00000000-0005-0000-0000-00007C000000}"/>
    <cellStyle name="20% - Accent1 2 2 2 2 4 4" xfId="7260" xr:uid="{00000000-0005-0000-0000-00007D000000}"/>
    <cellStyle name="20% - Accent1 2 2 2 2 4 4 2" xfId="3522" xr:uid="{00000000-0005-0000-0000-00007E000000}"/>
    <cellStyle name="20% - Accent1 2 2 2 2 4 5" xfId="101" xr:uid="{00000000-0005-0000-0000-00007F000000}"/>
    <cellStyle name="20% - Accent1 2 2 2 2 5" xfId="23831" xr:uid="{00000000-0005-0000-0000-000080000000}"/>
    <cellStyle name="20% - Accent1 2 2 2 2 5 2" xfId="8453" xr:uid="{00000000-0005-0000-0000-000081000000}"/>
    <cellStyle name="20% - Accent1 2 2 2 2 5 2 2" xfId="3536" xr:uid="{00000000-0005-0000-0000-000082000000}"/>
    <cellStyle name="20% - Accent1 2 2 2 2 5 2 2 2" xfId="12398" xr:uid="{00000000-0005-0000-0000-000083000000}"/>
    <cellStyle name="20% - Accent1 2 2 2 2 5 2 3" xfId="11184" xr:uid="{00000000-0005-0000-0000-000084000000}"/>
    <cellStyle name="20% - Accent1 2 2 2 2 5 3" xfId="2758" xr:uid="{00000000-0005-0000-0000-000085000000}"/>
    <cellStyle name="20% - Accent1 2 2 2 2 5 3 2" xfId="11192" xr:uid="{00000000-0005-0000-0000-000086000000}"/>
    <cellStyle name="20% - Accent1 2 2 2 2 5 4" xfId="4355" xr:uid="{00000000-0005-0000-0000-000087000000}"/>
    <cellStyle name="20% - Accent1 2 2 2 2 6" xfId="33566" xr:uid="{00000000-0005-0000-0000-000088000000}"/>
    <cellStyle name="20% - Accent1 2 2 2 2 6 2" xfId="24396" xr:uid="{00000000-0005-0000-0000-000089000000}"/>
    <cellStyle name="20% - Accent1 2 2 2 2 6 2 2" xfId="3574" xr:uid="{00000000-0005-0000-0000-00008A000000}"/>
    <cellStyle name="20% - Accent1 2 2 2 2 6 3" xfId="910" xr:uid="{00000000-0005-0000-0000-00008B000000}"/>
    <cellStyle name="20% - Accent1 2 2 2 2 7" xfId="30709" xr:uid="{00000000-0005-0000-0000-00008C000000}"/>
    <cellStyle name="20% - Accent1 2 2 2 2 7 2" xfId="31786" xr:uid="{00000000-0005-0000-0000-00008D000000}"/>
    <cellStyle name="20% - Accent1 2 2 2 2 8" xfId="23" xr:uid="{00000000-0005-0000-0000-00008E000000}"/>
    <cellStyle name="20% - Accent1 2 2 2 3" xfId="3814" xr:uid="{00000000-0005-0000-0000-00008F000000}"/>
    <cellStyle name="20% - Accent1 2 2 2 3 2" xfId="22708" xr:uid="{00000000-0005-0000-0000-000090000000}"/>
    <cellStyle name="20% - Accent1 2 2 2 3 2 2" xfId="18606" xr:uid="{00000000-0005-0000-0000-000091000000}"/>
    <cellStyle name="20% - Accent1 2 2 2 3 2 2 2" xfId="9132" xr:uid="{00000000-0005-0000-0000-000092000000}"/>
    <cellStyle name="20% - Accent1 2 2 2 3 2 2 2 2" xfId="12682" xr:uid="{00000000-0005-0000-0000-000093000000}"/>
    <cellStyle name="20% - Accent1 2 2 2 3 2 2 2 2 2" xfId="12424" xr:uid="{00000000-0005-0000-0000-000094000000}"/>
    <cellStyle name="20% - Accent1 2 2 2 3 2 2 2 2 2 2" xfId="9372" xr:uid="{00000000-0005-0000-0000-000095000000}"/>
    <cellStyle name="20% - Accent1 2 2 2 3 2 2 2 2 3" xfId="8309" xr:uid="{00000000-0005-0000-0000-000096000000}"/>
    <cellStyle name="20% - Accent1 2 2 2 3 2 2 2 3" xfId="10980" xr:uid="{00000000-0005-0000-0000-000097000000}"/>
    <cellStyle name="20% - Accent1 2 2 2 3 2 2 2 3 2" xfId="8262" xr:uid="{00000000-0005-0000-0000-000098000000}"/>
    <cellStyle name="20% - Accent1 2 2 2 3 2 2 2 4" xfId="11022" xr:uid="{00000000-0005-0000-0000-000099000000}"/>
    <cellStyle name="20% - Accent1 2 2 2 3 2 2 3" xfId="9615" xr:uid="{00000000-0005-0000-0000-00009A000000}"/>
    <cellStyle name="20% - Accent1 2 2 2 3 2 2 3 2" xfId="10845" xr:uid="{00000000-0005-0000-0000-00009B000000}"/>
    <cellStyle name="20% - Accent1 2 2 2 3 2 2 3 2 2" xfId="8271" xr:uid="{00000000-0005-0000-0000-00009C000000}"/>
    <cellStyle name="20% - Accent1 2 2 2 3 2 2 3 3" xfId="1304" xr:uid="{00000000-0005-0000-0000-00009D000000}"/>
    <cellStyle name="20% - Accent1 2 2 2 3 2 2 4" xfId="11297" xr:uid="{00000000-0005-0000-0000-00009E000000}"/>
    <cellStyle name="20% - Accent1 2 2 2 3 2 2 4 2" xfId="18693" xr:uid="{00000000-0005-0000-0000-00009F000000}"/>
    <cellStyle name="20% - Accent1 2 2 2 3 2 2 5" xfId="8324" xr:uid="{00000000-0005-0000-0000-0000A0000000}"/>
    <cellStyle name="20% - Accent1 2 2 2 3 2 3" xfId="20599" xr:uid="{00000000-0005-0000-0000-0000A1000000}"/>
    <cellStyle name="20% - Accent1 2 2 2 3 2 3 2" xfId="9642" xr:uid="{00000000-0005-0000-0000-0000A2000000}"/>
    <cellStyle name="20% - Accent1 2 2 2 3 2 3 2 2" xfId="24778" xr:uid="{00000000-0005-0000-0000-0000A3000000}"/>
    <cellStyle name="20% - Accent1 2 2 2 3 2 3 2 2 2" xfId="12481" xr:uid="{00000000-0005-0000-0000-0000A4000000}"/>
    <cellStyle name="20% - Accent1 2 2 2 3 2 3 2 3" xfId="22535" xr:uid="{00000000-0005-0000-0000-0000A5000000}"/>
    <cellStyle name="20% - Accent1 2 2 2 3 2 3 3" xfId="11303" xr:uid="{00000000-0005-0000-0000-0000A6000000}"/>
    <cellStyle name="20% - Accent1 2 2 2 3 2 3 3 2" xfId="12807" xr:uid="{00000000-0005-0000-0000-0000A7000000}"/>
    <cellStyle name="20% - Accent1 2 2 2 3 2 3 4" xfId="11307" xr:uid="{00000000-0005-0000-0000-0000A8000000}"/>
    <cellStyle name="20% - Accent1 2 2 2 3 2 4" xfId="20626" xr:uid="{00000000-0005-0000-0000-0000A9000000}"/>
    <cellStyle name="20% - Accent1 2 2 2 3 2 4 2" xfId="5023" xr:uid="{00000000-0005-0000-0000-0000AA000000}"/>
    <cellStyle name="20% - Accent1 2 2 2 3 2 4 2 2" xfId="17222" xr:uid="{00000000-0005-0000-0000-0000AB000000}"/>
    <cellStyle name="20% - Accent1 2 2 2 3 2 4 3" xfId="16532" xr:uid="{00000000-0005-0000-0000-0000AC000000}"/>
    <cellStyle name="20% - Accent1 2 2 2 3 2 5" xfId="18861" xr:uid="{00000000-0005-0000-0000-0000AD000000}"/>
    <cellStyle name="20% - Accent1 2 2 2 3 2 5 2" xfId="14201" xr:uid="{00000000-0005-0000-0000-0000AE000000}"/>
    <cellStyle name="20% - Accent1 2 2 2 3 2 6" xfId="20635" xr:uid="{00000000-0005-0000-0000-0000AF000000}"/>
    <cellStyle name="20% - Accent1 2 2 2 3 3" xfId="22729" xr:uid="{00000000-0005-0000-0000-0000B0000000}"/>
    <cellStyle name="20% - Accent1 2 2 2 3 3 2" xfId="22730" xr:uid="{00000000-0005-0000-0000-0000B1000000}"/>
    <cellStyle name="20% - Accent1 2 2 2 3 3 2 2" xfId="9924" xr:uid="{00000000-0005-0000-0000-0000B2000000}"/>
    <cellStyle name="20% - Accent1 2 2 2 3 3 2 2 2" xfId="32979" xr:uid="{00000000-0005-0000-0000-0000B3000000}"/>
    <cellStyle name="20% - Accent1 2 2 2 3 3 2 2 2 2" xfId="14719" xr:uid="{00000000-0005-0000-0000-0000B4000000}"/>
    <cellStyle name="20% - Accent1 2 2 2 3 3 2 2 3" xfId="11454" xr:uid="{00000000-0005-0000-0000-0000B5000000}"/>
    <cellStyle name="20% - Accent1 2 2 2 3 3 2 3" xfId="11322" xr:uid="{00000000-0005-0000-0000-0000B6000000}"/>
    <cellStyle name="20% - Accent1 2 2 2 3 3 2 3 2" xfId="12956" xr:uid="{00000000-0005-0000-0000-0000B7000000}"/>
    <cellStyle name="20% - Accent1 2 2 2 3 3 2 4" xfId="10397" xr:uid="{00000000-0005-0000-0000-0000B8000000}"/>
    <cellStyle name="20% - Accent1 2 2 2 3 3 3" xfId="20645" xr:uid="{00000000-0005-0000-0000-0000B9000000}"/>
    <cellStyle name="20% - Accent1 2 2 2 3 3 3 2" xfId="11327" xr:uid="{00000000-0005-0000-0000-0000BA000000}"/>
    <cellStyle name="20% - Accent1 2 2 2 3 3 3 2 2" xfId="7223" xr:uid="{00000000-0005-0000-0000-0000BB000000}"/>
    <cellStyle name="20% - Accent1 2 2 2 3 3 3 3" xfId="11332" xr:uid="{00000000-0005-0000-0000-0000BC000000}"/>
    <cellStyle name="20% - Accent1 2 2 2 3 3 4" xfId="20668" xr:uid="{00000000-0005-0000-0000-0000BD000000}"/>
    <cellStyle name="20% - Accent1 2 2 2 3 3 4 2" xfId="5101" xr:uid="{00000000-0005-0000-0000-0000BE000000}"/>
    <cellStyle name="20% - Accent1 2 2 2 3 3 5" xfId="20681" xr:uid="{00000000-0005-0000-0000-0000BF000000}"/>
    <cellStyle name="20% - Accent1 2 2 2 3 4" xfId="22742" xr:uid="{00000000-0005-0000-0000-0000C0000000}"/>
    <cellStyle name="20% - Accent1 2 2 2 3 4 2" xfId="25874" xr:uid="{00000000-0005-0000-0000-0000C1000000}"/>
    <cellStyle name="20% - Accent1 2 2 2 3 4 2 2" xfId="2461" xr:uid="{00000000-0005-0000-0000-0000C2000000}"/>
    <cellStyle name="20% - Accent1 2 2 2 3 4 2 2 2" xfId="13034" xr:uid="{00000000-0005-0000-0000-0000C3000000}"/>
    <cellStyle name="20% - Accent1 2 2 2 3 4 2 3" xfId="4731" xr:uid="{00000000-0005-0000-0000-0000C4000000}"/>
    <cellStyle name="20% - Accent1 2 2 2 3 4 3" xfId="20685" xr:uid="{00000000-0005-0000-0000-0000C5000000}"/>
    <cellStyle name="20% - Accent1 2 2 2 3 4 3 2" xfId="11342" xr:uid="{00000000-0005-0000-0000-0000C6000000}"/>
    <cellStyle name="20% - Accent1 2 2 2 3 4 4" xfId="20708" xr:uid="{00000000-0005-0000-0000-0000C7000000}"/>
    <cellStyle name="20% - Accent1 2 2 2 3 5" xfId="10816" xr:uid="{00000000-0005-0000-0000-0000C8000000}"/>
    <cellStyle name="20% - Accent1 2 2 2 3 5 2" xfId="22749" xr:uid="{00000000-0005-0000-0000-0000C9000000}"/>
    <cellStyle name="20% - Accent1 2 2 2 3 5 2 2" xfId="11349" xr:uid="{00000000-0005-0000-0000-0000CA000000}"/>
    <cellStyle name="20% - Accent1 2 2 2 3 5 3" xfId="20714" xr:uid="{00000000-0005-0000-0000-0000CB000000}"/>
    <cellStyle name="20% - Accent1 2 2 2 3 6" xfId="14149" xr:uid="{00000000-0005-0000-0000-0000CC000000}"/>
    <cellStyle name="20% - Accent1 2 2 2 3 6 2" xfId="3958" xr:uid="{00000000-0005-0000-0000-0000CD000000}"/>
    <cellStyle name="20% - Accent1 2 2 2 3 7" xfId="8285" xr:uid="{00000000-0005-0000-0000-0000CE000000}"/>
    <cellStyle name="20% - Accent1 2 2 2 4" xfId="426" xr:uid="{00000000-0005-0000-0000-0000CF000000}"/>
    <cellStyle name="20% - Accent1 2 2 2 4 2" xfId="22782" xr:uid="{00000000-0005-0000-0000-0000D0000000}"/>
    <cellStyle name="20% - Accent1 2 2 2 4 2 2" xfId="17938" xr:uid="{00000000-0005-0000-0000-0000D1000000}"/>
    <cellStyle name="20% - Accent1 2 2 2 4 2 2 2" xfId="9778" xr:uid="{00000000-0005-0000-0000-0000D2000000}"/>
    <cellStyle name="20% - Accent1 2 2 2 4 2 2 2 2" xfId="30611" xr:uid="{00000000-0005-0000-0000-0000D3000000}"/>
    <cellStyle name="20% - Accent1 2 2 2 4 2 2 2 2 2" xfId="8639" xr:uid="{00000000-0005-0000-0000-0000D4000000}"/>
    <cellStyle name="20% - Accent1 2 2 2 4 2 2 2 3" xfId="12284" xr:uid="{00000000-0005-0000-0000-0000D5000000}"/>
    <cellStyle name="20% - Accent1 2 2 2 4 2 2 3" xfId="18877" xr:uid="{00000000-0005-0000-0000-0000D6000000}"/>
    <cellStyle name="20% - Accent1 2 2 2 4 2 2 3 2" xfId="12490" xr:uid="{00000000-0005-0000-0000-0000D7000000}"/>
    <cellStyle name="20% - Accent1 2 2 2 4 2 2 4" xfId="11383" xr:uid="{00000000-0005-0000-0000-0000D8000000}"/>
    <cellStyle name="20% - Accent1 2 2 2 4 2 3" xfId="20821" xr:uid="{00000000-0005-0000-0000-0000D9000000}"/>
    <cellStyle name="20% - Accent1 2 2 2 4 2 3 2" xfId="3795" xr:uid="{00000000-0005-0000-0000-0000DA000000}"/>
    <cellStyle name="20% - Accent1 2 2 2 4 2 3 2 2" xfId="26836" xr:uid="{00000000-0005-0000-0000-0000DB000000}"/>
    <cellStyle name="20% - Accent1 2 2 2 4 2 3 3" xfId="18401" xr:uid="{00000000-0005-0000-0000-0000DC000000}"/>
    <cellStyle name="20% - Accent1 2 2 2 4 2 4" xfId="20900" xr:uid="{00000000-0005-0000-0000-0000DD000000}"/>
    <cellStyle name="20% - Accent1 2 2 2 4 2 4 2" xfId="10070" xr:uid="{00000000-0005-0000-0000-0000DE000000}"/>
    <cellStyle name="20% - Accent1 2 2 2 4 2 5" xfId="20852" xr:uid="{00000000-0005-0000-0000-0000DF000000}"/>
    <cellStyle name="20% - Accent1 2 2 2 4 3" xfId="22784" xr:uid="{00000000-0005-0000-0000-0000E0000000}"/>
    <cellStyle name="20% - Accent1 2 2 2 4 3 2" xfId="22788" xr:uid="{00000000-0005-0000-0000-0000E1000000}"/>
    <cellStyle name="20% - Accent1 2 2 2 4 3 2 2" xfId="15466" xr:uid="{00000000-0005-0000-0000-0000E2000000}"/>
    <cellStyle name="20% - Accent1 2 2 2 4 3 2 2 2" xfId="13190" xr:uid="{00000000-0005-0000-0000-0000E3000000}"/>
    <cellStyle name="20% - Accent1 2 2 2 4 3 2 3" xfId="19539" xr:uid="{00000000-0005-0000-0000-0000E4000000}"/>
    <cellStyle name="20% - Accent1 2 2 2 4 3 3" xfId="20857" xr:uid="{00000000-0005-0000-0000-0000E5000000}"/>
    <cellStyle name="20% - Accent1 2 2 2 4 3 3 2" xfId="18790" xr:uid="{00000000-0005-0000-0000-0000E6000000}"/>
    <cellStyle name="20% - Accent1 2 2 2 4 3 4" xfId="20877" xr:uid="{00000000-0005-0000-0000-0000E7000000}"/>
    <cellStyle name="20% - Accent1 2 2 2 4 4" xfId="15198" xr:uid="{00000000-0005-0000-0000-0000E8000000}"/>
    <cellStyle name="20% - Accent1 2 2 2 4 4 2" xfId="22798" xr:uid="{00000000-0005-0000-0000-0000E9000000}"/>
    <cellStyle name="20% - Accent1 2 2 2 4 4 2 2" xfId="22193" xr:uid="{00000000-0005-0000-0000-0000EA000000}"/>
    <cellStyle name="20% - Accent1 2 2 2 4 4 3" xfId="20885" xr:uid="{00000000-0005-0000-0000-0000EB000000}"/>
    <cellStyle name="20% - Accent1 2 2 2 4 5" xfId="10459" xr:uid="{00000000-0005-0000-0000-0000EC000000}"/>
    <cellStyle name="20% - Accent1 2 2 2 4 5 2" xfId="4629" xr:uid="{00000000-0005-0000-0000-0000ED000000}"/>
    <cellStyle name="20% - Accent1 2 2 2 4 6" xfId="6573" xr:uid="{00000000-0005-0000-0000-0000EE000000}"/>
    <cellStyle name="20% - Accent1 2 2 2 5" xfId="918" xr:uid="{00000000-0005-0000-0000-0000EF000000}"/>
    <cellStyle name="20% - Accent1 2 2 2 5 2" xfId="22825" xr:uid="{00000000-0005-0000-0000-0000F0000000}"/>
    <cellStyle name="20% - Accent1 2 2 2 5 2 2" xfId="22827" xr:uid="{00000000-0005-0000-0000-0000F1000000}"/>
    <cellStyle name="20% - Accent1 2 2 2 5 2 2 2" xfId="11426" xr:uid="{00000000-0005-0000-0000-0000F2000000}"/>
    <cellStyle name="20% - Accent1 2 2 2 5 2 2 2 2" xfId="10673" xr:uid="{00000000-0005-0000-0000-0000F3000000}"/>
    <cellStyle name="20% - Accent1 2 2 2 5 2 2 3" xfId="14608" xr:uid="{00000000-0005-0000-0000-0000F4000000}"/>
    <cellStyle name="20% - Accent1 2 2 2 5 2 3" xfId="20998" xr:uid="{00000000-0005-0000-0000-0000F5000000}"/>
    <cellStyle name="20% - Accent1 2 2 2 5 2 3 2" xfId="11429" xr:uid="{00000000-0005-0000-0000-0000F6000000}"/>
    <cellStyle name="20% - Accent1 2 2 2 5 2 4" xfId="21025" xr:uid="{00000000-0005-0000-0000-0000F7000000}"/>
    <cellStyle name="20% - Accent1 2 2 2 5 3" xfId="18496" xr:uid="{00000000-0005-0000-0000-0000F8000000}"/>
    <cellStyle name="20% - Accent1 2 2 2 5 3 2" xfId="6331" xr:uid="{00000000-0005-0000-0000-0000F9000000}"/>
    <cellStyle name="20% - Accent1 2 2 2 5 3 2 2" xfId="18835" xr:uid="{00000000-0005-0000-0000-0000FA000000}"/>
    <cellStyle name="20% - Accent1 2 2 2 5 3 3" xfId="21032" xr:uid="{00000000-0005-0000-0000-0000FB000000}"/>
    <cellStyle name="20% - Accent1 2 2 2 5 4" xfId="22835" xr:uid="{00000000-0005-0000-0000-0000FC000000}"/>
    <cellStyle name="20% - Accent1 2 2 2 5 4 2" xfId="22838" xr:uid="{00000000-0005-0000-0000-0000FD000000}"/>
    <cellStyle name="20% - Accent1 2 2 2 5 5" xfId="26724" xr:uid="{00000000-0005-0000-0000-0000FE000000}"/>
    <cellStyle name="20% - Accent1 2 2 2 6" xfId="1988" xr:uid="{00000000-0005-0000-0000-0000FF000000}"/>
    <cellStyle name="20% - Accent1 2 2 2 6 2" xfId="20071" xr:uid="{00000000-0005-0000-0000-000000010000}"/>
    <cellStyle name="20% - Accent1 2 2 2 6 2 2" xfId="20074" xr:uid="{00000000-0005-0000-0000-000001010000}"/>
    <cellStyle name="20% - Accent1 2 2 2 6 2 2 2" xfId="11441" xr:uid="{00000000-0005-0000-0000-000002010000}"/>
    <cellStyle name="20% - Accent1 2 2 2 6 2 3" xfId="21091" xr:uid="{00000000-0005-0000-0000-000003010000}"/>
    <cellStyle name="20% - Accent1 2 2 2 6 3" xfId="20084" xr:uid="{00000000-0005-0000-0000-000004010000}"/>
    <cellStyle name="20% - Accent1 2 2 2 6 3 2" xfId="22843" xr:uid="{00000000-0005-0000-0000-000005010000}"/>
    <cellStyle name="20% - Accent1 2 2 2 6 4" xfId="22846" xr:uid="{00000000-0005-0000-0000-000006010000}"/>
    <cellStyle name="20% - Accent1 2 2 2 7" xfId="3512" xr:uid="{00000000-0005-0000-0000-000007010000}"/>
    <cellStyle name="20% - Accent1 2 2 2 7 2" xfId="19752" xr:uid="{00000000-0005-0000-0000-000008010000}"/>
    <cellStyle name="20% - Accent1 2 2 2 7 2 2" xfId="22852" xr:uid="{00000000-0005-0000-0000-000009010000}"/>
    <cellStyle name="20% - Accent1 2 2 2 7 3" xfId="22854" xr:uid="{00000000-0005-0000-0000-00000A010000}"/>
    <cellStyle name="20% - Accent1 2 2 2 8" xfId="5176" xr:uid="{00000000-0005-0000-0000-00000B010000}"/>
    <cellStyle name="20% - Accent1 2 2 2 8 2" xfId="22868" xr:uid="{00000000-0005-0000-0000-00000C010000}"/>
    <cellStyle name="20% - Accent1 2 2 2 9" xfId="26721" xr:uid="{00000000-0005-0000-0000-00000D010000}"/>
    <cellStyle name="20% - Accent1 2 2 3" xfId="25897" xr:uid="{00000000-0005-0000-0000-00000E010000}"/>
    <cellStyle name="20% - Accent1 2 2 3 2" xfId="2831" xr:uid="{00000000-0005-0000-0000-00000F010000}"/>
    <cellStyle name="20% - Accent1 2 2 3 2 2" xfId="311" xr:uid="{00000000-0005-0000-0000-000010010000}"/>
    <cellStyle name="20% - Accent1 2 2 3 2 2 2" xfId="774" xr:uid="{00000000-0005-0000-0000-000011010000}"/>
    <cellStyle name="20% - Accent1 2 2 3 2 2 2 2" xfId="4003" xr:uid="{00000000-0005-0000-0000-000012010000}"/>
    <cellStyle name="20% - Accent1 2 2 3 2 2 2 2 2" xfId="17418" xr:uid="{00000000-0005-0000-0000-000013010000}"/>
    <cellStyle name="20% - Accent1 2 2 3 2 2 2 2 2 2" xfId="10908" xr:uid="{00000000-0005-0000-0000-000014010000}"/>
    <cellStyle name="20% - Accent1 2 2 3 2 2 2 2 2 2 2" xfId="1283" xr:uid="{00000000-0005-0000-0000-000015010000}"/>
    <cellStyle name="20% - Accent1 2 2 3 2 2 2 2 2 3" xfId="25518" xr:uid="{00000000-0005-0000-0000-000016010000}"/>
    <cellStyle name="20% - Accent1 2 2 3 2 2 2 2 3" xfId="19175" xr:uid="{00000000-0005-0000-0000-000017010000}"/>
    <cellStyle name="20% - Accent1 2 2 3 2 2 2 2 3 2" xfId="9499" xr:uid="{00000000-0005-0000-0000-000018010000}"/>
    <cellStyle name="20% - Accent1 2 2 3 2 2 2 2 4" xfId="22961" xr:uid="{00000000-0005-0000-0000-000019010000}"/>
    <cellStyle name="20% - Accent1 2 2 3 2 2 2 3" xfId="33986" xr:uid="{00000000-0005-0000-0000-00001A010000}"/>
    <cellStyle name="20% - Accent1 2 2 3 2 2 2 3 2" xfId="19180" xr:uid="{00000000-0005-0000-0000-00001B010000}"/>
    <cellStyle name="20% - Accent1 2 2 3 2 2 2 3 2 2" xfId="9514" xr:uid="{00000000-0005-0000-0000-00001C010000}"/>
    <cellStyle name="20% - Accent1 2 2 3 2 2 2 3 3" xfId="25660" xr:uid="{00000000-0005-0000-0000-00001D010000}"/>
    <cellStyle name="20% - Accent1 2 2 3 2 2 2 4" xfId="15481" xr:uid="{00000000-0005-0000-0000-00001E010000}"/>
    <cellStyle name="20% - Accent1 2 2 3 2 2 2 4 2" xfId="16786" xr:uid="{00000000-0005-0000-0000-00001F010000}"/>
    <cellStyle name="20% - Accent1 2 2 3 2 2 2 5" xfId="15487" xr:uid="{00000000-0005-0000-0000-000020010000}"/>
    <cellStyle name="20% - Accent1 2 2 3 2 2 3" xfId="485" xr:uid="{00000000-0005-0000-0000-000021010000}"/>
    <cellStyle name="20% - Accent1 2 2 3 2 2 3 2" xfId="15492" xr:uid="{00000000-0005-0000-0000-000022010000}"/>
    <cellStyle name="20% - Accent1 2 2 3 2 2 3 2 2" xfId="19184" xr:uid="{00000000-0005-0000-0000-000023010000}"/>
    <cellStyle name="20% - Accent1 2 2 3 2 2 3 2 2 2" xfId="12516" xr:uid="{00000000-0005-0000-0000-000024010000}"/>
    <cellStyle name="20% - Accent1 2 2 3 2 2 3 2 3" xfId="10496" xr:uid="{00000000-0005-0000-0000-000025010000}"/>
    <cellStyle name="20% - Accent1 2 2 3 2 2 3 3" xfId="12654" xr:uid="{00000000-0005-0000-0000-000026010000}"/>
    <cellStyle name="20% - Accent1 2 2 3 2 2 3 3 2" xfId="1440" xr:uid="{00000000-0005-0000-0000-000027010000}"/>
    <cellStyle name="20% - Accent1 2 2 3 2 2 3 4" xfId="11511" xr:uid="{00000000-0005-0000-0000-000028010000}"/>
    <cellStyle name="20% - Accent1 2 2 3 2 2 4" xfId="2014" xr:uid="{00000000-0005-0000-0000-000029010000}"/>
    <cellStyle name="20% - Accent1 2 2 3 2 2 4 2" xfId="15510" xr:uid="{00000000-0005-0000-0000-00002A010000}"/>
    <cellStyle name="20% - Accent1 2 2 3 2 2 4 2 2" xfId="3952" xr:uid="{00000000-0005-0000-0000-00002B010000}"/>
    <cellStyle name="20% - Accent1 2 2 3 2 2 4 3" xfId="11516" xr:uid="{00000000-0005-0000-0000-00002C010000}"/>
    <cellStyle name="20% - Accent1 2 2 3 2 2 5" xfId="384" xr:uid="{00000000-0005-0000-0000-00002D010000}"/>
    <cellStyle name="20% - Accent1 2 2 3 2 2 5 2" xfId="4573" xr:uid="{00000000-0005-0000-0000-00002E010000}"/>
    <cellStyle name="20% - Accent1 2 2 3 2 2 6" xfId="1599" xr:uid="{00000000-0005-0000-0000-00002F010000}"/>
    <cellStyle name="20% - Accent1 2 2 3 2 3" xfId="6487" xr:uid="{00000000-0005-0000-0000-000030010000}"/>
    <cellStyle name="20% - Accent1 2 2 3 2 3 2" xfId="397" xr:uid="{00000000-0005-0000-0000-000031010000}"/>
    <cellStyle name="20% - Accent1 2 2 3 2 3 2 2" xfId="10948" xr:uid="{00000000-0005-0000-0000-000032010000}"/>
    <cellStyle name="20% - Accent1 2 2 3 2 3 2 2 2" xfId="5130" xr:uid="{00000000-0005-0000-0000-000033010000}"/>
    <cellStyle name="20% - Accent1 2 2 3 2 3 2 2 2 2" xfId="9714" xr:uid="{00000000-0005-0000-0000-000034010000}"/>
    <cellStyle name="20% - Accent1 2 2 3 2 3 2 2 3" xfId="5831" xr:uid="{00000000-0005-0000-0000-000035010000}"/>
    <cellStyle name="20% - Accent1 2 2 3 2 3 2 3" xfId="12257" xr:uid="{00000000-0005-0000-0000-000036010000}"/>
    <cellStyle name="20% - Accent1 2 2 3 2 3 2 3 2" xfId="3846" xr:uid="{00000000-0005-0000-0000-000037010000}"/>
    <cellStyle name="20% - Accent1 2 2 3 2 3 2 4" xfId="15523" xr:uid="{00000000-0005-0000-0000-000038010000}"/>
    <cellStyle name="20% - Accent1 2 2 3 2 3 3" xfId="11010" xr:uid="{00000000-0005-0000-0000-000039010000}"/>
    <cellStyle name="20% - Accent1 2 2 3 2 3 3 2" xfId="11523" xr:uid="{00000000-0005-0000-0000-00003A010000}"/>
    <cellStyle name="20% - Accent1 2 2 3 2 3 3 2 2" xfId="514" xr:uid="{00000000-0005-0000-0000-00003B010000}"/>
    <cellStyle name="20% - Accent1 2 2 3 2 3 3 3" xfId="11528" xr:uid="{00000000-0005-0000-0000-00003C010000}"/>
    <cellStyle name="20% - Accent1 2 2 3 2 3 4" xfId="401" xr:uid="{00000000-0005-0000-0000-00003D010000}"/>
    <cellStyle name="20% - Accent1 2 2 3 2 3 4 2" xfId="4089" xr:uid="{00000000-0005-0000-0000-00003E010000}"/>
    <cellStyle name="20% - Accent1 2 2 3 2 3 5" xfId="511" xr:uid="{00000000-0005-0000-0000-00003F010000}"/>
    <cellStyle name="20% - Accent1 2 2 3 2 4" xfId="415" xr:uid="{00000000-0005-0000-0000-000040010000}"/>
    <cellStyle name="20% - Accent1 2 2 3 2 4 2" xfId="831" xr:uid="{00000000-0005-0000-0000-000041010000}"/>
    <cellStyle name="20% - Accent1 2 2 3 2 4 2 2" xfId="19299" xr:uid="{00000000-0005-0000-0000-000042010000}"/>
    <cellStyle name="20% - Accent1 2 2 3 2 4 2 2 2" xfId="2554" xr:uid="{00000000-0005-0000-0000-000043010000}"/>
    <cellStyle name="20% - Accent1 2 2 3 2 4 2 3" xfId="19306" xr:uid="{00000000-0005-0000-0000-000044010000}"/>
    <cellStyle name="20% - Accent1 2 2 3 2 4 3" xfId="835" xr:uid="{00000000-0005-0000-0000-000045010000}"/>
    <cellStyle name="20% - Accent1 2 2 3 2 4 3 2" xfId="11541" xr:uid="{00000000-0005-0000-0000-000046010000}"/>
    <cellStyle name="20% - Accent1 2 2 3 2 4 4" xfId="497" xr:uid="{00000000-0005-0000-0000-000047010000}"/>
    <cellStyle name="20% - Accent1 2 2 3 2 5" xfId="169" xr:uid="{00000000-0005-0000-0000-000048010000}"/>
    <cellStyle name="20% - Accent1 2 2 3 2 5 2" xfId="3028" xr:uid="{00000000-0005-0000-0000-000049010000}"/>
    <cellStyle name="20% - Accent1 2 2 3 2 5 2 2" xfId="23482" xr:uid="{00000000-0005-0000-0000-00004A010000}"/>
    <cellStyle name="20% - Accent1 2 2 3 2 5 3" xfId="8760" xr:uid="{00000000-0005-0000-0000-00004B010000}"/>
    <cellStyle name="20% - Accent1 2 2 3 2 6" xfId="30741" xr:uid="{00000000-0005-0000-0000-00004C010000}"/>
    <cellStyle name="20% - Accent1 2 2 3 2 6 2" xfId="575" xr:uid="{00000000-0005-0000-0000-00004D010000}"/>
    <cellStyle name="20% - Accent1 2 2 3 2 7" xfId="383" xr:uid="{00000000-0005-0000-0000-00004E010000}"/>
    <cellStyle name="20% - Accent1 2 2 3 3" xfId="367" xr:uid="{00000000-0005-0000-0000-00004F010000}"/>
    <cellStyle name="20% - Accent1 2 2 3 3 2" xfId="2704" xr:uid="{00000000-0005-0000-0000-000050010000}"/>
    <cellStyle name="20% - Accent1 2 2 3 3 2 2" xfId="9487" xr:uid="{00000000-0005-0000-0000-000051010000}"/>
    <cellStyle name="20% - Accent1 2 2 3 3 2 2 2" xfId="3954" xr:uid="{00000000-0005-0000-0000-000052010000}"/>
    <cellStyle name="20% - Accent1 2 2 3 3 2 2 2 2" xfId="23126" xr:uid="{00000000-0005-0000-0000-000053010000}"/>
    <cellStyle name="20% - Accent1 2 2 3 3 2 2 2 2 2" xfId="10679" xr:uid="{00000000-0005-0000-0000-000054010000}"/>
    <cellStyle name="20% - Accent1 2 2 3 3 2 2 2 3" xfId="20415" xr:uid="{00000000-0005-0000-0000-000055010000}"/>
    <cellStyle name="20% - Accent1 2 2 3 3 2 2 3" xfId="4222" xr:uid="{00000000-0005-0000-0000-000056010000}"/>
    <cellStyle name="20% - Accent1 2 2 3 3 2 2 3 2" xfId="12173" xr:uid="{00000000-0005-0000-0000-000057010000}"/>
    <cellStyle name="20% - Accent1 2 2 3 3 2 2 4" xfId="11574" xr:uid="{00000000-0005-0000-0000-000058010000}"/>
    <cellStyle name="20% - Accent1 2 2 3 3 2 3" xfId="8557" xr:uid="{00000000-0005-0000-0000-000059010000}"/>
    <cellStyle name="20% - Accent1 2 2 3 3 2 3 2" xfId="4686" xr:uid="{00000000-0005-0000-0000-00005A010000}"/>
    <cellStyle name="20% - Accent1 2 2 3 3 2 3 2 2" xfId="8257" xr:uid="{00000000-0005-0000-0000-00005B010000}"/>
    <cellStyle name="20% - Accent1 2 2 3 3 2 3 3" xfId="11576" xr:uid="{00000000-0005-0000-0000-00005C010000}"/>
    <cellStyle name="20% - Accent1 2 2 3 3 2 4" xfId="1518" xr:uid="{00000000-0005-0000-0000-00005D010000}"/>
    <cellStyle name="20% - Accent1 2 2 3 3 2 4 2" xfId="15570" xr:uid="{00000000-0005-0000-0000-00005E010000}"/>
    <cellStyle name="20% - Accent1 2 2 3 3 2 5" xfId="21271" xr:uid="{00000000-0005-0000-0000-00005F010000}"/>
    <cellStyle name="20% - Accent1 2 2 3 3 3" xfId="2729" xr:uid="{00000000-0005-0000-0000-000060010000}"/>
    <cellStyle name="20% - Accent1 2 2 3 3 3 2" xfId="2741" xr:uid="{00000000-0005-0000-0000-000061010000}"/>
    <cellStyle name="20% - Accent1 2 2 3 3 3 2 2" xfId="4256" xr:uid="{00000000-0005-0000-0000-000062010000}"/>
    <cellStyle name="20% - Accent1 2 2 3 3 3 2 2 2" xfId="13617" xr:uid="{00000000-0005-0000-0000-000063010000}"/>
    <cellStyle name="20% - Accent1 2 2 3 3 3 2 3" xfId="11581" xr:uid="{00000000-0005-0000-0000-000064010000}"/>
    <cellStyle name="20% - Accent1 2 2 3 3 3 3" xfId="21280" xr:uid="{00000000-0005-0000-0000-000065010000}"/>
    <cellStyle name="20% - Accent1 2 2 3 3 3 3 2" xfId="14268" xr:uid="{00000000-0005-0000-0000-000066010000}"/>
    <cellStyle name="20% - Accent1 2 2 3 3 3 4" xfId="21298" xr:uid="{00000000-0005-0000-0000-000067010000}"/>
    <cellStyle name="20% - Accent1 2 2 3 3 4" xfId="10918" xr:uid="{00000000-0005-0000-0000-000068010000}"/>
    <cellStyle name="20% - Accent1 2 2 3 3 4 2" xfId="22958" xr:uid="{00000000-0005-0000-0000-000069010000}"/>
    <cellStyle name="20% - Accent1 2 2 3 3 4 2 2" xfId="20034" xr:uid="{00000000-0005-0000-0000-00006A010000}"/>
    <cellStyle name="20% - Accent1 2 2 3 3 4 3" xfId="10412" xr:uid="{00000000-0005-0000-0000-00006B010000}"/>
    <cellStyle name="20% - Accent1 2 2 3 3 5" xfId="10471" xr:uid="{00000000-0005-0000-0000-00006C010000}"/>
    <cellStyle name="20% - Accent1 2 2 3 3 5 2" xfId="22963" xr:uid="{00000000-0005-0000-0000-00006D010000}"/>
    <cellStyle name="20% - Accent1 2 2 3 3 6" xfId="7013" xr:uid="{00000000-0005-0000-0000-00006E010000}"/>
    <cellStyle name="20% - Accent1 2 2 3 4" xfId="3250" xr:uid="{00000000-0005-0000-0000-00006F010000}"/>
    <cellStyle name="20% - Accent1 2 2 3 4 2" xfId="2761" xr:uid="{00000000-0005-0000-0000-000070010000}"/>
    <cellStyle name="20% - Accent1 2 2 3 4 2 2" xfId="3252" xr:uid="{00000000-0005-0000-0000-000071010000}"/>
    <cellStyle name="20% - Accent1 2 2 3 4 2 2 2" xfId="4474" xr:uid="{00000000-0005-0000-0000-000072010000}"/>
    <cellStyle name="20% - Accent1 2 2 3 4 2 2 2 2" xfId="13721" xr:uid="{00000000-0005-0000-0000-000073010000}"/>
    <cellStyle name="20% - Accent1 2 2 3 4 2 2 3" xfId="11603" xr:uid="{00000000-0005-0000-0000-000074010000}"/>
    <cellStyle name="20% - Accent1 2 2 3 4 2 3" xfId="17543" xr:uid="{00000000-0005-0000-0000-000075010000}"/>
    <cellStyle name="20% - Accent1 2 2 3 4 2 3 2" xfId="11607" xr:uid="{00000000-0005-0000-0000-000076010000}"/>
    <cellStyle name="20% - Accent1 2 2 3 4 2 4" xfId="21421" xr:uid="{00000000-0005-0000-0000-000077010000}"/>
    <cellStyle name="20% - Accent1 2 2 3 4 3" xfId="3599" xr:uid="{00000000-0005-0000-0000-000078010000}"/>
    <cellStyle name="20% - Accent1 2 2 3 4 3 2" xfId="17550" xr:uid="{00000000-0005-0000-0000-000079010000}"/>
    <cellStyle name="20% - Accent1 2 2 3 4 3 2 2" xfId="16967" xr:uid="{00000000-0005-0000-0000-00007A010000}"/>
    <cellStyle name="20% - Accent1 2 2 3 4 3 3" xfId="21429" xr:uid="{00000000-0005-0000-0000-00007B010000}"/>
    <cellStyle name="20% - Accent1 2 2 3 4 4" xfId="23011" xr:uid="{00000000-0005-0000-0000-00007C010000}"/>
    <cellStyle name="20% - Accent1 2 2 3 4 4 2" xfId="23018" xr:uid="{00000000-0005-0000-0000-00007D010000}"/>
    <cellStyle name="20% - Accent1 2 2 3 4 5" xfId="23021" xr:uid="{00000000-0005-0000-0000-00007E010000}"/>
    <cellStyle name="20% - Accent1 2 2 3 5" xfId="8766" xr:uid="{00000000-0005-0000-0000-00007F010000}"/>
    <cellStyle name="20% - Accent1 2 2 3 5 2" xfId="2781" xr:uid="{00000000-0005-0000-0000-000080010000}"/>
    <cellStyle name="20% - Accent1 2 2 3 5 2 2" xfId="18961" xr:uid="{00000000-0005-0000-0000-000081010000}"/>
    <cellStyle name="20% - Accent1 2 2 3 5 2 2 2" xfId="11612" xr:uid="{00000000-0005-0000-0000-000082010000}"/>
    <cellStyle name="20% - Accent1 2 2 3 5 2 3" xfId="19153" xr:uid="{00000000-0005-0000-0000-000083010000}"/>
    <cellStyle name="20% - Accent1 2 2 3 5 3" xfId="14092" xr:uid="{00000000-0005-0000-0000-000084010000}"/>
    <cellStyle name="20% - Accent1 2 2 3 5 3 2" xfId="19594" xr:uid="{00000000-0005-0000-0000-000085010000}"/>
    <cellStyle name="20% - Accent1 2 2 3 5 4" xfId="6682" xr:uid="{00000000-0005-0000-0000-000086010000}"/>
    <cellStyle name="20% - Accent1 2 2 3 6" xfId="4493" xr:uid="{00000000-0005-0000-0000-000087010000}"/>
    <cellStyle name="20% - Accent1 2 2 3 6 2" xfId="20091" xr:uid="{00000000-0005-0000-0000-000088010000}"/>
    <cellStyle name="20% - Accent1 2 2 3 6 2 2" xfId="19225" xr:uid="{00000000-0005-0000-0000-000089010000}"/>
    <cellStyle name="20% - Accent1 2 2 3 6 3" xfId="14096" xr:uid="{00000000-0005-0000-0000-00008A010000}"/>
    <cellStyle name="20% - Accent1 2 2 3 7" xfId="4822" xr:uid="{00000000-0005-0000-0000-00008B010000}"/>
    <cellStyle name="20% - Accent1 2 2 3 7 2" xfId="23074" xr:uid="{00000000-0005-0000-0000-00008C010000}"/>
    <cellStyle name="20% - Accent1 2 2 3 8" xfId="5389" xr:uid="{00000000-0005-0000-0000-00008D010000}"/>
    <cellStyle name="20% - Accent1 2 2 4" xfId="28364" xr:uid="{00000000-0005-0000-0000-00008E010000}"/>
    <cellStyle name="20% - Accent1 2 2 4 2" xfId="25625" xr:uid="{00000000-0005-0000-0000-00008F010000}"/>
    <cellStyle name="20% - Accent1 2 2 4 2 2" xfId="22764" xr:uid="{00000000-0005-0000-0000-000090010000}"/>
    <cellStyle name="20% - Accent1 2 2 4 2 2 2" xfId="1065" xr:uid="{00000000-0005-0000-0000-000091010000}"/>
    <cellStyle name="20% - Accent1 2 2 4 2 2 2 2" xfId="15712" xr:uid="{00000000-0005-0000-0000-000092010000}"/>
    <cellStyle name="20% - Accent1 2 2 4 2 2 2 2 2" xfId="5050" xr:uid="{00000000-0005-0000-0000-000093010000}"/>
    <cellStyle name="20% - Accent1 2 2 4 2 2 2 2 2 2" xfId="8068" xr:uid="{00000000-0005-0000-0000-000094010000}"/>
    <cellStyle name="20% - Accent1 2 2 4 2 2 2 2 3" xfId="22071" xr:uid="{00000000-0005-0000-0000-000095010000}"/>
    <cellStyle name="20% - Accent1 2 2 4 2 2 2 3" xfId="15722" xr:uid="{00000000-0005-0000-0000-000096010000}"/>
    <cellStyle name="20% - Accent1 2 2 4 2 2 2 3 2" xfId="6013" xr:uid="{00000000-0005-0000-0000-000097010000}"/>
    <cellStyle name="20% - Accent1 2 2 4 2 2 2 4" xfId="11676" xr:uid="{00000000-0005-0000-0000-000098010000}"/>
    <cellStyle name="20% - Accent1 2 2 4 2 2 3" xfId="1072" xr:uid="{00000000-0005-0000-0000-000099010000}"/>
    <cellStyle name="20% - Accent1 2 2 4 2 2 3 2" xfId="26614" xr:uid="{00000000-0005-0000-0000-00009A010000}"/>
    <cellStyle name="20% - Accent1 2 2 4 2 2 3 2 2" xfId="15778" xr:uid="{00000000-0005-0000-0000-00009B010000}"/>
    <cellStyle name="20% - Accent1 2 2 4 2 2 3 3" xfId="26627" xr:uid="{00000000-0005-0000-0000-00009C010000}"/>
    <cellStyle name="20% - Accent1 2 2 4 2 2 4" xfId="1082" xr:uid="{00000000-0005-0000-0000-00009D010000}"/>
    <cellStyle name="20% - Accent1 2 2 4 2 2 4 2" xfId="30039" xr:uid="{00000000-0005-0000-0000-00009E010000}"/>
    <cellStyle name="20% - Accent1 2 2 4 2 2 5" xfId="1687" xr:uid="{00000000-0005-0000-0000-00009F010000}"/>
    <cellStyle name="20% - Accent1 2 2 4 2 3" xfId="27450" xr:uid="{00000000-0005-0000-0000-0000A0010000}"/>
    <cellStyle name="20% - Accent1 2 2 4 2 3 2" xfId="1097" xr:uid="{00000000-0005-0000-0000-0000A1010000}"/>
    <cellStyle name="20% - Accent1 2 2 4 2 3 2 2" xfId="30163" xr:uid="{00000000-0005-0000-0000-0000A2010000}"/>
    <cellStyle name="20% - Accent1 2 2 4 2 3 2 2 2" xfId="16112" xr:uid="{00000000-0005-0000-0000-0000A3010000}"/>
    <cellStyle name="20% - Accent1 2 2 4 2 3 2 3" xfId="15755" xr:uid="{00000000-0005-0000-0000-0000A4010000}"/>
    <cellStyle name="20% - Accent1 2 2 4 2 3 3" xfId="1112" xr:uid="{00000000-0005-0000-0000-0000A5010000}"/>
    <cellStyle name="20% - Accent1 2 2 4 2 3 3 2" xfId="29032" xr:uid="{00000000-0005-0000-0000-0000A6010000}"/>
    <cellStyle name="20% - Accent1 2 2 4 2 3 4" xfId="1756" xr:uid="{00000000-0005-0000-0000-0000A7010000}"/>
    <cellStyle name="20% - Accent1 2 2 4 2 4" xfId="1186" xr:uid="{00000000-0005-0000-0000-0000A8010000}"/>
    <cellStyle name="20% - Accent1 2 2 4 2 4 2" xfId="2413" xr:uid="{00000000-0005-0000-0000-0000A9010000}"/>
    <cellStyle name="20% - Accent1 2 2 4 2 4 2 2" xfId="9525" xr:uid="{00000000-0005-0000-0000-0000AA010000}"/>
    <cellStyle name="20% - Accent1 2 2 4 2 4 3" xfId="1781" xr:uid="{00000000-0005-0000-0000-0000AB010000}"/>
    <cellStyle name="20% - Accent1 2 2 4 2 5" xfId="5284" xr:uid="{00000000-0005-0000-0000-0000AC010000}"/>
    <cellStyle name="20% - Accent1 2 2 4 2 5 2" xfId="15349" xr:uid="{00000000-0005-0000-0000-0000AD010000}"/>
    <cellStyle name="20% - Accent1 2 2 4 2 6" xfId="1819" xr:uid="{00000000-0005-0000-0000-0000AE010000}"/>
    <cellStyle name="20% - Accent1 2 2 4 3" xfId="22778" xr:uid="{00000000-0005-0000-0000-0000AF010000}"/>
    <cellStyle name="20% - Accent1 2 2 4 3 2" xfId="22512" xr:uid="{00000000-0005-0000-0000-0000B0010000}"/>
    <cellStyle name="20% - Accent1 2 2 4 3 2 2" xfId="18621" xr:uid="{00000000-0005-0000-0000-0000B1010000}"/>
    <cellStyle name="20% - Accent1 2 2 4 3 2 2 2" xfId="16998" xr:uid="{00000000-0005-0000-0000-0000B2010000}"/>
    <cellStyle name="20% - Accent1 2 2 4 3 2 2 2 2" xfId="13893" xr:uid="{00000000-0005-0000-0000-0000B3010000}"/>
    <cellStyle name="20% - Accent1 2 2 4 3 2 2 3" xfId="11705" xr:uid="{00000000-0005-0000-0000-0000B4010000}"/>
    <cellStyle name="20% - Accent1 2 2 4 3 2 3" xfId="19435" xr:uid="{00000000-0005-0000-0000-0000B5010000}"/>
    <cellStyle name="20% - Accent1 2 2 4 3 2 3 2" xfId="21729" xr:uid="{00000000-0005-0000-0000-0000B6010000}"/>
    <cellStyle name="20% - Accent1 2 2 4 3 2 4" xfId="21631" xr:uid="{00000000-0005-0000-0000-0000B7010000}"/>
    <cellStyle name="20% - Accent1 2 2 4 3 3" xfId="8725" xr:uid="{00000000-0005-0000-0000-0000B8010000}"/>
    <cellStyle name="20% - Accent1 2 2 4 3 3 2" xfId="23148" xr:uid="{00000000-0005-0000-0000-0000B9010000}"/>
    <cellStyle name="20% - Accent1 2 2 4 3 3 2 2" xfId="15795" xr:uid="{00000000-0005-0000-0000-0000BA010000}"/>
    <cellStyle name="20% - Accent1 2 2 4 3 3 3" xfId="21648" xr:uid="{00000000-0005-0000-0000-0000BB010000}"/>
    <cellStyle name="20% - Accent1 2 2 4 3 4" xfId="10675" xr:uid="{00000000-0005-0000-0000-0000BC010000}"/>
    <cellStyle name="20% - Accent1 2 2 4 3 4 2" xfId="23153" xr:uid="{00000000-0005-0000-0000-0000BD010000}"/>
    <cellStyle name="20% - Accent1 2 2 4 3 5" xfId="13660" xr:uid="{00000000-0005-0000-0000-0000BE010000}"/>
    <cellStyle name="20% - Accent1 2 2 4 4" xfId="27897" xr:uid="{00000000-0005-0000-0000-0000BF010000}"/>
    <cellStyle name="20% - Accent1 2 2 4 4 2" xfId="18821" xr:uid="{00000000-0005-0000-0000-0000C0010000}"/>
    <cellStyle name="20% - Accent1 2 2 4 4 2 2" xfId="18828" xr:uid="{00000000-0005-0000-0000-0000C1010000}"/>
    <cellStyle name="20% - Accent1 2 2 4 4 2 2 2" xfId="23888" xr:uid="{00000000-0005-0000-0000-0000C2010000}"/>
    <cellStyle name="20% - Accent1 2 2 4 4 2 3" xfId="21708" xr:uid="{00000000-0005-0000-0000-0000C3010000}"/>
    <cellStyle name="20% - Accent1 2 2 4 4 3" xfId="9433" xr:uid="{00000000-0005-0000-0000-0000C4010000}"/>
    <cellStyle name="20% - Accent1 2 2 4 4 3 2" xfId="23180" xr:uid="{00000000-0005-0000-0000-0000C5010000}"/>
    <cellStyle name="20% - Accent1 2 2 4 4 4" xfId="18518" xr:uid="{00000000-0005-0000-0000-0000C6010000}"/>
    <cellStyle name="20% - Accent1 2 2 4 5" xfId="30250" xr:uid="{00000000-0005-0000-0000-0000C7010000}"/>
    <cellStyle name="20% - Accent1 2 2 4 5 2" xfId="12984" xr:uid="{00000000-0005-0000-0000-0000C8010000}"/>
    <cellStyle name="20% - Accent1 2 2 4 5 2 2" xfId="23200" xr:uid="{00000000-0005-0000-0000-0000C9010000}"/>
    <cellStyle name="20% - Accent1 2 2 4 5 3" xfId="18918" xr:uid="{00000000-0005-0000-0000-0000CA010000}"/>
    <cellStyle name="20% - Accent1 2 2 4 6" xfId="1378" xr:uid="{00000000-0005-0000-0000-0000CB010000}"/>
    <cellStyle name="20% - Accent1 2 2 4 6 2" xfId="18924" xr:uid="{00000000-0005-0000-0000-0000CC010000}"/>
    <cellStyle name="20% - Accent1 2 2 4 7" xfId="3296" xr:uid="{00000000-0005-0000-0000-0000CD010000}"/>
    <cellStyle name="20% - Accent1 2 2 5" xfId="20246" xr:uid="{00000000-0005-0000-0000-0000CE010000}"/>
    <cellStyle name="20% - Accent1 2 2 5 2" xfId="1245" xr:uid="{00000000-0005-0000-0000-0000CF010000}"/>
    <cellStyle name="20% - Accent1 2 2 5 2 2" xfId="5182" xr:uid="{00000000-0005-0000-0000-0000D0010000}"/>
    <cellStyle name="20% - Accent1 2 2 5 2 2 2" xfId="9041" xr:uid="{00000000-0005-0000-0000-0000D1010000}"/>
    <cellStyle name="20% - Accent1 2 2 5 2 2 2 2" xfId="19352" xr:uid="{00000000-0005-0000-0000-0000D2010000}"/>
    <cellStyle name="20% - Accent1 2 2 5 2 2 2 2 2" xfId="3402" xr:uid="{00000000-0005-0000-0000-0000D3010000}"/>
    <cellStyle name="20% - Accent1 2 2 5 2 2 2 3" xfId="15847" xr:uid="{00000000-0005-0000-0000-0000D4010000}"/>
    <cellStyle name="20% - Accent1 2 2 5 2 2 3" xfId="1324" xr:uid="{00000000-0005-0000-0000-0000D5010000}"/>
    <cellStyle name="20% - Accent1 2 2 5 2 2 3 2" xfId="15852" xr:uid="{00000000-0005-0000-0000-0000D6010000}"/>
    <cellStyle name="20% - Accent1 2 2 5 2 2 4" xfId="1656" xr:uid="{00000000-0005-0000-0000-0000D7010000}"/>
    <cellStyle name="20% - Accent1 2 2 5 2 3" xfId="8181" xr:uid="{00000000-0005-0000-0000-0000D8010000}"/>
    <cellStyle name="20% - Accent1 2 2 5 2 3 2" xfId="15333" xr:uid="{00000000-0005-0000-0000-0000D9010000}"/>
    <cellStyle name="20% - Accent1 2 2 5 2 3 2 2" xfId="14420" xr:uid="{00000000-0005-0000-0000-0000DA010000}"/>
    <cellStyle name="20% - Accent1 2 2 5 2 3 3" xfId="2030" xr:uid="{00000000-0005-0000-0000-0000DB010000}"/>
    <cellStyle name="20% - Accent1 2 2 5 2 4" xfId="7143" xr:uid="{00000000-0005-0000-0000-0000DC010000}"/>
    <cellStyle name="20% - Accent1 2 2 5 2 4 2" xfId="7087" xr:uid="{00000000-0005-0000-0000-0000DD010000}"/>
    <cellStyle name="20% - Accent1 2 2 5 2 5" xfId="3283" xr:uid="{00000000-0005-0000-0000-0000DE010000}"/>
    <cellStyle name="20% - Accent1 2 2 5 3" xfId="20762" xr:uid="{00000000-0005-0000-0000-0000DF010000}"/>
    <cellStyle name="20% - Accent1 2 2 5 3 2" xfId="22680" xr:uid="{00000000-0005-0000-0000-0000E0010000}"/>
    <cellStyle name="20% - Accent1 2 2 5 3 2 2" xfId="19029" xr:uid="{00000000-0005-0000-0000-0000E1010000}"/>
    <cellStyle name="20% - Accent1 2 2 5 3 2 2 2" xfId="5136" xr:uid="{00000000-0005-0000-0000-0000E2010000}"/>
    <cellStyle name="20% - Accent1 2 2 5 3 2 3" xfId="21781" xr:uid="{00000000-0005-0000-0000-0000E3010000}"/>
    <cellStyle name="20% - Accent1 2 2 5 3 3" xfId="8738" xr:uid="{00000000-0005-0000-0000-0000E4010000}"/>
    <cellStyle name="20% - Accent1 2 2 5 3 3 2" xfId="23242" xr:uid="{00000000-0005-0000-0000-0000E5010000}"/>
    <cellStyle name="20% - Accent1 2 2 5 3 4" xfId="18560" xr:uid="{00000000-0005-0000-0000-0000E6010000}"/>
    <cellStyle name="20% - Accent1 2 2 5 4" xfId="1123" xr:uid="{00000000-0005-0000-0000-0000E7010000}"/>
    <cellStyle name="20% - Accent1 2 2 5 4 2" xfId="19086" xr:uid="{00000000-0005-0000-0000-0000E8010000}"/>
    <cellStyle name="20% - Accent1 2 2 5 4 2 2" xfId="23251" xr:uid="{00000000-0005-0000-0000-0000E9010000}"/>
    <cellStyle name="20% - Accent1 2 2 5 4 3" xfId="19099" xr:uid="{00000000-0005-0000-0000-0000EA010000}"/>
    <cellStyle name="20% - Accent1 2 2 5 5" xfId="1707" xr:uid="{00000000-0005-0000-0000-0000EB010000}"/>
    <cellStyle name="20% - Accent1 2 2 5 5 2" xfId="19119" xr:uid="{00000000-0005-0000-0000-0000EC010000}"/>
    <cellStyle name="20% - Accent1 2 2 5 6" xfId="3806" xr:uid="{00000000-0005-0000-0000-0000ED010000}"/>
    <cellStyle name="20% - Accent1 2 2 6" xfId="28786" xr:uid="{00000000-0005-0000-0000-0000EE010000}"/>
    <cellStyle name="20% - Accent1 2 2 6 2" xfId="20801" xr:uid="{00000000-0005-0000-0000-0000EF010000}"/>
    <cellStyle name="20% - Accent1 2 2 6 2 2" xfId="6795" xr:uid="{00000000-0005-0000-0000-0000F0010000}"/>
    <cellStyle name="20% - Accent1 2 2 6 2 2 2" xfId="9457" xr:uid="{00000000-0005-0000-0000-0000F1010000}"/>
    <cellStyle name="20% - Accent1 2 2 6 2 2 2 2" xfId="15930" xr:uid="{00000000-0005-0000-0000-0000F2010000}"/>
    <cellStyle name="20% - Accent1 2 2 6 2 2 3" xfId="13702" xr:uid="{00000000-0005-0000-0000-0000F3010000}"/>
    <cellStyle name="20% - Accent1 2 2 6 2 3" xfId="8355" xr:uid="{00000000-0005-0000-0000-0000F4010000}"/>
    <cellStyle name="20% - Accent1 2 2 6 2 3 2" xfId="13711" xr:uid="{00000000-0005-0000-0000-0000F5010000}"/>
    <cellStyle name="20% - Accent1 2 2 6 2 4" xfId="3314" xr:uid="{00000000-0005-0000-0000-0000F6010000}"/>
    <cellStyle name="20% - Accent1 2 2 6 3" xfId="2236" xr:uid="{00000000-0005-0000-0000-0000F7010000}"/>
    <cellStyle name="20% - Accent1 2 2 6 3 2" xfId="17401" xr:uid="{00000000-0005-0000-0000-0000F8010000}"/>
    <cellStyle name="20% - Accent1 2 2 6 3 2 2" xfId="22987" xr:uid="{00000000-0005-0000-0000-0000F9010000}"/>
    <cellStyle name="20% - Accent1 2 2 6 3 3" xfId="17414" xr:uid="{00000000-0005-0000-0000-0000FA010000}"/>
    <cellStyle name="20% - Accent1 2 2 6 4" xfId="1879" xr:uid="{00000000-0005-0000-0000-0000FB010000}"/>
    <cellStyle name="20% - Accent1 2 2 6 4 2" xfId="17448" xr:uid="{00000000-0005-0000-0000-0000FC010000}"/>
    <cellStyle name="20% - Accent1 2 2 6 5" xfId="1747" xr:uid="{00000000-0005-0000-0000-0000FD010000}"/>
    <cellStyle name="20% - Accent1 2 2 7" xfId="27309" xr:uid="{00000000-0005-0000-0000-0000FE010000}"/>
    <cellStyle name="20% - Accent1 2 2 7 2" xfId="8977" xr:uid="{00000000-0005-0000-0000-0000FF010000}"/>
    <cellStyle name="20% - Accent1 2 2 7 2 2" xfId="21116" xr:uid="{00000000-0005-0000-0000-000000020000}"/>
    <cellStyle name="20% - Accent1 2 2 7 2 2 2" xfId="13399" xr:uid="{00000000-0005-0000-0000-000001020000}"/>
    <cellStyle name="20% - Accent1 2 2 7 2 3" xfId="2308" xr:uid="{00000000-0005-0000-0000-000002020000}"/>
    <cellStyle name="20% - Accent1 2 2 7 3" xfId="5242" xr:uid="{00000000-0005-0000-0000-000003020000}"/>
    <cellStyle name="20% - Accent1 2 2 7 3 2" xfId="17843" xr:uid="{00000000-0005-0000-0000-000004020000}"/>
    <cellStyle name="20% - Accent1 2 2 7 4" xfId="5246" xr:uid="{00000000-0005-0000-0000-000005020000}"/>
    <cellStyle name="20% - Accent1 2 2 8" xfId="2340" xr:uid="{00000000-0005-0000-0000-000006020000}"/>
    <cellStyle name="20% - Accent1 2 2 8 2" xfId="3737" xr:uid="{00000000-0005-0000-0000-000007020000}"/>
    <cellStyle name="20% - Accent1 2 2 8 2 2" xfId="8543" xr:uid="{00000000-0005-0000-0000-000008020000}"/>
    <cellStyle name="20% - Accent1 2 2 8 3" xfId="5254" xr:uid="{00000000-0005-0000-0000-000009020000}"/>
    <cellStyle name="20% - Accent1 2 2 9" xfId="1822" xr:uid="{00000000-0005-0000-0000-00000A020000}"/>
    <cellStyle name="20% - Accent1 2 2 9 2" xfId="5837" xr:uid="{00000000-0005-0000-0000-00000B020000}"/>
    <cellStyle name="20% - Accent1 2 3" xfId="3613" xr:uid="{00000000-0005-0000-0000-00000C020000}"/>
    <cellStyle name="20% - Accent1 2 3 2" xfId="3033" xr:uid="{00000000-0005-0000-0000-00000D020000}"/>
    <cellStyle name="20% - Accent1 2 3 2 2" xfId="3279" xr:uid="{00000000-0005-0000-0000-00000E020000}"/>
    <cellStyle name="20% - Accent1 2 3 2 2 2" xfId="33277" xr:uid="{00000000-0005-0000-0000-00000F020000}"/>
    <cellStyle name="20% - Accent1 2 3 2 2 2 2" xfId="8523" xr:uid="{00000000-0005-0000-0000-000010020000}"/>
    <cellStyle name="20% - Accent1 2 3 2 2 2 2 2" xfId="5191" xr:uid="{00000000-0005-0000-0000-000011020000}"/>
    <cellStyle name="20% - Accent1 2 3 2 2 2 2 2 2" xfId="15522" xr:uid="{00000000-0005-0000-0000-000012020000}"/>
    <cellStyle name="20% - Accent1 2 3 2 2 2 2 2 2 2" xfId="10839" xr:uid="{00000000-0005-0000-0000-000013020000}"/>
    <cellStyle name="20% - Accent1 2 3 2 2 2 2 2 2 2 2" xfId="13877" xr:uid="{00000000-0005-0000-0000-000014020000}"/>
    <cellStyle name="20% - Accent1 2 3 2 2 2 2 2 2 3" xfId="8259" xr:uid="{00000000-0005-0000-0000-000015020000}"/>
    <cellStyle name="20% - Accent1 2 3 2 2 2 2 2 3" xfId="6748" xr:uid="{00000000-0005-0000-0000-000016020000}"/>
    <cellStyle name="20% - Accent1 2 3 2 2 2 2 2 3 2" xfId="8265" xr:uid="{00000000-0005-0000-0000-000017020000}"/>
    <cellStyle name="20% - Accent1 2 3 2 2 2 2 2 4" xfId="851" xr:uid="{00000000-0005-0000-0000-000018020000}"/>
    <cellStyle name="20% - Accent1 2 3 2 2 2 2 3" xfId="30761" xr:uid="{00000000-0005-0000-0000-000019020000}"/>
    <cellStyle name="20% - Accent1 2 3 2 2 2 2 3 2" xfId="3052" xr:uid="{00000000-0005-0000-0000-00001A020000}"/>
    <cellStyle name="20% - Accent1 2 3 2 2 2 2 3 2 2" xfId="8274" xr:uid="{00000000-0005-0000-0000-00001B020000}"/>
    <cellStyle name="20% - Accent1 2 3 2 2 2 2 3 3" xfId="1399" xr:uid="{00000000-0005-0000-0000-00001C020000}"/>
    <cellStyle name="20% - Accent1 2 3 2 2 2 2 4" xfId="27416" xr:uid="{00000000-0005-0000-0000-00001D020000}"/>
    <cellStyle name="20% - Accent1 2 3 2 2 2 2 4 2" xfId="2566" xr:uid="{00000000-0005-0000-0000-00001E020000}"/>
    <cellStyle name="20% - Accent1 2 3 2 2 2 2 5" xfId="27054" xr:uid="{00000000-0005-0000-0000-00001F020000}"/>
    <cellStyle name="20% - Accent1 2 3 2 2 2 3" xfId="9167" xr:uid="{00000000-0005-0000-0000-000020020000}"/>
    <cellStyle name="20% - Accent1 2 3 2 2 2 3 2" xfId="26552" xr:uid="{00000000-0005-0000-0000-000021020000}"/>
    <cellStyle name="20% - Accent1 2 3 2 2 2 3 2 2" xfId="3059" xr:uid="{00000000-0005-0000-0000-000022020000}"/>
    <cellStyle name="20% - Accent1 2 3 2 2 2 3 2 2 2" xfId="8290" xr:uid="{00000000-0005-0000-0000-000023020000}"/>
    <cellStyle name="20% - Accent1 2 3 2 2 2 3 2 3" xfId="6200" xr:uid="{00000000-0005-0000-0000-000024020000}"/>
    <cellStyle name="20% - Accent1 2 3 2 2 2 3 3" xfId="11172" xr:uid="{00000000-0005-0000-0000-000025020000}"/>
    <cellStyle name="20% - Accent1 2 3 2 2 2 3 3 2" xfId="686" xr:uid="{00000000-0005-0000-0000-000026020000}"/>
    <cellStyle name="20% - Accent1 2 3 2 2 2 3 4" xfId="12297" xr:uid="{00000000-0005-0000-0000-000027020000}"/>
    <cellStyle name="20% - Accent1 2 3 2 2 2 4" xfId="9195" xr:uid="{00000000-0005-0000-0000-000028020000}"/>
    <cellStyle name="20% - Accent1 2 3 2 2 2 4 2" xfId="11180" xr:uid="{00000000-0005-0000-0000-000029020000}"/>
    <cellStyle name="20% - Accent1 2 3 2 2 2 4 2 2" xfId="690" xr:uid="{00000000-0005-0000-0000-00002A020000}"/>
    <cellStyle name="20% - Accent1 2 3 2 2 2 4 3" xfId="11895" xr:uid="{00000000-0005-0000-0000-00002B020000}"/>
    <cellStyle name="20% - Accent1 2 3 2 2 2 5" xfId="2881" xr:uid="{00000000-0005-0000-0000-00002C020000}"/>
    <cellStyle name="20% - Accent1 2 3 2 2 2 5 2" xfId="27881" xr:uid="{00000000-0005-0000-0000-00002D020000}"/>
    <cellStyle name="20% - Accent1 2 3 2 2 2 6" xfId="1294" xr:uid="{00000000-0005-0000-0000-00002E020000}"/>
    <cellStyle name="20% - Accent1 2 3 2 2 3" xfId="10301" xr:uid="{00000000-0005-0000-0000-00002F020000}"/>
    <cellStyle name="20% - Accent1 2 3 2 2 3 2" xfId="9203" xr:uid="{00000000-0005-0000-0000-000030020000}"/>
    <cellStyle name="20% - Accent1 2 3 2 2 3 2 2" xfId="29763" xr:uid="{00000000-0005-0000-0000-000031020000}"/>
    <cellStyle name="20% - Accent1 2 3 2 2 3 2 2 2" xfId="3202" xr:uid="{00000000-0005-0000-0000-000032020000}"/>
    <cellStyle name="20% - Accent1 2 3 2 2 3 2 2 2 2" xfId="8417" xr:uid="{00000000-0005-0000-0000-000033020000}"/>
    <cellStyle name="20% - Accent1 2 3 2 2 3 2 2 3" xfId="1559" xr:uid="{00000000-0005-0000-0000-000034020000}"/>
    <cellStyle name="20% - Accent1 2 3 2 2 3 2 3" xfId="11317" xr:uid="{00000000-0005-0000-0000-000035020000}"/>
    <cellStyle name="20% - Accent1 2 3 2 2 3 2 3 2" xfId="341" xr:uid="{00000000-0005-0000-0000-000036020000}"/>
    <cellStyle name="20% - Accent1 2 3 2 2 3 2 4" xfId="22662" xr:uid="{00000000-0005-0000-0000-000037020000}"/>
    <cellStyle name="20% - Accent1 2 3 2 2 3 3" xfId="7636" xr:uid="{00000000-0005-0000-0000-000038020000}"/>
    <cellStyle name="20% - Accent1 2 3 2 2 3 3 2" xfId="11336" xr:uid="{00000000-0005-0000-0000-000039020000}"/>
    <cellStyle name="20% - Accent1 2 3 2 2 3 3 2 2" xfId="2313" xr:uid="{00000000-0005-0000-0000-00003A020000}"/>
    <cellStyle name="20% - Accent1 2 3 2 2 3 3 3" xfId="11901" xr:uid="{00000000-0005-0000-0000-00003B020000}"/>
    <cellStyle name="20% - Accent1 2 3 2 2 3 4" xfId="128" xr:uid="{00000000-0005-0000-0000-00003C020000}"/>
    <cellStyle name="20% - Accent1 2 3 2 2 3 4 2" xfId="31790" xr:uid="{00000000-0005-0000-0000-00003D020000}"/>
    <cellStyle name="20% - Accent1 2 3 2 2 3 5" xfId="4486" xr:uid="{00000000-0005-0000-0000-00003E020000}"/>
    <cellStyle name="20% - Accent1 2 3 2 2 4" xfId="25392" xr:uid="{00000000-0005-0000-0000-00003F020000}"/>
    <cellStyle name="20% - Accent1 2 3 2 2 4 2" xfId="5976" xr:uid="{00000000-0005-0000-0000-000040020000}"/>
    <cellStyle name="20% - Accent1 2 3 2 2 4 2 2" xfId="5271" xr:uid="{00000000-0005-0000-0000-000041020000}"/>
    <cellStyle name="20% - Accent1 2 3 2 2 4 2 2 2" xfId="1140" xr:uid="{00000000-0005-0000-0000-000042020000}"/>
    <cellStyle name="20% - Accent1 2 3 2 2 4 2 3" xfId="11912" xr:uid="{00000000-0005-0000-0000-000043020000}"/>
    <cellStyle name="20% - Accent1 2 3 2 2 4 3" xfId="1640" xr:uid="{00000000-0005-0000-0000-000044020000}"/>
    <cellStyle name="20% - Accent1 2 3 2 2 4 3 2" xfId="5280" xr:uid="{00000000-0005-0000-0000-000045020000}"/>
    <cellStyle name="20% - Accent1 2 3 2 2 4 4" xfId="1650" xr:uid="{00000000-0005-0000-0000-000046020000}"/>
    <cellStyle name="20% - Accent1 2 3 2 2 5" xfId="10482" xr:uid="{00000000-0005-0000-0000-000047020000}"/>
    <cellStyle name="20% - Accent1 2 3 2 2 5 2" xfId="2140" xr:uid="{00000000-0005-0000-0000-000048020000}"/>
    <cellStyle name="20% - Accent1 2 3 2 2 5 2 2" xfId="11919" xr:uid="{00000000-0005-0000-0000-000049020000}"/>
    <cellStyle name="20% - Accent1 2 3 2 2 5 3" xfId="1122" xr:uid="{00000000-0005-0000-0000-00004A020000}"/>
    <cellStyle name="20% - Accent1 2 3 2 2 6" xfId="26546" xr:uid="{00000000-0005-0000-0000-00004B020000}"/>
    <cellStyle name="20% - Accent1 2 3 2 2 6 2" xfId="233" xr:uid="{00000000-0005-0000-0000-00004C020000}"/>
    <cellStyle name="20% - Accent1 2 3 2 2 7" xfId="26553" xr:uid="{00000000-0005-0000-0000-00004D020000}"/>
    <cellStyle name="20% - Accent1 2 3 2 3" xfId="724" xr:uid="{00000000-0005-0000-0000-00004E020000}"/>
    <cellStyle name="20% - Accent1 2 3 2 3 2" xfId="25027" xr:uid="{00000000-0005-0000-0000-00004F020000}"/>
    <cellStyle name="20% - Accent1 2 3 2 3 2 2" xfId="25597" xr:uid="{00000000-0005-0000-0000-000050020000}"/>
    <cellStyle name="20% - Accent1 2 3 2 3 2 2 2" xfId="11518" xr:uid="{00000000-0005-0000-0000-000051020000}"/>
    <cellStyle name="20% - Accent1 2 3 2 3 2 2 2 2" xfId="4119" xr:uid="{00000000-0005-0000-0000-000052020000}"/>
    <cellStyle name="20% - Accent1 2 3 2 3 2 2 2 2 2" xfId="28963" xr:uid="{00000000-0005-0000-0000-000053020000}"/>
    <cellStyle name="20% - Accent1 2 3 2 3 2 2 2 3" xfId="3676" xr:uid="{00000000-0005-0000-0000-000054020000}"/>
    <cellStyle name="20% - Accent1 2 3 2 3 2 2 3" xfId="21682" xr:uid="{00000000-0005-0000-0000-000055020000}"/>
    <cellStyle name="20% - Accent1 2 3 2 3 2 2 3 2" xfId="733" xr:uid="{00000000-0005-0000-0000-000056020000}"/>
    <cellStyle name="20% - Accent1 2 3 2 3 2 2 4" xfId="10788" xr:uid="{00000000-0005-0000-0000-000057020000}"/>
    <cellStyle name="20% - Accent1 2 3 2 3 2 3" xfId="22017" xr:uid="{00000000-0005-0000-0000-000058020000}"/>
    <cellStyle name="20% - Accent1 2 3 2 3 2 3 2" xfId="27482" xr:uid="{00000000-0005-0000-0000-000059020000}"/>
    <cellStyle name="20% - Accent1 2 3 2 3 2 3 2 2" xfId="1533" xr:uid="{00000000-0005-0000-0000-00005A020000}"/>
    <cellStyle name="20% - Accent1 2 3 2 3 2 3 3" xfId="11970" xr:uid="{00000000-0005-0000-0000-00005B020000}"/>
    <cellStyle name="20% - Accent1 2 3 2 3 2 4" xfId="22029" xr:uid="{00000000-0005-0000-0000-00005C020000}"/>
    <cellStyle name="20% - Accent1 2 3 2 3 2 4 2" xfId="21726" xr:uid="{00000000-0005-0000-0000-00005D020000}"/>
    <cellStyle name="20% - Accent1 2 3 2 3 2 5" xfId="22032" xr:uid="{00000000-0005-0000-0000-00005E020000}"/>
    <cellStyle name="20% - Accent1 2 3 2 3 3" xfId="25044" xr:uid="{00000000-0005-0000-0000-00005F020000}"/>
    <cellStyle name="20% - Accent1 2 3 2 3 3 2" xfId="25045" xr:uid="{00000000-0005-0000-0000-000060020000}"/>
    <cellStyle name="20% - Accent1 2 3 2 3 3 2 2" xfId="11580" xr:uid="{00000000-0005-0000-0000-000061020000}"/>
    <cellStyle name="20% - Accent1 2 3 2 3 3 2 2 2" xfId="291" xr:uid="{00000000-0005-0000-0000-000062020000}"/>
    <cellStyle name="20% - Accent1 2 3 2 3 3 2 3" xfId="11979" xr:uid="{00000000-0005-0000-0000-000063020000}"/>
    <cellStyle name="20% - Accent1 2 3 2 3 3 3" xfId="22033" xr:uid="{00000000-0005-0000-0000-000064020000}"/>
    <cellStyle name="20% - Accent1 2 3 2 3 3 3 2" xfId="11982" xr:uid="{00000000-0005-0000-0000-000065020000}"/>
    <cellStyle name="20% - Accent1 2 3 2 3 3 4" xfId="22051" xr:uid="{00000000-0005-0000-0000-000066020000}"/>
    <cellStyle name="20% - Accent1 2 3 2 3 4" xfId="25058" xr:uid="{00000000-0005-0000-0000-000067020000}"/>
    <cellStyle name="20% - Accent1 2 3 2 3 4 2" xfId="25060" xr:uid="{00000000-0005-0000-0000-000068020000}"/>
    <cellStyle name="20% - Accent1 2 3 2 3 4 2 2" xfId="11984" xr:uid="{00000000-0005-0000-0000-000069020000}"/>
    <cellStyle name="20% - Accent1 2 3 2 3 4 3" xfId="22058" xr:uid="{00000000-0005-0000-0000-00006A020000}"/>
    <cellStyle name="20% - Accent1 2 3 2 3 5" xfId="12590" xr:uid="{00000000-0005-0000-0000-00006B020000}"/>
    <cellStyle name="20% - Accent1 2 3 2 3 5 2" xfId="25066" xr:uid="{00000000-0005-0000-0000-00006C020000}"/>
    <cellStyle name="20% - Accent1 2 3 2 3 6" xfId="14627" xr:uid="{00000000-0005-0000-0000-00006D020000}"/>
    <cellStyle name="20% - Accent1 2 3 2 4" xfId="28466" xr:uid="{00000000-0005-0000-0000-00006E020000}"/>
    <cellStyle name="20% - Accent1 2 3 2 4 2" xfId="25107" xr:uid="{00000000-0005-0000-0000-00006F020000}"/>
    <cellStyle name="20% - Accent1 2 3 2 4 2 2" xfId="25108" xr:uid="{00000000-0005-0000-0000-000070020000}"/>
    <cellStyle name="20% - Accent1 2 3 2 4 2 2 2" xfId="11686" xr:uid="{00000000-0005-0000-0000-000071020000}"/>
    <cellStyle name="20% - Accent1 2 3 2 4 2 2 2 2" xfId="1383" xr:uid="{00000000-0005-0000-0000-000072020000}"/>
    <cellStyle name="20% - Accent1 2 3 2 4 2 2 3" xfId="29815" xr:uid="{00000000-0005-0000-0000-000073020000}"/>
    <cellStyle name="20% - Accent1 2 3 2 4 2 3" xfId="22131" xr:uid="{00000000-0005-0000-0000-000074020000}"/>
    <cellStyle name="20% - Accent1 2 3 2 4 2 3 2" xfId="12022" xr:uid="{00000000-0005-0000-0000-000075020000}"/>
    <cellStyle name="20% - Accent1 2 3 2 4 2 4" xfId="22149" xr:uid="{00000000-0005-0000-0000-000076020000}"/>
    <cellStyle name="20% - Accent1 2 3 2 4 3" xfId="25117" xr:uid="{00000000-0005-0000-0000-000077020000}"/>
    <cellStyle name="20% - Accent1 2 3 2 4 3 2" xfId="25122" xr:uid="{00000000-0005-0000-0000-000078020000}"/>
    <cellStyle name="20% - Accent1 2 3 2 4 3 2 2" xfId="29333" xr:uid="{00000000-0005-0000-0000-000079020000}"/>
    <cellStyle name="20% - Accent1 2 3 2 4 3 3" xfId="22156" xr:uid="{00000000-0005-0000-0000-00007A020000}"/>
    <cellStyle name="20% - Accent1 2 3 2 4 4" xfId="25133" xr:uid="{00000000-0005-0000-0000-00007B020000}"/>
    <cellStyle name="20% - Accent1 2 3 2 4 4 2" xfId="25135" xr:uid="{00000000-0005-0000-0000-00007C020000}"/>
    <cellStyle name="20% - Accent1 2 3 2 4 5" xfId="25136" xr:uid="{00000000-0005-0000-0000-00007D020000}"/>
    <cellStyle name="20% - Accent1 2 3 2 5" xfId="472" xr:uid="{00000000-0005-0000-0000-00007E020000}"/>
    <cellStyle name="20% - Accent1 2 3 2 5 2" xfId="25173" xr:uid="{00000000-0005-0000-0000-00007F020000}"/>
    <cellStyle name="20% - Accent1 2 3 2 5 2 2" xfId="25179" xr:uid="{00000000-0005-0000-0000-000080020000}"/>
    <cellStyle name="20% - Accent1 2 3 2 5 2 2 2" xfId="33778" xr:uid="{00000000-0005-0000-0000-000081020000}"/>
    <cellStyle name="20% - Accent1 2 3 2 5 2 3" xfId="11229" xr:uid="{00000000-0005-0000-0000-000082020000}"/>
    <cellStyle name="20% - Accent1 2 3 2 5 3" xfId="25189" xr:uid="{00000000-0005-0000-0000-000083020000}"/>
    <cellStyle name="20% - Accent1 2 3 2 5 3 2" xfId="2213" xr:uid="{00000000-0005-0000-0000-000084020000}"/>
    <cellStyle name="20% - Accent1 2 3 2 5 4" xfId="25193" xr:uid="{00000000-0005-0000-0000-000085020000}"/>
    <cellStyle name="20% - Accent1 2 3 2 6" xfId="3260" xr:uid="{00000000-0005-0000-0000-000086020000}"/>
    <cellStyle name="20% - Accent1 2 3 2 6 2" xfId="20268" xr:uid="{00000000-0005-0000-0000-000087020000}"/>
    <cellStyle name="20% - Accent1 2 3 2 6 2 2" xfId="25219" xr:uid="{00000000-0005-0000-0000-000088020000}"/>
    <cellStyle name="20% - Accent1 2 3 2 6 3" xfId="25228" xr:uid="{00000000-0005-0000-0000-000089020000}"/>
    <cellStyle name="20% - Accent1 2 3 2 7" xfId="3310" xr:uid="{00000000-0005-0000-0000-00008A020000}"/>
    <cellStyle name="20% - Accent1 2 3 2 7 2" xfId="25240" xr:uid="{00000000-0005-0000-0000-00008B020000}"/>
    <cellStyle name="20% - Accent1 2 3 2 8" xfId="29879" xr:uid="{00000000-0005-0000-0000-00008C020000}"/>
    <cellStyle name="20% - Accent1 2 3 3" xfId="850" xr:uid="{00000000-0005-0000-0000-00008D020000}"/>
    <cellStyle name="20% - Accent1 2 3 3 2" xfId="437" xr:uid="{00000000-0005-0000-0000-00008E020000}"/>
    <cellStyle name="20% - Accent1 2 3 3 2 2" xfId="10386" xr:uid="{00000000-0005-0000-0000-00008F020000}"/>
    <cellStyle name="20% - Accent1 2 3 3 2 2 2" xfId="29632" xr:uid="{00000000-0005-0000-0000-000090020000}"/>
    <cellStyle name="20% - Accent1 2 3 3 2 2 2 2" xfId="16073" xr:uid="{00000000-0005-0000-0000-000091020000}"/>
    <cellStyle name="20% - Accent1 2 3 3 2 2 2 2 2" xfId="19468" xr:uid="{00000000-0005-0000-0000-000092020000}"/>
    <cellStyle name="20% - Accent1 2 3 3 2 2 2 2 2 2" xfId="5756" xr:uid="{00000000-0005-0000-0000-000093020000}"/>
    <cellStyle name="20% - Accent1 2 3 3 2 2 2 2 3" xfId="26189" xr:uid="{00000000-0005-0000-0000-000094020000}"/>
    <cellStyle name="20% - Accent1 2 3 3 2 2 2 3" xfId="5568" xr:uid="{00000000-0005-0000-0000-000095020000}"/>
    <cellStyle name="20% - Accent1 2 3 3 2 2 2 3 2" xfId="16151" xr:uid="{00000000-0005-0000-0000-000096020000}"/>
    <cellStyle name="20% - Accent1 2 3 3 2 2 2 4" xfId="16093" xr:uid="{00000000-0005-0000-0000-000097020000}"/>
    <cellStyle name="20% - Accent1 2 3 3 2 2 3" xfId="4698" xr:uid="{00000000-0005-0000-0000-000098020000}"/>
    <cellStyle name="20% - Accent1 2 3 3 2 2 3 2" xfId="11908" xr:uid="{00000000-0005-0000-0000-000099020000}"/>
    <cellStyle name="20% - Accent1 2 3 3 2 2 3 2 2" xfId="21655" xr:uid="{00000000-0005-0000-0000-00009A020000}"/>
    <cellStyle name="20% - Accent1 2 3 3 2 2 3 3" xfId="12099" xr:uid="{00000000-0005-0000-0000-00009B020000}"/>
    <cellStyle name="20% - Accent1 2 3 3 2 2 4" xfId="4707" xr:uid="{00000000-0005-0000-0000-00009C020000}"/>
    <cellStyle name="20% - Accent1 2 3 3 2 2 4 2" xfId="12102" xr:uid="{00000000-0005-0000-0000-00009D020000}"/>
    <cellStyle name="20% - Accent1 2 3 3 2 2 5" xfId="809" xr:uid="{00000000-0005-0000-0000-00009E020000}"/>
    <cellStyle name="20% - Accent1 2 3 3 2 3" xfId="10387" xr:uid="{00000000-0005-0000-0000-00009F020000}"/>
    <cellStyle name="20% - Accent1 2 3 3 2 3 2" xfId="21691" xr:uid="{00000000-0005-0000-0000-0000A0020000}"/>
    <cellStyle name="20% - Accent1 2 3 3 2 3 2 2" xfId="13915" xr:uid="{00000000-0005-0000-0000-0000A1020000}"/>
    <cellStyle name="20% - Accent1 2 3 3 2 3 2 2 2" xfId="819" xr:uid="{00000000-0005-0000-0000-0000A2020000}"/>
    <cellStyle name="20% - Accent1 2 3 3 2 3 2 3" xfId="13844" xr:uid="{00000000-0005-0000-0000-0000A3020000}"/>
    <cellStyle name="20% - Accent1 2 3 3 2 3 3" xfId="4716" xr:uid="{00000000-0005-0000-0000-0000A4020000}"/>
    <cellStyle name="20% - Accent1 2 3 3 2 3 3 2" xfId="5618" xr:uid="{00000000-0005-0000-0000-0000A5020000}"/>
    <cellStyle name="20% - Accent1 2 3 3 2 3 4" xfId="434" xr:uid="{00000000-0005-0000-0000-0000A6020000}"/>
    <cellStyle name="20% - Accent1 2 3 3 2 4" xfId="6778" xr:uid="{00000000-0005-0000-0000-0000A7020000}"/>
    <cellStyle name="20% - Accent1 2 3 3 2 4 2" xfId="9014" xr:uid="{00000000-0005-0000-0000-0000A8020000}"/>
    <cellStyle name="20% - Accent1 2 3 3 2 4 2 2" xfId="12109" xr:uid="{00000000-0005-0000-0000-0000A9020000}"/>
    <cellStyle name="20% - Accent1 2 3 3 2 4 3" xfId="5874" xr:uid="{00000000-0005-0000-0000-0000AA020000}"/>
    <cellStyle name="20% - Accent1 2 3 3 2 5" xfId="828" xr:uid="{00000000-0005-0000-0000-0000AB020000}"/>
    <cellStyle name="20% - Accent1 2 3 3 2 5 2" xfId="275" xr:uid="{00000000-0005-0000-0000-0000AC020000}"/>
    <cellStyle name="20% - Accent1 2 3 3 2 6" xfId="833" xr:uid="{00000000-0005-0000-0000-0000AD020000}"/>
    <cellStyle name="20% - Accent1 2 3 3 3" xfId="632" xr:uid="{00000000-0005-0000-0000-0000AE020000}"/>
    <cellStyle name="20% - Accent1 2 3 3 3 2" xfId="10617" xr:uid="{00000000-0005-0000-0000-0000AF020000}"/>
    <cellStyle name="20% - Accent1 2 3 3 3 2 2" xfId="11408" xr:uid="{00000000-0005-0000-0000-0000B0020000}"/>
    <cellStyle name="20% - Accent1 2 3 3 3 2 2 2" xfId="7231" xr:uid="{00000000-0005-0000-0000-0000B1020000}"/>
    <cellStyle name="20% - Accent1 2 3 3 3 2 2 2 2" xfId="9658" xr:uid="{00000000-0005-0000-0000-0000B2020000}"/>
    <cellStyle name="20% - Accent1 2 3 3 3 2 2 3" xfId="7239" xr:uid="{00000000-0005-0000-0000-0000B3020000}"/>
    <cellStyle name="20% - Accent1 2 3 3 3 2 3" xfId="22336" xr:uid="{00000000-0005-0000-0000-0000B4020000}"/>
    <cellStyle name="20% - Accent1 2 3 3 3 2 3 2" xfId="5832" xr:uid="{00000000-0005-0000-0000-0000B5020000}"/>
    <cellStyle name="20% - Accent1 2 3 3 3 2 4" xfId="22345" xr:uid="{00000000-0005-0000-0000-0000B6020000}"/>
    <cellStyle name="20% - Accent1 2 3 3 3 3" xfId="10621" xr:uid="{00000000-0005-0000-0000-0000B7020000}"/>
    <cellStyle name="20% - Accent1 2 3 3 3 3 2" xfId="25317" xr:uid="{00000000-0005-0000-0000-0000B8020000}"/>
    <cellStyle name="20% - Accent1 2 3 3 3 3 2 2" xfId="7259" xr:uid="{00000000-0005-0000-0000-0000B9020000}"/>
    <cellStyle name="20% - Accent1 2 3 3 3 3 3" xfId="22357" xr:uid="{00000000-0005-0000-0000-0000BA020000}"/>
    <cellStyle name="20% - Accent1 2 3 3 3 4" xfId="25329" xr:uid="{00000000-0005-0000-0000-0000BB020000}"/>
    <cellStyle name="20% - Accent1 2 3 3 3 4 2" xfId="25794" xr:uid="{00000000-0005-0000-0000-0000BC020000}"/>
    <cellStyle name="20% - Accent1 2 3 3 3 5" xfId="21663" xr:uid="{00000000-0005-0000-0000-0000BD020000}"/>
    <cellStyle name="20% - Accent1 2 3 3 4" xfId="8787" xr:uid="{00000000-0005-0000-0000-0000BE020000}"/>
    <cellStyle name="20% - Accent1 2 3 3 4 2" xfId="10117" xr:uid="{00000000-0005-0000-0000-0000BF020000}"/>
    <cellStyle name="20% - Accent1 2 3 3 4 2 2" xfId="24523" xr:uid="{00000000-0005-0000-0000-0000C0020000}"/>
    <cellStyle name="20% - Accent1 2 3 3 4 2 2 2" xfId="7469" xr:uid="{00000000-0005-0000-0000-0000C1020000}"/>
    <cellStyle name="20% - Accent1 2 3 3 4 2 3" xfId="22433" xr:uid="{00000000-0005-0000-0000-0000C2020000}"/>
    <cellStyle name="20% - Accent1 2 3 3 4 3" xfId="25396" xr:uid="{00000000-0005-0000-0000-0000C3020000}"/>
    <cellStyle name="20% - Accent1 2 3 3 4 3 2" xfId="25401" xr:uid="{00000000-0005-0000-0000-0000C4020000}"/>
    <cellStyle name="20% - Accent1 2 3 3 4 4" xfId="25406" xr:uid="{00000000-0005-0000-0000-0000C5020000}"/>
    <cellStyle name="20% - Accent1 2 3 3 5" xfId="11957" xr:uid="{00000000-0005-0000-0000-0000C6020000}"/>
    <cellStyle name="20% - Accent1 2 3 3 5 2" xfId="25430" xr:uid="{00000000-0005-0000-0000-0000C7020000}"/>
    <cellStyle name="20% - Accent1 2 3 3 5 2 2" xfId="25432" xr:uid="{00000000-0005-0000-0000-0000C8020000}"/>
    <cellStyle name="20% - Accent1 2 3 3 5 3" xfId="5659" xr:uid="{00000000-0005-0000-0000-0000C9020000}"/>
    <cellStyle name="20% - Accent1 2 3 3 6" xfId="1881" xr:uid="{00000000-0005-0000-0000-0000CA020000}"/>
    <cellStyle name="20% - Accent1 2 3 3 6 2" xfId="25461" xr:uid="{00000000-0005-0000-0000-0000CB020000}"/>
    <cellStyle name="20% - Accent1 2 3 3 7" xfId="3315" xr:uid="{00000000-0005-0000-0000-0000CC020000}"/>
    <cellStyle name="20% - Accent1 2 3 4" xfId="2365" xr:uid="{00000000-0005-0000-0000-0000CD020000}"/>
    <cellStyle name="20% - Accent1 2 3 4 2" xfId="9279" xr:uid="{00000000-0005-0000-0000-0000CE020000}"/>
    <cellStyle name="20% - Accent1 2 3 4 2 2" xfId="2192" xr:uid="{00000000-0005-0000-0000-0000CF020000}"/>
    <cellStyle name="20% - Accent1 2 3 4 2 2 2" xfId="4938" xr:uid="{00000000-0005-0000-0000-0000D0020000}"/>
    <cellStyle name="20% - Accent1 2 3 4 2 2 2 2" xfId="16177" xr:uid="{00000000-0005-0000-0000-0000D1020000}"/>
    <cellStyle name="20% - Accent1 2 3 4 2 2 2 2 2" xfId="7504" xr:uid="{00000000-0005-0000-0000-0000D2020000}"/>
    <cellStyle name="20% - Accent1 2 3 4 2 2 2 3" xfId="16181" xr:uid="{00000000-0005-0000-0000-0000D3020000}"/>
    <cellStyle name="20% - Accent1 2 3 4 2 2 3" xfId="4775" xr:uid="{00000000-0005-0000-0000-0000D4020000}"/>
    <cellStyle name="20% - Accent1 2 3 4 2 2 3 2" xfId="12154" xr:uid="{00000000-0005-0000-0000-0000D5020000}"/>
    <cellStyle name="20% - Accent1 2 3 4 2 2 4" xfId="12631" xr:uid="{00000000-0005-0000-0000-0000D6020000}"/>
    <cellStyle name="20% - Accent1 2 3 4 2 3" xfId="4545" xr:uid="{00000000-0005-0000-0000-0000D7020000}"/>
    <cellStyle name="20% - Accent1 2 3 4 2 3 2" xfId="2721" xr:uid="{00000000-0005-0000-0000-0000D8020000}"/>
    <cellStyle name="20% - Accent1 2 3 4 2 3 2 2" xfId="21466" xr:uid="{00000000-0005-0000-0000-0000D9020000}"/>
    <cellStyle name="20% - Accent1 2 3 4 2 3 3" xfId="635" xr:uid="{00000000-0005-0000-0000-0000DA020000}"/>
    <cellStyle name="20% - Accent1 2 3 4 2 4" xfId="3208" xr:uid="{00000000-0005-0000-0000-0000DB020000}"/>
    <cellStyle name="20% - Accent1 2 3 4 2 4 2" xfId="354" xr:uid="{00000000-0005-0000-0000-0000DC020000}"/>
    <cellStyle name="20% - Accent1 2 3 4 2 5" xfId="2444" xr:uid="{00000000-0005-0000-0000-0000DD020000}"/>
    <cellStyle name="20% - Accent1 2 3 4 3" xfId="9283" xr:uid="{00000000-0005-0000-0000-0000DE020000}"/>
    <cellStyle name="20% - Accent1 2 3 4 3 2" xfId="19390" xr:uid="{00000000-0005-0000-0000-0000DF020000}"/>
    <cellStyle name="20% - Accent1 2 3 4 3 2 2" xfId="25492" xr:uid="{00000000-0005-0000-0000-0000E0020000}"/>
    <cellStyle name="20% - Accent1 2 3 4 3 2 2 2" xfId="8300" xr:uid="{00000000-0005-0000-0000-0000E1020000}"/>
    <cellStyle name="20% - Accent1 2 3 4 3 2 3" xfId="22550" xr:uid="{00000000-0005-0000-0000-0000E2020000}"/>
    <cellStyle name="20% - Accent1 2 3 4 3 3" xfId="8751" xr:uid="{00000000-0005-0000-0000-0000E3020000}"/>
    <cellStyle name="20% - Accent1 2 3 4 3 3 2" xfId="25509" xr:uid="{00000000-0005-0000-0000-0000E4020000}"/>
    <cellStyle name="20% - Accent1 2 3 4 3 4" xfId="11287" xr:uid="{00000000-0005-0000-0000-0000E5020000}"/>
    <cellStyle name="20% - Accent1 2 3 4 4" xfId="32370" xr:uid="{00000000-0005-0000-0000-0000E6020000}"/>
    <cellStyle name="20% - Accent1 2 3 4 4 2" xfId="19497" xr:uid="{00000000-0005-0000-0000-0000E7020000}"/>
    <cellStyle name="20% - Accent1 2 3 4 4 2 2" xfId="25541" xr:uid="{00000000-0005-0000-0000-0000E8020000}"/>
    <cellStyle name="20% - Accent1 2 3 4 4 3" xfId="11293" xr:uid="{00000000-0005-0000-0000-0000E9020000}"/>
    <cellStyle name="20% - Accent1 2 3 4 5" xfId="2304" xr:uid="{00000000-0005-0000-0000-0000EA020000}"/>
    <cellStyle name="20% - Accent1 2 3 4 5 2" xfId="19555" xr:uid="{00000000-0005-0000-0000-0000EB020000}"/>
    <cellStyle name="20% - Accent1 2 3 4 6" xfId="2578" xr:uid="{00000000-0005-0000-0000-0000EC020000}"/>
    <cellStyle name="20% - Accent1 2 3 5" xfId="2607" xr:uid="{00000000-0005-0000-0000-0000ED020000}"/>
    <cellStyle name="20% - Accent1 2 3 5 2" xfId="9290" xr:uid="{00000000-0005-0000-0000-0000EE020000}"/>
    <cellStyle name="20% - Accent1 2 3 5 2 2" xfId="2614" xr:uid="{00000000-0005-0000-0000-0000EF020000}"/>
    <cellStyle name="20% - Accent1 2 3 5 2 2 2" xfId="8140" xr:uid="{00000000-0005-0000-0000-0000F0020000}"/>
    <cellStyle name="20% - Accent1 2 3 5 2 2 2 2" xfId="10480" xr:uid="{00000000-0005-0000-0000-0000F1020000}"/>
    <cellStyle name="20% - Accent1 2 3 5 2 2 3" xfId="2473" xr:uid="{00000000-0005-0000-0000-0000F2020000}"/>
    <cellStyle name="20% - Accent1 2 3 5 2 3" xfId="2650" xr:uid="{00000000-0005-0000-0000-0000F3020000}"/>
    <cellStyle name="20% - Accent1 2 3 5 2 3 2" xfId="8164" xr:uid="{00000000-0005-0000-0000-0000F4020000}"/>
    <cellStyle name="20% - Accent1 2 3 5 2 4" xfId="3341" xr:uid="{00000000-0005-0000-0000-0000F5020000}"/>
    <cellStyle name="20% - Accent1 2 3 5 3" xfId="2691" xr:uid="{00000000-0005-0000-0000-0000F6020000}"/>
    <cellStyle name="20% - Accent1 2 3 5 3 2" xfId="19636" xr:uid="{00000000-0005-0000-0000-0000F7020000}"/>
    <cellStyle name="20% - Accent1 2 3 5 3 2 2" xfId="23705" xr:uid="{00000000-0005-0000-0000-0000F8020000}"/>
    <cellStyle name="20% - Accent1 2 3 5 3 3" xfId="19652" xr:uid="{00000000-0005-0000-0000-0000F9020000}"/>
    <cellStyle name="20% - Accent1 2 3 5 4" xfId="1439" xr:uid="{00000000-0005-0000-0000-0000FA020000}"/>
    <cellStyle name="20% - Accent1 2 3 5 4 2" xfId="15216" xr:uid="{00000000-0005-0000-0000-0000FB020000}"/>
    <cellStyle name="20% - Accent1 2 3 5 5" xfId="924" xr:uid="{00000000-0005-0000-0000-0000FC020000}"/>
    <cellStyle name="20% - Accent1 2 3 6" xfId="6551" xr:uid="{00000000-0005-0000-0000-0000FD020000}"/>
    <cellStyle name="20% - Accent1 2 3 6 2" xfId="32245" xr:uid="{00000000-0005-0000-0000-0000FE020000}"/>
    <cellStyle name="20% - Accent1 2 3 6 2 2" xfId="12369" xr:uid="{00000000-0005-0000-0000-0000FF020000}"/>
    <cellStyle name="20% - Accent1 2 3 6 2 2 2" xfId="13746" xr:uid="{00000000-0005-0000-0000-000000030000}"/>
    <cellStyle name="20% - Accent1 2 3 6 2 3" xfId="2752" xr:uid="{00000000-0005-0000-0000-000001030000}"/>
    <cellStyle name="20% - Accent1 2 3 6 3" xfId="2790" xr:uid="{00000000-0005-0000-0000-000002030000}"/>
    <cellStyle name="20% - Accent1 2 3 6 3 2" xfId="19261" xr:uid="{00000000-0005-0000-0000-000003030000}"/>
    <cellStyle name="20% - Accent1 2 3 6 4" xfId="1897" xr:uid="{00000000-0005-0000-0000-000004030000}"/>
    <cellStyle name="20% - Accent1 2 3 7" xfId="24661" xr:uid="{00000000-0005-0000-0000-000005030000}"/>
    <cellStyle name="20% - Accent1 2 3 7 2" xfId="10320" xr:uid="{00000000-0005-0000-0000-000006030000}"/>
    <cellStyle name="20% - Accent1 2 3 7 2 2" xfId="2818" xr:uid="{00000000-0005-0000-0000-000007030000}"/>
    <cellStyle name="20% - Accent1 2 3 7 3" xfId="13458" xr:uid="{00000000-0005-0000-0000-000008030000}"/>
    <cellStyle name="20% - Accent1 2 3 8" xfId="15262" xr:uid="{00000000-0005-0000-0000-000009030000}"/>
    <cellStyle name="20% - Accent1 2 3 8 2" xfId="10330" xr:uid="{00000000-0005-0000-0000-00000A030000}"/>
    <cellStyle name="20% - Accent1 2 3 9" xfId="10084" xr:uid="{00000000-0005-0000-0000-00000B030000}"/>
    <cellStyle name="20% - Accent1 2 4" xfId="4593" xr:uid="{00000000-0005-0000-0000-00000C030000}"/>
    <cellStyle name="20% - Accent1 2 4 2" xfId="1400" xr:uid="{00000000-0005-0000-0000-00000D030000}"/>
    <cellStyle name="20% - Accent1 2 4 2 2" xfId="318" xr:uid="{00000000-0005-0000-0000-00000E030000}"/>
    <cellStyle name="20% - Accent1 2 4 2 2 2" xfId="1427" xr:uid="{00000000-0005-0000-0000-00000F030000}"/>
    <cellStyle name="20% - Accent1 2 4 2 2 2 2" xfId="2562" xr:uid="{00000000-0005-0000-0000-000010030000}"/>
    <cellStyle name="20% - Accent1 2 4 2 2 2 2 2" xfId="10863" xr:uid="{00000000-0005-0000-0000-000011030000}"/>
    <cellStyle name="20% - Accent1 2 4 2 2 2 2 2 2" xfId="6915" xr:uid="{00000000-0005-0000-0000-000012030000}"/>
    <cellStyle name="20% - Accent1 2 4 2 2 2 2 2 2 2" xfId="5383" xr:uid="{00000000-0005-0000-0000-000013030000}"/>
    <cellStyle name="20% - Accent1 2 4 2 2 2 2 2 3" xfId="10821" xr:uid="{00000000-0005-0000-0000-000014030000}"/>
    <cellStyle name="20% - Accent1 2 4 2 2 2 2 3" xfId="10874" xr:uid="{00000000-0005-0000-0000-000015030000}"/>
    <cellStyle name="20% - Accent1 2 4 2 2 2 2 3 2" xfId="6595" xr:uid="{00000000-0005-0000-0000-000016030000}"/>
    <cellStyle name="20% - Accent1 2 4 2 2 2 2 4" xfId="23857" xr:uid="{00000000-0005-0000-0000-000017030000}"/>
    <cellStyle name="20% - Accent1 2 4 2 2 2 3" xfId="2568" xr:uid="{00000000-0005-0000-0000-000018030000}"/>
    <cellStyle name="20% - Accent1 2 4 2 2 2 3 2" xfId="12821" xr:uid="{00000000-0005-0000-0000-000019030000}"/>
    <cellStyle name="20% - Accent1 2 4 2 2 2 3 2 2" xfId="6930" xr:uid="{00000000-0005-0000-0000-00001A030000}"/>
    <cellStyle name="20% - Accent1 2 4 2 2 2 3 3" xfId="12225" xr:uid="{00000000-0005-0000-0000-00001B030000}"/>
    <cellStyle name="20% - Accent1 2 4 2 2 2 4" xfId="959" xr:uid="{00000000-0005-0000-0000-00001C030000}"/>
    <cellStyle name="20% - Accent1 2 4 2 2 2 4 2" xfId="12235" xr:uid="{00000000-0005-0000-0000-00001D030000}"/>
    <cellStyle name="20% - Accent1 2 4 2 2 2 5" xfId="2300" xr:uid="{00000000-0005-0000-0000-00001E030000}"/>
    <cellStyle name="20% - Accent1 2 4 2 2 3" xfId="2582" xr:uid="{00000000-0005-0000-0000-00001F030000}"/>
    <cellStyle name="20% - Accent1 2 4 2 2 3 2" xfId="962" xr:uid="{00000000-0005-0000-0000-000020030000}"/>
    <cellStyle name="20% - Accent1 2 4 2 2 3 2 2" xfId="10928" xr:uid="{00000000-0005-0000-0000-000021030000}"/>
    <cellStyle name="20% - Accent1 2 4 2 2 3 2 2 2" xfId="968" xr:uid="{00000000-0005-0000-0000-000022030000}"/>
    <cellStyle name="20% - Accent1 2 4 2 2 3 2 3" xfId="12241" xr:uid="{00000000-0005-0000-0000-000023030000}"/>
    <cellStyle name="20% - Accent1 2 4 2 2 3 3" xfId="975" xr:uid="{00000000-0005-0000-0000-000024030000}"/>
    <cellStyle name="20% - Accent1 2 4 2 2 3 3 2" xfId="27259" xr:uid="{00000000-0005-0000-0000-000025030000}"/>
    <cellStyle name="20% - Accent1 2 4 2 2 3 4" xfId="990" xr:uid="{00000000-0005-0000-0000-000026030000}"/>
    <cellStyle name="20% - Accent1 2 4 2 2 4" xfId="10535" xr:uid="{00000000-0005-0000-0000-000027030000}"/>
    <cellStyle name="20% - Accent1 2 4 2 2 4 2" xfId="998" xr:uid="{00000000-0005-0000-0000-000028030000}"/>
    <cellStyle name="20% - Accent1 2 4 2 2 4 2 2" xfId="12250" xr:uid="{00000000-0005-0000-0000-000029030000}"/>
    <cellStyle name="20% - Accent1 2 4 2 2 4 3" xfId="7785" xr:uid="{00000000-0005-0000-0000-00002A030000}"/>
    <cellStyle name="20% - Accent1 2 4 2 2 5" xfId="2606" xr:uid="{00000000-0005-0000-0000-00002B030000}"/>
    <cellStyle name="20% - Accent1 2 4 2 2 5 2" xfId="1011" xr:uid="{00000000-0005-0000-0000-00002C030000}"/>
    <cellStyle name="20% - Accent1 2 4 2 2 6" xfId="1024" xr:uid="{00000000-0005-0000-0000-00002D030000}"/>
    <cellStyle name="20% - Accent1 2 4 2 3" xfId="3119" xr:uid="{00000000-0005-0000-0000-00002E030000}"/>
    <cellStyle name="20% - Accent1 2 4 2 3 2" xfId="24601" xr:uid="{00000000-0005-0000-0000-00002F030000}"/>
    <cellStyle name="20% - Accent1 2 4 2 3 2 2" xfId="27097" xr:uid="{00000000-0005-0000-0000-000030030000}"/>
    <cellStyle name="20% - Accent1 2 4 2 3 2 2 2" xfId="6050" xr:uid="{00000000-0005-0000-0000-000031030000}"/>
    <cellStyle name="20% - Accent1 2 4 2 3 2 2 2 2" xfId="6005" xr:uid="{00000000-0005-0000-0000-000032030000}"/>
    <cellStyle name="20% - Accent1 2 4 2 3 2 2 3" xfId="6067" xr:uid="{00000000-0005-0000-0000-000033030000}"/>
    <cellStyle name="20% - Accent1 2 4 2 3 2 3" xfId="20565" xr:uid="{00000000-0005-0000-0000-000034030000}"/>
    <cellStyle name="20% - Accent1 2 4 2 3 2 3 2" xfId="8488" xr:uid="{00000000-0005-0000-0000-000035030000}"/>
    <cellStyle name="20% - Accent1 2 4 2 3 2 4" xfId="20574" xr:uid="{00000000-0005-0000-0000-000036030000}"/>
    <cellStyle name="20% - Accent1 2 4 2 3 3" xfId="3872" xr:uid="{00000000-0005-0000-0000-000037030000}"/>
    <cellStyle name="20% - Accent1 2 4 2 3 3 2" xfId="1481" xr:uid="{00000000-0005-0000-0000-000038030000}"/>
    <cellStyle name="20% - Accent1 2 4 2 3 3 2 2" xfId="28621" xr:uid="{00000000-0005-0000-0000-000039030000}"/>
    <cellStyle name="20% - Accent1 2 4 2 3 3 3" xfId="1579" xr:uid="{00000000-0005-0000-0000-00003A030000}"/>
    <cellStyle name="20% - Accent1 2 4 2 3 4" xfId="12639" xr:uid="{00000000-0005-0000-0000-00003B030000}"/>
    <cellStyle name="20% - Accent1 2 4 2 3 4 2" xfId="18088" xr:uid="{00000000-0005-0000-0000-00003C030000}"/>
    <cellStyle name="20% - Accent1 2 4 2 3 5" xfId="14714" xr:uid="{00000000-0005-0000-0000-00003D030000}"/>
    <cellStyle name="20% - Accent1 2 4 2 4" xfId="1126" xr:uid="{00000000-0005-0000-0000-00003E030000}"/>
    <cellStyle name="20% - Accent1 2 4 2 4 2" xfId="27962" xr:uid="{00000000-0005-0000-0000-00003F030000}"/>
    <cellStyle name="20% - Accent1 2 4 2 4 2 2" xfId="14799" xr:uid="{00000000-0005-0000-0000-000040030000}"/>
    <cellStyle name="20% - Accent1 2 4 2 4 2 2 2" xfId="6115" xr:uid="{00000000-0005-0000-0000-000041030000}"/>
    <cellStyle name="20% - Accent1 2 4 2 4 2 3" xfId="14824" xr:uid="{00000000-0005-0000-0000-000042030000}"/>
    <cellStyle name="20% - Accent1 2 4 2 4 3" xfId="14916" xr:uid="{00000000-0005-0000-0000-000043030000}"/>
    <cellStyle name="20% - Accent1 2 4 2 4 3 2" xfId="5391" xr:uid="{00000000-0005-0000-0000-000044030000}"/>
    <cellStyle name="20% - Accent1 2 4 2 4 4" xfId="14231" xr:uid="{00000000-0005-0000-0000-000045030000}"/>
    <cellStyle name="20% - Accent1 2 4 2 5" xfId="1708" xr:uid="{00000000-0005-0000-0000-000046030000}"/>
    <cellStyle name="20% - Accent1 2 4 2 5 2" xfId="32822" xr:uid="{00000000-0005-0000-0000-000047030000}"/>
    <cellStyle name="20% - Accent1 2 4 2 5 2 2" xfId="14933" xr:uid="{00000000-0005-0000-0000-000048030000}"/>
    <cellStyle name="20% - Accent1 2 4 2 5 3" xfId="9910" xr:uid="{00000000-0005-0000-0000-000049030000}"/>
    <cellStyle name="20% - Accent1 2 4 2 6" xfId="5107" xr:uid="{00000000-0005-0000-0000-00004A030000}"/>
    <cellStyle name="20% - Accent1 2 4 2 6 2" xfId="25078" xr:uid="{00000000-0005-0000-0000-00004B030000}"/>
    <cellStyle name="20% - Accent1 2 4 2 7" xfId="3321" xr:uid="{00000000-0005-0000-0000-00004C030000}"/>
    <cellStyle name="20% - Accent1 2 4 3" xfId="10841" xr:uid="{00000000-0005-0000-0000-00004D030000}"/>
    <cellStyle name="20% - Accent1 2 4 3 2" xfId="1118" xr:uid="{00000000-0005-0000-0000-00004E030000}"/>
    <cellStyle name="20% - Accent1 2 4 3 2 2" xfId="2936" xr:uid="{00000000-0005-0000-0000-00004F030000}"/>
    <cellStyle name="20% - Accent1 2 4 3 2 2 2" xfId="2942" xr:uid="{00000000-0005-0000-0000-000050030000}"/>
    <cellStyle name="20% - Accent1 2 4 3 2 2 2 2" xfId="6137" xr:uid="{00000000-0005-0000-0000-000051030000}"/>
    <cellStyle name="20% - Accent1 2 4 3 2 2 2 2 2" xfId="8073" xr:uid="{00000000-0005-0000-0000-000052030000}"/>
    <cellStyle name="20% - Accent1 2 4 3 2 2 2 3" xfId="12306" xr:uid="{00000000-0005-0000-0000-000053030000}"/>
    <cellStyle name="20% - Accent1 2 4 3 2 2 3" xfId="2948" xr:uid="{00000000-0005-0000-0000-000054030000}"/>
    <cellStyle name="20% - Accent1 2 4 3 2 2 3 2" xfId="12314" xr:uid="{00000000-0005-0000-0000-000055030000}"/>
    <cellStyle name="20% - Accent1 2 4 3 2 2 4" xfId="4367" xr:uid="{00000000-0005-0000-0000-000056030000}"/>
    <cellStyle name="20% - Accent1 2 4 3 2 3" xfId="2960" xr:uid="{00000000-0005-0000-0000-000057030000}"/>
    <cellStyle name="20% - Accent1 2 4 3 2 3 2" xfId="1133" xr:uid="{00000000-0005-0000-0000-000058030000}"/>
    <cellStyle name="20% - Accent1 2 4 3 2 3 2 2" xfId="12073" xr:uid="{00000000-0005-0000-0000-000059030000}"/>
    <cellStyle name="20% - Accent1 2 4 3 2 3 3" xfId="4961" xr:uid="{00000000-0005-0000-0000-00005A030000}"/>
    <cellStyle name="20% - Accent1 2 4 3 2 4" xfId="2965" xr:uid="{00000000-0005-0000-0000-00005B030000}"/>
    <cellStyle name="20% - Accent1 2 4 3 2 4 2" xfId="1135" xr:uid="{00000000-0005-0000-0000-00005C030000}"/>
    <cellStyle name="20% - Accent1 2 4 3 2 5" xfId="1182" xr:uid="{00000000-0005-0000-0000-00005D030000}"/>
    <cellStyle name="20% - Accent1 2 4 3 3" xfId="1139" xr:uid="{00000000-0005-0000-0000-00005E030000}"/>
    <cellStyle name="20% - Accent1 2 4 3 3 2" xfId="9374" xr:uid="{00000000-0005-0000-0000-00005F030000}"/>
    <cellStyle name="20% - Accent1 2 4 3 3 2 2" xfId="13058" xr:uid="{00000000-0005-0000-0000-000060030000}"/>
    <cellStyle name="20% - Accent1 2 4 3 3 2 2 2" xfId="6195" xr:uid="{00000000-0005-0000-0000-000061030000}"/>
    <cellStyle name="20% - Accent1 2 4 3 3 2 3" xfId="20780" xr:uid="{00000000-0005-0000-0000-000062030000}"/>
    <cellStyle name="20% - Accent1 2 4 3 3 3" xfId="14924" xr:uid="{00000000-0005-0000-0000-000063030000}"/>
    <cellStyle name="20% - Accent1 2 4 3 3 3 2" xfId="7024" xr:uid="{00000000-0005-0000-0000-000064030000}"/>
    <cellStyle name="20% - Accent1 2 4 3 3 4" xfId="3933" xr:uid="{00000000-0005-0000-0000-000065030000}"/>
    <cellStyle name="20% - Accent1 2 4 3 4" xfId="1725" xr:uid="{00000000-0005-0000-0000-000066030000}"/>
    <cellStyle name="20% - Accent1 2 4 3 4 2" xfId="29855" xr:uid="{00000000-0005-0000-0000-000067030000}"/>
    <cellStyle name="20% - Accent1 2 4 3 4 2 2" xfId="15055" xr:uid="{00000000-0005-0000-0000-000068030000}"/>
    <cellStyle name="20% - Accent1 2 4 3 4 3" xfId="3938" xr:uid="{00000000-0005-0000-0000-000069030000}"/>
    <cellStyle name="20% - Accent1 2 4 3 5" xfId="2311" xr:uid="{00000000-0005-0000-0000-00006A030000}"/>
    <cellStyle name="20% - Accent1 2 4 3 5 2" xfId="22551" xr:uid="{00000000-0005-0000-0000-00006B030000}"/>
    <cellStyle name="20% - Accent1 2 4 3 6" xfId="1191" xr:uid="{00000000-0005-0000-0000-00006C030000}"/>
    <cellStyle name="20% - Accent1 2 4 4" xfId="27974" xr:uid="{00000000-0005-0000-0000-00006D030000}"/>
    <cellStyle name="20% - Accent1 2 4 4 2" xfId="13473" xr:uid="{00000000-0005-0000-0000-00006E030000}"/>
    <cellStyle name="20% - Accent1 2 4 4 2 2" xfId="21113" xr:uid="{00000000-0005-0000-0000-00006F030000}"/>
    <cellStyle name="20% - Accent1 2 4 4 2 2 2" xfId="3162" xr:uid="{00000000-0005-0000-0000-000070030000}"/>
    <cellStyle name="20% - Accent1 2 4 4 2 2 2 2" xfId="29216" xr:uid="{00000000-0005-0000-0000-000071030000}"/>
    <cellStyle name="20% - Accent1 2 4 4 2 2 3" xfId="2376" xr:uid="{00000000-0005-0000-0000-000072030000}"/>
    <cellStyle name="20% - Accent1 2 4 4 2 3" xfId="3167" xr:uid="{00000000-0005-0000-0000-000073030000}"/>
    <cellStyle name="20% - Accent1 2 4 4 2 3 2" xfId="2890" xr:uid="{00000000-0005-0000-0000-000074030000}"/>
    <cellStyle name="20% - Accent1 2 4 4 2 4" xfId="2894" xr:uid="{00000000-0005-0000-0000-000075030000}"/>
    <cellStyle name="20% - Accent1 2 4 4 3" xfId="9807" xr:uid="{00000000-0005-0000-0000-000076030000}"/>
    <cellStyle name="20% - Accent1 2 4 4 3 2" xfId="24676" xr:uid="{00000000-0005-0000-0000-000077030000}"/>
    <cellStyle name="20% - Accent1 2 4 4 3 2 2" xfId="26990" xr:uid="{00000000-0005-0000-0000-000078030000}"/>
    <cellStyle name="20% - Accent1 2 4 4 3 3" xfId="12556" xr:uid="{00000000-0005-0000-0000-000079030000}"/>
    <cellStyle name="20% - Accent1 2 4 4 4" xfId="10486" xr:uid="{00000000-0005-0000-0000-00007A030000}"/>
    <cellStyle name="20% - Accent1 2 4 4 4 2" xfId="19888" xr:uid="{00000000-0005-0000-0000-00007B030000}"/>
    <cellStyle name="20% - Accent1 2 4 4 5" xfId="2938" xr:uid="{00000000-0005-0000-0000-00007C030000}"/>
    <cellStyle name="20% - Accent1 2 4 5" xfId="25547" xr:uid="{00000000-0005-0000-0000-00007D030000}"/>
    <cellStyle name="20% - Accent1 2 4 5 2" xfId="13489" xr:uid="{00000000-0005-0000-0000-00007E030000}"/>
    <cellStyle name="20% - Accent1 2 4 5 2 2" xfId="5998" xr:uid="{00000000-0005-0000-0000-00007F030000}"/>
    <cellStyle name="20% - Accent1 2 4 5 2 2 2" xfId="8600" xr:uid="{00000000-0005-0000-0000-000080030000}"/>
    <cellStyle name="20% - Accent1 2 4 5 2 3" xfId="2981" xr:uid="{00000000-0005-0000-0000-000081030000}"/>
    <cellStyle name="20% - Accent1 2 4 5 3" xfId="31192" xr:uid="{00000000-0005-0000-0000-000082030000}"/>
    <cellStyle name="20% - Accent1 2 4 5 3 2" xfId="19939" xr:uid="{00000000-0005-0000-0000-000083030000}"/>
    <cellStyle name="20% - Accent1 2 4 5 4" xfId="19505" xr:uid="{00000000-0005-0000-0000-000084030000}"/>
    <cellStyle name="20% - Accent1 2 4 6" xfId="27653" xr:uid="{00000000-0005-0000-0000-000085030000}"/>
    <cellStyle name="20% - Accent1 2 4 6 2" xfId="3022" xr:uid="{00000000-0005-0000-0000-000086030000}"/>
    <cellStyle name="20% - Accent1 2 4 6 2 2" xfId="3024" xr:uid="{00000000-0005-0000-0000-000087030000}"/>
    <cellStyle name="20% - Accent1 2 4 6 3" xfId="19507" xr:uid="{00000000-0005-0000-0000-000088030000}"/>
    <cellStyle name="20% - Accent1 2 4 7" xfId="17295" xr:uid="{00000000-0005-0000-0000-000089030000}"/>
    <cellStyle name="20% - Accent1 2 4 7 2" xfId="10334" xr:uid="{00000000-0005-0000-0000-00008A030000}"/>
    <cellStyle name="20% - Accent1 2 4 8" xfId="24855" xr:uid="{00000000-0005-0000-0000-00008B030000}"/>
    <cellStyle name="20% - Accent1 2 5" xfId="7994" xr:uid="{00000000-0005-0000-0000-00008C030000}"/>
    <cellStyle name="20% - Accent1 2 5 2" xfId="17862" xr:uid="{00000000-0005-0000-0000-00008D030000}"/>
    <cellStyle name="20% - Accent1 2 5 2 2" xfId="17864" xr:uid="{00000000-0005-0000-0000-00008E030000}"/>
    <cellStyle name="20% - Accent1 2 5 2 2 2" xfId="6386" xr:uid="{00000000-0005-0000-0000-00008F030000}"/>
    <cellStyle name="20% - Accent1 2 5 2 2 2 2" xfId="9635" xr:uid="{00000000-0005-0000-0000-000090030000}"/>
    <cellStyle name="20% - Accent1 2 5 2 2 2 2 2" xfId="31149" xr:uid="{00000000-0005-0000-0000-000091030000}"/>
    <cellStyle name="20% - Accent1 2 5 2 2 2 2 2 2" xfId="9216" xr:uid="{00000000-0005-0000-0000-000092030000}"/>
    <cellStyle name="20% - Accent1 2 5 2 2 2 2 3" xfId="31159" xr:uid="{00000000-0005-0000-0000-000093030000}"/>
    <cellStyle name="20% - Accent1 2 5 2 2 2 3" xfId="9637" xr:uid="{00000000-0005-0000-0000-000094030000}"/>
    <cellStyle name="20% - Accent1 2 5 2 2 2 3 2" xfId="31164" xr:uid="{00000000-0005-0000-0000-000095030000}"/>
    <cellStyle name="20% - Accent1 2 5 2 2 2 4" xfId="441" xr:uid="{00000000-0005-0000-0000-000096030000}"/>
    <cellStyle name="20% - Accent1 2 5 2 2 3" xfId="1234" xr:uid="{00000000-0005-0000-0000-000097030000}"/>
    <cellStyle name="20% - Accent1 2 5 2 2 3 2" xfId="1241" xr:uid="{00000000-0005-0000-0000-000098030000}"/>
    <cellStyle name="20% - Accent1 2 5 2 2 3 2 2" xfId="6311" xr:uid="{00000000-0005-0000-0000-000099030000}"/>
    <cellStyle name="20% - Accent1 2 5 2 2 3 3" xfId="604" xr:uid="{00000000-0005-0000-0000-00009A030000}"/>
    <cellStyle name="20% - Accent1 2 5 2 2 4" xfId="1255" xr:uid="{00000000-0005-0000-0000-00009B030000}"/>
    <cellStyle name="20% - Accent1 2 5 2 2 4 2" xfId="1260" xr:uid="{00000000-0005-0000-0000-00009C030000}"/>
    <cellStyle name="20% - Accent1 2 5 2 2 5" xfId="12671" xr:uid="{00000000-0005-0000-0000-00009D030000}"/>
    <cellStyle name="20% - Accent1 2 5 2 3" xfId="6389" xr:uid="{00000000-0005-0000-0000-00009E030000}"/>
    <cellStyle name="20% - Accent1 2 5 2 3 2" xfId="885" xr:uid="{00000000-0005-0000-0000-00009F030000}"/>
    <cellStyle name="20% - Accent1 2 5 2 3 2 2" xfId="26389" xr:uid="{00000000-0005-0000-0000-0000A0030000}"/>
    <cellStyle name="20% - Accent1 2 5 2 3 2 2 2" xfId="6348" xr:uid="{00000000-0005-0000-0000-0000A1030000}"/>
    <cellStyle name="20% - Accent1 2 5 2 3 2 3" xfId="7659" xr:uid="{00000000-0005-0000-0000-0000A2030000}"/>
    <cellStyle name="20% - Accent1 2 5 2 3 3" xfId="14939" xr:uid="{00000000-0005-0000-0000-0000A3030000}"/>
    <cellStyle name="20% - Accent1 2 5 2 3 3 2" xfId="26410" xr:uid="{00000000-0005-0000-0000-0000A4030000}"/>
    <cellStyle name="20% - Accent1 2 5 2 3 4" xfId="33496" xr:uid="{00000000-0005-0000-0000-0000A5030000}"/>
    <cellStyle name="20% - Accent1 2 5 2 4" xfId="1442" xr:uid="{00000000-0005-0000-0000-0000A6030000}"/>
    <cellStyle name="20% - Accent1 2 5 2 4 2" xfId="1462" xr:uid="{00000000-0005-0000-0000-0000A7030000}"/>
    <cellStyle name="20% - Accent1 2 5 2 4 2 2" xfId="28711" xr:uid="{00000000-0005-0000-0000-0000A8030000}"/>
    <cellStyle name="20% - Accent1 2 5 2 4 3" xfId="1306" xr:uid="{00000000-0005-0000-0000-0000A9030000}"/>
    <cellStyle name="20% - Accent1 2 5 2 5" xfId="1328" xr:uid="{00000000-0005-0000-0000-0000AA030000}"/>
    <cellStyle name="20% - Accent1 2 5 2 5 2" xfId="8595" xr:uid="{00000000-0005-0000-0000-0000AB030000}"/>
    <cellStyle name="20% - Accent1 2 5 2 6" xfId="405" xr:uid="{00000000-0005-0000-0000-0000AC030000}"/>
    <cellStyle name="20% - Accent1 2 5 3" xfId="22261" xr:uid="{00000000-0005-0000-0000-0000AD030000}"/>
    <cellStyle name="20% - Accent1 2 5 3 2" xfId="1691" xr:uid="{00000000-0005-0000-0000-0000AE030000}"/>
    <cellStyle name="20% - Accent1 2 5 3 2 2" xfId="1913" xr:uid="{00000000-0005-0000-0000-0000AF030000}"/>
    <cellStyle name="20% - Accent1 2 5 3 2 2 2" xfId="9697" xr:uid="{00000000-0005-0000-0000-0000B0030000}"/>
    <cellStyle name="20% - Accent1 2 5 3 2 2 2 2" xfId="31504" xr:uid="{00000000-0005-0000-0000-0000B1030000}"/>
    <cellStyle name="20% - Accent1 2 5 3 2 2 3" xfId="13388" xr:uid="{00000000-0005-0000-0000-0000B2030000}"/>
    <cellStyle name="20% - Accent1 2 5 3 2 3" xfId="1956" xr:uid="{00000000-0005-0000-0000-0000B3030000}"/>
    <cellStyle name="20% - Accent1 2 5 3 2 3 2" xfId="13411" xr:uid="{00000000-0005-0000-0000-0000B4030000}"/>
    <cellStyle name="20% - Accent1 2 5 3 2 4" xfId="1369" xr:uid="{00000000-0005-0000-0000-0000B5030000}"/>
    <cellStyle name="20% - Accent1 2 5 3 3" xfId="1388" xr:uid="{00000000-0005-0000-0000-0000B6030000}"/>
    <cellStyle name="20% - Accent1 2 5 3 3 2" xfId="1444" xr:uid="{00000000-0005-0000-0000-0000B7030000}"/>
    <cellStyle name="20% - Accent1 2 5 3 3 2 2" xfId="18854" xr:uid="{00000000-0005-0000-0000-0000B8030000}"/>
    <cellStyle name="20% - Accent1 2 5 3 3 3" xfId="1711" xr:uid="{00000000-0005-0000-0000-0000B9030000}"/>
    <cellStyle name="20% - Accent1 2 5 3 4" xfId="6124" xr:uid="{00000000-0005-0000-0000-0000BA030000}"/>
    <cellStyle name="20% - Accent1 2 5 3 4 2" xfId="1728" xr:uid="{00000000-0005-0000-0000-0000BB030000}"/>
    <cellStyle name="20% - Accent1 2 5 3 5" xfId="6126" xr:uid="{00000000-0005-0000-0000-0000BC030000}"/>
    <cellStyle name="20% - Accent1 2 5 4" xfId="7606" xr:uid="{00000000-0005-0000-0000-0000BD030000}"/>
    <cellStyle name="20% - Accent1 2 5 4 2" xfId="3081" xr:uid="{00000000-0005-0000-0000-0000BE030000}"/>
    <cellStyle name="20% - Accent1 2 5 4 2 2" xfId="3087" xr:uid="{00000000-0005-0000-0000-0000BF030000}"/>
    <cellStyle name="20% - Accent1 2 5 4 2 2 2" xfId="5212" xr:uid="{00000000-0005-0000-0000-0000C0030000}"/>
    <cellStyle name="20% - Accent1 2 5 4 2 3" xfId="3959" xr:uid="{00000000-0005-0000-0000-0000C1030000}"/>
    <cellStyle name="20% - Accent1 2 5 4 3" xfId="3113" xr:uid="{00000000-0005-0000-0000-0000C2030000}"/>
    <cellStyle name="20% - Accent1 2 5 4 3 2" xfId="7116" xr:uid="{00000000-0005-0000-0000-0000C3030000}"/>
    <cellStyle name="20% - Accent1 2 5 4 4" xfId="4941" xr:uid="{00000000-0005-0000-0000-0000C4030000}"/>
    <cellStyle name="20% - Accent1 2 5 5" xfId="18651" xr:uid="{00000000-0005-0000-0000-0000C5030000}"/>
    <cellStyle name="20% - Accent1 2 5 5 2" xfId="3170" xr:uid="{00000000-0005-0000-0000-0000C6030000}"/>
    <cellStyle name="20% - Accent1 2 5 5 2 2" xfId="3173" xr:uid="{00000000-0005-0000-0000-0000C7030000}"/>
    <cellStyle name="20% - Accent1 2 5 5 3" xfId="19517" xr:uid="{00000000-0005-0000-0000-0000C8030000}"/>
    <cellStyle name="20% - Accent1 2 5 6" xfId="5985" xr:uid="{00000000-0005-0000-0000-0000C9030000}"/>
    <cellStyle name="20% - Accent1 2 5 6 2" xfId="3199" xr:uid="{00000000-0005-0000-0000-0000CA030000}"/>
    <cellStyle name="20% - Accent1 2 5 7" xfId="10336" xr:uid="{00000000-0005-0000-0000-0000CB030000}"/>
    <cellStyle name="20% - Accent1 2 6" xfId="15039" xr:uid="{00000000-0005-0000-0000-0000CC030000}"/>
    <cellStyle name="20% - Accent1 2 6 2" xfId="17875" xr:uid="{00000000-0005-0000-0000-0000CD030000}"/>
    <cellStyle name="20% - Accent1 2 6 2 2" xfId="6407" xr:uid="{00000000-0005-0000-0000-0000CE030000}"/>
    <cellStyle name="20% - Accent1 2 6 2 2 2" xfId="9268" xr:uid="{00000000-0005-0000-0000-0000CF030000}"/>
    <cellStyle name="20% - Accent1 2 6 2 2 2 2" xfId="6065" xr:uid="{00000000-0005-0000-0000-0000D0030000}"/>
    <cellStyle name="20% - Accent1 2 6 2 2 2 2 2" xfId="29049" xr:uid="{00000000-0005-0000-0000-0000D1030000}"/>
    <cellStyle name="20% - Accent1 2 6 2 2 2 3" xfId="6982" xr:uid="{00000000-0005-0000-0000-0000D2030000}"/>
    <cellStyle name="20% - Accent1 2 6 2 2 3" xfId="9271" xr:uid="{00000000-0005-0000-0000-0000D3030000}"/>
    <cellStyle name="20% - Accent1 2 6 2 2 3 2" xfId="7885" xr:uid="{00000000-0005-0000-0000-0000D4030000}"/>
    <cellStyle name="20% - Accent1 2 6 2 2 4" xfId="23237" xr:uid="{00000000-0005-0000-0000-0000D5030000}"/>
    <cellStyle name="20% - Accent1 2 6 2 3" xfId="572" xr:uid="{00000000-0005-0000-0000-0000D6030000}"/>
    <cellStyle name="20% - Accent1 2 6 2 3 2" xfId="9277" xr:uid="{00000000-0005-0000-0000-0000D7030000}"/>
    <cellStyle name="20% - Accent1 2 6 2 3 2 2" xfId="20088" xr:uid="{00000000-0005-0000-0000-0000D8030000}"/>
    <cellStyle name="20% - Accent1 2 6 2 3 3" xfId="1470" xr:uid="{00000000-0005-0000-0000-0000D9030000}"/>
    <cellStyle name="20% - Accent1 2 6 2 4" xfId="1474" xr:uid="{00000000-0005-0000-0000-0000DA030000}"/>
    <cellStyle name="20% - Accent1 2 6 2 4 2" xfId="9281" xr:uid="{00000000-0005-0000-0000-0000DB030000}"/>
    <cellStyle name="20% - Accent1 2 6 2 5" xfId="2005" xr:uid="{00000000-0005-0000-0000-0000DC030000}"/>
    <cellStyle name="20% - Accent1 2 6 3" xfId="6408" xr:uid="{00000000-0005-0000-0000-0000DD030000}"/>
    <cellStyle name="20% - Accent1 2 6 3 2" xfId="13100" xr:uid="{00000000-0005-0000-0000-0000DE030000}"/>
    <cellStyle name="20% - Accent1 2 6 3 2 2" xfId="4231" xr:uid="{00000000-0005-0000-0000-0000DF030000}"/>
    <cellStyle name="20% - Accent1 2 6 3 2 2 2" xfId="3212" xr:uid="{00000000-0005-0000-0000-0000E0030000}"/>
    <cellStyle name="20% - Accent1 2 6 3 2 3" xfId="1823" xr:uid="{00000000-0005-0000-0000-0000E1030000}"/>
    <cellStyle name="20% - Accent1 2 6 3 3" xfId="1511" xr:uid="{00000000-0005-0000-0000-0000E2030000}"/>
    <cellStyle name="20% - Accent1 2 6 3 3 2" xfId="3793" xr:uid="{00000000-0005-0000-0000-0000E3030000}"/>
    <cellStyle name="20% - Accent1 2 6 3 4" xfId="6132" xr:uid="{00000000-0005-0000-0000-0000E4030000}"/>
    <cellStyle name="20% - Accent1 2 6 4" xfId="4857" xr:uid="{00000000-0005-0000-0000-0000E5030000}"/>
    <cellStyle name="20% - Accent1 2 6 4 2" xfId="3226" xr:uid="{00000000-0005-0000-0000-0000E6030000}"/>
    <cellStyle name="20% - Accent1 2 6 4 2 2" xfId="1542" xr:uid="{00000000-0005-0000-0000-0000E7030000}"/>
    <cellStyle name="20% - Accent1 2 6 4 3" xfId="3233" xr:uid="{00000000-0005-0000-0000-0000E8030000}"/>
    <cellStyle name="20% - Accent1 2 6 5" xfId="18660" xr:uid="{00000000-0005-0000-0000-0000E9030000}"/>
    <cellStyle name="20% - Accent1 2 6 5 2" xfId="3237" xr:uid="{00000000-0005-0000-0000-0000EA030000}"/>
    <cellStyle name="20% - Accent1 2 6 6" xfId="6744" xr:uid="{00000000-0005-0000-0000-0000EB030000}"/>
    <cellStyle name="20% - Accent1 2 7" xfId="5982" xr:uid="{00000000-0005-0000-0000-0000EC030000}"/>
    <cellStyle name="20% - Accent1 2 7 2" xfId="5612" xr:uid="{00000000-0005-0000-0000-0000ED030000}"/>
    <cellStyle name="20% - Accent1 2 7 2 2" xfId="546" xr:uid="{00000000-0005-0000-0000-0000EE030000}"/>
    <cellStyle name="20% - Accent1 2 7 2 2 2" xfId="9310" xr:uid="{00000000-0005-0000-0000-0000EF030000}"/>
    <cellStyle name="20% - Accent1 2 7 2 2 2 2" xfId="12660" xr:uid="{00000000-0005-0000-0000-0000F0030000}"/>
    <cellStyle name="20% - Accent1 2 7 2 2 3" xfId="9312" xr:uid="{00000000-0005-0000-0000-0000F1030000}"/>
    <cellStyle name="20% - Accent1 2 7 2 3" xfId="348" xr:uid="{00000000-0005-0000-0000-0000F2030000}"/>
    <cellStyle name="20% - Accent1 2 7 2 3 2" xfId="742" xr:uid="{00000000-0005-0000-0000-0000F3030000}"/>
    <cellStyle name="20% - Accent1 2 7 2 4" xfId="2112" xr:uid="{00000000-0005-0000-0000-0000F4030000}"/>
    <cellStyle name="20% - Accent1 2 7 3" xfId="2400" xr:uid="{00000000-0005-0000-0000-0000F5030000}"/>
    <cellStyle name="20% - Accent1 2 7 3 2" xfId="660" xr:uid="{00000000-0005-0000-0000-0000F6030000}"/>
    <cellStyle name="20% - Accent1 2 7 3 2 2" xfId="16708" xr:uid="{00000000-0005-0000-0000-0000F7030000}"/>
    <cellStyle name="20% - Accent1 2 7 3 3" xfId="598" xr:uid="{00000000-0005-0000-0000-0000F8030000}"/>
    <cellStyle name="20% - Accent1 2 7 4" xfId="10677" xr:uid="{00000000-0005-0000-0000-0000F9030000}"/>
    <cellStyle name="20% - Accent1 2 7 4 2" xfId="3433" xr:uid="{00000000-0005-0000-0000-0000FA030000}"/>
    <cellStyle name="20% - Accent1 2 7 5" xfId="30939" xr:uid="{00000000-0005-0000-0000-0000FB030000}"/>
    <cellStyle name="20% - Accent1 2 8" xfId="1816" xr:uid="{00000000-0005-0000-0000-0000FC030000}"/>
    <cellStyle name="20% - Accent1 2 8 2" xfId="4177" xr:uid="{00000000-0005-0000-0000-0000FD030000}"/>
    <cellStyle name="20% - Accent1 2 8 2 2" xfId="728" xr:uid="{00000000-0005-0000-0000-0000FE030000}"/>
    <cellStyle name="20% - Accent1 2 8 2 2 2" xfId="9331" xr:uid="{00000000-0005-0000-0000-0000FF030000}"/>
    <cellStyle name="20% - Accent1 2 8 2 3" xfId="732" xr:uid="{00000000-0005-0000-0000-000000040000}"/>
    <cellStyle name="20% - Accent1 2 8 3" xfId="12439" xr:uid="{00000000-0005-0000-0000-000001040000}"/>
    <cellStyle name="20% - Accent1 2 8 3 2" xfId="6747" xr:uid="{00000000-0005-0000-0000-000002040000}"/>
    <cellStyle name="20% - Accent1 2 8 4" xfId="1562" xr:uid="{00000000-0005-0000-0000-000003040000}"/>
    <cellStyle name="20% - Accent1 2 9" xfId="1028" xr:uid="{00000000-0005-0000-0000-000004040000}"/>
    <cellStyle name="20% - Accent1 2 9 2" xfId="1566" xr:uid="{00000000-0005-0000-0000-000005040000}"/>
    <cellStyle name="20% - Accent1 2 9 2 2" xfId="8450" xr:uid="{00000000-0005-0000-0000-000006040000}"/>
    <cellStyle name="20% - Accent1 2 9 3" xfId="1574" xr:uid="{00000000-0005-0000-0000-000007040000}"/>
    <cellStyle name="20% - Accent1 3" xfId="7718" xr:uid="{00000000-0005-0000-0000-000008040000}"/>
    <cellStyle name="20% - Accent1 3 10" xfId="4565" xr:uid="{00000000-0005-0000-0000-000009040000}"/>
    <cellStyle name="20% - Accent1 3 2" xfId="7346" xr:uid="{00000000-0005-0000-0000-00000A040000}"/>
    <cellStyle name="20% - Accent1 3 2 2" xfId="2208" xr:uid="{00000000-0005-0000-0000-00000B040000}"/>
    <cellStyle name="20% - Accent1 3 2 2 2" xfId="3577" xr:uid="{00000000-0005-0000-0000-00000C040000}"/>
    <cellStyle name="20% - Accent1 3 2 2 2 2" xfId="1064" xr:uid="{00000000-0005-0000-0000-00000D040000}"/>
    <cellStyle name="20% - Accent1 3 2 2 2 2 2" xfId="890" xr:uid="{00000000-0005-0000-0000-00000E040000}"/>
    <cellStyle name="20% - Accent1 3 2 2 2 2 2 2" xfId="17318" xr:uid="{00000000-0005-0000-0000-00000F040000}"/>
    <cellStyle name="20% - Accent1 3 2 2 2 2 2 2 2" xfId="8836" xr:uid="{00000000-0005-0000-0000-000010040000}"/>
    <cellStyle name="20% - Accent1 3 2 2 2 2 2 2 2 2" xfId="12522" xr:uid="{00000000-0005-0000-0000-000011040000}"/>
    <cellStyle name="20% - Accent1 3 2 2 2 2 2 2 2 2 2" xfId="6142" xr:uid="{00000000-0005-0000-0000-000012040000}"/>
    <cellStyle name="20% - Accent1 3 2 2 2 2 2 2 2 3" xfId="8430" xr:uid="{00000000-0005-0000-0000-000013040000}"/>
    <cellStyle name="20% - Accent1 3 2 2 2 2 2 2 3" xfId="30511" xr:uid="{00000000-0005-0000-0000-000014040000}"/>
    <cellStyle name="20% - Accent1 3 2 2 2 2 2 2 3 2" xfId="7578" xr:uid="{00000000-0005-0000-0000-000015040000}"/>
    <cellStyle name="20% - Accent1 3 2 2 2 2 2 2 4" xfId="1601" xr:uid="{00000000-0005-0000-0000-000016040000}"/>
    <cellStyle name="20% - Accent1 3 2 2 2 2 2 3" xfId="17323" xr:uid="{00000000-0005-0000-0000-000017040000}"/>
    <cellStyle name="20% - Accent1 3 2 2 2 2 2 3 2" xfId="1624" xr:uid="{00000000-0005-0000-0000-000018040000}"/>
    <cellStyle name="20% - Accent1 3 2 2 2 2 2 3 2 2" xfId="14214" xr:uid="{00000000-0005-0000-0000-000019040000}"/>
    <cellStyle name="20% - Accent1 3 2 2 2 2 2 3 3" xfId="1635" xr:uid="{00000000-0005-0000-0000-00001A040000}"/>
    <cellStyle name="20% - Accent1 3 2 2 2 2 2 4" xfId="12735" xr:uid="{00000000-0005-0000-0000-00001B040000}"/>
    <cellStyle name="20% - Accent1 3 2 2 2 2 2 4 2" xfId="9722" xr:uid="{00000000-0005-0000-0000-00001C040000}"/>
    <cellStyle name="20% - Accent1 3 2 2 2 2 2 5" xfId="12751" xr:uid="{00000000-0005-0000-0000-00001D040000}"/>
    <cellStyle name="20% - Accent1 3 2 2 2 2 3" xfId="5853" xr:uid="{00000000-0005-0000-0000-00001E040000}"/>
    <cellStyle name="20% - Accent1 3 2 2 2 2 3 2" xfId="13799" xr:uid="{00000000-0005-0000-0000-00001F040000}"/>
    <cellStyle name="20% - Accent1 3 2 2 2 2 3 2 2" xfId="1278" xr:uid="{00000000-0005-0000-0000-000020040000}"/>
    <cellStyle name="20% - Accent1 3 2 2 2 2 3 2 2 2" xfId="8655" xr:uid="{00000000-0005-0000-0000-000021040000}"/>
    <cellStyle name="20% - Accent1 3 2 2 2 2 3 2 3" xfId="8719" xr:uid="{00000000-0005-0000-0000-000022040000}"/>
    <cellStyle name="20% - Accent1 3 2 2 2 2 3 3" xfId="12766" xr:uid="{00000000-0005-0000-0000-000023040000}"/>
    <cellStyle name="20% - Accent1 3 2 2 2 2 3 3 2" xfId="1652" xr:uid="{00000000-0005-0000-0000-000024040000}"/>
    <cellStyle name="20% - Accent1 3 2 2 2 2 3 4" xfId="16547" xr:uid="{00000000-0005-0000-0000-000025040000}"/>
    <cellStyle name="20% - Accent1 3 2 2 2 2 4" xfId="7624" xr:uid="{00000000-0005-0000-0000-000026040000}"/>
    <cellStyle name="20% - Accent1 3 2 2 2 2 4 2" xfId="27003" xr:uid="{00000000-0005-0000-0000-000027040000}"/>
    <cellStyle name="20% - Accent1 3 2 2 2 2 4 2 2" xfId="4507" xr:uid="{00000000-0005-0000-0000-000028040000}"/>
    <cellStyle name="20% - Accent1 3 2 2 2 2 4 3" xfId="16596" xr:uid="{00000000-0005-0000-0000-000029040000}"/>
    <cellStyle name="20% - Accent1 3 2 2 2 2 5" xfId="4522" xr:uid="{00000000-0005-0000-0000-00002A040000}"/>
    <cellStyle name="20% - Accent1 3 2 2 2 2 5 2" xfId="29465" xr:uid="{00000000-0005-0000-0000-00002B040000}"/>
    <cellStyle name="20% - Accent1 3 2 2 2 2 6" xfId="10665" xr:uid="{00000000-0005-0000-0000-00002C040000}"/>
    <cellStyle name="20% - Accent1 3 2 2 2 3" xfId="6337" xr:uid="{00000000-0005-0000-0000-00002D040000}"/>
    <cellStyle name="20% - Accent1 3 2 2 2 3 2" xfId="1078" xr:uid="{00000000-0005-0000-0000-00002E040000}"/>
    <cellStyle name="20% - Accent1 3 2 2 2 3 2 2" xfId="21386" xr:uid="{00000000-0005-0000-0000-00002F040000}"/>
    <cellStyle name="20% - Accent1 3 2 2 2 3 2 2 2" xfId="171" xr:uid="{00000000-0005-0000-0000-000030040000}"/>
    <cellStyle name="20% - Accent1 3 2 2 2 3 2 2 2 2" xfId="2767" xr:uid="{00000000-0005-0000-0000-000031040000}"/>
    <cellStyle name="20% - Accent1 3 2 2 2 3 2 2 3" xfId="31" xr:uid="{00000000-0005-0000-0000-000032040000}"/>
    <cellStyle name="20% - Accent1 3 2 2 2 3 2 3" xfId="12828" xr:uid="{00000000-0005-0000-0000-000033040000}"/>
    <cellStyle name="20% - Accent1 3 2 2 2 3 2 3 2" xfId="5177" xr:uid="{00000000-0005-0000-0000-000034040000}"/>
    <cellStyle name="20% - Accent1 3 2 2 2 3 2 4" xfId="28335" xr:uid="{00000000-0005-0000-0000-000035040000}"/>
    <cellStyle name="20% - Accent1 3 2 2 2 3 3" xfId="1207" xr:uid="{00000000-0005-0000-0000-000036040000}"/>
    <cellStyle name="20% - Accent1 3 2 2 2 3 3 2" xfId="2529" xr:uid="{00000000-0005-0000-0000-000037040000}"/>
    <cellStyle name="20% - Accent1 3 2 2 2 3 3 2 2" xfId="9452" xr:uid="{00000000-0005-0000-0000-000038040000}"/>
    <cellStyle name="20% - Accent1 3 2 2 2 3 3 3" xfId="1671" xr:uid="{00000000-0005-0000-0000-000039040000}"/>
    <cellStyle name="20% - Accent1 3 2 2 2 3 4" xfId="4559" xr:uid="{00000000-0005-0000-0000-00003A040000}"/>
    <cellStyle name="20% - Accent1 3 2 2 2 3 4 2" xfId="4561" xr:uid="{00000000-0005-0000-0000-00003B040000}"/>
    <cellStyle name="20% - Accent1 3 2 2 2 3 5" xfId="10647" xr:uid="{00000000-0005-0000-0000-00003C040000}"/>
    <cellStyle name="20% - Accent1 3 2 2 2 4" xfId="1080" xr:uid="{00000000-0005-0000-0000-00003D040000}"/>
    <cellStyle name="20% - Accent1 3 2 2 2 4 2" xfId="1208" xr:uid="{00000000-0005-0000-0000-00003E040000}"/>
    <cellStyle name="20% - Accent1 3 2 2 2 4 2 2" xfId="2370" xr:uid="{00000000-0005-0000-0000-00003F040000}"/>
    <cellStyle name="20% - Accent1 3 2 2 2 4 2 2 2" xfId="956" xr:uid="{00000000-0005-0000-0000-000040040000}"/>
    <cellStyle name="20% - Accent1 3 2 2 2 4 2 3" xfId="12858" xr:uid="{00000000-0005-0000-0000-000041040000}"/>
    <cellStyle name="20% - Accent1 3 2 2 2 4 3" xfId="1341" xr:uid="{00000000-0005-0000-0000-000042040000}"/>
    <cellStyle name="20% - Accent1 3 2 2 2 4 3 2" xfId="3494" xr:uid="{00000000-0005-0000-0000-000043040000}"/>
    <cellStyle name="20% - Accent1 3 2 2 2 4 4" xfId="7640" xr:uid="{00000000-0005-0000-0000-000044040000}"/>
    <cellStyle name="20% - Accent1 3 2 2 2 5" xfId="1683" xr:uid="{00000000-0005-0000-0000-000045040000}"/>
    <cellStyle name="20% - Accent1 3 2 2 2 5 2" xfId="4460" xr:uid="{00000000-0005-0000-0000-000046040000}"/>
    <cellStyle name="20% - Accent1 3 2 2 2 5 2 2" xfId="12889" xr:uid="{00000000-0005-0000-0000-000047040000}"/>
    <cellStyle name="20% - Accent1 3 2 2 2 5 3" xfId="671" xr:uid="{00000000-0005-0000-0000-000048040000}"/>
    <cellStyle name="20% - Accent1 3 2 2 2 6" xfId="30834" xr:uid="{00000000-0005-0000-0000-000049040000}"/>
    <cellStyle name="20% - Accent1 3 2 2 2 6 2" xfId="21405" xr:uid="{00000000-0005-0000-0000-00004A040000}"/>
    <cellStyle name="20% - Accent1 3 2 2 2 7" xfId="30836" xr:uid="{00000000-0005-0000-0000-00004B040000}"/>
    <cellStyle name="20% - Accent1 3 2 2 3" xfId="8583" xr:uid="{00000000-0005-0000-0000-00004C040000}"/>
    <cellStyle name="20% - Accent1 3 2 2 3 2" xfId="6535" xr:uid="{00000000-0005-0000-0000-00004D040000}"/>
    <cellStyle name="20% - Accent1 3 2 2 3 2 2" xfId="1105" xr:uid="{00000000-0005-0000-0000-00004E040000}"/>
    <cellStyle name="20% - Accent1 3 2 2 3 2 2 2" xfId="17806" xr:uid="{00000000-0005-0000-0000-00004F040000}"/>
    <cellStyle name="20% - Accent1 3 2 2 3 2 2 2 2" xfId="10639" xr:uid="{00000000-0005-0000-0000-000050040000}"/>
    <cellStyle name="20% - Accent1 3 2 2 3 2 2 2 2 2" xfId="2067" xr:uid="{00000000-0005-0000-0000-000051040000}"/>
    <cellStyle name="20% - Accent1 3 2 2 3 2 2 2 3" xfId="1695" xr:uid="{00000000-0005-0000-0000-000052040000}"/>
    <cellStyle name="20% - Accent1 3 2 2 3 2 2 3" xfId="3609" xr:uid="{00000000-0005-0000-0000-000053040000}"/>
    <cellStyle name="20% - Accent1 3 2 2 3 2 2 3 2" xfId="1701" xr:uid="{00000000-0005-0000-0000-000054040000}"/>
    <cellStyle name="20% - Accent1 3 2 2 3 2 2 4" xfId="18541" xr:uid="{00000000-0005-0000-0000-000055040000}"/>
    <cellStyle name="20% - Accent1 3 2 2 3 2 3" xfId="1702" xr:uid="{00000000-0005-0000-0000-000056040000}"/>
    <cellStyle name="20% - Accent1 3 2 2 3 2 3 2" xfId="12961" xr:uid="{00000000-0005-0000-0000-000057040000}"/>
    <cellStyle name="20% - Accent1 3 2 2 3 2 3 2 2" xfId="7506" xr:uid="{00000000-0005-0000-0000-000058040000}"/>
    <cellStyle name="20% - Accent1 3 2 2 3 2 3 3" xfId="1717" xr:uid="{00000000-0005-0000-0000-000059040000}"/>
    <cellStyle name="20% - Accent1 3 2 2 3 2 4" xfId="7715" xr:uid="{00000000-0005-0000-0000-00005A040000}"/>
    <cellStyle name="20% - Accent1 3 2 2 3 2 4 2" xfId="12969" xr:uid="{00000000-0005-0000-0000-00005B040000}"/>
    <cellStyle name="20% - Accent1 3 2 2 3 2 5" xfId="10722" xr:uid="{00000000-0005-0000-0000-00005C040000}"/>
    <cellStyle name="20% - Accent1 3 2 2 3 3" xfId="1111" xr:uid="{00000000-0005-0000-0000-00005D040000}"/>
    <cellStyle name="20% - Accent1 3 2 2 3 3 2" xfId="1721" xr:uid="{00000000-0005-0000-0000-00005E040000}"/>
    <cellStyle name="20% - Accent1 3 2 2 3 3 2 2" xfId="29205" xr:uid="{00000000-0005-0000-0000-00005F040000}"/>
    <cellStyle name="20% - Accent1 3 2 2 3 3 2 2 2" xfId="27" xr:uid="{00000000-0005-0000-0000-000060040000}"/>
    <cellStyle name="20% - Accent1 3 2 2 3 3 2 3" xfId="2855" xr:uid="{00000000-0005-0000-0000-000061040000}"/>
    <cellStyle name="20% - Accent1 3 2 2 3 3 3" xfId="5858" xr:uid="{00000000-0005-0000-0000-000062040000}"/>
    <cellStyle name="20% - Accent1 3 2 2 3 3 3 2" xfId="1752" xr:uid="{00000000-0005-0000-0000-000063040000}"/>
    <cellStyle name="20% - Accent1 3 2 2 3 3 4" xfId="7724" xr:uid="{00000000-0005-0000-0000-000064040000}"/>
    <cellStyle name="20% - Accent1 3 2 2 3 4" xfId="21899" xr:uid="{00000000-0005-0000-0000-000065040000}"/>
    <cellStyle name="20% - Accent1 3 2 2 3 4 2" xfId="23884" xr:uid="{00000000-0005-0000-0000-000066040000}"/>
    <cellStyle name="20% - Accent1 3 2 2 3 4 2 2" xfId="29242" xr:uid="{00000000-0005-0000-0000-000067040000}"/>
    <cellStyle name="20% - Accent1 3 2 2 3 4 3" xfId="23891" xr:uid="{00000000-0005-0000-0000-000068040000}"/>
    <cellStyle name="20% - Accent1 3 2 2 3 5" xfId="23892" xr:uid="{00000000-0005-0000-0000-000069040000}"/>
    <cellStyle name="20% - Accent1 3 2 2 3 5 2" xfId="2986" xr:uid="{00000000-0005-0000-0000-00006A040000}"/>
    <cellStyle name="20% - Accent1 3 2 2 3 6" xfId="23894" xr:uid="{00000000-0005-0000-0000-00006B040000}"/>
    <cellStyle name="20% - Accent1 3 2 2 4" xfId="1113" xr:uid="{00000000-0005-0000-0000-00006C040000}"/>
    <cellStyle name="20% - Accent1 3 2 2 4 2" xfId="6740" xr:uid="{00000000-0005-0000-0000-00006D040000}"/>
    <cellStyle name="20% - Accent1 3 2 2 4 2 2" xfId="1773" xr:uid="{00000000-0005-0000-0000-00006E040000}"/>
    <cellStyle name="20% - Accent1 3 2 2 4 2 2 2" xfId="33735" xr:uid="{00000000-0005-0000-0000-00006F040000}"/>
    <cellStyle name="20% - Accent1 3 2 2 4 2 2 2 2" xfId="27358" xr:uid="{00000000-0005-0000-0000-000070040000}"/>
    <cellStyle name="20% - Accent1 3 2 2 4 2 2 3" xfId="3046" xr:uid="{00000000-0005-0000-0000-000071040000}"/>
    <cellStyle name="20% - Accent1 3 2 2 4 2 3" xfId="1776" xr:uid="{00000000-0005-0000-0000-000072040000}"/>
    <cellStyle name="20% - Accent1 3 2 2 4 2 3 2" xfId="13042" xr:uid="{00000000-0005-0000-0000-000073040000}"/>
    <cellStyle name="20% - Accent1 3 2 2 4 2 4" xfId="8493" xr:uid="{00000000-0005-0000-0000-000074040000}"/>
    <cellStyle name="20% - Accent1 3 2 2 4 3" xfId="11781" xr:uid="{00000000-0005-0000-0000-000075040000}"/>
    <cellStyle name="20% - Accent1 3 2 2 4 3 2" xfId="6741" xr:uid="{00000000-0005-0000-0000-000076040000}"/>
    <cellStyle name="20% - Accent1 3 2 2 4 3 2 2" xfId="13047" xr:uid="{00000000-0005-0000-0000-000077040000}"/>
    <cellStyle name="20% - Accent1 3 2 2 4 3 3" xfId="1789" xr:uid="{00000000-0005-0000-0000-000078040000}"/>
    <cellStyle name="20% - Accent1 3 2 2 4 4" xfId="23899" xr:uid="{00000000-0005-0000-0000-000079040000}"/>
    <cellStyle name="20% - Accent1 3 2 2 4 4 2" xfId="1790" xr:uid="{00000000-0005-0000-0000-00007A040000}"/>
    <cellStyle name="20% - Accent1 3 2 2 4 5" xfId="13566" xr:uid="{00000000-0005-0000-0000-00007B040000}"/>
    <cellStyle name="20% - Accent1 3 2 2 5" xfId="1114" xr:uid="{00000000-0005-0000-0000-00007C040000}"/>
    <cellStyle name="20% - Accent1 3 2 2 5 2" xfId="5815" xr:uid="{00000000-0005-0000-0000-00007D040000}"/>
    <cellStyle name="20% - Accent1 3 2 2 5 2 2" xfId="1452" xr:uid="{00000000-0005-0000-0000-00007E040000}"/>
    <cellStyle name="20% - Accent1 3 2 2 5 2 2 2" xfId="33696" xr:uid="{00000000-0005-0000-0000-00007F040000}"/>
    <cellStyle name="20% - Accent1 3 2 2 5 2 3" xfId="1803" xr:uid="{00000000-0005-0000-0000-000080040000}"/>
    <cellStyle name="20% - Accent1 3 2 2 5 3" xfId="2068" xr:uid="{00000000-0005-0000-0000-000081040000}"/>
    <cellStyle name="20% - Accent1 3 2 2 5 3 2" xfId="1808" xr:uid="{00000000-0005-0000-0000-000082040000}"/>
    <cellStyle name="20% - Accent1 3 2 2 5 4" xfId="5989" xr:uid="{00000000-0005-0000-0000-000083040000}"/>
    <cellStyle name="20% - Accent1 3 2 2 6" xfId="2358" xr:uid="{00000000-0005-0000-0000-000084040000}"/>
    <cellStyle name="20% - Accent1 3 2 2 6 2" xfId="12526" xr:uid="{00000000-0005-0000-0000-000085040000}"/>
    <cellStyle name="20% - Accent1 3 2 2 6 2 2" xfId="2733" xr:uid="{00000000-0005-0000-0000-000086040000}"/>
    <cellStyle name="20% - Accent1 3 2 2 6 3" xfId="2595" xr:uid="{00000000-0005-0000-0000-000087040000}"/>
    <cellStyle name="20% - Accent1 3 2 2 7" xfId="14456" xr:uid="{00000000-0005-0000-0000-000088040000}"/>
    <cellStyle name="20% - Accent1 3 2 2 7 2" xfId="190" xr:uid="{00000000-0005-0000-0000-000089040000}"/>
    <cellStyle name="20% - Accent1 3 2 2 8" xfId="10995" xr:uid="{00000000-0005-0000-0000-00008A040000}"/>
    <cellStyle name="20% - Accent1 3 2 3" xfId="1842" xr:uid="{00000000-0005-0000-0000-00008B040000}"/>
    <cellStyle name="20% - Accent1 3 2 3 2" xfId="10500" xr:uid="{00000000-0005-0000-0000-00008C040000}"/>
    <cellStyle name="20% - Accent1 3 2 3 2 2" xfId="1180" xr:uid="{00000000-0005-0000-0000-00008D040000}"/>
    <cellStyle name="20% - Accent1 3 2 3 2 2 2" xfId="4230" xr:uid="{00000000-0005-0000-0000-00008E040000}"/>
    <cellStyle name="20% - Accent1 3 2 3 2 2 2 2" xfId="4551" xr:uid="{00000000-0005-0000-0000-00008F040000}"/>
    <cellStyle name="20% - Accent1 3 2 3 2 2 2 2 2" xfId="7721" xr:uid="{00000000-0005-0000-0000-000090040000}"/>
    <cellStyle name="20% - Accent1 3 2 3 2 2 2 2 2 2" xfId="3970" xr:uid="{00000000-0005-0000-0000-000091040000}"/>
    <cellStyle name="20% - Accent1 3 2 3 2 2 2 2 3" xfId="21641" xr:uid="{00000000-0005-0000-0000-000092040000}"/>
    <cellStyle name="20% - Accent1 3 2 3 2 2 2 3" xfId="16452" xr:uid="{00000000-0005-0000-0000-000093040000}"/>
    <cellStyle name="20% - Accent1 3 2 3 2 2 2 3 2" xfId="10300" xr:uid="{00000000-0005-0000-0000-000094040000}"/>
    <cellStyle name="20% - Accent1 3 2 3 2 2 2 4" xfId="22136" xr:uid="{00000000-0005-0000-0000-000095040000}"/>
    <cellStyle name="20% - Accent1 3 2 3 2 2 3" xfId="1843" xr:uid="{00000000-0005-0000-0000-000096040000}"/>
    <cellStyle name="20% - Accent1 3 2 3 2 2 3 2" xfId="13137" xr:uid="{00000000-0005-0000-0000-000097040000}"/>
    <cellStyle name="20% - Accent1 3 2 3 2 2 3 2 2" xfId="981" xr:uid="{00000000-0005-0000-0000-000098040000}"/>
    <cellStyle name="20% - Accent1 3 2 3 2 2 3 3" xfId="32210" xr:uid="{00000000-0005-0000-0000-000099040000}"/>
    <cellStyle name="20% - Accent1 3 2 3 2 2 4" xfId="4678" xr:uid="{00000000-0005-0000-0000-00009A040000}"/>
    <cellStyle name="20% - Accent1 3 2 3 2 2 4 2" xfId="13147" xr:uid="{00000000-0005-0000-0000-00009B040000}"/>
    <cellStyle name="20% - Accent1 3 2 3 2 2 5" xfId="10812" xr:uid="{00000000-0005-0000-0000-00009C040000}"/>
    <cellStyle name="20% - Accent1 3 2 3 2 3" xfId="4843" xr:uid="{00000000-0005-0000-0000-00009D040000}"/>
    <cellStyle name="20% - Accent1 3 2 3 2 3 2" xfId="4854" xr:uid="{00000000-0005-0000-0000-00009E040000}"/>
    <cellStyle name="20% - Accent1 3 2 3 2 3 2 2" xfId="21287" xr:uid="{00000000-0005-0000-0000-00009F040000}"/>
    <cellStyle name="20% - Accent1 3 2 3 2 3 2 2 2" xfId="4738" xr:uid="{00000000-0005-0000-0000-0000A0040000}"/>
    <cellStyle name="20% - Accent1 3 2 3 2 3 2 3" xfId="30868" xr:uid="{00000000-0005-0000-0000-0000A1040000}"/>
    <cellStyle name="20% - Accent1 3 2 3 2 3 3" xfId="4866" xr:uid="{00000000-0005-0000-0000-0000A2040000}"/>
    <cellStyle name="20% - Accent1 3 2 3 2 3 3 2" xfId="4871" xr:uid="{00000000-0005-0000-0000-0000A3040000}"/>
    <cellStyle name="20% - Accent1 3 2 3 2 3 4" xfId="4833" xr:uid="{00000000-0005-0000-0000-0000A4040000}"/>
    <cellStyle name="20% - Accent1 3 2 3 2 4" xfId="2926" xr:uid="{00000000-0005-0000-0000-0000A5040000}"/>
    <cellStyle name="20% - Accent1 3 2 3 2 4 2" xfId="1953" xr:uid="{00000000-0005-0000-0000-0000A6040000}"/>
    <cellStyle name="20% - Accent1 3 2 3 2 4 2 2" xfId="13305" xr:uid="{00000000-0005-0000-0000-0000A7040000}"/>
    <cellStyle name="20% - Accent1 3 2 3 2 4 3" xfId="1503" xr:uid="{00000000-0005-0000-0000-0000A8040000}"/>
    <cellStyle name="20% - Accent1 3 2 3 2 5" xfId="2933" xr:uid="{00000000-0005-0000-0000-0000A9040000}"/>
    <cellStyle name="20% - Accent1 3 2 3 2 5 2" xfId="1864" xr:uid="{00000000-0005-0000-0000-0000AA040000}"/>
    <cellStyle name="20% - Accent1 3 2 3 2 6" xfId="5055" xr:uid="{00000000-0005-0000-0000-0000AB040000}"/>
    <cellStyle name="20% - Accent1 3 2 3 3" xfId="548" xr:uid="{00000000-0005-0000-0000-0000AC040000}"/>
    <cellStyle name="20% - Accent1 3 2 3 3 2" xfId="1190" xr:uid="{00000000-0005-0000-0000-0000AD040000}"/>
    <cellStyle name="20% - Accent1 3 2 3 3 2 2" xfId="2237" xr:uid="{00000000-0005-0000-0000-0000AE040000}"/>
    <cellStyle name="20% - Accent1 3 2 3 3 2 2 2" xfId="21413" xr:uid="{00000000-0005-0000-0000-0000AF040000}"/>
    <cellStyle name="20% - Accent1 3 2 3 3 2 2 2 2" xfId="20079" xr:uid="{00000000-0005-0000-0000-0000B0040000}"/>
    <cellStyle name="20% - Accent1 3 2 3 3 2 2 3" xfId="6256" xr:uid="{00000000-0005-0000-0000-0000B1040000}"/>
    <cellStyle name="20% - Accent1 3 2 3 3 2 3" xfId="1878" xr:uid="{00000000-0005-0000-0000-0000B2040000}"/>
    <cellStyle name="20% - Accent1 3 2 3 3 2 3 2" xfId="13587" xr:uid="{00000000-0005-0000-0000-0000B3040000}"/>
    <cellStyle name="20% - Accent1 3 2 3 3 2 4" xfId="4722" xr:uid="{00000000-0005-0000-0000-0000B4040000}"/>
    <cellStyle name="20% - Accent1 3 2 3 3 3" xfId="3414" xr:uid="{00000000-0005-0000-0000-0000B5040000}"/>
    <cellStyle name="20% - Accent1 3 2 3 3 3 2" xfId="4873" xr:uid="{00000000-0005-0000-0000-0000B6040000}"/>
    <cellStyle name="20% - Accent1 3 2 3 3 3 2 2" xfId="13680" xr:uid="{00000000-0005-0000-0000-0000B7040000}"/>
    <cellStyle name="20% - Accent1 3 2 3 3 3 3" xfId="4877" xr:uid="{00000000-0005-0000-0000-0000B8040000}"/>
    <cellStyle name="20% - Accent1 3 2 3 3 4" xfId="23903" xr:uid="{00000000-0005-0000-0000-0000B9040000}"/>
    <cellStyle name="20% - Accent1 3 2 3 3 4 2" xfId="23911" xr:uid="{00000000-0005-0000-0000-0000BA040000}"/>
    <cellStyle name="20% - Accent1 3 2 3 3 5" xfId="23914" xr:uid="{00000000-0005-0000-0000-0000BB040000}"/>
    <cellStyle name="20% - Accent1 3 2 3 4" xfId="24932" xr:uid="{00000000-0005-0000-0000-0000BC040000}"/>
    <cellStyle name="20% - Accent1 3 2 3 4 2" xfId="11954" xr:uid="{00000000-0005-0000-0000-0000BD040000}"/>
    <cellStyle name="20% - Accent1 3 2 3 4 2 2" xfId="2791" xr:uid="{00000000-0005-0000-0000-0000BE040000}"/>
    <cellStyle name="20% - Accent1 3 2 3 4 2 2 2" xfId="13828" xr:uid="{00000000-0005-0000-0000-0000BF040000}"/>
    <cellStyle name="20% - Accent1 3 2 3 4 2 3" xfId="1896" xr:uid="{00000000-0005-0000-0000-0000C0040000}"/>
    <cellStyle name="20% - Accent1 3 2 3 4 3" xfId="3447" xr:uid="{00000000-0005-0000-0000-0000C1040000}"/>
    <cellStyle name="20% - Accent1 3 2 3 4 3 2" xfId="4892" xr:uid="{00000000-0005-0000-0000-0000C2040000}"/>
    <cellStyle name="20% - Accent1 3 2 3 4 4" xfId="23916" xr:uid="{00000000-0005-0000-0000-0000C3040000}"/>
    <cellStyle name="20% - Accent1 3 2 3 5" xfId="24941" xr:uid="{00000000-0005-0000-0000-0000C4040000}"/>
    <cellStyle name="20% - Accent1 3 2 3 5 2" xfId="1904" xr:uid="{00000000-0005-0000-0000-0000C5040000}"/>
    <cellStyle name="20% - Accent1 3 2 3 5 2 2" xfId="3035" xr:uid="{00000000-0005-0000-0000-0000C6040000}"/>
    <cellStyle name="20% - Accent1 3 2 3 5 3" xfId="4913" xr:uid="{00000000-0005-0000-0000-0000C7040000}"/>
    <cellStyle name="20% - Accent1 3 2 3 6" xfId="748" xr:uid="{00000000-0005-0000-0000-0000C8040000}"/>
    <cellStyle name="20% - Accent1 3 2 3 6 2" xfId="1906" xr:uid="{00000000-0005-0000-0000-0000C9040000}"/>
    <cellStyle name="20% - Accent1 3 2 3 7" xfId="3344" xr:uid="{00000000-0005-0000-0000-0000CA040000}"/>
    <cellStyle name="20% - Accent1 3 2 4" xfId="3456" xr:uid="{00000000-0005-0000-0000-0000CB040000}"/>
    <cellStyle name="20% - Accent1 3 2 4 2" xfId="1344" xr:uid="{00000000-0005-0000-0000-0000CC040000}"/>
    <cellStyle name="20% - Accent1 3 2 4 2 2" xfId="3854" xr:uid="{00000000-0005-0000-0000-0000CD040000}"/>
    <cellStyle name="20% - Accent1 3 2 4 2 2 2" xfId="5189" xr:uid="{00000000-0005-0000-0000-0000CE040000}"/>
    <cellStyle name="20% - Accent1 3 2 4 2 2 2 2" xfId="27414" xr:uid="{00000000-0005-0000-0000-0000CF040000}"/>
    <cellStyle name="20% - Accent1 3 2 4 2 2 2 2 2" xfId="11340" xr:uid="{00000000-0005-0000-0000-0000D0040000}"/>
    <cellStyle name="20% - Accent1 3 2 4 2 2 2 3" xfId="27053" xr:uid="{00000000-0005-0000-0000-0000D1040000}"/>
    <cellStyle name="20% - Accent1 3 2 4 2 2 3" xfId="5203" xr:uid="{00000000-0005-0000-0000-0000D2040000}"/>
    <cellStyle name="20% - Accent1 3 2 4 2 2 3 2" xfId="15547" xr:uid="{00000000-0005-0000-0000-0000D3040000}"/>
    <cellStyle name="20% - Accent1 3 2 4 2 2 4" xfId="5230" xr:uid="{00000000-0005-0000-0000-0000D4040000}"/>
    <cellStyle name="20% - Accent1 3 2 4 2 3" xfId="5234" xr:uid="{00000000-0005-0000-0000-0000D5040000}"/>
    <cellStyle name="20% - Accent1 3 2 4 2 3 2" xfId="5135" xr:uid="{00000000-0005-0000-0000-0000D6040000}"/>
    <cellStyle name="20% - Accent1 3 2 4 2 3 2 2" xfId="21822" xr:uid="{00000000-0005-0000-0000-0000D7040000}"/>
    <cellStyle name="20% - Accent1 3 2 4 2 3 3" xfId="5147" xr:uid="{00000000-0005-0000-0000-0000D8040000}"/>
    <cellStyle name="20% - Accent1 3 2 4 2 4" xfId="7433" xr:uid="{00000000-0005-0000-0000-0000D9040000}"/>
    <cellStyle name="20% - Accent1 3 2 4 2 4 2" xfId="5149" xr:uid="{00000000-0005-0000-0000-0000DA040000}"/>
    <cellStyle name="20% - Accent1 3 2 4 2 5" xfId="4944" xr:uid="{00000000-0005-0000-0000-0000DB040000}"/>
    <cellStyle name="20% - Accent1 3 2 4 3" xfId="558" xr:uid="{00000000-0005-0000-0000-0000DC040000}"/>
    <cellStyle name="20% - Accent1 3 2 4 3 2" xfId="20516" xr:uid="{00000000-0005-0000-0000-0000DD040000}"/>
    <cellStyle name="20% - Accent1 3 2 4 3 2 2" xfId="18594" xr:uid="{00000000-0005-0000-0000-0000DE040000}"/>
    <cellStyle name="20% - Accent1 3 2 4 3 2 2 2" xfId="25003" xr:uid="{00000000-0005-0000-0000-0000DF040000}"/>
    <cellStyle name="20% - Accent1 3 2 4 3 2 3" xfId="20554" xr:uid="{00000000-0005-0000-0000-0000E0040000}"/>
    <cellStyle name="20% - Accent1 3 2 4 3 3" xfId="5098" xr:uid="{00000000-0005-0000-0000-0000E1040000}"/>
    <cellStyle name="20% - Accent1 3 2 4 3 3 2" xfId="20601" xr:uid="{00000000-0005-0000-0000-0000E2040000}"/>
    <cellStyle name="20% - Accent1 3 2 4 3 4" xfId="23919" xr:uid="{00000000-0005-0000-0000-0000E3040000}"/>
    <cellStyle name="20% - Accent1 3 2 4 4" xfId="24963" xr:uid="{00000000-0005-0000-0000-0000E4040000}"/>
    <cellStyle name="20% - Accent1 3 2 4 4 2" xfId="20750" xr:uid="{00000000-0005-0000-0000-0000E5040000}"/>
    <cellStyle name="20% - Accent1 3 2 4 4 2 2" xfId="20753" xr:uid="{00000000-0005-0000-0000-0000E6040000}"/>
    <cellStyle name="20% - Accent1 3 2 4 4 3" xfId="20819" xr:uid="{00000000-0005-0000-0000-0000E7040000}"/>
    <cellStyle name="20% - Accent1 3 2 4 5" xfId="475" xr:uid="{00000000-0005-0000-0000-0000E8040000}"/>
    <cellStyle name="20% - Accent1 3 2 4 5 2" xfId="20944" xr:uid="{00000000-0005-0000-0000-0000E9040000}"/>
    <cellStyle name="20% - Accent1 3 2 4 6" xfId="1937" xr:uid="{00000000-0005-0000-0000-0000EA040000}"/>
    <cellStyle name="20% - Accent1 3 2 5" xfId="1948" xr:uid="{00000000-0005-0000-0000-0000EB040000}"/>
    <cellStyle name="20% - Accent1 3 2 5 2" xfId="1360" xr:uid="{00000000-0005-0000-0000-0000EC040000}"/>
    <cellStyle name="20% - Accent1 3 2 5 2 2" xfId="24389" xr:uid="{00000000-0005-0000-0000-0000ED040000}"/>
    <cellStyle name="20% - Accent1 3 2 5 2 2 2" xfId="365" xr:uid="{00000000-0005-0000-0000-0000EE040000}"/>
    <cellStyle name="20% - Accent1 3 2 5 2 2 2 2" xfId="16092" xr:uid="{00000000-0005-0000-0000-0000EF040000}"/>
    <cellStyle name="20% - Accent1 3 2 5 2 2 3" xfId="958" xr:uid="{00000000-0005-0000-0000-0000F0040000}"/>
    <cellStyle name="20% - Accent1 3 2 5 2 3" xfId="3525" xr:uid="{00000000-0005-0000-0000-0000F1040000}"/>
    <cellStyle name="20% - Accent1 3 2 5 2 3 2" xfId="10475" xr:uid="{00000000-0005-0000-0000-0000F2040000}"/>
    <cellStyle name="20% - Accent1 3 2 5 2 4" xfId="11258" xr:uid="{00000000-0005-0000-0000-0000F3040000}"/>
    <cellStyle name="20% - Accent1 3 2 5 3" xfId="25341" xr:uid="{00000000-0005-0000-0000-0000F4040000}"/>
    <cellStyle name="20% - Accent1 3 2 5 3 2" xfId="9460" xr:uid="{00000000-0005-0000-0000-0000F5040000}"/>
    <cellStyle name="20% - Accent1 3 2 5 3 2 2" xfId="29209" xr:uid="{00000000-0005-0000-0000-0000F6040000}"/>
    <cellStyle name="20% - Accent1 3 2 5 3 3" xfId="21259" xr:uid="{00000000-0005-0000-0000-0000F7040000}"/>
    <cellStyle name="20% - Accent1 3 2 5 4" xfId="11113" xr:uid="{00000000-0005-0000-0000-0000F8040000}"/>
    <cellStyle name="20% - Accent1 3 2 5 4 2" xfId="21349" xr:uid="{00000000-0005-0000-0000-0000F9040000}"/>
    <cellStyle name="20% - Accent1 3 2 5 5" xfId="6811" xr:uid="{00000000-0005-0000-0000-0000FA040000}"/>
    <cellStyle name="20% - Accent1 3 2 6" xfId="5054" xr:uid="{00000000-0005-0000-0000-0000FB040000}"/>
    <cellStyle name="20% - Accent1 3 2 6 2" xfId="577" xr:uid="{00000000-0005-0000-0000-0000FC040000}"/>
    <cellStyle name="20% - Accent1 3 2 6 2 2" xfId="2859" xr:uid="{00000000-0005-0000-0000-0000FD040000}"/>
    <cellStyle name="20% - Accent1 3 2 6 2 2 2" xfId="16252" xr:uid="{00000000-0005-0000-0000-0000FE040000}"/>
    <cellStyle name="20% - Accent1 3 2 6 2 3" xfId="5012" xr:uid="{00000000-0005-0000-0000-0000FF040000}"/>
    <cellStyle name="20% - Accent1 3 2 6 3" xfId="662" xr:uid="{00000000-0005-0000-0000-000000050000}"/>
    <cellStyle name="20% - Accent1 3 2 6 3 2" xfId="21595" xr:uid="{00000000-0005-0000-0000-000001050000}"/>
    <cellStyle name="20% - Accent1 3 2 6 4" xfId="6087" xr:uid="{00000000-0005-0000-0000-000002050000}"/>
    <cellStyle name="20% - Accent1 3 2 7" xfId="3293" xr:uid="{00000000-0005-0000-0000-000003050000}"/>
    <cellStyle name="20% - Accent1 3 2 7 2" xfId="10902" xr:uid="{00000000-0005-0000-0000-000004050000}"/>
    <cellStyle name="20% - Accent1 3 2 7 2 2" xfId="3095" xr:uid="{00000000-0005-0000-0000-000005050000}"/>
    <cellStyle name="20% - Accent1 3 2 7 3" xfId="10904" xr:uid="{00000000-0005-0000-0000-000006050000}"/>
    <cellStyle name="20% - Accent1 3 2 8" xfId="694" xr:uid="{00000000-0005-0000-0000-000007050000}"/>
    <cellStyle name="20% - Accent1 3 2 8 2" xfId="11050" xr:uid="{00000000-0005-0000-0000-000008050000}"/>
    <cellStyle name="20% - Accent1 3 2 9" xfId="25740" xr:uid="{00000000-0005-0000-0000-000009050000}"/>
    <cellStyle name="20% - Accent1 3 3" xfId="1239" xr:uid="{00000000-0005-0000-0000-00000A050000}"/>
    <cellStyle name="20% - Accent1 3 3 2" xfId="6199" xr:uid="{00000000-0005-0000-0000-00000B050000}"/>
    <cellStyle name="20% - Accent1 3 3 2 2" xfId="8678" xr:uid="{00000000-0005-0000-0000-00000C050000}"/>
    <cellStyle name="20% - Accent1 3 3 2 2 2" xfId="667" xr:uid="{00000000-0005-0000-0000-00000D050000}"/>
    <cellStyle name="20% - Accent1 3 3 2 2 2 2" xfId="1301" xr:uid="{00000000-0005-0000-0000-00000E050000}"/>
    <cellStyle name="20% - Accent1 3 3 2 2 2 2 2" xfId="3960" xr:uid="{00000000-0005-0000-0000-00000F050000}"/>
    <cellStyle name="20% - Accent1 3 3 2 2 2 2 2 2" xfId="3399" xr:uid="{00000000-0005-0000-0000-000010050000}"/>
    <cellStyle name="20% - Accent1 3 3 2 2 2 2 2 2 2" xfId="11704" xr:uid="{00000000-0005-0000-0000-000011050000}"/>
    <cellStyle name="20% - Accent1 3 3 2 2 2 2 2 3" xfId="1979" xr:uid="{00000000-0005-0000-0000-000012050000}"/>
    <cellStyle name="20% - Accent1 3 3 2 2 2 2 3" xfId="3965" xr:uid="{00000000-0005-0000-0000-000013050000}"/>
    <cellStyle name="20% - Accent1 3 3 2 2 2 2 3 2" xfId="1986" xr:uid="{00000000-0005-0000-0000-000014050000}"/>
    <cellStyle name="20% - Accent1 3 3 2 2 2 2 4" xfId="14404" xr:uid="{00000000-0005-0000-0000-000015050000}"/>
    <cellStyle name="20% - Accent1 3 3 2 2 2 3" xfId="370" xr:uid="{00000000-0005-0000-0000-000016050000}"/>
    <cellStyle name="20% - Accent1 3 3 2 2 2 3 2" xfId="13529" xr:uid="{00000000-0005-0000-0000-000017050000}"/>
    <cellStyle name="20% - Accent1 3 3 2 2 2 3 2 2" xfId="1987" xr:uid="{00000000-0005-0000-0000-000018050000}"/>
    <cellStyle name="20% - Accent1 3 3 2 2 2 3 3" xfId="14338" xr:uid="{00000000-0005-0000-0000-000019050000}"/>
    <cellStyle name="20% - Accent1 3 3 2 2 2 4" xfId="4853" xr:uid="{00000000-0005-0000-0000-00001A050000}"/>
    <cellStyle name="20% - Accent1 3 3 2 2 2 4 2" xfId="13537" xr:uid="{00000000-0005-0000-0000-00001B050000}"/>
    <cellStyle name="20% - Accent1 3 3 2 2 2 5" xfId="7401" xr:uid="{00000000-0005-0000-0000-00001C050000}"/>
    <cellStyle name="20% - Accent1 3 3 2 2 3" xfId="1319" xr:uid="{00000000-0005-0000-0000-00001D050000}"/>
    <cellStyle name="20% - Accent1 3 3 2 2 3 2" xfId="1992" xr:uid="{00000000-0005-0000-0000-00001E050000}"/>
    <cellStyle name="20% - Accent1 3 3 2 2 3 2 2" xfId="13545" xr:uid="{00000000-0005-0000-0000-00001F050000}"/>
    <cellStyle name="20% - Accent1 3 3 2 2 3 2 2 2" xfId="1995" xr:uid="{00000000-0005-0000-0000-000020050000}"/>
    <cellStyle name="20% - Accent1 3 3 2 2 3 2 3" xfId="7168" xr:uid="{00000000-0005-0000-0000-000021050000}"/>
    <cellStyle name="20% - Accent1 3 3 2 2 3 3" xfId="2000" xr:uid="{00000000-0005-0000-0000-000022050000}"/>
    <cellStyle name="20% - Accent1 3 3 2 2 3 3 2" xfId="4733" xr:uid="{00000000-0005-0000-0000-000023050000}"/>
    <cellStyle name="20% - Accent1 3 3 2 2 3 4" xfId="1954" xr:uid="{00000000-0005-0000-0000-000024050000}"/>
    <cellStyle name="20% - Accent1 3 3 2 2 4" xfId="7610" xr:uid="{00000000-0005-0000-0000-000025050000}"/>
    <cellStyle name="20% - Accent1 3 3 2 2 4 2" xfId="218" xr:uid="{00000000-0005-0000-0000-000026050000}"/>
    <cellStyle name="20% - Accent1 3 3 2 2 4 2 2" xfId="15314" xr:uid="{00000000-0005-0000-0000-000027050000}"/>
    <cellStyle name="20% - Accent1 3 3 2 2 4 3" xfId="18152" xr:uid="{00000000-0005-0000-0000-000028050000}"/>
    <cellStyle name="20% - Accent1 3 3 2 2 5" xfId="8079" xr:uid="{00000000-0005-0000-0000-000029050000}"/>
    <cellStyle name="20% - Accent1 3 3 2 2 5 2" xfId="2012" xr:uid="{00000000-0005-0000-0000-00002A050000}"/>
    <cellStyle name="20% - Accent1 3 3 2 2 6" xfId="12354" xr:uid="{00000000-0005-0000-0000-00002B050000}"/>
    <cellStyle name="20% - Accent1 3 3 2 3" xfId="5179" xr:uid="{00000000-0005-0000-0000-00002C050000}"/>
    <cellStyle name="20% - Accent1 3 3 2 3 2" xfId="1337" xr:uid="{00000000-0005-0000-0000-00002D050000}"/>
    <cellStyle name="20% - Accent1 3 3 2 3 2 2" xfId="696" xr:uid="{00000000-0005-0000-0000-00002E050000}"/>
    <cellStyle name="20% - Accent1 3 3 2 3 2 2 2" xfId="13620" xr:uid="{00000000-0005-0000-0000-00002F050000}"/>
    <cellStyle name="20% - Accent1 3 3 2 3 2 2 2 2" xfId="443" xr:uid="{00000000-0005-0000-0000-000030050000}"/>
    <cellStyle name="20% - Accent1 3 3 2 3 2 2 3" xfId="8107" xr:uid="{00000000-0005-0000-0000-000031050000}"/>
    <cellStyle name="20% - Accent1 3 3 2 3 2 3" xfId="2565" xr:uid="{00000000-0005-0000-0000-000032050000}"/>
    <cellStyle name="20% - Accent1 3 3 2 3 2 3 2" xfId="13627" xr:uid="{00000000-0005-0000-0000-000033050000}"/>
    <cellStyle name="20% - Accent1 3 3 2 3 2 4" xfId="6383" xr:uid="{00000000-0005-0000-0000-000034050000}"/>
    <cellStyle name="20% - Accent1 3 3 2 3 3" xfId="2029" xr:uid="{00000000-0005-0000-0000-000035050000}"/>
    <cellStyle name="20% - Accent1 3 3 2 3 3 2" xfId="2031" xr:uid="{00000000-0005-0000-0000-000036050000}"/>
    <cellStyle name="20% - Accent1 3 3 2 3 3 2 2" xfId="13636" xr:uid="{00000000-0005-0000-0000-000037050000}"/>
    <cellStyle name="20% - Accent1 3 3 2 3 3 3" xfId="11088" xr:uid="{00000000-0005-0000-0000-000038050000}"/>
    <cellStyle name="20% - Accent1 3 3 2 3 4" xfId="24249" xr:uid="{00000000-0005-0000-0000-000039050000}"/>
    <cellStyle name="20% - Accent1 3 3 2 3 4 2" xfId="24250" xr:uid="{00000000-0005-0000-0000-00003A050000}"/>
    <cellStyle name="20% - Accent1 3 3 2 3 5" xfId="24256" xr:uid="{00000000-0005-0000-0000-00003B050000}"/>
    <cellStyle name="20% - Accent1 3 3 2 4" xfId="414" xr:uid="{00000000-0005-0000-0000-00003C050000}"/>
    <cellStyle name="20% - Accent1 3 3 2 4 2" xfId="6825" xr:uid="{00000000-0005-0000-0000-00003D050000}"/>
    <cellStyle name="20% - Accent1 3 3 2 4 2 2" xfId="4350" xr:uid="{00000000-0005-0000-0000-00003E050000}"/>
    <cellStyle name="20% - Accent1 3 3 2 4 2 2 2" xfId="32653" xr:uid="{00000000-0005-0000-0000-00003F050000}"/>
    <cellStyle name="20% - Accent1 3 3 2 4 2 3" xfId="373" xr:uid="{00000000-0005-0000-0000-000040050000}"/>
    <cellStyle name="20% - Accent1 3 3 2 4 3" xfId="2079" xr:uid="{00000000-0005-0000-0000-000041050000}"/>
    <cellStyle name="20% - Accent1 3 3 2 4 3 2" xfId="124" xr:uid="{00000000-0005-0000-0000-000042050000}"/>
    <cellStyle name="20% - Accent1 3 3 2 4 4" xfId="24262" xr:uid="{00000000-0005-0000-0000-000043050000}"/>
    <cellStyle name="20% - Accent1 3 3 2 5" xfId="2042" xr:uid="{00000000-0005-0000-0000-000044050000}"/>
    <cellStyle name="20% - Accent1 3 3 2 5 2" xfId="2092" xr:uid="{00000000-0005-0000-0000-000045050000}"/>
    <cellStyle name="20% - Accent1 3 3 2 5 2 2" xfId="482" xr:uid="{00000000-0005-0000-0000-000046050000}"/>
    <cellStyle name="20% - Accent1 3 3 2 5 3" xfId="9128" xr:uid="{00000000-0005-0000-0000-000047050000}"/>
    <cellStyle name="20% - Accent1 3 3 2 6" xfId="2053" xr:uid="{00000000-0005-0000-0000-000048050000}"/>
    <cellStyle name="20% - Accent1 3 3 2 6 2" xfId="30293" xr:uid="{00000000-0005-0000-0000-000049050000}"/>
    <cellStyle name="20% - Accent1 3 3 2 7" xfId="3352" xr:uid="{00000000-0005-0000-0000-00004A050000}"/>
    <cellStyle name="20% - Accent1 3 3 3" xfId="602" xr:uid="{00000000-0005-0000-0000-00004B050000}"/>
    <cellStyle name="20% - Accent1 3 3 3 2" xfId="4824" xr:uid="{00000000-0005-0000-0000-00004C050000}"/>
    <cellStyle name="20% - Accent1 3 3 3 2 2" xfId="1401" xr:uid="{00000000-0005-0000-0000-00004D050000}"/>
    <cellStyle name="20% - Accent1 3 3 3 2 2 2" xfId="1451" xr:uid="{00000000-0005-0000-0000-00004E050000}"/>
    <cellStyle name="20% - Accent1 3 3 3 2 2 2 2" xfId="17958" xr:uid="{00000000-0005-0000-0000-00004F050000}"/>
    <cellStyle name="20% - Accent1 3 3 3 2 2 2 2 2" xfId="20890" xr:uid="{00000000-0005-0000-0000-000050050000}"/>
    <cellStyle name="20% - Accent1 3 3 3 2 2 2 3" xfId="4276" xr:uid="{00000000-0005-0000-0000-000051050000}"/>
    <cellStyle name="20% - Accent1 3 3 3 2 2 3" xfId="377" xr:uid="{00000000-0005-0000-0000-000052050000}"/>
    <cellStyle name="20% - Accent1 3 3 3 2 2 3 2" xfId="13727" xr:uid="{00000000-0005-0000-0000-000053050000}"/>
    <cellStyle name="20% - Accent1 3 3 3 2 2 4" xfId="5131" xr:uid="{00000000-0005-0000-0000-000054050000}"/>
    <cellStyle name="20% - Accent1 3 3 3 2 3" xfId="5020" xr:uid="{00000000-0005-0000-0000-000055050000}"/>
    <cellStyle name="20% - Accent1 3 3 3 2 3 2" xfId="5033" xr:uid="{00000000-0005-0000-0000-000056050000}"/>
    <cellStyle name="20% - Accent1 3 3 3 2 3 2 2" xfId="13734" xr:uid="{00000000-0005-0000-0000-000057050000}"/>
    <cellStyle name="20% - Accent1 3 3 3 2 3 3" xfId="5040" xr:uid="{00000000-0005-0000-0000-000058050000}"/>
    <cellStyle name="20% - Accent1 3 3 3 2 4" xfId="3142" xr:uid="{00000000-0005-0000-0000-000059050000}"/>
    <cellStyle name="20% - Accent1 3 3 3 2 4 2" xfId="489" xr:uid="{00000000-0005-0000-0000-00005A050000}"/>
    <cellStyle name="20% - Accent1 3 3 3 2 5" xfId="5049" xr:uid="{00000000-0005-0000-0000-00005B050000}"/>
    <cellStyle name="20% - Accent1 3 3 3 3" xfId="1406" xr:uid="{00000000-0005-0000-0000-00005C050000}"/>
    <cellStyle name="20% - Accent1 3 3 3 3 2" xfId="2072" xr:uid="{00000000-0005-0000-0000-00005D050000}"/>
    <cellStyle name="20% - Accent1 3 3 3 3 2 2" xfId="3950" xr:uid="{00000000-0005-0000-0000-00005E050000}"/>
    <cellStyle name="20% - Accent1 3 3 3 3 2 2 2" xfId="18021" xr:uid="{00000000-0005-0000-0000-00005F050000}"/>
    <cellStyle name="20% - Accent1 3 3 3 3 2 3" xfId="3967" xr:uid="{00000000-0005-0000-0000-000060050000}"/>
    <cellStyle name="20% - Accent1 3 3 3 3 3" xfId="3454" xr:uid="{00000000-0005-0000-0000-000061050000}"/>
    <cellStyle name="20% - Accent1 3 3 3 3 3 2" xfId="3509" xr:uid="{00000000-0005-0000-0000-000062050000}"/>
    <cellStyle name="20% - Accent1 3 3 3 3 4" xfId="24274" xr:uid="{00000000-0005-0000-0000-000063050000}"/>
    <cellStyle name="20% - Accent1 3 3 3 4" xfId="25196" xr:uid="{00000000-0005-0000-0000-000064050000}"/>
    <cellStyle name="20% - Accent1 3 3 3 4 2" xfId="2122" xr:uid="{00000000-0005-0000-0000-000065050000}"/>
    <cellStyle name="20% - Accent1 3 3 3 4 2 2" xfId="4472" xr:uid="{00000000-0005-0000-0000-000066050000}"/>
    <cellStyle name="20% - Accent1 3 3 3 4 3" xfId="5074" xr:uid="{00000000-0005-0000-0000-000067050000}"/>
    <cellStyle name="20% - Accent1 3 3 3 5" xfId="5360" xr:uid="{00000000-0005-0000-0000-000068050000}"/>
    <cellStyle name="20% - Accent1 3 3 3 5 2" xfId="2080" xr:uid="{00000000-0005-0000-0000-000069050000}"/>
    <cellStyle name="20% - Accent1 3 3 3 6" xfId="2097" xr:uid="{00000000-0005-0000-0000-00006A050000}"/>
    <cellStyle name="20% - Accent1 3 3 4" xfId="1124" xr:uid="{00000000-0005-0000-0000-00006B050000}"/>
    <cellStyle name="20% - Accent1 3 3 4 2" xfId="9349" xr:uid="{00000000-0005-0000-0000-00006C050000}"/>
    <cellStyle name="20% - Accent1 3 3 4 2 2" xfId="2102" xr:uid="{00000000-0005-0000-0000-00006D050000}"/>
    <cellStyle name="20% - Accent1 3 3 4 2 2 2" xfId="1841" xr:uid="{00000000-0005-0000-0000-00006E050000}"/>
    <cellStyle name="20% - Accent1 3 3 4 2 2 2 2" xfId="23860" xr:uid="{00000000-0005-0000-0000-00006F050000}"/>
    <cellStyle name="20% - Accent1 3 3 4 2 2 3" xfId="2106" xr:uid="{00000000-0005-0000-0000-000070050000}"/>
    <cellStyle name="20% - Accent1 3 3 4 2 3" xfId="5095" xr:uid="{00000000-0005-0000-0000-000071050000}"/>
    <cellStyle name="20% - Accent1 3 3 4 2 3 2" xfId="5106" xr:uid="{00000000-0005-0000-0000-000072050000}"/>
    <cellStyle name="20% - Accent1 3 3 4 2 4" xfId="5113" xr:uid="{00000000-0005-0000-0000-000073050000}"/>
    <cellStyle name="20% - Accent1 3 3 4 3" xfId="504" xr:uid="{00000000-0005-0000-0000-000074050000}"/>
    <cellStyle name="20% - Accent1 3 3 4 3 2" xfId="21971" xr:uid="{00000000-0005-0000-0000-000075050000}"/>
    <cellStyle name="20% - Accent1 3 3 4 3 2 2" xfId="21976" xr:uid="{00000000-0005-0000-0000-000076050000}"/>
    <cellStyle name="20% - Accent1 3 3 4 3 3" xfId="5122" xr:uid="{00000000-0005-0000-0000-000077050000}"/>
    <cellStyle name="20% - Accent1 3 3 4 4" xfId="513" xr:uid="{00000000-0005-0000-0000-000078050000}"/>
    <cellStyle name="20% - Accent1 3 3 4 4 2" xfId="22102" xr:uid="{00000000-0005-0000-0000-000079050000}"/>
    <cellStyle name="20% - Accent1 3 3 4 5" xfId="1197" xr:uid="{00000000-0005-0000-0000-00007A050000}"/>
    <cellStyle name="20% - Accent1 3 3 5" xfId="18665" xr:uid="{00000000-0005-0000-0000-00007B050000}"/>
    <cellStyle name="20% - Accent1 3 3 5 2" xfId="624" xr:uid="{00000000-0005-0000-0000-00007C050000}"/>
    <cellStyle name="20% - Accent1 3 3 5 2 2" xfId="2123" xr:uid="{00000000-0005-0000-0000-00007D050000}"/>
    <cellStyle name="20% - Accent1 3 3 5 2 2 2" xfId="1832" xr:uid="{00000000-0005-0000-0000-00007E050000}"/>
    <cellStyle name="20% - Accent1 3 3 5 2 3" xfId="5142" xr:uid="{00000000-0005-0000-0000-00007F050000}"/>
    <cellStyle name="20% - Accent1 3 3 5 3" xfId="1213" xr:uid="{00000000-0005-0000-0000-000080050000}"/>
    <cellStyle name="20% - Accent1 3 3 5 3 2" xfId="22267" xr:uid="{00000000-0005-0000-0000-000081050000}"/>
    <cellStyle name="20% - Accent1 3 3 5 4" xfId="6872" xr:uid="{00000000-0005-0000-0000-000082050000}"/>
    <cellStyle name="20% - Accent1 3 3 6" xfId="4402" xr:uid="{00000000-0005-0000-0000-000083050000}"/>
    <cellStyle name="20% - Accent1 3 3 6 2" xfId="2130" xr:uid="{00000000-0005-0000-0000-000084050000}"/>
    <cellStyle name="20% - Accent1 3 3 6 2 2" xfId="2137" xr:uid="{00000000-0005-0000-0000-000085050000}"/>
    <cellStyle name="20% - Accent1 3 3 6 3" xfId="735" xr:uid="{00000000-0005-0000-0000-000086050000}"/>
    <cellStyle name="20% - Accent1 3 3 7" xfId="17385" xr:uid="{00000000-0005-0000-0000-000087050000}"/>
    <cellStyle name="20% - Accent1 3 3 7 2" xfId="10938" xr:uid="{00000000-0005-0000-0000-000088050000}"/>
    <cellStyle name="20% - Accent1 3 3 8" xfId="10510" xr:uid="{00000000-0005-0000-0000-000089050000}"/>
    <cellStyle name="20% - Accent1 3 4" xfId="10296" xr:uid="{00000000-0005-0000-0000-00008A050000}"/>
    <cellStyle name="20% - Accent1 3 4 2" xfId="1266" xr:uid="{00000000-0005-0000-0000-00008B050000}"/>
    <cellStyle name="20% - Accent1 3 4 2 2" xfId="3312" xr:uid="{00000000-0005-0000-0000-00008C050000}"/>
    <cellStyle name="20% - Accent1 3 4 2 2 2" xfId="4404" xr:uid="{00000000-0005-0000-0000-00008D050000}"/>
    <cellStyle name="20% - Accent1 3 4 2 2 2 2" xfId="3824" xr:uid="{00000000-0005-0000-0000-00008E050000}"/>
    <cellStyle name="20% - Accent1 3 4 2 2 2 2 2" xfId="13895" xr:uid="{00000000-0005-0000-0000-00008F050000}"/>
    <cellStyle name="20% - Accent1 3 4 2 2 2 2 2 2" xfId="845" xr:uid="{00000000-0005-0000-0000-000090050000}"/>
    <cellStyle name="20% - Accent1 3 4 2 2 2 2 3" xfId="7242" xr:uid="{00000000-0005-0000-0000-000091050000}"/>
    <cellStyle name="20% - Accent1 3 4 2 2 2 3" xfId="2146" xr:uid="{00000000-0005-0000-0000-000092050000}"/>
    <cellStyle name="20% - Accent1 3 4 2 2 2 3 2" xfId="26864" xr:uid="{00000000-0005-0000-0000-000093050000}"/>
    <cellStyle name="20% - Accent1 3 4 2 2 2 4" xfId="5030" xr:uid="{00000000-0005-0000-0000-000094050000}"/>
    <cellStyle name="20% - Accent1 3 4 2 2 3" xfId="4417" xr:uid="{00000000-0005-0000-0000-000095050000}"/>
    <cellStyle name="20% - Accent1 3 4 2 2 3 2" xfId="2154" xr:uid="{00000000-0005-0000-0000-000096050000}"/>
    <cellStyle name="20% - Accent1 3 4 2 2 3 2 2" xfId="29100" xr:uid="{00000000-0005-0000-0000-000097050000}"/>
    <cellStyle name="20% - Accent1 3 4 2 2 3 3" xfId="2164" xr:uid="{00000000-0005-0000-0000-000098050000}"/>
    <cellStyle name="20% - Accent1 3 4 2 2 4" xfId="286" xr:uid="{00000000-0005-0000-0000-000099050000}"/>
    <cellStyle name="20% - Accent1 3 4 2 2 4 2" xfId="259" xr:uid="{00000000-0005-0000-0000-00009A050000}"/>
    <cellStyle name="20% - Accent1 3 4 2 2 5" xfId="640" xr:uid="{00000000-0005-0000-0000-00009B050000}"/>
    <cellStyle name="20% - Accent1 3 4 2 3" xfId="1501" xr:uid="{00000000-0005-0000-0000-00009C050000}"/>
    <cellStyle name="20% - Accent1 3 4 2 3 2" xfId="4447" xr:uid="{00000000-0005-0000-0000-00009D050000}"/>
    <cellStyle name="20% - Accent1 3 4 2 3 2 2" xfId="37" xr:uid="{00000000-0005-0000-0000-00009E050000}"/>
    <cellStyle name="20% - Accent1 3 4 2 3 2 2 2" xfId="7471" xr:uid="{00000000-0005-0000-0000-00009F050000}"/>
    <cellStyle name="20% - Accent1 3 4 2 3 2 3" xfId="183" xr:uid="{00000000-0005-0000-0000-0000A0050000}"/>
    <cellStyle name="20% - Accent1 3 4 2 3 3" xfId="14965" xr:uid="{00000000-0005-0000-0000-0000A1050000}"/>
    <cellStyle name="20% - Accent1 3 4 2 3 3 2" xfId="2186" xr:uid="{00000000-0005-0000-0000-0000A2050000}"/>
    <cellStyle name="20% - Accent1 3 4 2 3 4" xfId="24401" xr:uid="{00000000-0005-0000-0000-0000A3050000}"/>
    <cellStyle name="20% - Accent1 3 4 2 4" xfId="3845" xr:uid="{00000000-0005-0000-0000-0000A4050000}"/>
    <cellStyle name="20% - Accent1 3 4 2 4 2" xfId="2200" xr:uid="{00000000-0005-0000-0000-0000A5050000}"/>
    <cellStyle name="20% - Accent1 3 4 2 4 2 2" xfId="6217" xr:uid="{00000000-0005-0000-0000-0000A6050000}"/>
    <cellStyle name="20% - Accent1 3 4 2 4 3" xfId="14022" xr:uid="{00000000-0005-0000-0000-0000A7050000}"/>
    <cellStyle name="20% - Accent1 3 4 2 5" xfId="5574" xr:uid="{00000000-0005-0000-0000-0000A8050000}"/>
    <cellStyle name="20% - Accent1 3 4 2 5 2" xfId="8240" xr:uid="{00000000-0005-0000-0000-0000A9050000}"/>
    <cellStyle name="20% - Accent1 3 4 2 6" xfId="2222" xr:uid="{00000000-0005-0000-0000-0000AA050000}"/>
    <cellStyle name="20% - Accent1 3 4 3" xfId="2234" xr:uid="{00000000-0005-0000-0000-0000AB050000}"/>
    <cellStyle name="20% - Accent1 3 4 3 2" xfId="1538" xr:uid="{00000000-0005-0000-0000-0000AC050000}"/>
    <cellStyle name="20% - Accent1 3 4 3 2 2" xfId="2238" xr:uid="{00000000-0005-0000-0000-0000AD050000}"/>
    <cellStyle name="20% - Accent1 3 4 3 2 2 2" xfId="2249" xr:uid="{00000000-0005-0000-0000-0000AE050000}"/>
    <cellStyle name="20% - Accent1 3 4 3 2 2 2 2" xfId="13938" xr:uid="{00000000-0005-0000-0000-0000AF050000}"/>
    <cellStyle name="20% - Accent1 3 4 3 2 2 3" xfId="55" xr:uid="{00000000-0005-0000-0000-0000B0050000}"/>
    <cellStyle name="20% - Accent1 3 4 3 2 3" xfId="8441" xr:uid="{00000000-0005-0000-0000-0000B1050000}"/>
    <cellStyle name="20% - Accent1 3 4 3 2 3 2" xfId="245" xr:uid="{00000000-0005-0000-0000-0000B2050000}"/>
    <cellStyle name="20% - Accent1 3 4 3 2 4" xfId="8446" xr:uid="{00000000-0005-0000-0000-0000B3050000}"/>
    <cellStyle name="20% - Accent1 3 4 3 3" xfId="227" xr:uid="{00000000-0005-0000-0000-0000B4050000}"/>
    <cellStyle name="20% - Accent1 3 4 3 3 2" xfId="25094" xr:uid="{00000000-0005-0000-0000-0000B5050000}"/>
    <cellStyle name="20% - Accent1 3 4 3 3 2 2" xfId="2357" xr:uid="{00000000-0005-0000-0000-0000B6050000}"/>
    <cellStyle name="20% - Accent1 3 4 3 3 3" xfId="19075" xr:uid="{00000000-0005-0000-0000-0000B7050000}"/>
    <cellStyle name="20% - Accent1 3 4 3 4" xfId="5586" xr:uid="{00000000-0005-0000-0000-0000B8050000}"/>
    <cellStyle name="20% - Accent1 3 4 3 4 2" xfId="2546" xr:uid="{00000000-0005-0000-0000-0000B9050000}"/>
    <cellStyle name="20% - Accent1 3 4 3 5" xfId="1353" xr:uid="{00000000-0005-0000-0000-0000BA050000}"/>
    <cellStyle name="20% - Accent1 3 4 4" xfId="1724" xr:uid="{00000000-0005-0000-0000-0000BB050000}"/>
    <cellStyle name="20% - Accent1 3 4 4 2" xfId="296" xr:uid="{00000000-0005-0000-0000-0000BC050000}"/>
    <cellStyle name="20% - Accent1 3 4 4 2 2" xfId="13519" xr:uid="{00000000-0005-0000-0000-0000BD050000}"/>
    <cellStyle name="20% - Accent1 3 4 4 2 2 2" xfId="2268" xr:uid="{00000000-0005-0000-0000-0000BE050000}"/>
    <cellStyle name="20% - Accent1 3 4 4 2 3" xfId="14296" xr:uid="{00000000-0005-0000-0000-0000BF050000}"/>
    <cellStyle name="20% - Accent1 3 4 4 3" xfId="541" xr:uid="{00000000-0005-0000-0000-0000C0050000}"/>
    <cellStyle name="20% - Accent1 3 4 4 3 2" xfId="18595" xr:uid="{00000000-0005-0000-0000-0000C1050000}"/>
    <cellStyle name="20% - Accent1 3 4 4 4" xfId="547" xr:uid="{00000000-0005-0000-0000-0000C2050000}"/>
    <cellStyle name="20% - Accent1 3 4 5" xfId="22976" xr:uid="{00000000-0005-0000-0000-0000C3050000}"/>
    <cellStyle name="20% - Accent1 3 4 5 2" xfId="2273" xr:uid="{00000000-0005-0000-0000-0000C4050000}"/>
    <cellStyle name="20% - Accent1 3 4 5 2 2" xfId="14316" xr:uid="{00000000-0005-0000-0000-0000C5050000}"/>
    <cellStyle name="20% - Accent1 3 4 5 3" xfId="19522" xr:uid="{00000000-0005-0000-0000-0000C6050000}"/>
    <cellStyle name="20% - Accent1 3 4 6" xfId="17976" xr:uid="{00000000-0005-0000-0000-0000C7050000}"/>
    <cellStyle name="20% - Accent1 3 4 6 2" xfId="739" xr:uid="{00000000-0005-0000-0000-0000C8050000}"/>
    <cellStyle name="20% - Accent1 3 4 7" xfId="10346" xr:uid="{00000000-0005-0000-0000-0000C9050000}"/>
    <cellStyle name="20% - Accent1 3 5" xfId="9193" xr:uid="{00000000-0005-0000-0000-0000CA050000}"/>
    <cellStyle name="20% - Accent1 3 5 2" xfId="9130" xr:uid="{00000000-0005-0000-0000-0000CB050000}"/>
    <cellStyle name="20% - Accent1 3 5 2 2" xfId="6427" xr:uid="{00000000-0005-0000-0000-0000CC050000}"/>
    <cellStyle name="20% - Accent1 3 5 2 2 2" xfId="10714" xr:uid="{00000000-0005-0000-0000-0000CD050000}"/>
    <cellStyle name="20% - Accent1 3 5 2 2 2 2" xfId="11962" xr:uid="{00000000-0005-0000-0000-0000CE050000}"/>
    <cellStyle name="20% - Accent1 3 5 2 2 2 2 2" xfId="19092" xr:uid="{00000000-0005-0000-0000-0000CF050000}"/>
    <cellStyle name="20% - Accent1 3 5 2 2 2 3" xfId="3573" xr:uid="{00000000-0005-0000-0000-0000D0050000}"/>
    <cellStyle name="20% - Accent1 3 5 2 2 3" xfId="5625" xr:uid="{00000000-0005-0000-0000-0000D1050000}"/>
    <cellStyle name="20% - Accent1 3 5 2 2 3 2" xfId="14570" xr:uid="{00000000-0005-0000-0000-0000D2050000}"/>
    <cellStyle name="20% - Accent1 3 5 2 2 4" xfId="449" xr:uid="{00000000-0005-0000-0000-0000D3050000}"/>
    <cellStyle name="20% - Accent1 3 5 2 3" xfId="2307" xr:uid="{00000000-0005-0000-0000-0000D4050000}"/>
    <cellStyle name="20% - Accent1 3 5 2 3 2" xfId="1990" xr:uid="{00000000-0005-0000-0000-0000D5050000}"/>
    <cellStyle name="20% - Accent1 3 5 2 3 2 2" xfId="2309" xr:uid="{00000000-0005-0000-0000-0000D6050000}"/>
    <cellStyle name="20% - Accent1 3 5 2 3 3" xfId="2320" xr:uid="{00000000-0005-0000-0000-0000D7050000}"/>
    <cellStyle name="20% - Accent1 3 5 2 4" xfId="5590" xr:uid="{00000000-0005-0000-0000-0000D8050000}"/>
    <cellStyle name="20% - Accent1 3 5 2 4 2" xfId="4495" xr:uid="{00000000-0005-0000-0000-0000D9050000}"/>
    <cellStyle name="20% - Accent1 3 5 2 5" xfId="2332" xr:uid="{00000000-0005-0000-0000-0000DA050000}"/>
    <cellStyle name="20% - Accent1 3 5 3" xfId="6431" xr:uid="{00000000-0005-0000-0000-0000DB050000}"/>
    <cellStyle name="20% - Accent1 3 5 3 2" xfId="1588" xr:uid="{00000000-0005-0000-0000-0000DC050000}"/>
    <cellStyle name="20% - Accent1 3 5 3 2 2" xfId="6074" xr:uid="{00000000-0005-0000-0000-0000DD050000}"/>
    <cellStyle name="20% - Accent1 3 5 3 2 2 2" xfId="9150" xr:uid="{00000000-0005-0000-0000-0000DE050000}"/>
    <cellStyle name="20% - Accent1 3 5 3 2 3" xfId="6082" xr:uid="{00000000-0005-0000-0000-0000DF050000}"/>
    <cellStyle name="20% - Accent1 3 5 3 3" xfId="82" xr:uid="{00000000-0005-0000-0000-0000E0050000}"/>
    <cellStyle name="20% - Accent1 3 5 3 3 2" xfId="6099" xr:uid="{00000000-0005-0000-0000-0000E1050000}"/>
    <cellStyle name="20% - Accent1 3 5 3 4" xfId="7582" xr:uid="{00000000-0005-0000-0000-0000E2050000}"/>
    <cellStyle name="20% - Accent1 3 5 4" xfId="7699" xr:uid="{00000000-0005-0000-0000-0000E3050000}"/>
    <cellStyle name="20% - Accent1 3 5 4 2" xfId="2382" xr:uid="{00000000-0005-0000-0000-0000E4050000}"/>
    <cellStyle name="20% - Accent1 3 5 4 2 2" xfId="14339" xr:uid="{00000000-0005-0000-0000-0000E5050000}"/>
    <cellStyle name="20% - Accent1 3 5 4 3" xfId="679" xr:uid="{00000000-0005-0000-0000-0000E6050000}"/>
    <cellStyle name="20% - Accent1 3 5 5" xfId="21362" xr:uid="{00000000-0005-0000-0000-0000E7050000}"/>
    <cellStyle name="20% - Accent1 3 5 5 2" xfId="2393" xr:uid="{00000000-0005-0000-0000-0000E8050000}"/>
    <cellStyle name="20% - Accent1 3 5 6" xfId="7976" xr:uid="{00000000-0005-0000-0000-0000E9050000}"/>
    <cellStyle name="20% - Accent1 3 6" xfId="4898" xr:uid="{00000000-0005-0000-0000-0000EA050000}"/>
    <cellStyle name="20% - Accent1 3 6 2" xfId="6440" xr:uid="{00000000-0005-0000-0000-0000EB050000}"/>
    <cellStyle name="20% - Accent1 3 6 2 2" xfId="13706" xr:uid="{00000000-0005-0000-0000-0000EC050000}"/>
    <cellStyle name="20% - Accent1 3 6 2 2 2" xfId="29971" xr:uid="{00000000-0005-0000-0000-0000ED050000}"/>
    <cellStyle name="20% - Accent1 3 6 2 2 2 2" xfId="4298" xr:uid="{00000000-0005-0000-0000-0000EE050000}"/>
    <cellStyle name="20% - Accent1 3 6 2 2 3" xfId="2347" xr:uid="{00000000-0005-0000-0000-0000EF050000}"/>
    <cellStyle name="20% - Accent1 3 6 2 3" xfId="2351" xr:uid="{00000000-0005-0000-0000-0000F0050000}"/>
    <cellStyle name="20% - Accent1 3 6 2 3 2" xfId="9347" xr:uid="{00000000-0005-0000-0000-0000F1050000}"/>
    <cellStyle name="20% - Accent1 3 6 2 4" xfId="2364" xr:uid="{00000000-0005-0000-0000-0000F2050000}"/>
    <cellStyle name="20% - Accent1 3 6 3" xfId="2403" xr:uid="{00000000-0005-0000-0000-0000F3050000}"/>
    <cellStyle name="20% - Accent1 3 6 3 2" xfId="2368" xr:uid="{00000000-0005-0000-0000-0000F4050000}"/>
    <cellStyle name="20% - Accent1 3 6 3 2 2" xfId="7842" xr:uid="{00000000-0005-0000-0000-0000F5050000}"/>
    <cellStyle name="20% - Accent1 3 6 3 3" xfId="175" xr:uid="{00000000-0005-0000-0000-0000F6050000}"/>
    <cellStyle name="20% - Accent1 3 6 4" xfId="4874" xr:uid="{00000000-0005-0000-0000-0000F7050000}"/>
    <cellStyle name="20% - Accent1 3 6 4 2" xfId="2397" xr:uid="{00000000-0005-0000-0000-0000F8050000}"/>
    <cellStyle name="20% - Accent1 3 6 5" xfId="4878" xr:uid="{00000000-0005-0000-0000-0000F9050000}"/>
    <cellStyle name="20% - Accent1 3 7" xfId="2041" xr:uid="{00000000-0005-0000-0000-0000FA050000}"/>
    <cellStyle name="20% - Accent1 3 7 2" xfId="2727" xr:uid="{00000000-0005-0000-0000-0000FB050000}"/>
    <cellStyle name="20% - Accent1 3 7 2 2" xfId="2739" xr:uid="{00000000-0005-0000-0000-0000FC050000}"/>
    <cellStyle name="20% - Accent1 3 7 2 2 2" xfId="9359" xr:uid="{00000000-0005-0000-0000-0000FD050000}"/>
    <cellStyle name="20% - Accent1 3 7 2 3" xfId="789" xr:uid="{00000000-0005-0000-0000-0000FE050000}"/>
    <cellStyle name="20% - Accent1 3 7 3" xfId="2745" xr:uid="{00000000-0005-0000-0000-0000FF050000}"/>
    <cellStyle name="20% - Accent1 3 7 3 2" xfId="692" xr:uid="{00000000-0005-0000-0000-000000060000}"/>
    <cellStyle name="20% - Accent1 3 7 4" xfId="1971" xr:uid="{00000000-0005-0000-0000-000001060000}"/>
    <cellStyle name="20% - Accent1 3 8" xfId="9087" xr:uid="{00000000-0005-0000-0000-000002060000}"/>
    <cellStyle name="20% - Accent1 3 8 2" xfId="2774" xr:uid="{00000000-0005-0000-0000-000003060000}"/>
    <cellStyle name="20% - Accent1 3 8 2 2" xfId="877" xr:uid="{00000000-0005-0000-0000-000004060000}"/>
    <cellStyle name="20% - Accent1 3 8 3" xfId="4461" xr:uid="{00000000-0005-0000-0000-000005060000}"/>
    <cellStyle name="20% - Accent1 3 9" xfId="23984" xr:uid="{00000000-0005-0000-0000-000006060000}"/>
    <cellStyle name="20% - Accent1 3 9 2" xfId="1856" xr:uid="{00000000-0005-0000-0000-000007060000}"/>
    <cellStyle name="20% - Accent1 4" xfId="26931" xr:uid="{00000000-0005-0000-0000-000008060000}"/>
    <cellStyle name="20% - Accent1 4 2" xfId="12850" xr:uid="{00000000-0005-0000-0000-000009060000}"/>
    <cellStyle name="20% - Accent1 4 2 2" xfId="6759" xr:uid="{00000000-0005-0000-0000-00000A060000}"/>
    <cellStyle name="20% - Accent1 4 2 2 2" xfId="23406" xr:uid="{00000000-0005-0000-0000-00000B060000}"/>
    <cellStyle name="20% - Accent1 4 2 2 2 2" xfId="18506" xr:uid="{00000000-0005-0000-0000-00000C060000}"/>
    <cellStyle name="20% - Accent1 4 2 2 2 2 2" xfId="18252" xr:uid="{00000000-0005-0000-0000-00000D060000}"/>
    <cellStyle name="20% - Accent1 4 2 2 2 2 2 2" xfId="9030" xr:uid="{00000000-0005-0000-0000-00000E060000}"/>
    <cellStyle name="20% - Accent1 4 2 2 2 2 2 2 2" xfId="8422" xr:uid="{00000000-0005-0000-0000-00000F060000}"/>
    <cellStyle name="20% - Accent1 4 2 2 2 2 2 2 2 2" xfId="4830" xr:uid="{00000000-0005-0000-0000-000010060000}"/>
    <cellStyle name="20% - Accent1 4 2 2 2 2 2 2 3" xfId="10730" xr:uid="{00000000-0005-0000-0000-000011060000}"/>
    <cellStyle name="20% - Accent1 4 2 2 2 2 2 3" xfId="25218" xr:uid="{00000000-0005-0000-0000-000012060000}"/>
    <cellStyle name="20% - Accent1 4 2 2 2 2 2 3 2" xfId="2391" xr:uid="{00000000-0005-0000-0000-000013060000}"/>
    <cellStyle name="20% - Accent1 4 2 2 2 2 2 4" xfId="22204" xr:uid="{00000000-0005-0000-0000-000014060000}"/>
    <cellStyle name="20% - Accent1 4 2 2 2 2 3" xfId="13940" xr:uid="{00000000-0005-0000-0000-000015060000}"/>
    <cellStyle name="20% - Accent1 4 2 2 2 2 3 2" xfId="9084" xr:uid="{00000000-0005-0000-0000-000016060000}"/>
    <cellStyle name="20% - Accent1 4 2 2 2 2 3 2 2" xfId="2396" xr:uid="{00000000-0005-0000-0000-000017060000}"/>
    <cellStyle name="20% - Accent1 4 2 2 2 2 3 3" xfId="25229" xr:uid="{00000000-0005-0000-0000-000018060000}"/>
    <cellStyle name="20% - Accent1 4 2 2 2 2 4" xfId="22829" xr:uid="{00000000-0005-0000-0000-000019060000}"/>
    <cellStyle name="20% - Accent1 4 2 2 2 2 4 2" xfId="8039" xr:uid="{00000000-0005-0000-0000-00001A060000}"/>
    <cellStyle name="20% - Accent1 4 2 2 2 2 5" xfId="5761" xr:uid="{00000000-0005-0000-0000-00001B060000}"/>
    <cellStyle name="20% - Accent1 4 2 2 2 3" xfId="25910" xr:uid="{00000000-0005-0000-0000-00001C060000}"/>
    <cellStyle name="20% - Accent1 4 2 2 2 3 2" xfId="9940" xr:uid="{00000000-0005-0000-0000-00001D060000}"/>
    <cellStyle name="20% - Accent1 4 2 2 2 3 2 2" xfId="9093" xr:uid="{00000000-0005-0000-0000-00001E060000}"/>
    <cellStyle name="20% - Accent1 4 2 2 2 3 2 2 2" xfId="762" xr:uid="{00000000-0005-0000-0000-00001F060000}"/>
    <cellStyle name="20% - Accent1 4 2 2 2 3 2 3" xfId="25243" xr:uid="{00000000-0005-0000-0000-000020060000}"/>
    <cellStyle name="20% - Accent1 4 2 2 2 3 3" xfId="1824" xr:uid="{00000000-0005-0000-0000-000021060000}"/>
    <cellStyle name="20% - Accent1 4 2 2 2 3 3 2" xfId="2622" xr:uid="{00000000-0005-0000-0000-000022060000}"/>
    <cellStyle name="20% - Accent1 4 2 2 2 3 4" xfId="24696" xr:uid="{00000000-0005-0000-0000-000023060000}"/>
    <cellStyle name="20% - Accent1 4 2 2 2 4" xfId="1834" xr:uid="{00000000-0005-0000-0000-000024060000}"/>
    <cellStyle name="20% - Accent1 4 2 2 2 4 2" xfId="193" xr:uid="{00000000-0005-0000-0000-000025060000}"/>
    <cellStyle name="20% - Accent1 4 2 2 2 4 2 2" xfId="33625" xr:uid="{00000000-0005-0000-0000-000026060000}"/>
    <cellStyle name="20% - Accent1 4 2 2 2 4 3" xfId="899" xr:uid="{00000000-0005-0000-0000-000027060000}"/>
    <cellStyle name="20% - Accent1 4 2 2 2 5" xfId="1839" xr:uid="{00000000-0005-0000-0000-000028060000}"/>
    <cellStyle name="20% - Accent1 4 2 2 2 5 2" xfId="715" xr:uid="{00000000-0005-0000-0000-000029060000}"/>
    <cellStyle name="20% - Accent1 4 2 2 2 6" xfId="8963" xr:uid="{00000000-0005-0000-0000-00002A060000}"/>
    <cellStyle name="20% - Accent1 4 2 2 3" xfId="2408" xr:uid="{00000000-0005-0000-0000-00002B060000}"/>
    <cellStyle name="20% - Accent1 4 2 2 3 2" xfId="21293" xr:uid="{00000000-0005-0000-0000-00002C060000}"/>
    <cellStyle name="20% - Accent1 4 2 2 3 2 2" xfId="2632" xr:uid="{00000000-0005-0000-0000-00002D060000}"/>
    <cellStyle name="20% - Accent1 4 2 2 3 2 2 2" xfId="4939" xr:uid="{00000000-0005-0000-0000-00002E060000}"/>
    <cellStyle name="20% - Accent1 4 2 2 3 2 2 2 2" xfId="13003" xr:uid="{00000000-0005-0000-0000-00002F060000}"/>
    <cellStyle name="20% - Accent1 4 2 2 3 2 2 3" xfId="25467" xr:uid="{00000000-0005-0000-0000-000030060000}"/>
    <cellStyle name="20% - Accent1 4 2 2 3 2 3" xfId="840" xr:uid="{00000000-0005-0000-0000-000031060000}"/>
    <cellStyle name="20% - Accent1 4 2 2 3 2 3 2" xfId="5093" xr:uid="{00000000-0005-0000-0000-000032060000}"/>
    <cellStyle name="20% - Accent1 4 2 2 3 2 4" xfId="23229" xr:uid="{00000000-0005-0000-0000-000033060000}"/>
    <cellStyle name="20% - Accent1 4 2 2 3 3" xfId="325" xr:uid="{00000000-0005-0000-0000-000034060000}"/>
    <cellStyle name="20% - Accent1 4 2 2 3 3 2" xfId="1910" xr:uid="{00000000-0005-0000-0000-000035060000}"/>
    <cellStyle name="20% - Accent1 4 2 2 3 3 2 2" xfId="8779" xr:uid="{00000000-0005-0000-0000-000036060000}"/>
    <cellStyle name="20% - Accent1 4 2 2 3 3 3" xfId="2418" xr:uid="{00000000-0005-0000-0000-000037060000}"/>
    <cellStyle name="20% - Accent1 4 2 2 3 4" xfId="1288" xr:uid="{00000000-0005-0000-0000-000038060000}"/>
    <cellStyle name="20% - Accent1 4 2 2 3 4 2" xfId="22231" xr:uid="{00000000-0005-0000-0000-000039060000}"/>
    <cellStyle name="20% - Accent1 4 2 2 3 5" xfId="6057" xr:uid="{00000000-0005-0000-0000-00003A060000}"/>
    <cellStyle name="20% - Accent1 4 2 2 4" xfId="2421" xr:uid="{00000000-0005-0000-0000-00003B060000}"/>
    <cellStyle name="20% - Accent1 4 2 2 4 2" xfId="11232" xr:uid="{00000000-0005-0000-0000-00003C060000}"/>
    <cellStyle name="20% - Accent1 4 2 2 4 2 2" xfId="2980" xr:uid="{00000000-0005-0000-0000-00003D060000}"/>
    <cellStyle name="20% - Accent1 4 2 2 4 2 2 2" xfId="2431" xr:uid="{00000000-0005-0000-0000-00003E060000}"/>
    <cellStyle name="20% - Accent1 4 2 2 4 2 3" xfId="3710" xr:uid="{00000000-0005-0000-0000-00003F060000}"/>
    <cellStyle name="20% - Accent1 4 2 2 4 3" xfId="1943" xr:uid="{00000000-0005-0000-0000-000040060000}"/>
    <cellStyle name="20% - Accent1 4 2 2 4 3 2" xfId="2438" xr:uid="{00000000-0005-0000-0000-000041060000}"/>
    <cellStyle name="20% - Accent1 4 2 2 4 4" xfId="24836" xr:uid="{00000000-0005-0000-0000-000042060000}"/>
    <cellStyle name="20% - Accent1 4 2 2 5" xfId="2441" xr:uid="{00000000-0005-0000-0000-000043060000}"/>
    <cellStyle name="20% - Accent1 4 2 2 5 2" xfId="1962" xr:uid="{00000000-0005-0000-0000-000044060000}"/>
    <cellStyle name="20% - Accent1 4 2 2 5 2 2" xfId="16929" xr:uid="{00000000-0005-0000-0000-000045060000}"/>
    <cellStyle name="20% - Accent1 4 2 2 5 3" xfId="2449" xr:uid="{00000000-0005-0000-0000-000046060000}"/>
    <cellStyle name="20% - Accent1 4 2 2 6" xfId="2465" xr:uid="{00000000-0005-0000-0000-000047060000}"/>
    <cellStyle name="20% - Accent1 4 2 2 6 2" xfId="2476" xr:uid="{00000000-0005-0000-0000-000048060000}"/>
    <cellStyle name="20% - Accent1 4 2 2 7" xfId="3359" xr:uid="{00000000-0005-0000-0000-000049060000}"/>
    <cellStyle name="20% - Accent1 4 2 3" xfId="19041" xr:uid="{00000000-0005-0000-0000-00004A060000}"/>
    <cellStyle name="20% - Accent1 4 2 3 2" xfId="2493" xr:uid="{00000000-0005-0000-0000-00004B060000}"/>
    <cellStyle name="20% - Accent1 4 2 3 2 2" xfId="26913" xr:uid="{00000000-0005-0000-0000-00004C060000}"/>
    <cellStyle name="20% - Accent1 4 2 3 2 2 2" xfId="2657" xr:uid="{00000000-0005-0000-0000-00004D060000}"/>
    <cellStyle name="20% - Accent1 4 2 3 2 2 2 2" xfId="9180" xr:uid="{00000000-0005-0000-0000-00004E060000}"/>
    <cellStyle name="20% - Accent1 4 2 3 2 2 2 2 2" xfId="4730" xr:uid="{00000000-0005-0000-0000-00004F060000}"/>
    <cellStyle name="20% - Accent1 4 2 3 2 2 2 3" xfId="5197" xr:uid="{00000000-0005-0000-0000-000050060000}"/>
    <cellStyle name="20% - Accent1 4 2 3 2 2 3" xfId="2052" xr:uid="{00000000-0005-0000-0000-000051060000}"/>
    <cellStyle name="20% - Accent1 4 2 3 2 2 3 2" xfId="1734" xr:uid="{00000000-0005-0000-0000-000052060000}"/>
    <cellStyle name="20% - Accent1 4 2 3 2 2 4" xfId="18929" xr:uid="{00000000-0005-0000-0000-000053060000}"/>
    <cellStyle name="20% - Accent1 4 2 3 2 3" xfId="4070" xr:uid="{00000000-0005-0000-0000-000054060000}"/>
    <cellStyle name="20% - Accent1 4 2 3 2 3 2" xfId="5897" xr:uid="{00000000-0005-0000-0000-000055060000}"/>
    <cellStyle name="20% - Accent1 4 2 3 2 3 2 2" xfId="4616" xr:uid="{00000000-0005-0000-0000-000056060000}"/>
    <cellStyle name="20% - Accent1 4 2 3 2 3 3" xfId="5902" xr:uid="{00000000-0005-0000-0000-000057060000}"/>
    <cellStyle name="20% - Accent1 4 2 3 2 4" xfId="4072" xr:uid="{00000000-0005-0000-0000-000058060000}"/>
    <cellStyle name="20% - Accent1 4 2 3 2 4 2" xfId="5911" xr:uid="{00000000-0005-0000-0000-000059060000}"/>
    <cellStyle name="20% - Accent1 4 2 3 2 5" xfId="4884" xr:uid="{00000000-0005-0000-0000-00005A060000}"/>
    <cellStyle name="20% - Accent1 4 2 3 3" xfId="2503" xr:uid="{00000000-0005-0000-0000-00005B060000}"/>
    <cellStyle name="20% - Accent1 4 2 3 3 2" xfId="6864" xr:uid="{00000000-0005-0000-0000-00005C060000}"/>
    <cellStyle name="20% - Accent1 4 2 3 3 2 2" xfId="2094" xr:uid="{00000000-0005-0000-0000-00005D060000}"/>
    <cellStyle name="20% - Accent1 4 2 3 3 2 2 2" xfId="1527" xr:uid="{00000000-0005-0000-0000-00005E060000}"/>
    <cellStyle name="20% - Accent1 4 2 3 3 2 3" xfId="2507" xr:uid="{00000000-0005-0000-0000-00005F060000}"/>
    <cellStyle name="20% - Accent1 4 2 3 3 3" xfId="4076" xr:uid="{00000000-0005-0000-0000-000060060000}"/>
    <cellStyle name="20% - Accent1 4 2 3 3 3 2" xfId="5922" xr:uid="{00000000-0005-0000-0000-000061060000}"/>
    <cellStyle name="20% - Accent1 4 2 3 3 4" xfId="4903" xr:uid="{00000000-0005-0000-0000-000062060000}"/>
    <cellStyle name="20% - Accent1 4 2 3 4" xfId="30806" xr:uid="{00000000-0005-0000-0000-000063060000}"/>
    <cellStyle name="20% - Accent1 4 2 3 4 2" xfId="9098" xr:uid="{00000000-0005-0000-0000-000064060000}"/>
    <cellStyle name="20% - Accent1 4 2 3 4 2 2" xfId="2511" xr:uid="{00000000-0005-0000-0000-000065060000}"/>
    <cellStyle name="20% - Accent1 4 2 3 4 3" xfId="4922" xr:uid="{00000000-0005-0000-0000-000066060000}"/>
    <cellStyle name="20% - Accent1 4 2 3 5" xfId="2512" xr:uid="{00000000-0005-0000-0000-000067060000}"/>
    <cellStyle name="20% - Accent1 4 2 3 5 2" xfId="4603" xr:uid="{00000000-0005-0000-0000-000068060000}"/>
    <cellStyle name="20% - Accent1 4 2 3 6" xfId="8273" xr:uid="{00000000-0005-0000-0000-000069060000}"/>
    <cellStyle name="20% - Accent1 4 2 4" xfId="1409" xr:uid="{00000000-0005-0000-0000-00006A060000}"/>
    <cellStyle name="20% - Accent1 4 2 4 2" xfId="32008" xr:uid="{00000000-0005-0000-0000-00006B060000}"/>
    <cellStyle name="20% - Accent1 4 2 4 2 2" xfId="2209" xr:uid="{00000000-0005-0000-0000-00006C060000}"/>
    <cellStyle name="20% - Accent1 4 2 4 2 2 2" xfId="3951" xr:uid="{00000000-0005-0000-0000-00006D060000}"/>
    <cellStyle name="20% - Accent1 4 2 4 2 2 2 2" xfId="11830" xr:uid="{00000000-0005-0000-0000-00006E060000}"/>
    <cellStyle name="20% - Accent1 4 2 4 2 2 3" xfId="3972" xr:uid="{00000000-0005-0000-0000-00006F060000}"/>
    <cellStyle name="20% - Accent1 4 2 4 2 3" xfId="4205" xr:uid="{00000000-0005-0000-0000-000070060000}"/>
    <cellStyle name="20% - Accent1 4 2 4 2 3 2" xfId="19304" xr:uid="{00000000-0005-0000-0000-000071060000}"/>
    <cellStyle name="20% - Accent1 4 2 4 2 4" xfId="7982" xr:uid="{00000000-0005-0000-0000-000072060000}"/>
    <cellStyle name="20% - Accent1 4 2 4 3" xfId="30358" xr:uid="{00000000-0005-0000-0000-000073060000}"/>
    <cellStyle name="20% - Accent1 4 2 4 3 2" xfId="23425" xr:uid="{00000000-0005-0000-0000-000074060000}"/>
    <cellStyle name="20% - Accent1 4 2 4 3 2 2" xfId="29011" xr:uid="{00000000-0005-0000-0000-000075060000}"/>
    <cellStyle name="20% - Accent1 4 2 4 3 3" xfId="26513" xr:uid="{00000000-0005-0000-0000-000076060000}"/>
    <cellStyle name="20% - Accent1 4 2 4 4" xfId="2552" xr:uid="{00000000-0005-0000-0000-000077060000}"/>
    <cellStyle name="20% - Accent1 4 2 4 4 2" xfId="19347" xr:uid="{00000000-0005-0000-0000-000078060000}"/>
    <cellStyle name="20% - Accent1 4 2 4 5" xfId="4" xr:uid="{00000000-0005-0000-0000-000079060000}"/>
    <cellStyle name="20% - Accent1 4 2 5" xfId="1419" xr:uid="{00000000-0005-0000-0000-00007A060000}"/>
    <cellStyle name="20% - Accent1 4 2 5 2" xfId="6275" xr:uid="{00000000-0005-0000-0000-00007B060000}"/>
    <cellStyle name="20% - Accent1 4 2 5 2 2" xfId="2432" xr:uid="{00000000-0005-0000-0000-00007C060000}"/>
    <cellStyle name="20% - Accent1 4 2 5 2 2 2" xfId="10965" xr:uid="{00000000-0005-0000-0000-00007D060000}"/>
    <cellStyle name="20% - Accent1 4 2 5 2 3" xfId="4214" xr:uid="{00000000-0005-0000-0000-00007E060000}"/>
    <cellStyle name="20% - Accent1 4 2 5 3" xfId="8641" xr:uid="{00000000-0005-0000-0000-00007F060000}"/>
    <cellStyle name="20% - Accent1 4 2 5 3 2" xfId="24022" xr:uid="{00000000-0005-0000-0000-000080060000}"/>
    <cellStyle name="20% - Accent1 4 2 5 4" xfId="6969" xr:uid="{00000000-0005-0000-0000-000081060000}"/>
    <cellStyle name="20% - Accent1 4 2 6" xfId="30367" xr:uid="{00000000-0005-0000-0000-000082060000}"/>
    <cellStyle name="20% - Accent1 4 2 6 2" xfId="963" xr:uid="{00000000-0005-0000-0000-000083060000}"/>
    <cellStyle name="20% - Accent1 4 2 6 2 2" xfId="2599" xr:uid="{00000000-0005-0000-0000-000084060000}"/>
    <cellStyle name="20% - Accent1 4 2 6 3" xfId="980" xr:uid="{00000000-0005-0000-0000-000085060000}"/>
    <cellStyle name="20% - Accent1 4 2 7" xfId="995" xr:uid="{00000000-0005-0000-0000-000086060000}"/>
    <cellStyle name="20% - Accent1 4 2 7 2" xfId="12511" xr:uid="{00000000-0005-0000-0000-000087060000}"/>
    <cellStyle name="20% - Accent1 4 2 8" xfId="2601" xr:uid="{00000000-0005-0000-0000-000088060000}"/>
    <cellStyle name="20% - Accent1 4 3" xfId="12856" xr:uid="{00000000-0005-0000-0000-000089060000}"/>
    <cellStyle name="20% - Accent1 4 3 2" xfId="2611" xr:uid="{00000000-0005-0000-0000-00008A060000}"/>
    <cellStyle name="20% - Accent1 4 3 2 2" xfId="3332" xr:uid="{00000000-0005-0000-0000-00008B060000}"/>
    <cellStyle name="20% - Accent1 4 3 2 2 2" xfId="27579" xr:uid="{00000000-0005-0000-0000-00008C060000}"/>
    <cellStyle name="20% - Accent1 4 3 2 2 2 2" xfId="7166" xr:uid="{00000000-0005-0000-0000-00008D060000}"/>
    <cellStyle name="20% - Accent1 4 3 2 2 2 2 2" xfId="8704" xr:uid="{00000000-0005-0000-0000-00008E060000}"/>
    <cellStyle name="20% - Accent1 4 3 2 2 2 2 2 2" xfId="12596" xr:uid="{00000000-0005-0000-0000-00008F060000}"/>
    <cellStyle name="20% - Accent1 4 3 2 2 2 2 3" xfId="11281" xr:uid="{00000000-0005-0000-0000-000090060000}"/>
    <cellStyle name="20% - Accent1 4 3 2 2 2 3" xfId="2454" xr:uid="{00000000-0005-0000-0000-000091060000}"/>
    <cellStyle name="20% - Accent1 4 3 2 2 2 3 2" xfId="8710" xr:uid="{00000000-0005-0000-0000-000092060000}"/>
    <cellStyle name="20% - Accent1 4 3 2 2 2 4" xfId="5892" xr:uid="{00000000-0005-0000-0000-000093060000}"/>
    <cellStyle name="20% - Accent1 4 3 2 2 3" xfId="2470" xr:uid="{00000000-0005-0000-0000-000094060000}"/>
    <cellStyle name="20% - Accent1 4 3 2 2 3 2" xfId="2482" xr:uid="{00000000-0005-0000-0000-000095060000}"/>
    <cellStyle name="20% - Accent1 4 3 2 2 3 2 2" xfId="7652" xr:uid="{00000000-0005-0000-0000-000096060000}"/>
    <cellStyle name="20% - Accent1 4 3 2 2 3 3" xfId="2633" xr:uid="{00000000-0005-0000-0000-000097060000}"/>
    <cellStyle name="20% - Accent1 4 3 2 2 4" xfId="106" xr:uid="{00000000-0005-0000-0000-000098060000}"/>
    <cellStyle name="20% - Accent1 4 3 2 2 4 2" xfId="2641" xr:uid="{00000000-0005-0000-0000-000099060000}"/>
    <cellStyle name="20% - Accent1 4 3 2 2 5" xfId="10425" xr:uid="{00000000-0005-0000-0000-00009A060000}"/>
    <cellStyle name="20% - Accent1 4 3 2 3" xfId="10994" xr:uid="{00000000-0005-0000-0000-00009B060000}"/>
    <cellStyle name="20% - Accent1 4 3 2 3 2" xfId="2514" xr:uid="{00000000-0005-0000-0000-00009C060000}"/>
    <cellStyle name="20% - Accent1 4 3 2 3 2 2" xfId="2518" xr:uid="{00000000-0005-0000-0000-00009D060000}"/>
    <cellStyle name="20% - Accent1 4 3 2 3 2 2 2" xfId="31245" xr:uid="{00000000-0005-0000-0000-00009E060000}"/>
    <cellStyle name="20% - Accent1 4 3 2 3 2 3" xfId="2658" xr:uid="{00000000-0005-0000-0000-00009F060000}"/>
    <cellStyle name="20% - Accent1 4 3 2 3 3" xfId="2526" xr:uid="{00000000-0005-0000-0000-0000A0060000}"/>
    <cellStyle name="20% - Accent1 4 3 2 3 3 2" xfId="2664" xr:uid="{00000000-0005-0000-0000-0000A1060000}"/>
    <cellStyle name="20% - Accent1 4 3 2 3 4" xfId="10827" xr:uid="{00000000-0005-0000-0000-0000A2060000}"/>
    <cellStyle name="20% - Accent1 4 3 2 4" xfId="2672" xr:uid="{00000000-0005-0000-0000-0000A3060000}"/>
    <cellStyle name="20% - Accent1 4 3 2 4 2" xfId="12890" xr:uid="{00000000-0005-0000-0000-0000A4060000}"/>
    <cellStyle name="20% - Accent1 4 3 2 4 2 2" xfId="1632" xr:uid="{00000000-0005-0000-0000-0000A5060000}"/>
    <cellStyle name="20% - Accent1 4 3 2 4 3" xfId="2673" xr:uid="{00000000-0005-0000-0000-0000A6060000}"/>
    <cellStyle name="20% - Accent1 4 3 2 5" xfId="2678" xr:uid="{00000000-0005-0000-0000-0000A7060000}"/>
    <cellStyle name="20% - Accent1 4 3 2 5 2" xfId="516" xr:uid="{00000000-0005-0000-0000-0000A8060000}"/>
    <cellStyle name="20% - Accent1 4 3 2 6" xfId="2682" xr:uid="{00000000-0005-0000-0000-0000A9060000}"/>
    <cellStyle name="20% - Accent1 4 3 3" xfId="2688" xr:uid="{00000000-0005-0000-0000-0000AA060000}"/>
    <cellStyle name="20% - Accent1 4 3 3 2" xfId="3348" xr:uid="{00000000-0005-0000-0000-0000AB060000}"/>
    <cellStyle name="20% - Accent1 4 3 3 2 2" xfId="2680" xr:uid="{00000000-0005-0000-0000-0000AC060000}"/>
    <cellStyle name="20% - Accent1 4 3 3 2 2 2" xfId="521" xr:uid="{00000000-0005-0000-0000-0000AD060000}"/>
    <cellStyle name="20% - Accent1 4 3 3 2 2 2 2" xfId="7953" xr:uid="{00000000-0005-0000-0000-0000AE060000}"/>
    <cellStyle name="20% - Accent1 4 3 3 2 2 3" xfId="1475" xr:uid="{00000000-0005-0000-0000-0000AF060000}"/>
    <cellStyle name="20% - Accent1 4 3 3 2 3" xfId="4251" xr:uid="{00000000-0005-0000-0000-0000B0060000}"/>
    <cellStyle name="20% - Accent1 4 3 3 2 3 2" xfId="1512" xr:uid="{00000000-0005-0000-0000-0000B1060000}"/>
    <cellStyle name="20% - Accent1 4 3 3 2 4" xfId="5067" xr:uid="{00000000-0005-0000-0000-0000B2060000}"/>
    <cellStyle name="20% - Accent1 4 3 3 3" xfId="1506" xr:uid="{00000000-0005-0000-0000-0000B3060000}"/>
    <cellStyle name="20% - Accent1 4 3 3 3 2" xfId="2696" xr:uid="{00000000-0005-0000-0000-0000B4060000}"/>
    <cellStyle name="20% - Accent1 4 3 3 3 2 2" xfId="1902" xr:uid="{00000000-0005-0000-0000-0000B5060000}"/>
    <cellStyle name="20% - Accent1 4 3 3 3 3" xfId="5082" xr:uid="{00000000-0005-0000-0000-0000B6060000}"/>
    <cellStyle name="20% - Accent1 4 3 3 4" xfId="2698" xr:uid="{00000000-0005-0000-0000-0000B7060000}"/>
    <cellStyle name="20% - Accent1 4 3 3 4 2" xfId="200" xr:uid="{00000000-0005-0000-0000-0000B8060000}"/>
    <cellStyle name="20% - Accent1 4 3 3 5" xfId="5570" xr:uid="{00000000-0005-0000-0000-0000B9060000}"/>
    <cellStyle name="20% - Accent1 4 3 4" xfId="1436" xr:uid="{00000000-0005-0000-0000-0000BA060000}"/>
    <cellStyle name="20% - Accent1 4 3 4 2" xfId="30374" xr:uid="{00000000-0005-0000-0000-0000BB060000}"/>
    <cellStyle name="20% - Accent1 4 3 4 2 2" xfId="2019" xr:uid="{00000000-0005-0000-0000-0000BC060000}"/>
    <cellStyle name="20% - Accent1 4 3 4 2 2 2" xfId="2352" xr:uid="{00000000-0005-0000-0000-0000BD060000}"/>
    <cellStyle name="20% - Accent1 4 3 4 2 3" xfId="5126" xr:uid="{00000000-0005-0000-0000-0000BE060000}"/>
    <cellStyle name="20% - Accent1 4 3 4 3" xfId="8644" xr:uid="{00000000-0005-0000-0000-0000BF060000}"/>
    <cellStyle name="20% - Accent1 4 3 4 3 2" xfId="24702" xr:uid="{00000000-0005-0000-0000-0000C0060000}"/>
    <cellStyle name="20% - Accent1 4 3 4 4" xfId="163" xr:uid="{00000000-0005-0000-0000-0000C1060000}"/>
    <cellStyle name="20% - Accent1 4 3 5" xfId="22389" xr:uid="{00000000-0005-0000-0000-0000C2060000}"/>
    <cellStyle name="20% - Accent1 4 3 5 2" xfId="220" xr:uid="{00000000-0005-0000-0000-0000C3060000}"/>
    <cellStyle name="20% - Accent1 4 3 5 2 2" xfId="637" xr:uid="{00000000-0005-0000-0000-0000C4060000}"/>
    <cellStyle name="20% - Accent1 4 3 5 3" xfId="1029" xr:uid="{00000000-0005-0000-0000-0000C5060000}"/>
    <cellStyle name="20% - Accent1 4 3 6" xfId="2245" xr:uid="{00000000-0005-0000-0000-0000C6060000}"/>
    <cellStyle name="20% - Accent1 4 3 6 2" xfId="813" xr:uid="{00000000-0005-0000-0000-0000C7060000}"/>
    <cellStyle name="20% - Accent1 4 3 7" xfId="10353" xr:uid="{00000000-0005-0000-0000-0000C8060000}"/>
    <cellStyle name="20% - Accent1 4 4" xfId="2699" xr:uid="{00000000-0005-0000-0000-0000C9060000}"/>
    <cellStyle name="20% - Accent1 4 4 2" xfId="2700" xr:uid="{00000000-0005-0000-0000-0000CA060000}"/>
    <cellStyle name="20% - Accent1 4 4 2 2" xfId="3354" xr:uid="{00000000-0005-0000-0000-0000CB060000}"/>
    <cellStyle name="20% - Accent1 4 4 2 2 2" xfId="2702" xr:uid="{00000000-0005-0000-0000-0000CC060000}"/>
    <cellStyle name="20% - Accent1 4 4 2 2 2 2" xfId="28715" xr:uid="{00000000-0005-0000-0000-0000CD060000}"/>
    <cellStyle name="20% - Accent1 4 4 2 2 2 2 2" xfId="12762" xr:uid="{00000000-0005-0000-0000-0000CE060000}"/>
    <cellStyle name="20% - Accent1 4 4 2 2 2 3" xfId="2723" xr:uid="{00000000-0005-0000-0000-0000CF060000}"/>
    <cellStyle name="20% - Accent1 4 4 2 2 3" xfId="2726" xr:uid="{00000000-0005-0000-0000-0000D0060000}"/>
    <cellStyle name="20% - Accent1 4 4 2 2 3 2" xfId="2738" xr:uid="{00000000-0005-0000-0000-0000D1060000}"/>
    <cellStyle name="20% - Accent1 4 4 2 2 4" xfId="2744" xr:uid="{00000000-0005-0000-0000-0000D2060000}"/>
    <cellStyle name="20% - Accent1 4 4 2 3" xfId="2751" xr:uid="{00000000-0005-0000-0000-0000D3060000}"/>
    <cellStyle name="20% - Accent1 4 4 2 3 2" xfId="2759" xr:uid="{00000000-0005-0000-0000-0000D4060000}"/>
    <cellStyle name="20% - Accent1 4 4 2 3 2 2" xfId="24547" xr:uid="{00000000-0005-0000-0000-0000D5060000}"/>
    <cellStyle name="20% - Accent1 4 4 2 3 3" xfId="2773" xr:uid="{00000000-0005-0000-0000-0000D6060000}"/>
    <cellStyle name="20% - Accent1 4 4 2 4" xfId="5613" xr:uid="{00000000-0005-0000-0000-0000D7060000}"/>
    <cellStyle name="20% - Accent1 4 4 2 4 2" xfId="2779" xr:uid="{00000000-0005-0000-0000-0000D8060000}"/>
    <cellStyle name="20% - Accent1 4 4 2 5" xfId="2023" xr:uid="{00000000-0005-0000-0000-0000D9060000}"/>
    <cellStyle name="20% - Accent1 4 4 3" xfId="7930" xr:uid="{00000000-0005-0000-0000-0000DA060000}"/>
    <cellStyle name="20% - Accent1 4 4 3 2" xfId="1389" xr:uid="{00000000-0005-0000-0000-0000DB060000}"/>
    <cellStyle name="20% - Accent1 4 4 3 2 2" xfId="22509" xr:uid="{00000000-0005-0000-0000-0000DC060000}"/>
    <cellStyle name="20% - Accent1 4 4 3 2 2 2" xfId="2798" xr:uid="{00000000-0005-0000-0000-0000DD060000}"/>
    <cellStyle name="20% - Accent1 4 4 3 2 3" xfId="8723" xr:uid="{00000000-0005-0000-0000-0000DE060000}"/>
    <cellStyle name="20% - Accent1 4 4 3 3" xfId="2807" xr:uid="{00000000-0005-0000-0000-0000DF060000}"/>
    <cellStyle name="20% - Accent1 4 4 3 3 2" xfId="6784" xr:uid="{00000000-0005-0000-0000-0000E0060000}"/>
    <cellStyle name="20% - Accent1 4 4 3 4" xfId="2811" xr:uid="{00000000-0005-0000-0000-0000E1060000}"/>
    <cellStyle name="20% - Accent1 4 4 4" xfId="18522" xr:uid="{00000000-0005-0000-0000-0000E2060000}"/>
    <cellStyle name="20% - Accent1 4 4 4 2" xfId="313" xr:uid="{00000000-0005-0000-0000-0000E3060000}"/>
    <cellStyle name="20% - Accent1 4 4 4 2 2" xfId="14382" xr:uid="{00000000-0005-0000-0000-0000E4060000}"/>
    <cellStyle name="20% - Accent1 4 4 4 3" xfId="230" xr:uid="{00000000-0005-0000-0000-0000E5060000}"/>
    <cellStyle name="20% - Accent1 4 4 5" xfId="23001" xr:uid="{00000000-0005-0000-0000-0000E6060000}"/>
    <cellStyle name="20% - Accent1 4 4 5 2" xfId="888" xr:uid="{00000000-0005-0000-0000-0000E7060000}"/>
    <cellStyle name="20% - Accent1 4 4 6" xfId="4193" xr:uid="{00000000-0005-0000-0000-0000E8060000}"/>
    <cellStyle name="20% - Accent1 4 5" xfId="4911" xr:uid="{00000000-0005-0000-0000-0000E9060000}"/>
    <cellStyle name="20% - Accent1 4 5 2" xfId="4862" xr:uid="{00000000-0005-0000-0000-0000EA060000}"/>
    <cellStyle name="20% - Accent1 4 5 2 2" xfId="2817" xr:uid="{00000000-0005-0000-0000-0000EB060000}"/>
    <cellStyle name="20% - Accent1 4 5 2 2 2" xfId="2820" xr:uid="{00000000-0005-0000-0000-0000EC060000}"/>
    <cellStyle name="20% - Accent1 4 5 2 2 2 2" xfId="11402" xr:uid="{00000000-0005-0000-0000-0000ED060000}"/>
    <cellStyle name="20% - Accent1 4 5 2 2 3" xfId="14324" xr:uid="{00000000-0005-0000-0000-0000EE060000}"/>
    <cellStyle name="20% - Accent1 4 5 2 3" xfId="2834" xr:uid="{00000000-0005-0000-0000-0000EF060000}"/>
    <cellStyle name="20% - Accent1 4 5 2 3 2" xfId="3564" xr:uid="{00000000-0005-0000-0000-0000F0060000}"/>
    <cellStyle name="20% - Accent1 4 5 2 4" xfId="2835" xr:uid="{00000000-0005-0000-0000-0000F1060000}"/>
    <cellStyle name="20% - Accent1 4 5 3" xfId="2843" xr:uid="{00000000-0005-0000-0000-0000F2060000}"/>
    <cellStyle name="20% - Accent1 4 5 3 2" xfId="2851" xr:uid="{00000000-0005-0000-0000-0000F3060000}"/>
    <cellStyle name="20% - Accent1 4 5 3 2 2" xfId="6107" xr:uid="{00000000-0005-0000-0000-0000F4060000}"/>
    <cellStyle name="20% - Accent1 4 5 3 3" xfId="2853" xr:uid="{00000000-0005-0000-0000-0000F5060000}"/>
    <cellStyle name="20% - Accent1 4 5 4" xfId="499" xr:uid="{00000000-0005-0000-0000-0000F6060000}"/>
    <cellStyle name="20% - Accent1 4 5 4 2" xfId="1932" xr:uid="{00000000-0005-0000-0000-0000F7060000}"/>
    <cellStyle name="20% - Accent1 4 5 5" xfId="1091" xr:uid="{00000000-0005-0000-0000-0000F8060000}"/>
    <cellStyle name="20% - Accent1 4 6" xfId="2050" xr:uid="{00000000-0005-0000-0000-0000F9060000}"/>
    <cellStyle name="20% - Accent1 4 6 2" xfId="2857" xr:uid="{00000000-0005-0000-0000-0000FA060000}"/>
    <cellStyle name="20% - Accent1 4 6 2 2" xfId="2861" xr:uid="{00000000-0005-0000-0000-0000FB060000}"/>
    <cellStyle name="20% - Accent1 4 6 2 2 2" xfId="9371" xr:uid="{00000000-0005-0000-0000-0000FC060000}"/>
    <cellStyle name="20% - Accent1 4 6 2 3" xfId="1448" xr:uid="{00000000-0005-0000-0000-0000FD060000}"/>
    <cellStyle name="20% - Accent1 4 6 3" xfId="2862" xr:uid="{00000000-0005-0000-0000-0000FE060000}"/>
    <cellStyle name="20% - Accent1 4 6 3 2" xfId="2867" xr:uid="{00000000-0005-0000-0000-0000FF060000}"/>
    <cellStyle name="20% - Accent1 4 6 4" xfId="5688" xr:uid="{00000000-0005-0000-0000-000000070000}"/>
    <cellStyle name="20% - Accent1 4 7" xfId="9096" xr:uid="{00000000-0005-0000-0000-000001070000}"/>
    <cellStyle name="20% - Accent1 4 7 2" xfId="8724" xr:uid="{00000000-0005-0000-0000-000002070000}"/>
    <cellStyle name="20% - Accent1 4 7 2 2" xfId="11491" xr:uid="{00000000-0005-0000-0000-000003070000}"/>
    <cellStyle name="20% - Accent1 4 7 3" xfId="2869" xr:uid="{00000000-0005-0000-0000-000004070000}"/>
    <cellStyle name="20% - Accent1 4 8" xfId="23992" xr:uid="{00000000-0005-0000-0000-000005070000}"/>
    <cellStyle name="20% - Accent1 4 8 2" xfId="2870" xr:uid="{00000000-0005-0000-0000-000006070000}"/>
    <cellStyle name="20% - Accent1 4 9" xfId="14508" xr:uid="{00000000-0005-0000-0000-000007070000}"/>
    <cellStyle name="20% - Accent1 5" xfId="26935" xr:uid="{00000000-0005-0000-0000-000008070000}"/>
    <cellStyle name="20% - Accent1 5 2" xfId="12866" xr:uid="{00000000-0005-0000-0000-000009070000}"/>
    <cellStyle name="20% - Accent1 5 2 2" xfId="1297" xr:uid="{00000000-0005-0000-0000-00000A070000}"/>
    <cellStyle name="20% - Accent1 5 2 2 2" xfId="11524" xr:uid="{00000000-0005-0000-0000-00000B070000}"/>
    <cellStyle name="20% - Accent1 5 2 2 2 2" xfId="28815" xr:uid="{00000000-0005-0000-0000-00000C070000}"/>
    <cellStyle name="20% - Accent1 5 2 2 2 2 2" xfId="5983" xr:uid="{00000000-0005-0000-0000-00000D070000}"/>
    <cellStyle name="20% - Accent1 5 2 2 2 2 2 2" xfId="2876" xr:uid="{00000000-0005-0000-0000-00000E070000}"/>
    <cellStyle name="20% - Accent1 5 2 2 2 2 2 2 2" xfId="10097" xr:uid="{00000000-0005-0000-0000-00000F070000}"/>
    <cellStyle name="20% - Accent1 5 2 2 2 2 2 3" xfId="14625" xr:uid="{00000000-0005-0000-0000-000010070000}"/>
    <cellStyle name="20% - Accent1 5 2 2 2 2 3" xfId="10337" xr:uid="{00000000-0005-0000-0000-000011070000}"/>
    <cellStyle name="20% - Accent1 5 2 2 2 2 3 2" xfId="537" xr:uid="{00000000-0005-0000-0000-000012070000}"/>
    <cellStyle name="20% - Accent1 5 2 2 2 2 4" xfId="22631" xr:uid="{00000000-0005-0000-0000-000013070000}"/>
    <cellStyle name="20% - Accent1 5 2 2 2 3" xfId="2375" xr:uid="{00000000-0005-0000-0000-000014070000}"/>
    <cellStyle name="20% - Accent1 5 2 2 2 3 2" xfId="6745" xr:uid="{00000000-0005-0000-0000-000015070000}"/>
    <cellStyle name="20% - Accent1 5 2 2 2 3 2 2" xfId="2880" xr:uid="{00000000-0005-0000-0000-000016070000}"/>
    <cellStyle name="20% - Accent1 5 2 2 2 3 3" xfId="791" xr:uid="{00000000-0005-0000-0000-000017070000}"/>
    <cellStyle name="20% - Accent1 5 2 2 2 4" xfId="1968" xr:uid="{00000000-0005-0000-0000-000018070000}"/>
    <cellStyle name="20% - Accent1 5 2 2 2 4 2" xfId="20754" xr:uid="{00000000-0005-0000-0000-000019070000}"/>
    <cellStyle name="20% - Accent1 5 2 2 2 5" xfId="1973" xr:uid="{00000000-0005-0000-0000-00001A070000}"/>
    <cellStyle name="20% - Accent1 5 2 2 3" xfId="11529" xr:uid="{00000000-0005-0000-0000-00001B070000}"/>
    <cellStyle name="20% - Accent1 5 2 2 3 2" xfId="2888" xr:uid="{00000000-0005-0000-0000-00001C070000}"/>
    <cellStyle name="20% - Accent1 5 2 2 3 2 2" xfId="7977" xr:uid="{00000000-0005-0000-0000-00001D070000}"/>
    <cellStyle name="20% - Accent1 5 2 2 3 2 2 2" xfId="15622" xr:uid="{00000000-0005-0000-0000-00001E070000}"/>
    <cellStyle name="20% - Accent1 5 2 2 3 2 3" xfId="832" xr:uid="{00000000-0005-0000-0000-00001F070000}"/>
    <cellStyle name="20% - Accent1 5 2 2 3 3" xfId="11904" xr:uid="{00000000-0005-0000-0000-000020070000}"/>
    <cellStyle name="20% - Accent1 5 2 2 3 3 2" xfId="880" xr:uid="{00000000-0005-0000-0000-000021070000}"/>
    <cellStyle name="20% - Accent1 5 2 2 3 4" xfId="25072" xr:uid="{00000000-0005-0000-0000-000022070000}"/>
    <cellStyle name="20% - Accent1 5 2 2 4" xfId="2893" xr:uid="{00000000-0005-0000-0000-000023070000}"/>
    <cellStyle name="20% - Accent1 5 2 2 4 2" xfId="2898" xr:uid="{00000000-0005-0000-0000-000024070000}"/>
    <cellStyle name="20% - Accent1 5 2 2 4 2 2" xfId="902" xr:uid="{00000000-0005-0000-0000-000025070000}"/>
    <cellStyle name="20% - Accent1 5 2 2 4 3" xfId="1857" xr:uid="{00000000-0005-0000-0000-000026070000}"/>
    <cellStyle name="20% - Accent1 5 2 2 5" xfId="2708" xr:uid="{00000000-0005-0000-0000-000027070000}"/>
    <cellStyle name="20% - Accent1 5 2 2 5 2" xfId="2715" xr:uid="{00000000-0005-0000-0000-000028070000}"/>
    <cellStyle name="20% - Accent1 5 2 2 6" xfId="19020" xr:uid="{00000000-0005-0000-0000-000029070000}"/>
    <cellStyle name="20% - Accent1 5 2 3" xfId="24530" xr:uid="{00000000-0005-0000-0000-00002A070000}"/>
    <cellStyle name="20% - Accent1 5 2 3 2" xfId="4090" xr:uid="{00000000-0005-0000-0000-00002B070000}"/>
    <cellStyle name="20% - Accent1 5 2 3 2 2" xfId="2916" xr:uid="{00000000-0005-0000-0000-00002C070000}"/>
    <cellStyle name="20% - Accent1 5 2 3 2 2 2" xfId="1216" xr:uid="{00000000-0005-0000-0000-00002D070000}"/>
    <cellStyle name="20% - Accent1 5 2 3 2 2 2 2" xfId="502" xr:uid="{00000000-0005-0000-0000-00002E070000}"/>
    <cellStyle name="20% - Accent1 5 2 3 2 2 3" xfId="5017" xr:uid="{00000000-0005-0000-0000-00002F070000}"/>
    <cellStyle name="20% - Accent1 5 2 3 2 3" xfId="4574" xr:uid="{00000000-0005-0000-0000-000030070000}"/>
    <cellStyle name="20% - Accent1 5 2 3 2 3 2" xfId="6791" xr:uid="{00000000-0005-0000-0000-000031070000}"/>
    <cellStyle name="20% - Accent1 5 2 3 2 4" xfId="4578" xr:uid="{00000000-0005-0000-0000-000032070000}"/>
    <cellStyle name="20% - Accent1 5 2 3 3" xfId="8668" xr:uid="{00000000-0005-0000-0000-000033070000}"/>
    <cellStyle name="20% - Accent1 5 2 3 3 2" xfId="3623" xr:uid="{00000000-0005-0000-0000-000034070000}"/>
    <cellStyle name="20% - Accent1 5 2 3 3 2 2" xfId="5938" xr:uid="{00000000-0005-0000-0000-000035070000}"/>
    <cellStyle name="20% - Accent1 5 2 3 3 3" xfId="4588" xr:uid="{00000000-0005-0000-0000-000036070000}"/>
    <cellStyle name="20% - Accent1 5 2 3 4" xfId="8669" xr:uid="{00000000-0005-0000-0000-000037070000}"/>
    <cellStyle name="20% - Accent1 5 2 3 4 2" xfId="4724" xr:uid="{00000000-0005-0000-0000-000038070000}"/>
    <cellStyle name="20% - Accent1 5 2 3 5" xfId="2764" xr:uid="{00000000-0005-0000-0000-000039070000}"/>
    <cellStyle name="20% - Accent1 5 2 4" xfId="1449" xr:uid="{00000000-0005-0000-0000-00003A070000}"/>
    <cellStyle name="20% - Accent1 5 2 4 2" xfId="30389" xr:uid="{00000000-0005-0000-0000-00003B070000}"/>
    <cellStyle name="20% - Accent1 5 2 4 2 2" xfId="753" xr:uid="{00000000-0005-0000-0000-00003C070000}"/>
    <cellStyle name="20% - Accent1 5 2 4 2 2 2" xfId="7897" xr:uid="{00000000-0005-0000-0000-00003D070000}"/>
    <cellStyle name="20% - Accent1 5 2 4 2 3" xfId="4323" xr:uid="{00000000-0005-0000-0000-00003E070000}"/>
    <cellStyle name="20% - Accent1 5 2 4 3" xfId="10753" xr:uid="{00000000-0005-0000-0000-00003F070000}"/>
    <cellStyle name="20% - Accent1 5 2 4 3 2" xfId="18258" xr:uid="{00000000-0005-0000-0000-000040070000}"/>
    <cellStyle name="20% - Accent1 5 2 4 4" xfId="5170" xr:uid="{00000000-0005-0000-0000-000041070000}"/>
    <cellStyle name="20% - Accent1 5 2 5" xfId="14513" xr:uid="{00000000-0005-0000-0000-000042070000}"/>
    <cellStyle name="20% - Accent1 5 2 5 2" xfId="2941" xr:uid="{00000000-0005-0000-0000-000043070000}"/>
    <cellStyle name="20% - Accent1 5 2 5 2 2" xfId="30641" xr:uid="{00000000-0005-0000-0000-000044070000}"/>
    <cellStyle name="20% - Accent1 5 2 5 3" xfId="2947" xr:uid="{00000000-0005-0000-0000-000045070000}"/>
    <cellStyle name="20% - Accent1 5 2 6" xfId="2955" xr:uid="{00000000-0005-0000-0000-000046070000}"/>
    <cellStyle name="20% - Accent1 5 2 6 2" xfId="1134" xr:uid="{00000000-0005-0000-0000-000047070000}"/>
    <cellStyle name="20% - Accent1 5 2 7" xfId="2962" xr:uid="{00000000-0005-0000-0000-000048070000}"/>
    <cellStyle name="20% - Accent1 5 3" xfId="2065" xr:uid="{00000000-0005-0000-0000-000049070000}"/>
    <cellStyle name="20% - Accent1 5 3 2" xfId="7352" xr:uid="{00000000-0005-0000-0000-00004A070000}"/>
    <cellStyle name="20% - Accent1 5 3 2 2" xfId="11542" xr:uid="{00000000-0005-0000-0000-00004B070000}"/>
    <cellStyle name="20% - Accent1 5 3 2 2 2" xfId="16084" xr:uid="{00000000-0005-0000-0000-00004C070000}"/>
    <cellStyle name="20% - Accent1 5 3 2 2 2 2" xfId="1658" xr:uid="{00000000-0005-0000-0000-00004D070000}"/>
    <cellStyle name="20% - Accent1 5 3 2 2 2 2 2" xfId="31377" xr:uid="{00000000-0005-0000-0000-00004E070000}"/>
    <cellStyle name="20% - Accent1 5 3 2 2 2 3" xfId="2010" xr:uid="{00000000-0005-0000-0000-00004F070000}"/>
    <cellStyle name="20% - Accent1 5 3 2 2 3" xfId="2975" xr:uid="{00000000-0005-0000-0000-000050070000}"/>
    <cellStyle name="20% - Accent1 5 3 2 2 3 2" xfId="2036" xr:uid="{00000000-0005-0000-0000-000051070000}"/>
    <cellStyle name="20% - Accent1 5 3 2 2 4" xfId="2976" xr:uid="{00000000-0005-0000-0000-000052070000}"/>
    <cellStyle name="20% - Accent1 5 3 2 3" xfId="19314" xr:uid="{00000000-0005-0000-0000-000053070000}"/>
    <cellStyle name="20% - Accent1 5 3 2 3 2" xfId="8472" xr:uid="{00000000-0005-0000-0000-000054070000}"/>
    <cellStyle name="20% - Accent1 5 3 2 3 2 2" xfId="2064" xr:uid="{00000000-0005-0000-0000-000055070000}"/>
    <cellStyle name="20% - Accent1 5 3 2 3 3" xfId="2989" xr:uid="{00000000-0005-0000-0000-000056070000}"/>
    <cellStyle name="20% - Accent1 5 3 2 4" xfId="2990" xr:uid="{00000000-0005-0000-0000-000057070000}"/>
    <cellStyle name="20% - Accent1 5 3 2 4 2" xfId="2996" xr:uid="{00000000-0005-0000-0000-000058070000}"/>
    <cellStyle name="20% - Accent1 5 3 2 5" xfId="2794" xr:uid="{00000000-0005-0000-0000-000059070000}"/>
    <cellStyle name="20% - Accent1 5 3 3" xfId="3006" xr:uid="{00000000-0005-0000-0000-00005A070000}"/>
    <cellStyle name="20% - Accent1 5 3 3 2" xfId="16518" xr:uid="{00000000-0005-0000-0000-00005B070000}"/>
    <cellStyle name="20% - Accent1 5 3 3 2 2" xfId="3008" xr:uid="{00000000-0005-0000-0000-00005C070000}"/>
    <cellStyle name="20% - Accent1 5 3 3 2 2 2" xfId="290" xr:uid="{00000000-0005-0000-0000-00005D070000}"/>
    <cellStyle name="20% - Accent1 5 3 3 2 3" xfId="4719" xr:uid="{00000000-0005-0000-0000-00005E070000}"/>
    <cellStyle name="20% - Accent1 5 3 3 3" xfId="4923" xr:uid="{00000000-0005-0000-0000-00005F070000}"/>
    <cellStyle name="20% - Accent1 5 3 3 3 2" xfId="3009" xr:uid="{00000000-0005-0000-0000-000060070000}"/>
    <cellStyle name="20% - Accent1 5 3 3 4" xfId="3013" xr:uid="{00000000-0005-0000-0000-000061070000}"/>
    <cellStyle name="20% - Accent1 5 3 4" xfId="30392" xr:uid="{00000000-0005-0000-0000-000062070000}"/>
    <cellStyle name="20% - Accent1 5 3 4 2" xfId="586" xr:uid="{00000000-0005-0000-0000-000063070000}"/>
    <cellStyle name="20% - Accent1 5 3 4 2 2" xfId="649" xr:uid="{00000000-0005-0000-0000-000064070000}"/>
    <cellStyle name="20% - Accent1 5 3 4 3" xfId="3005" xr:uid="{00000000-0005-0000-0000-000065070000}"/>
    <cellStyle name="20% - Accent1 5 3 5" xfId="10172" xr:uid="{00000000-0005-0000-0000-000066070000}"/>
    <cellStyle name="20% - Accent1 5 3 5 2" xfId="1146" xr:uid="{00000000-0005-0000-0000-000067070000}"/>
    <cellStyle name="20% - Accent1 5 3 6" xfId="1022" xr:uid="{00000000-0005-0000-0000-000068070000}"/>
    <cellStyle name="20% - Accent1 5 4" xfId="3015" xr:uid="{00000000-0005-0000-0000-000069070000}"/>
    <cellStyle name="20% - Accent1 5 4 2" xfId="3019" xr:uid="{00000000-0005-0000-0000-00006A070000}"/>
    <cellStyle name="20% - Accent1 5 4 2 2" xfId="25553" xr:uid="{00000000-0005-0000-0000-00006B070000}"/>
    <cellStyle name="20% - Accent1 5 4 2 2 2" xfId="3029" xr:uid="{00000000-0005-0000-0000-00006C070000}"/>
    <cellStyle name="20% - Accent1 5 4 2 2 2 2" xfId="110" xr:uid="{00000000-0005-0000-0000-00006D070000}"/>
    <cellStyle name="20% - Accent1 5 4 2 2 3" xfId="3030" xr:uid="{00000000-0005-0000-0000-00006E070000}"/>
    <cellStyle name="20% - Accent1 5 4 2 3" xfId="3257" xr:uid="{00000000-0005-0000-0000-00006F070000}"/>
    <cellStyle name="20% - Accent1 5 4 2 3 2" xfId="1578" xr:uid="{00000000-0005-0000-0000-000070070000}"/>
    <cellStyle name="20% - Accent1 5 4 2 4" xfId="7300" xr:uid="{00000000-0005-0000-0000-000071070000}"/>
    <cellStyle name="20% - Accent1 5 4 3" xfId="3034" xr:uid="{00000000-0005-0000-0000-000072070000}"/>
    <cellStyle name="20% - Accent1 5 4 3 2" xfId="3043" xr:uid="{00000000-0005-0000-0000-000073070000}"/>
    <cellStyle name="20% - Accent1 5 4 3 2 2" xfId="31655" xr:uid="{00000000-0005-0000-0000-000074070000}"/>
    <cellStyle name="20% - Accent1 5 4 3 3" xfId="3612" xr:uid="{00000000-0005-0000-0000-000075070000}"/>
    <cellStyle name="20% - Accent1 5 4 4" xfId="440" xr:uid="{00000000-0005-0000-0000-000076070000}"/>
    <cellStyle name="20% - Accent1 5 4 4 2" xfId="7345" xr:uid="{00000000-0005-0000-0000-000077070000}"/>
    <cellStyle name="20% - Accent1 5 4 5" xfId="1177" xr:uid="{00000000-0005-0000-0000-000078070000}"/>
    <cellStyle name="20% - Accent1 5 5" xfId="7442" xr:uid="{00000000-0005-0000-0000-000079070000}"/>
    <cellStyle name="20% - Accent1 5 5 2" xfId="3054" xr:uid="{00000000-0005-0000-0000-00007A070000}"/>
    <cellStyle name="20% - Accent1 5 5 2 2" xfId="7356" xr:uid="{00000000-0005-0000-0000-00007B070000}"/>
    <cellStyle name="20% - Accent1 5 5 2 2 2" xfId="32644" xr:uid="{00000000-0005-0000-0000-00007C070000}"/>
    <cellStyle name="20% - Accent1 5 5 2 3" xfId="3055" xr:uid="{00000000-0005-0000-0000-00007D070000}"/>
    <cellStyle name="20% - Accent1 5 5 3" xfId="4510" xr:uid="{00000000-0005-0000-0000-00007E070000}"/>
    <cellStyle name="20% - Accent1 5 5 3 2" xfId="7360" xr:uid="{00000000-0005-0000-0000-00007F070000}"/>
    <cellStyle name="20% - Accent1 5 5 4" xfId="4511" xr:uid="{00000000-0005-0000-0000-000080070000}"/>
    <cellStyle name="20% - Accent1 5 6" xfId="1224" xr:uid="{00000000-0005-0000-0000-000081070000}"/>
    <cellStyle name="20% - Accent1 5 6 2" xfId="704" xr:uid="{00000000-0005-0000-0000-000082070000}"/>
    <cellStyle name="20% - Accent1 5 6 2 2" xfId="7370" xr:uid="{00000000-0005-0000-0000-000083070000}"/>
    <cellStyle name="20% - Accent1 5 6 3" xfId="4519" xr:uid="{00000000-0005-0000-0000-000084070000}"/>
    <cellStyle name="20% - Accent1 5 7" xfId="10710" xr:uid="{00000000-0005-0000-0000-000085070000}"/>
    <cellStyle name="20% - Accent1 5 7 2" xfId="2930" xr:uid="{00000000-0005-0000-0000-000086070000}"/>
    <cellStyle name="20% - Accent1 5 8" xfId="544" xr:uid="{00000000-0005-0000-0000-000087070000}"/>
    <cellStyle name="20% - Accent1 6" xfId="18284" xr:uid="{00000000-0005-0000-0000-000088070000}"/>
    <cellStyle name="20% - Accent1 6 2" xfId="4564" xr:uid="{00000000-0005-0000-0000-000089070000}"/>
    <cellStyle name="20% - Accent1 6 2 2" xfId="3079" xr:uid="{00000000-0005-0000-0000-00008A070000}"/>
    <cellStyle name="20% - Accent1 6 2 2 2" xfId="14267" xr:uid="{00000000-0005-0000-0000-00008B070000}"/>
    <cellStyle name="20% - Accent1 6 2 2 2 2" xfId="7788" xr:uid="{00000000-0005-0000-0000-00008C070000}"/>
    <cellStyle name="20% - Accent1 6 2 2 2 2 2" xfId="27735" xr:uid="{00000000-0005-0000-0000-00008D070000}"/>
    <cellStyle name="20% - Accent1 6 2 2 2 2 2 2" xfId="4636" xr:uid="{00000000-0005-0000-0000-00008E070000}"/>
    <cellStyle name="20% - Accent1 6 2 2 2 2 3" xfId="14110" xr:uid="{00000000-0005-0000-0000-00008F070000}"/>
    <cellStyle name="20% - Accent1 6 2 2 2 3" xfId="3098" xr:uid="{00000000-0005-0000-0000-000090070000}"/>
    <cellStyle name="20% - Accent1 6 2 2 2 3 2" xfId="659" xr:uid="{00000000-0005-0000-0000-000091070000}"/>
    <cellStyle name="20% - Accent1 6 2 2 2 4" xfId="3101" xr:uid="{00000000-0005-0000-0000-000092070000}"/>
    <cellStyle name="20% - Accent1 6 2 2 3" xfId="10095" xr:uid="{00000000-0005-0000-0000-000093070000}"/>
    <cellStyle name="20% - Accent1 6 2 2 3 2" xfId="27320" xr:uid="{00000000-0005-0000-0000-000094070000}"/>
    <cellStyle name="20% - Accent1 6 2 2 3 2 2" xfId="3102" xr:uid="{00000000-0005-0000-0000-000095070000}"/>
    <cellStyle name="20% - Accent1 6 2 2 3 3" xfId="3108" xr:uid="{00000000-0005-0000-0000-000096070000}"/>
    <cellStyle name="20% - Accent1 6 2 2 4" xfId="1852" xr:uid="{00000000-0005-0000-0000-000097070000}"/>
    <cellStyle name="20% - Accent1 6 2 2 4 2" xfId="3109" xr:uid="{00000000-0005-0000-0000-000098070000}"/>
    <cellStyle name="20% - Accent1 6 2 2 5" xfId="2825" xr:uid="{00000000-0005-0000-0000-000099070000}"/>
    <cellStyle name="20% - Accent1 6 2 3" xfId="3111" xr:uid="{00000000-0005-0000-0000-00009A070000}"/>
    <cellStyle name="20% - Accent1 6 2 3 2" xfId="8536" xr:uid="{00000000-0005-0000-0000-00009B070000}"/>
    <cellStyle name="20% - Accent1 6 2 3 2 2" xfId="7272" xr:uid="{00000000-0005-0000-0000-00009C070000}"/>
    <cellStyle name="20% - Accent1 6 2 3 2 2 2" xfId="6029" xr:uid="{00000000-0005-0000-0000-00009D070000}"/>
    <cellStyle name="20% - Accent1 6 2 3 2 3" xfId="7275" xr:uid="{00000000-0005-0000-0000-00009E070000}"/>
    <cellStyle name="20% - Accent1 6 2 3 3" xfId="13289" xr:uid="{00000000-0005-0000-0000-00009F070000}"/>
    <cellStyle name="20% - Accent1 6 2 3 3 2" xfId="24870" xr:uid="{00000000-0005-0000-0000-0000A0070000}"/>
    <cellStyle name="20% - Accent1 6 2 3 4" xfId="3129" xr:uid="{00000000-0005-0000-0000-0000A1070000}"/>
    <cellStyle name="20% - Accent1 6 2 4" xfId="9823" xr:uid="{00000000-0005-0000-0000-0000A2070000}"/>
    <cellStyle name="20% - Accent1 6 2 4 2" xfId="3134" xr:uid="{00000000-0005-0000-0000-0000A3070000}"/>
    <cellStyle name="20% - Accent1 6 2 4 2 2" xfId="8321" xr:uid="{00000000-0005-0000-0000-0000A4070000}"/>
    <cellStyle name="20% - Accent1 6 2 4 3" xfId="3147" xr:uid="{00000000-0005-0000-0000-0000A5070000}"/>
    <cellStyle name="20% - Accent1 6 2 5" xfId="3150" xr:uid="{00000000-0005-0000-0000-0000A6070000}"/>
    <cellStyle name="20% - Accent1 6 2 5 2" xfId="3159" xr:uid="{00000000-0005-0000-0000-0000A7070000}"/>
    <cellStyle name="20% - Accent1 6 2 6" xfId="14679" xr:uid="{00000000-0005-0000-0000-0000A8070000}"/>
    <cellStyle name="20% - Accent1 6 3" xfId="3168" xr:uid="{00000000-0005-0000-0000-0000A9070000}"/>
    <cellStyle name="20% - Accent1 6 3 2" xfId="4145" xr:uid="{00000000-0005-0000-0000-0000AA070000}"/>
    <cellStyle name="20% - Accent1 6 3 2 2" xfId="20041" xr:uid="{00000000-0005-0000-0000-0000AB070000}"/>
    <cellStyle name="20% - Accent1 6 3 2 2 2" xfId="21874" xr:uid="{00000000-0005-0000-0000-0000AC070000}"/>
    <cellStyle name="20% - Accent1 6 3 2 2 2 2" xfId="3181" xr:uid="{00000000-0005-0000-0000-0000AD070000}"/>
    <cellStyle name="20% - Accent1 6 3 2 2 3" xfId="8795" xr:uid="{00000000-0005-0000-0000-0000AE070000}"/>
    <cellStyle name="20% - Accent1 6 3 2 3" xfId="21879" xr:uid="{00000000-0005-0000-0000-0000AF070000}"/>
    <cellStyle name="20% - Accent1 6 3 2 3 2" xfId="3184" xr:uid="{00000000-0005-0000-0000-0000B0070000}"/>
    <cellStyle name="20% - Accent1 6 3 2 4" xfId="5369" xr:uid="{00000000-0005-0000-0000-0000B1070000}"/>
    <cellStyle name="20% - Accent1 6 3 3" xfId="3187" xr:uid="{00000000-0005-0000-0000-0000B2070000}"/>
    <cellStyle name="20% - Accent1 6 3 3 2" xfId="16559" xr:uid="{00000000-0005-0000-0000-0000B3070000}"/>
    <cellStyle name="20% - Accent1 6 3 3 2 2" xfId="9540" xr:uid="{00000000-0005-0000-0000-0000B4070000}"/>
    <cellStyle name="20% - Accent1 6 3 3 3" xfId="5376" xr:uid="{00000000-0005-0000-0000-0000B5070000}"/>
    <cellStyle name="20% - Accent1 6 3 4" xfId="320" xr:uid="{00000000-0005-0000-0000-0000B6070000}"/>
    <cellStyle name="20% - Accent1 6 3 4 2" xfId="913" xr:uid="{00000000-0005-0000-0000-0000B7070000}"/>
    <cellStyle name="20% - Accent1 6 3 5" xfId="2907" xr:uid="{00000000-0005-0000-0000-0000B8070000}"/>
    <cellStyle name="20% - Accent1 6 4" xfId="5443" xr:uid="{00000000-0005-0000-0000-0000B9070000}"/>
    <cellStyle name="20% - Accent1 6 4 2" xfId="3195" xr:uid="{00000000-0005-0000-0000-0000BA070000}"/>
    <cellStyle name="20% - Accent1 6 4 2 2" xfId="28028" xr:uid="{00000000-0005-0000-0000-0000BB070000}"/>
    <cellStyle name="20% - Accent1 6 4 2 2 2" xfId="3200" xr:uid="{00000000-0005-0000-0000-0000BC070000}"/>
    <cellStyle name="20% - Accent1 6 4 2 3" xfId="5386" xr:uid="{00000000-0005-0000-0000-0000BD070000}"/>
    <cellStyle name="20% - Accent1 6 4 3" xfId="4008" xr:uid="{00000000-0005-0000-0000-0000BE070000}"/>
    <cellStyle name="20% - Accent1 6 4 3 2" xfId="7393" xr:uid="{00000000-0005-0000-0000-0000BF070000}"/>
    <cellStyle name="20% - Accent1 6 4 4" xfId="1119" xr:uid="{00000000-0005-0000-0000-0000C0070000}"/>
    <cellStyle name="20% - Accent1 6 5" xfId="1386" xr:uid="{00000000-0005-0000-0000-0000C1070000}"/>
    <cellStyle name="20% - Accent1 6 5 2" xfId="4010" xr:uid="{00000000-0005-0000-0000-0000C2070000}"/>
    <cellStyle name="20% - Accent1 6 5 2 2" xfId="7405" xr:uid="{00000000-0005-0000-0000-0000C3070000}"/>
    <cellStyle name="20% - Accent1 6 5 3" xfId="4529" xr:uid="{00000000-0005-0000-0000-0000C4070000}"/>
    <cellStyle name="20% - Accent1 6 6" xfId="24016" xr:uid="{00000000-0005-0000-0000-0000C5070000}"/>
    <cellStyle name="20% - Accent1 6 6 2" xfId="3221" xr:uid="{00000000-0005-0000-0000-0000C6070000}"/>
    <cellStyle name="20% - Accent1 6 7" xfId="717" xr:uid="{00000000-0005-0000-0000-0000C7070000}"/>
    <cellStyle name="20% - Accent1 7" xfId="4847" xr:uid="{00000000-0005-0000-0000-0000C8070000}"/>
    <cellStyle name="20% - Accent1 7 2" xfId="4855" xr:uid="{00000000-0005-0000-0000-0000C9070000}"/>
    <cellStyle name="20% - Accent1 7 2 2" xfId="3222" xr:uid="{00000000-0005-0000-0000-0000CA070000}"/>
    <cellStyle name="20% - Accent1 7 2 2 2" xfId="7564" xr:uid="{00000000-0005-0000-0000-0000CB070000}"/>
    <cellStyle name="20% - Accent1 7 2 2 2 2" xfId="1093" xr:uid="{00000000-0005-0000-0000-0000CC070000}"/>
    <cellStyle name="20% - Accent1 7 2 2 2 2 2" xfId="1101" xr:uid="{00000000-0005-0000-0000-0000CD070000}"/>
    <cellStyle name="20% - Accent1 7 2 2 2 3" xfId="1110" xr:uid="{00000000-0005-0000-0000-0000CE070000}"/>
    <cellStyle name="20% - Accent1 7 2 2 3" xfId="1608" xr:uid="{00000000-0005-0000-0000-0000CF070000}"/>
    <cellStyle name="20% - Accent1 7 2 2 3 2" xfId="2711" xr:uid="{00000000-0005-0000-0000-0000D0070000}"/>
    <cellStyle name="20% - Accent1 7 2 2 4" xfId="1390" xr:uid="{00000000-0005-0000-0000-0000D1070000}"/>
    <cellStyle name="20% - Accent1 7 2 3" xfId="3227" xr:uid="{00000000-0005-0000-0000-0000D2070000}"/>
    <cellStyle name="20% - Accent1 7 2 3 2" xfId="1284" xr:uid="{00000000-0005-0000-0000-0000D3070000}"/>
    <cellStyle name="20% - Accent1 7 2 3 2 2" xfId="3713" xr:uid="{00000000-0005-0000-0000-0000D4070000}"/>
    <cellStyle name="20% - Accent1 7 2 3 3" xfId="1194" xr:uid="{00000000-0005-0000-0000-0000D5070000}"/>
    <cellStyle name="20% - Accent1 7 2 4" xfId="6481" xr:uid="{00000000-0005-0000-0000-0000D6070000}"/>
    <cellStyle name="20% - Accent1 7 2 4 2" xfId="6486" xr:uid="{00000000-0005-0000-0000-0000D7070000}"/>
    <cellStyle name="20% - Accent1 7 2 5" xfId="27724" xr:uid="{00000000-0005-0000-0000-0000D8070000}"/>
    <cellStyle name="20% - Accent1 7 3" xfId="4868" xr:uid="{00000000-0005-0000-0000-0000D9070000}"/>
    <cellStyle name="20% - Accent1 7 3 2" xfId="5670" xr:uid="{00000000-0005-0000-0000-0000DA070000}"/>
    <cellStyle name="20% - Accent1 7 3 2 2" xfId="23956" xr:uid="{00000000-0005-0000-0000-0000DB070000}"/>
    <cellStyle name="20% - Accent1 7 3 2 2 2" xfId="25649" xr:uid="{00000000-0005-0000-0000-0000DC070000}"/>
    <cellStyle name="20% - Accent1 7 3 2 3" xfId="24594" xr:uid="{00000000-0005-0000-0000-0000DD070000}"/>
    <cellStyle name="20% - Accent1 7 3 3" xfId="3238" xr:uid="{00000000-0005-0000-0000-0000DE070000}"/>
    <cellStyle name="20% - Accent1 7 3 3 2" xfId="16589" xr:uid="{00000000-0005-0000-0000-0000DF070000}"/>
    <cellStyle name="20% - Accent1 7 3 4" xfId="6493" xr:uid="{00000000-0005-0000-0000-0000E0070000}"/>
    <cellStyle name="20% - Accent1 7 4" xfId="4836" xr:uid="{00000000-0005-0000-0000-0000E1070000}"/>
    <cellStyle name="20% - Accent1 7 4 2" xfId="4013" xr:uid="{00000000-0005-0000-0000-0000E2070000}"/>
    <cellStyle name="20% - Accent1 7 4 2 2" xfId="24992" xr:uid="{00000000-0005-0000-0000-0000E3070000}"/>
    <cellStyle name="20% - Accent1 7 4 3" xfId="3240" xr:uid="{00000000-0005-0000-0000-0000E4070000}"/>
    <cellStyle name="20% - Accent1 7 5" xfId="24018" xr:uid="{00000000-0005-0000-0000-0000E5070000}"/>
    <cellStyle name="20% - Accent1 7 5 2" xfId="24919" xr:uid="{00000000-0005-0000-0000-0000E6070000}"/>
    <cellStyle name="20% - Accent1 7 6" xfId="720" xr:uid="{00000000-0005-0000-0000-0000E7070000}"/>
    <cellStyle name="20% - Accent1 8" xfId="2923" xr:uid="{00000000-0005-0000-0000-0000E8070000}"/>
    <cellStyle name="20% - Accent1 8 2" xfId="10016" xr:uid="{00000000-0005-0000-0000-0000E9070000}"/>
    <cellStyle name="20% - Accent1 8 2 2" xfId="12737" xr:uid="{00000000-0005-0000-0000-0000EA070000}"/>
    <cellStyle name="20% - Accent1 8 2 2 2" xfId="2215" xr:uid="{00000000-0005-0000-0000-0000EB070000}"/>
    <cellStyle name="20% - Accent1 8 2 2 2 2" xfId="2221" xr:uid="{00000000-0005-0000-0000-0000EC070000}"/>
    <cellStyle name="20% - Accent1 8 2 2 3" xfId="2228" xr:uid="{00000000-0005-0000-0000-0000ED070000}"/>
    <cellStyle name="20% - Accent1 8 2 3" xfId="7538" xr:uid="{00000000-0005-0000-0000-0000EE070000}"/>
    <cellStyle name="20% - Accent1 8 2 3 2" xfId="1357" xr:uid="{00000000-0005-0000-0000-0000EF070000}"/>
    <cellStyle name="20% - Accent1 8 2 4" xfId="4265" xr:uid="{00000000-0005-0000-0000-0000F0070000}"/>
    <cellStyle name="20% - Accent1 8 3" xfId="1430" xr:uid="{00000000-0005-0000-0000-0000F1070000}"/>
    <cellStyle name="20% - Accent1 8 3 2" xfId="14607" xr:uid="{00000000-0005-0000-0000-0000F2070000}"/>
    <cellStyle name="20% - Accent1 8 3 2 2" xfId="26825" xr:uid="{00000000-0005-0000-0000-0000F3070000}"/>
    <cellStyle name="20% - Accent1 8 3 3" xfId="6875" xr:uid="{00000000-0005-0000-0000-0000F4070000}"/>
    <cellStyle name="20% - Accent1 8 4" xfId="2587" xr:uid="{00000000-0005-0000-0000-0000F5070000}"/>
    <cellStyle name="20% - Accent1 8 4 2" xfId="372" xr:uid="{00000000-0005-0000-0000-0000F6070000}"/>
    <cellStyle name="20% - Accent1 8 5" xfId="951" xr:uid="{00000000-0005-0000-0000-0000F7070000}"/>
    <cellStyle name="20% - Accent1 9" xfId="3091" xr:uid="{00000000-0005-0000-0000-0000F8070000}"/>
    <cellStyle name="20% - Accent1 9 2" xfId="1563" xr:uid="{00000000-0005-0000-0000-0000F9070000}"/>
    <cellStyle name="20% - Accent1 9 2 2" xfId="8530" xr:uid="{00000000-0005-0000-0000-0000FA070000}"/>
    <cellStyle name="20% - Accent1 9 2 2 2" xfId="2026" xr:uid="{00000000-0005-0000-0000-0000FB070000}"/>
    <cellStyle name="20% - Accent1 9 2 3" xfId="18601" xr:uid="{00000000-0005-0000-0000-0000FC070000}"/>
    <cellStyle name="20% - Accent1 9 3" xfId="43" xr:uid="{00000000-0005-0000-0000-0000FD070000}"/>
    <cellStyle name="20% - Accent1 9 3 2" xfId="222" xr:uid="{00000000-0005-0000-0000-0000FE070000}"/>
    <cellStyle name="20% - Accent1 9 4" xfId="427" xr:uid="{00000000-0005-0000-0000-0000FF070000}"/>
    <cellStyle name="20% - Accent2 10" xfId="7005" xr:uid="{00000000-0005-0000-0000-000000080000}"/>
    <cellStyle name="20% - Accent2 10 2" xfId="5790" xr:uid="{00000000-0005-0000-0000-000001080000}"/>
    <cellStyle name="20% - Accent2 10 2 2" xfId="8920" xr:uid="{00000000-0005-0000-0000-000002080000}"/>
    <cellStyle name="20% - Accent2 10 3" xfId="8923" xr:uid="{00000000-0005-0000-0000-000003080000}"/>
    <cellStyle name="20% - Accent2 11" xfId="7750" xr:uid="{00000000-0005-0000-0000-000004080000}"/>
    <cellStyle name="20% - Accent2 11 2" xfId="7759" xr:uid="{00000000-0005-0000-0000-000005080000}"/>
    <cellStyle name="20% - Accent2 12" xfId="3725" xr:uid="{00000000-0005-0000-0000-000006080000}"/>
    <cellStyle name="20% - Accent2 13" xfId="3246" xr:uid="{00000000-0005-0000-0000-000007080000}"/>
    <cellStyle name="20% - Accent2 2" xfId="17298" xr:uid="{00000000-0005-0000-0000-000008080000}"/>
    <cellStyle name="20% - Accent2 2 10" xfId="33154" xr:uid="{00000000-0005-0000-0000-000009080000}"/>
    <cellStyle name="20% - Accent2 2 10 2" xfId="1825" xr:uid="{00000000-0005-0000-0000-00000A080000}"/>
    <cellStyle name="20% - Accent2 2 11" xfId="27839" xr:uid="{00000000-0005-0000-0000-00000B080000}"/>
    <cellStyle name="20% - Accent2 2 2" xfId="7361" xr:uid="{00000000-0005-0000-0000-00000C080000}"/>
    <cellStyle name="20% - Accent2 2 2 10" xfId="350" xr:uid="{00000000-0005-0000-0000-00000D080000}"/>
    <cellStyle name="20% - Accent2 2 2 2" xfId="555" xr:uid="{00000000-0005-0000-0000-00000E080000}"/>
    <cellStyle name="20% - Accent2 2 2 2 2" xfId="3251" xr:uid="{00000000-0005-0000-0000-00000F080000}"/>
    <cellStyle name="20% - Accent2 2 2 2 2 2" xfId="7176" xr:uid="{00000000-0005-0000-0000-000010080000}"/>
    <cellStyle name="20% - Accent2 2 2 2 2 2 2" xfId="3270" xr:uid="{00000000-0005-0000-0000-000011080000}"/>
    <cellStyle name="20% - Accent2 2 2 2 2 2 2 2" xfId="23144" xr:uid="{00000000-0005-0000-0000-000012080000}"/>
    <cellStyle name="20% - Accent2 2 2 2 2 2 2 2 2" xfId="7432" xr:uid="{00000000-0005-0000-0000-000013080000}"/>
    <cellStyle name="20% - Accent2 2 2 2 2 2 2 2 2 2" xfId="16637" xr:uid="{00000000-0005-0000-0000-000014080000}"/>
    <cellStyle name="20% - Accent2 2 2 2 2 2 2 2 2 2 2" xfId="8457" xr:uid="{00000000-0005-0000-0000-000015080000}"/>
    <cellStyle name="20% - Accent2 2 2 2 2 2 2 2 2 2 2 2" xfId="2095" xr:uid="{00000000-0005-0000-0000-000016080000}"/>
    <cellStyle name="20% - Accent2 2 2 2 2 2 2 2 2 2 3" xfId="3420" xr:uid="{00000000-0005-0000-0000-000017080000}"/>
    <cellStyle name="20% - Accent2 2 2 2 2 2 2 2 2 3" xfId="12761" xr:uid="{00000000-0005-0000-0000-000018080000}"/>
    <cellStyle name="20% - Accent2 2 2 2 2 2 2 2 2 3 2" xfId="4514" xr:uid="{00000000-0005-0000-0000-000019080000}"/>
    <cellStyle name="20% - Accent2 2 2 2 2 2 2 2 2 4" xfId="5419" xr:uid="{00000000-0005-0000-0000-00001A080000}"/>
    <cellStyle name="20% - Accent2 2 2 2 2 2 2 2 3" xfId="4284" xr:uid="{00000000-0005-0000-0000-00001B080000}"/>
    <cellStyle name="20% - Accent2 2 2 2 2 2 2 2 3 2" xfId="12769" xr:uid="{00000000-0005-0000-0000-00001C080000}"/>
    <cellStyle name="20% - Accent2 2 2 2 2 2 2 2 3 2 2" xfId="3282" xr:uid="{00000000-0005-0000-0000-00001D080000}"/>
    <cellStyle name="20% - Accent2 2 2 2 2 2 2 2 3 3" xfId="5427" xr:uid="{00000000-0005-0000-0000-00001E080000}"/>
    <cellStyle name="20% - Accent2 2 2 2 2 2 2 2 4" xfId="4288" xr:uid="{00000000-0005-0000-0000-00001F080000}"/>
    <cellStyle name="20% - Accent2 2 2 2 2 2 2 2 4 2" xfId="3289" xr:uid="{00000000-0005-0000-0000-000020080000}"/>
    <cellStyle name="20% - Accent2 2 2 2 2 2 2 2 5" xfId="26653" xr:uid="{00000000-0005-0000-0000-000021080000}"/>
    <cellStyle name="20% - Accent2 2 2 2 2 2 2 3" xfId="18642" xr:uid="{00000000-0005-0000-0000-000022080000}"/>
    <cellStyle name="20% - Accent2 2 2 2 2 2 2 3 2" xfId="763" xr:uid="{00000000-0005-0000-0000-000023080000}"/>
    <cellStyle name="20% - Accent2 2 2 2 2 2 2 3 2 2" xfId="12791" xr:uid="{00000000-0005-0000-0000-000024080000}"/>
    <cellStyle name="20% - Accent2 2 2 2 2 2 2 3 2 2 2" xfId="7331" xr:uid="{00000000-0005-0000-0000-000025080000}"/>
    <cellStyle name="20% - Accent2 2 2 2 2 2 2 3 2 3" xfId="5501" xr:uid="{00000000-0005-0000-0000-000026080000}"/>
    <cellStyle name="20% - Accent2 2 2 2 2 2 2 3 3" xfId="1764" xr:uid="{00000000-0005-0000-0000-000027080000}"/>
    <cellStyle name="20% - Accent2 2 2 2 2 2 2 3 3 2" xfId="3313" xr:uid="{00000000-0005-0000-0000-000028080000}"/>
    <cellStyle name="20% - Accent2 2 2 2 2 2 2 3 4" xfId="6434" xr:uid="{00000000-0005-0000-0000-000029080000}"/>
    <cellStyle name="20% - Accent2 2 2 2 2 2 2 4" xfId="18656" xr:uid="{00000000-0005-0000-0000-00002A080000}"/>
    <cellStyle name="20% - Accent2 2 2 2 2 2 2 4 2" xfId="569" xr:uid="{00000000-0005-0000-0000-00002B080000}"/>
    <cellStyle name="20% - Accent2 2 2 2 2 2 2 4 2 2" xfId="3320" xr:uid="{00000000-0005-0000-0000-00002C080000}"/>
    <cellStyle name="20% - Accent2 2 2 2 2 2 2 4 3" xfId="6447" xr:uid="{00000000-0005-0000-0000-00002D080000}"/>
    <cellStyle name="20% - Accent2 2 2 2 2 2 2 5" xfId="18661" xr:uid="{00000000-0005-0000-0000-00002E080000}"/>
    <cellStyle name="20% - Accent2 2 2 2 2 2 2 5 2" xfId="22715" xr:uid="{00000000-0005-0000-0000-00002F080000}"/>
    <cellStyle name="20% - Accent2 2 2 2 2 2 2 6" xfId="9174" xr:uid="{00000000-0005-0000-0000-000030080000}"/>
    <cellStyle name="20% - Accent2 2 2 2 2 2 3" xfId="2871" xr:uid="{00000000-0005-0000-0000-000031080000}"/>
    <cellStyle name="20% - Accent2 2 2 2 2 2 3 2" xfId="18668" xr:uid="{00000000-0005-0000-0000-000032080000}"/>
    <cellStyle name="20% - Accent2 2 2 2 2 2 3 2 2" xfId="10340" xr:uid="{00000000-0005-0000-0000-000033080000}"/>
    <cellStyle name="20% - Accent2 2 2 2 2 2 3 2 2 2" xfId="7204" xr:uid="{00000000-0005-0000-0000-000034080000}"/>
    <cellStyle name="20% - Accent2 2 2 2 2 2 3 2 2 2 2" xfId="8194" xr:uid="{00000000-0005-0000-0000-000035080000}"/>
    <cellStyle name="20% - Accent2 2 2 2 2 2 3 2 2 3" xfId="5708" xr:uid="{00000000-0005-0000-0000-000036080000}"/>
    <cellStyle name="20% - Accent2 2 2 2 2 2 3 2 3" xfId="3265" xr:uid="{00000000-0005-0000-0000-000037080000}"/>
    <cellStyle name="20% - Accent2 2 2 2 2 2 3 2 3 2" xfId="11500" xr:uid="{00000000-0005-0000-0000-000038080000}"/>
    <cellStyle name="20% - Accent2 2 2 2 2 2 3 2 4" xfId="6529" xr:uid="{00000000-0005-0000-0000-000039080000}"/>
    <cellStyle name="20% - Accent2 2 2 2 2 2 3 3" xfId="18671" xr:uid="{00000000-0005-0000-0000-00003A080000}"/>
    <cellStyle name="20% - Accent2 2 2 2 2 2 3 3 2" xfId="613" xr:uid="{00000000-0005-0000-0000-00003B080000}"/>
    <cellStyle name="20% - Accent2 2 2 2 2 2 3 3 2 2" xfId="3351" xr:uid="{00000000-0005-0000-0000-00003C080000}"/>
    <cellStyle name="20% - Accent2 2 2 2 2 2 3 3 3" xfId="3549" xr:uid="{00000000-0005-0000-0000-00003D080000}"/>
    <cellStyle name="20% - Accent2 2 2 2 2 2 3 4" xfId="18674" xr:uid="{00000000-0005-0000-0000-00003E080000}"/>
    <cellStyle name="20% - Accent2 2 2 2 2 2 3 4 2" xfId="19839" xr:uid="{00000000-0005-0000-0000-00003F080000}"/>
    <cellStyle name="20% - Accent2 2 2 2 2 2 3 5" xfId="19006" xr:uid="{00000000-0005-0000-0000-000040080000}"/>
    <cellStyle name="20% - Accent2 2 2 2 2 2 4" xfId="2886" xr:uid="{00000000-0005-0000-0000-000041080000}"/>
    <cellStyle name="20% - Accent2 2 2 2 2 2 4 2" xfId="18681" xr:uid="{00000000-0005-0000-0000-000042080000}"/>
    <cellStyle name="20% - Accent2 2 2 2 2 2 4 2 2" xfId="15232" xr:uid="{00000000-0005-0000-0000-000043080000}"/>
    <cellStyle name="20% - Accent2 2 2 2 2 2 4 2 2 2" xfId="15669" xr:uid="{00000000-0005-0000-0000-000044080000}"/>
    <cellStyle name="20% - Accent2 2 2 2 2 2 4 2 3" xfId="26103" xr:uid="{00000000-0005-0000-0000-000045080000}"/>
    <cellStyle name="20% - Accent2 2 2 2 2 2 4 3" xfId="17934" xr:uid="{00000000-0005-0000-0000-000046080000}"/>
    <cellStyle name="20% - Accent2 2 2 2 2 2 4 3 2" xfId="15244" xr:uid="{00000000-0005-0000-0000-000047080000}"/>
    <cellStyle name="20% - Accent2 2 2 2 2 2 4 4" xfId="6411" xr:uid="{00000000-0005-0000-0000-000048080000}"/>
    <cellStyle name="20% - Accent2 2 2 2 2 2 5" xfId="27338" xr:uid="{00000000-0005-0000-0000-000049080000}"/>
    <cellStyle name="20% - Accent2 2 2 2 2 2 5 2" xfId="18685" xr:uid="{00000000-0005-0000-0000-00004A080000}"/>
    <cellStyle name="20% - Accent2 2 2 2 2 2 5 2 2" xfId="15278" xr:uid="{00000000-0005-0000-0000-00004B080000}"/>
    <cellStyle name="20% - Accent2 2 2 2 2 2 5 3" xfId="964" xr:uid="{00000000-0005-0000-0000-00004C080000}"/>
    <cellStyle name="20% - Accent2 2 2 2 2 2 6" xfId="2709" xr:uid="{00000000-0005-0000-0000-00004D080000}"/>
    <cellStyle name="20% - Accent2 2 2 2 2 2 6 2" xfId="2458" xr:uid="{00000000-0005-0000-0000-00004E080000}"/>
    <cellStyle name="20% - Accent2 2 2 2 2 2 7" xfId="4384" xr:uid="{00000000-0005-0000-0000-00004F080000}"/>
    <cellStyle name="20% - Accent2 2 2 2 2 3" xfId="6583" xr:uid="{00000000-0005-0000-0000-000050080000}"/>
    <cellStyle name="20% - Accent2 2 2 2 2 3 2" xfId="3370" xr:uid="{00000000-0005-0000-0000-000051080000}"/>
    <cellStyle name="20% - Accent2 2 2 2 2 3 2 2" xfId="18698" xr:uid="{00000000-0005-0000-0000-000052080000}"/>
    <cellStyle name="20% - Accent2 2 2 2 2 3 2 2 2" xfId="906" xr:uid="{00000000-0005-0000-0000-000053080000}"/>
    <cellStyle name="20% - Accent2 2 2 2 2 3 2 2 2 2" xfId="12964" xr:uid="{00000000-0005-0000-0000-000054080000}"/>
    <cellStyle name="20% - Accent2 2 2 2 2 3 2 2 2 2 2" xfId="8571" xr:uid="{00000000-0005-0000-0000-000055080000}"/>
    <cellStyle name="20% - Accent2 2 2 2 2 3 2 2 2 3" xfId="6644" xr:uid="{00000000-0005-0000-0000-000056080000}"/>
    <cellStyle name="20% - Accent2 2 2 2 2 3 2 2 3" xfId="13528" xr:uid="{00000000-0005-0000-0000-000057080000}"/>
    <cellStyle name="20% - Accent2 2 2 2 2 3 2 2 3 2" xfId="4999" xr:uid="{00000000-0005-0000-0000-000058080000}"/>
    <cellStyle name="20% - Accent2 2 2 2 2 3 2 2 4" xfId="14337" xr:uid="{00000000-0005-0000-0000-000059080000}"/>
    <cellStyle name="20% - Accent2 2 2 2 2 3 2 3" xfId="8733" xr:uid="{00000000-0005-0000-0000-00005A080000}"/>
    <cellStyle name="20% - Accent2 2 2 2 2 3 2 3 2" xfId="920" xr:uid="{00000000-0005-0000-0000-00005B080000}"/>
    <cellStyle name="20% - Accent2 2 2 2 2 3 2 3 2 2" xfId="6699" xr:uid="{00000000-0005-0000-0000-00005C080000}"/>
    <cellStyle name="20% - Accent2 2 2 2 2 3 2 3 3" xfId="13536" xr:uid="{00000000-0005-0000-0000-00005D080000}"/>
    <cellStyle name="20% - Accent2 2 2 2 2 3 2 4" xfId="5294" xr:uid="{00000000-0005-0000-0000-00005E080000}"/>
    <cellStyle name="20% - Accent2 2 2 2 2 3 2 4 2" xfId="927" xr:uid="{00000000-0005-0000-0000-00005F080000}"/>
    <cellStyle name="20% - Accent2 2 2 2 2 3 2 5" xfId="5300" xr:uid="{00000000-0005-0000-0000-000060080000}"/>
    <cellStyle name="20% - Accent2 2 2 2 2 3 3" xfId="2910" xr:uid="{00000000-0005-0000-0000-000061080000}"/>
    <cellStyle name="20% - Accent2 2 2 2 2 3 3 2" xfId="18713" xr:uid="{00000000-0005-0000-0000-000062080000}"/>
    <cellStyle name="20% - Accent2 2 2 2 2 3 3 2 2" xfId="942" xr:uid="{00000000-0005-0000-0000-000063080000}"/>
    <cellStyle name="20% - Accent2 2 2 2 2 3 3 2 2 2" xfId="3706" xr:uid="{00000000-0005-0000-0000-000064080000}"/>
    <cellStyle name="20% - Accent2 2 2 2 2 3 3 2 3" xfId="4734" xr:uid="{00000000-0005-0000-0000-000065080000}"/>
    <cellStyle name="20% - Accent2 2 2 2 2 3 3 3" xfId="18719" xr:uid="{00000000-0005-0000-0000-000066080000}"/>
    <cellStyle name="20% - Accent2 2 2 2 2 3 3 3 2" xfId="195" xr:uid="{00000000-0005-0000-0000-000067080000}"/>
    <cellStyle name="20% - Accent2 2 2 2 2 3 3 4" xfId="5308" xr:uid="{00000000-0005-0000-0000-000068080000}"/>
    <cellStyle name="20% - Accent2 2 2 2 2 3 4" xfId="937" xr:uid="{00000000-0005-0000-0000-000069080000}"/>
    <cellStyle name="20% - Accent2 2 2 2 2 3 4 2" xfId="3381" xr:uid="{00000000-0005-0000-0000-00006A080000}"/>
    <cellStyle name="20% - Accent2 2 2 2 2 3 4 2 2" xfId="9700" xr:uid="{00000000-0005-0000-0000-00006B080000}"/>
    <cellStyle name="20% - Accent2 2 2 2 2 3 4 3" xfId="3476" xr:uid="{00000000-0005-0000-0000-00006C080000}"/>
    <cellStyle name="20% - Accent2 2 2 2 2 3 5" xfId="2919" xr:uid="{00000000-0005-0000-0000-00006D080000}"/>
    <cellStyle name="20% - Accent2 2 2 2 2 3 5 2" xfId="1926" xr:uid="{00000000-0005-0000-0000-00006E080000}"/>
    <cellStyle name="20% - Accent2 2 2 2 2 3 6" xfId="3443" xr:uid="{00000000-0005-0000-0000-00006F080000}"/>
    <cellStyle name="20% - Accent2 2 2 2 2 4" xfId="3385" xr:uid="{00000000-0005-0000-0000-000070080000}"/>
    <cellStyle name="20% - Accent2 2 2 2 2 4 2" xfId="4844" xr:uid="{00000000-0005-0000-0000-000071080000}"/>
    <cellStyle name="20% - Accent2 2 2 2 2 4 2 2" xfId="18735" xr:uid="{00000000-0005-0000-0000-000072080000}"/>
    <cellStyle name="20% - Accent2 2 2 2 2 4 2 2 2" xfId="3418" xr:uid="{00000000-0005-0000-0000-000073080000}"/>
    <cellStyle name="20% - Accent2 2 2 2 2 4 2 2 2 2" xfId="5001" xr:uid="{00000000-0005-0000-0000-000074080000}"/>
    <cellStyle name="20% - Accent2 2 2 2 2 4 2 2 3" xfId="13628" xr:uid="{00000000-0005-0000-0000-000075080000}"/>
    <cellStyle name="20% - Accent2 2 2 2 2 4 2 3" xfId="18738" xr:uid="{00000000-0005-0000-0000-000076080000}"/>
    <cellStyle name="20% - Accent2 2 2 2 2 4 2 3 2" xfId="98" xr:uid="{00000000-0005-0000-0000-000077080000}"/>
    <cellStyle name="20% - Accent2 2 2 2 2 4 2 4" xfId="9574" xr:uid="{00000000-0005-0000-0000-000078080000}"/>
    <cellStyle name="20% - Accent2 2 2 2 2 4 3" xfId="7114" xr:uid="{00000000-0005-0000-0000-000079080000}"/>
    <cellStyle name="20% - Accent2 2 2 2 2 4 3 2" xfId="24048" xr:uid="{00000000-0005-0000-0000-00007A080000}"/>
    <cellStyle name="20% - Accent2 2 2 2 2 4 3 2 2" xfId="3406" xr:uid="{00000000-0005-0000-0000-00007B080000}"/>
    <cellStyle name="20% - Accent2 2 2 2 2 4 3 3" xfId="3407" xr:uid="{00000000-0005-0000-0000-00007C080000}"/>
    <cellStyle name="20% - Accent2 2 2 2 2 4 4" xfId="20098" xr:uid="{00000000-0005-0000-0000-00007D080000}"/>
    <cellStyle name="20% - Accent2 2 2 2 2 4 4 2" xfId="6153" xr:uid="{00000000-0005-0000-0000-00007E080000}"/>
    <cellStyle name="20% - Accent2 2 2 2 2 4 5" xfId="20103" xr:uid="{00000000-0005-0000-0000-00007F080000}"/>
    <cellStyle name="20% - Accent2 2 2 2 2 5" xfId="17235" xr:uid="{00000000-0005-0000-0000-000080080000}"/>
    <cellStyle name="20% - Accent2 2 2 2 2 5 2" xfId="19528" xr:uid="{00000000-0005-0000-0000-000081080000}"/>
    <cellStyle name="20% - Accent2 2 2 2 2 5 2 2" xfId="13132" xr:uid="{00000000-0005-0000-0000-000082080000}"/>
    <cellStyle name="20% - Accent2 2 2 2 2 5 2 2 2" xfId="16227" xr:uid="{00000000-0005-0000-0000-000083080000}"/>
    <cellStyle name="20% - Accent2 2 2 2 2 5 2 3" xfId="14967" xr:uid="{00000000-0005-0000-0000-000084080000}"/>
    <cellStyle name="20% - Accent2 2 2 2 2 5 3" xfId="20107" xr:uid="{00000000-0005-0000-0000-000085080000}"/>
    <cellStyle name="20% - Accent2 2 2 2 2 5 3 2" xfId="28766" xr:uid="{00000000-0005-0000-0000-000086080000}"/>
    <cellStyle name="20% - Accent2 2 2 2 2 5 4" xfId="20114" xr:uid="{00000000-0005-0000-0000-000087080000}"/>
    <cellStyle name="20% - Accent2 2 2 2 2 6" xfId="8905" xr:uid="{00000000-0005-0000-0000-000088080000}"/>
    <cellStyle name="20% - Accent2 2 2 2 2 6 2" xfId="31991" xr:uid="{00000000-0005-0000-0000-000089080000}"/>
    <cellStyle name="20% - Accent2 2 2 2 2 6 2 2" xfId="8486" xr:uid="{00000000-0005-0000-0000-00008A080000}"/>
    <cellStyle name="20% - Accent2 2 2 2 2 6 3" xfId="20119" xr:uid="{00000000-0005-0000-0000-00008B080000}"/>
    <cellStyle name="20% - Accent2 2 2 2 2 7" xfId="12718" xr:uid="{00000000-0005-0000-0000-00008C080000}"/>
    <cellStyle name="20% - Accent2 2 2 2 2 7 2" xfId="5270" xr:uid="{00000000-0005-0000-0000-00008D080000}"/>
    <cellStyle name="20% - Accent2 2 2 2 2 8" xfId="14360" xr:uid="{00000000-0005-0000-0000-00008E080000}"/>
    <cellStyle name="20% - Accent2 2 2 2 3" xfId="462" xr:uid="{00000000-0005-0000-0000-00008F080000}"/>
    <cellStyle name="20% - Accent2 2 2 2 3 2" xfId="12665" xr:uid="{00000000-0005-0000-0000-000090080000}"/>
    <cellStyle name="20% - Accent2 2 2 2 3 2 2" xfId="3426" xr:uid="{00000000-0005-0000-0000-000091080000}"/>
    <cellStyle name="20% - Accent2 2 2 2 3 2 2 2" xfId="3434" xr:uid="{00000000-0005-0000-0000-000092080000}"/>
    <cellStyle name="20% - Accent2 2 2 2 3 2 2 2 2" xfId="3014" xr:uid="{00000000-0005-0000-0000-000093080000}"/>
    <cellStyle name="20% - Accent2 2 2 2 3 2 2 2 2 2" xfId="14797" xr:uid="{00000000-0005-0000-0000-000094080000}"/>
    <cellStyle name="20% - Accent2 2 2 2 3 2 2 2 2 2 2" xfId="25210" xr:uid="{00000000-0005-0000-0000-000095080000}"/>
    <cellStyle name="20% - Accent2 2 2 2 3 2 2 2 2 3" xfId="14820" xr:uid="{00000000-0005-0000-0000-000096080000}"/>
    <cellStyle name="20% - Accent2 2 2 2 3 2 2 2 3" xfId="4741" xr:uid="{00000000-0005-0000-0000-000097080000}"/>
    <cellStyle name="20% - Accent2 2 2 2 3 2 2 2 3 2" xfId="9580" xr:uid="{00000000-0005-0000-0000-000098080000}"/>
    <cellStyle name="20% - Accent2 2 2 2 3 2 2 2 4" xfId="199" xr:uid="{00000000-0005-0000-0000-000099080000}"/>
    <cellStyle name="20% - Accent2 2 2 2 3 2 2 3" xfId="8466" xr:uid="{00000000-0005-0000-0000-00009A080000}"/>
    <cellStyle name="20% - Accent2 2 2 2 3 2 2 3 2" xfId="7247" xr:uid="{00000000-0005-0000-0000-00009B080000}"/>
    <cellStyle name="20% - Accent2 2 2 2 3 2 2 3 2 2" xfId="14929" xr:uid="{00000000-0005-0000-0000-00009C080000}"/>
    <cellStyle name="20% - Accent2 2 2 2 3 2 2 3 3" xfId="1148" xr:uid="{00000000-0005-0000-0000-00009D080000}"/>
    <cellStyle name="20% - Accent2 2 2 2 3 2 2 4" xfId="4991" xr:uid="{00000000-0005-0000-0000-00009E080000}"/>
    <cellStyle name="20% - Accent2 2 2 2 3 2 2 4 2" xfId="31691" xr:uid="{00000000-0005-0000-0000-00009F080000}"/>
    <cellStyle name="20% - Accent2 2 2 2 3 2 2 5" xfId="10168" xr:uid="{00000000-0005-0000-0000-0000A0080000}"/>
    <cellStyle name="20% - Accent2 2 2 2 3 2 3" xfId="2972" xr:uid="{00000000-0005-0000-0000-0000A1080000}"/>
    <cellStyle name="20% - Accent2 2 2 2 3 2 3 2" xfId="3439" xr:uid="{00000000-0005-0000-0000-0000A2080000}"/>
    <cellStyle name="20% - Accent2 2 2 2 3 2 3 2 2" xfId="2710" xr:uid="{00000000-0005-0000-0000-0000A3080000}"/>
    <cellStyle name="20% - Accent2 2 2 2 3 2 3 2 2 2" xfId="15237" xr:uid="{00000000-0005-0000-0000-0000A4080000}"/>
    <cellStyle name="20% - Accent2 2 2 2 3 2 3 2 3" xfId="4383" xr:uid="{00000000-0005-0000-0000-0000A5080000}"/>
    <cellStyle name="20% - Accent2 2 2 2 3 2 3 3" xfId="9873" xr:uid="{00000000-0005-0000-0000-0000A6080000}"/>
    <cellStyle name="20% - Accent2 2 2 2 3 2 3 3 2" xfId="3442" xr:uid="{00000000-0005-0000-0000-0000A7080000}"/>
    <cellStyle name="20% - Accent2 2 2 2 3 2 3 4" xfId="9876" xr:uid="{00000000-0005-0000-0000-0000A8080000}"/>
    <cellStyle name="20% - Accent2 2 2 2 3 2 4" xfId="2984" xr:uid="{00000000-0005-0000-0000-0000A9080000}"/>
    <cellStyle name="20% - Accent2 2 2 2 3 2 4 2" xfId="6677" xr:uid="{00000000-0005-0000-0000-0000AA080000}"/>
    <cellStyle name="20% - Accent2 2 2 2 3 2 4 2 2" xfId="15925" xr:uid="{00000000-0005-0000-0000-0000AB080000}"/>
    <cellStyle name="20% - Accent2 2 2 2 3 2 4 3" xfId="20240" xr:uid="{00000000-0005-0000-0000-0000AC080000}"/>
    <cellStyle name="20% - Accent2 2 2 2 3 2 5" xfId="2991" xr:uid="{00000000-0005-0000-0000-0000AD080000}"/>
    <cellStyle name="20% - Accent2 2 2 2 3 2 5 2" xfId="2366" xr:uid="{00000000-0005-0000-0000-0000AE080000}"/>
    <cellStyle name="20% - Accent2 2 2 2 3 2 6" xfId="15923" xr:uid="{00000000-0005-0000-0000-0000AF080000}"/>
    <cellStyle name="20% - Accent2 2 2 2 3 3" xfId="2248" xr:uid="{00000000-0005-0000-0000-0000B0080000}"/>
    <cellStyle name="20% - Accent2 2 2 2 3 3 2" xfId="2252" xr:uid="{00000000-0005-0000-0000-0000B1080000}"/>
    <cellStyle name="20% - Accent2 2 2 2 3 3 2 2" xfId="2424" xr:uid="{00000000-0005-0000-0000-0000B2080000}"/>
    <cellStyle name="20% - Accent2 2 2 2 3 3 2 2 2" xfId="1489" xr:uid="{00000000-0005-0000-0000-0000B3080000}"/>
    <cellStyle name="20% - Accent2 2 2 2 3 3 2 2 2 2" xfId="9922" xr:uid="{00000000-0005-0000-0000-0000B4080000}"/>
    <cellStyle name="20% - Accent2 2 2 2 3 3 2 2 3" xfId="13728" xr:uid="{00000000-0005-0000-0000-0000B5080000}"/>
    <cellStyle name="20% - Accent2 2 2 2 3 3 2 3" xfId="9893" xr:uid="{00000000-0005-0000-0000-0000B6080000}"/>
    <cellStyle name="20% - Accent2 2 2 2 3 3 2 3 2" xfId="85" xr:uid="{00000000-0005-0000-0000-0000B7080000}"/>
    <cellStyle name="20% - Accent2 2 2 2 3 3 2 4" xfId="12202" xr:uid="{00000000-0005-0000-0000-0000B8080000}"/>
    <cellStyle name="20% - Accent2 2 2 2 3 3 3" xfId="7732" xr:uid="{00000000-0005-0000-0000-0000B9080000}"/>
    <cellStyle name="20% - Accent2 2 2 2 3 3 3 2" xfId="4430" xr:uid="{00000000-0005-0000-0000-0000BA080000}"/>
    <cellStyle name="20% - Accent2 2 2 2 3 3 3 2 2" xfId="3451" xr:uid="{00000000-0005-0000-0000-0000BB080000}"/>
    <cellStyle name="20% - Accent2 2 2 2 3 3 3 3" xfId="24576" xr:uid="{00000000-0005-0000-0000-0000BC080000}"/>
    <cellStyle name="20% - Accent2 2 2 2 3 3 4" xfId="7736" xr:uid="{00000000-0005-0000-0000-0000BD080000}"/>
    <cellStyle name="20% - Accent2 2 2 2 3 3 4 2" xfId="3455" xr:uid="{00000000-0005-0000-0000-0000BE080000}"/>
    <cellStyle name="20% - Accent2 2 2 2 3 3 5" xfId="5839" xr:uid="{00000000-0005-0000-0000-0000BF080000}"/>
    <cellStyle name="20% - Accent2 2 2 2 3 4" xfId="11966" xr:uid="{00000000-0005-0000-0000-0000C0080000}"/>
    <cellStyle name="20% - Accent2 2 2 2 3 4 2" xfId="4943" xr:uid="{00000000-0005-0000-0000-0000C1080000}"/>
    <cellStyle name="20% - Accent2 2 2 2 3 4 2 2" xfId="9738" xr:uid="{00000000-0005-0000-0000-0000C2080000}"/>
    <cellStyle name="20% - Accent2 2 2 2 3 4 2 2 2" xfId="1541" xr:uid="{00000000-0005-0000-0000-0000C3080000}"/>
    <cellStyle name="20% - Accent2 2 2 2 3 4 2 3" xfId="9904" xr:uid="{00000000-0005-0000-0000-0000C4080000}"/>
    <cellStyle name="20% - Accent2 2 2 2 3 4 3" xfId="20125" xr:uid="{00000000-0005-0000-0000-0000C5080000}"/>
    <cellStyle name="20% - Accent2 2 2 2 3 4 3 2" xfId="1603" xr:uid="{00000000-0005-0000-0000-0000C6080000}"/>
    <cellStyle name="20% - Accent2 2 2 2 3 4 4" xfId="20134" xr:uid="{00000000-0005-0000-0000-0000C7080000}"/>
    <cellStyle name="20% - Accent2 2 2 2 3 5" xfId="5798" xr:uid="{00000000-0005-0000-0000-0000C8080000}"/>
    <cellStyle name="20% - Accent2 2 2 2 3 5 2" xfId="26510" xr:uid="{00000000-0005-0000-0000-0000C9080000}"/>
    <cellStyle name="20% - Accent2 2 2 2 3 5 2 2" xfId="9782" xr:uid="{00000000-0005-0000-0000-0000CA080000}"/>
    <cellStyle name="20% - Accent2 2 2 2 3 5 3" xfId="20143" xr:uid="{00000000-0005-0000-0000-0000CB080000}"/>
    <cellStyle name="20% - Accent2 2 2 2 3 6" xfId="12725" xr:uid="{00000000-0005-0000-0000-0000CC080000}"/>
    <cellStyle name="20% - Accent2 2 2 2 3 6 2" xfId="26515" xr:uid="{00000000-0005-0000-0000-0000CD080000}"/>
    <cellStyle name="20% - Accent2 2 2 2 3 7" xfId="14756" xr:uid="{00000000-0005-0000-0000-0000CE080000}"/>
    <cellStyle name="20% - Accent2 2 2 2 4" xfId="771" xr:uid="{00000000-0005-0000-0000-0000CF080000}"/>
    <cellStyle name="20% - Accent2 2 2 2 4 2" xfId="3459" xr:uid="{00000000-0005-0000-0000-0000D0080000}"/>
    <cellStyle name="20% - Accent2 2 2 2 4 2 2" xfId="1769" xr:uid="{00000000-0005-0000-0000-0000D1080000}"/>
    <cellStyle name="20% - Accent2 2 2 2 4 2 2 2" xfId="3463" xr:uid="{00000000-0005-0000-0000-0000D2080000}"/>
    <cellStyle name="20% - Accent2 2 2 2 4 2 2 2 2" xfId="2528" xr:uid="{00000000-0005-0000-0000-0000D3080000}"/>
    <cellStyle name="20% - Accent2 2 2 2 4 2 2 2 2 2" xfId="16984" xr:uid="{00000000-0005-0000-0000-0000D4080000}"/>
    <cellStyle name="20% - Accent2 2 2 2 4 2 2 2 3" xfId="22896" xr:uid="{00000000-0005-0000-0000-0000D5080000}"/>
    <cellStyle name="20% - Accent2 2 2 2 4 2 2 3" xfId="10381" xr:uid="{00000000-0005-0000-0000-0000D6080000}"/>
    <cellStyle name="20% - Accent2 2 2 2 4 2 2 3 2" xfId="3465" xr:uid="{00000000-0005-0000-0000-0000D7080000}"/>
    <cellStyle name="20% - Accent2 2 2 2 4 2 2 4" xfId="11147" xr:uid="{00000000-0005-0000-0000-0000D8080000}"/>
    <cellStyle name="20% - Accent2 2 2 2 4 2 3" xfId="8638" xr:uid="{00000000-0005-0000-0000-0000D9080000}"/>
    <cellStyle name="20% - Accent2 2 2 2 4 2 3 2" xfId="3480" xr:uid="{00000000-0005-0000-0000-0000DA080000}"/>
    <cellStyle name="20% - Accent2 2 2 2 4 2 3 2 2" xfId="3488" xr:uid="{00000000-0005-0000-0000-0000DB080000}"/>
    <cellStyle name="20% - Accent2 2 2 2 4 2 3 3" xfId="26550" xr:uid="{00000000-0005-0000-0000-0000DC080000}"/>
    <cellStyle name="20% - Accent2 2 2 2 4 2 4" xfId="4246" xr:uid="{00000000-0005-0000-0000-0000DD080000}"/>
    <cellStyle name="20% - Accent2 2 2 2 4 2 4 2" xfId="3499" xr:uid="{00000000-0005-0000-0000-0000DE080000}"/>
    <cellStyle name="20% - Accent2 2 2 2 4 2 5" xfId="3031" xr:uid="{00000000-0005-0000-0000-0000DF080000}"/>
    <cellStyle name="20% - Accent2 2 2 2 4 3" xfId="1592" xr:uid="{00000000-0005-0000-0000-0000E0080000}"/>
    <cellStyle name="20% - Accent2 2 2 2 4 3 2" xfId="9710" xr:uid="{00000000-0005-0000-0000-0000E1080000}"/>
    <cellStyle name="20% - Accent2 2 2 2 4 3 2 2" xfId="18051" xr:uid="{00000000-0005-0000-0000-0000E2080000}"/>
    <cellStyle name="20% - Accent2 2 2 2 4 3 2 2 2" xfId="225" xr:uid="{00000000-0005-0000-0000-0000E3080000}"/>
    <cellStyle name="20% - Accent2 2 2 2 4 3 2 3" xfId="29761" xr:uid="{00000000-0005-0000-0000-0000E4080000}"/>
    <cellStyle name="20% - Accent2 2 2 2 4 3 3" xfId="7755" xr:uid="{00000000-0005-0000-0000-0000E5080000}"/>
    <cellStyle name="20% - Accent2 2 2 2 4 3 3 2" xfId="6555" xr:uid="{00000000-0005-0000-0000-0000E6080000}"/>
    <cellStyle name="20% - Accent2 2 2 2 4 3 4" xfId="3049" xr:uid="{00000000-0005-0000-0000-0000E7080000}"/>
    <cellStyle name="20% - Accent2 2 2 2 4 4" xfId="4994" xr:uid="{00000000-0005-0000-0000-0000E8080000}"/>
    <cellStyle name="20% - Accent2 2 2 2 4 4 2" xfId="3518" xr:uid="{00000000-0005-0000-0000-0000E9080000}"/>
    <cellStyle name="20% - Accent2 2 2 2 4 4 2 2" xfId="4481" xr:uid="{00000000-0005-0000-0000-0000EA080000}"/>
    <cellStyle name="20% - Accent2 2 2 2 4 4 3" xfId="20153" xr:uid="{00000000-0005-0000-0000-0000EB080000}"/>
    <cellStyle name="20% - Accent2 2 2 2 4 5" xfId="12741" xr:uid="{00000000-0005-0000-0000-0000EC080000}"/>
    <cellStyle name="20% - Accent2 2 2 2 4 5 2" xfId="26518" xr:uid="{00000000-0005-0000-0000-0000ED080000}"/>
    <cellStyle name="20% - Accent2 2 2 2 4 6" xfId="12747" xr:uid="{00000000-0005-0000-0000-0000EE080000}"/>
    <cellStyle name="20% - Accent2 2 2 2 5" xfId="272" xr:uid="{00000000-0005-0000-0000-0000EF080000}"/>
    <cellStyle name="20% - Accent2 2 2 2 5 2" xfId="3532" xr:uid="{00000000-0005-0000-0000-0000F0080000}"/>
    <cellStyle name="20% - Accent2 2 2 2 5 2 2" xfId="3534" xr:uid="{00000000-0005-0000-0000-0000F1080000}"/>
    <cellStyle name="20% - Accent2 2 2 2 5 2 2 2" xfId="21051" xr:uid="{00000000-0005-0000-0000-0000F2080000}"/>
    <cellStyle name="20% - Accent2 2 2 2 5 2 2 2 2" xfId="3546" xr:uid="{00000000-0005-0000-0000-0000F3080000}"/>
    <cellStyle name="20% - Accent2 2 2 2 5 2 2 3" xfId="27421" xr:uid="{00000000-0005-0000-0000-0000F4080000}"/>
    <cellStyle name="20% - Accent2 2 2 2 5 2 3" xfId="4278" xr:uid="{00000000-0005-0000-0000-0000F5080000}"/>
    <cellStyle name="20% - Accent2 2 2 2 5 2 3 2" xfId="27477" xr:uid="{00000000-0005-0000-0000-0000F6080000}"/>
    <cellStyle name="20% - Accent2 2 2 2 5 2 4" xfId="3057" xr:uid="{00000000-0005-0000-0000-0000F7080000}"/>
    <cellStyle name="20% - Accent2 2 2 2 5 3" xfId="1594" xr:uid="{00000000-0005-0000-0000-0000F8080000}"/>
    <cellStyle name="20% - Accent2 2 2 2 5 3 2" xfId="3554" xr:uid="{00000000-0005-0000-0000-0000F9080000}"/>
    <cellStyle name="20% - Accent2 2 2 2 5 3 2 2" xfId="12588" xr:uid="{00000000-0005-0000-0000-0000FA080000}"/>
    <cellStyle name="20% - Accent2 2 2 2 5 3 3" xfId="3069" xr:uid="{00000000-0005-0000-0000-0000FB080000}"/>
    <cellStyle name="20% - Accent2 2 2 2 5 4" xfId="5004" xr:uid="{00000000-0005-0000-0000-0000FC080000}"/>
    <cellStyle name="20% - Accent2 2 2 2 5 4 2" xfId="5013" xr:uid="{00000000-0005-0000-0000-0000FD080000}"/>
    <cellStyle name="20% - Accent2 2 2 2 5 5" xfId="12753" xr:uid="{00000000-0005-0000-0000-0000FE080000}"/>
    <cellStyle name="20% - Accent2 2 2 2 6" xfId="3563" xr:uid="{00000000-0005-0000-0000-0000FF080000}"/>
    <cellStyle name="20% - Accent2 2 2 2 6 2" xfId="3567" xr:uid="{00000000-0005-0000-0000-000000090000}"/>
    <cellStyle name="20% - Accent2 2 2 2 6 2 2" xfId="3569" xr:uid="{00000000-0005-0000-0000-000001090000}"/>
    <cellStyle name="20% - Accent2 2 2 2 6 2 2 2" xfId="14683" xr:uid="{00000000-0005-0000-0000-000002090000}"/>
    <cellStyle name="20% - Accent2 2 2 2 6 2 3" xfId="7394" xr:uid="{00000000-0005-0000-0000-000003090000}"/>
    <cellStyle name="20% - Accent2 2 2 2 6 3" xfId="2549" xr:uid="{00000000-0005-0000-0000-000004090000}"/>
    <cellStyle name="20% - Accent2 2 2 2 6 3 2" xfId="3578" xr:uid="{00000000-0005-0000-0000-000005090000}"/>
    <cellStyle name="20% - Accent2 2 2 2 6 4" xfId="4045" xr:uid="{00000000-0005-0000-0000-000006090000}"/>
    <cellStyle name="20% - Accent2 2 2 2 7" xfId="3585" xr:uid="{00000000-0005-0000-0000-000007090000}"/>
    <cellStyle name="20% - Accent2 2 2 2 7 2" xfId="18905" xr:uid="{00000000-0005-0000-0000-000008090000}"/>
    <cellStyle name="20% - Accent2 2 2 2 7 2 2" xfId="1184" xr:uid="{00000000-0005-0000-0000-000009090000}"/>
    <cellStyle name="20% - Accent2 2 2 2 7 3" xfId="675" xr:uid="{00000000-0005-0000-0000-00000A090000}"/>
    <cellStyle name="20% - Accent2 2 2 2 8" xfId="7187" xr:uid="{00000000-0005-0000-0000-00000B090000}"/>
    <cellStyle name="20% - Accent2 2 2 2 8 2" xfId="3595" xr:uid="{00000000-0005-0000-0000-00000C090000}"/>
    <cellStyle name="20% - Accent2 2 2 2 9" xfId="3597" xr:uid="{00000000-0005-0000-0000-00000D090000}"/>
    <cellStyle name="20% - Accent2 2 2 3" xfId="4838" xr:uid="{00000000-0005-0000-0000-00000E090000}"/>
    <cellStyle name="20% - Accent2 2 2 3 2" xfId="3602" xr:uid="{00000000-0005-0000-0000-00000F090000}"/>
    <cellStyle name="20% - Accent2 2 2 3 2 2" xfId="3629" xr:uid="{00000000-0005-0000-0000-000010090000}"/>
    <cellStyle name="20% - Accent2 2 2 3 2 2 2" xfId="3630" xr:uid="{00000000-0005-0000-0000-000011090000}"/>
    <cellStyle name="20% - Accent2 2 2 3 2 2 2 2" xfId="6704" xr:uid="{00000000-0005-0000-0000-000012090000}"/>
    <cellStyle name="20% - Accent2 2 2 3 2 2 2 2 2" xfId="3632" xr:uid="{00000000-0005-0000-0000-000013090000}"/>
    <cellStyle name="20% - Accent2 2 2 3 2 2 2 2 2 2" xfId="17343" xr:uid="{00000000-0005-0000-0000-000014090000}"/>
    <cellStyle name="20% - Accent2 2 2 3 2 2 2 2 2 2 2" xfId="11163" xr:uid="{00000000-0005-0000-0000-000015090000}"/>
    <cellStyle name="20% - Accent2 2 2 3 2 2 2 2 2 3" xfId="4057" xr:uid="{00000000-0005-0000-0000-000016090000}"/>
    <cellStyle name="20% - Accent2 2 2 3 2 2 2 2 3" xfId="3127" xr:uid="{00000000-0005-0000-0000-000017090000}"/>
    <cellStyle name="20% - Accent2 2 2 3 2 2 2 2 3 2" xfId="3638" xr:uid="{00000000-0005-0000-0000-000018090000}"/>
    <cellStyle name="20% - Accent2 2 2 3 2 2 2 2 4" xfId="2412" xr:uid="{00000000-0005-0000-0000-000019090000}"/>
    <cellStyle name="20% - Accent2 2 2 3 2 2 2 3" xfId="21151" xr:uid="{00000000-0005-0000-0000-00001A090000}"/>
    <cellStyle name="20% - Accent2 2 2 3 2 2 2 3 2" xfId="3643" xr:uid="{00000000-0005-0000-0000-00001B090000}"/>
    <cellStyle name="20% - Accent2 2 2 3 2 2 2 3 2 2" xfId="3592" xr:uid="{00000000-0005-0000-0000-00001C090000}"/>
    <cellStyle name="20% - Accent2 2 2 3 2 2 2 3 3" xfId="1771" xr:uid="{00000000-0005-0000-0000-00001D090000}"/>
    <cellStyle name="20% - Accent2 2 2 3 2 2 2 4" xfId="21985" xr:uid="{00000000-0005-0000-0000-00001E090000}"/>
    <cellStyle name="20% - Accent2 2 2 3 2 2 2 4 2" xfId="8529" xr:uid="{00000000-0005-0000-0000-00001F090000}"/>
    <cellStyle name="20% - Accent2 2 2 3 2 2 2 5" xfId="428" xr:uid="{00000000-0005-0000-0000-000020090000}"/>
    <cellStyle name="20% - Accent2 2 2 3 2 2 3" xfId="3089" xr:uid="{00000000-0005-0000-0000-000021090000}"/>
    <cellStyle name="20% - Accent2 2 2 3 2 2 3 2" xfId="19043" xr:uid="{00000000-0005-0000-0000-000022090000}"/>
    <cellStyle name="20% - Accent2 2 2 3 2 2 3 2 2" xfId="13510" xr:uid="{00000000-0005-0000-0000-000023090000}"/>
    <cellStyle name="20% - Accent2 2 2 3 2 2 3 2 2 2" xfId="3667" xr:uid="{00000000-0005-0000-0000-000024090000}"/>
    <cellStyle name="20% - Accent2 2 2 3 2 2 3 2 3" xfId="13517" xr:uid="{00000000-0005-0000-0000-000025090000}"/>
    <cellStyle name="20% - Accent2 2 2 3 2 2 3 3" xfId="25961" xr:uid="{00000000-0005-0000-0000-000026090000}"/>
    <cellStyle name="20% - Accent2 2 2 3 2 2 3 3 2" xfId="13526" xr:uid="{00000000-0005-0000-0000-000027090000}"/>
    <cellStyle name="20% - Accent2 2 2 3 2 2 3 4" xfId="1488" xr:uid="{00000000-0005-0000-0000-000028090000}"/>
    <cellStyle name="20% - Accent2 2 2 3 2 2 4" xfId="1849" xr:uid="{00000000-0005-0000-0000-000029090000}"/>
    <cellStyle name="20% - Accent2 2 2 3 2 2 4 2" xfId="19049" xr:uid="{00000000-0005-0000-0000-00002A090000}"/>
    <cellStyle name="20% - Accent2 2 2 3 2 2 4 2 2" xfId="17340" xr:uid="{00000000-0005-0000-0000-00002B090000}"/>
    <cellStyle name="20% - Accent2 2 2 3 2 2 4 3" xfId="8981" xr:uid="{00000000-0005-0000-0000-00002C090000}"/>
    <cellStyle name="20% - Accent2 2 2 3 2 2 5" xfId="1977" xr:uid="{00000000-0005-0000-0000-00002D090000}"/>
    <cellStyle name="20% - Accent2 2 2 3 2 2 5 2" xfId="8988" xr:uid="{00000000-0005-0000-0000-00002E090000}"/>
    <cellStyle name="20% - Accent2 2 2 3 2 2 6" xfId="3452" xr:uid="{00000000-0005-0000-0000-00002F090000}"/>
    <cellStyle name="20% - Accent2 2 2 3 2 3" xfId="307" xr:uid="{00000000-0005-0000-0000-000030090000}"/>
    <cellStyle name="20% - Accent2 2 2 3 2 3 2" xfId="3681" xr:uid="{00000000-0005-0000-0000-000031090000}"/>
    <cellStyle name="20% - Accent2 2 2 3 2 3 2 2" xfId="22723" xr:uid="{00000000-0005-0000-0000-000032090000}"/>
    <cellStyle name="20% - Accent2 2 2 3 2 3 2 2 2" xfId="3393" xr:uid="{00000000-0005-0000-0000-000033090000}"/>
    <cellStyle name="20% - Accent2 2 2 3 2 3 2 2 2 2" xfId="5351" xr:uid="{00000000-0005-0000-0000-000034090000}"/>
    <cellStyle name="20% - Accent2 2 2 3 2 3 2 2 3" xfId="26863" xr:uid="{00000000-0005-0000-0000-000035090000}"/>
    <cellStyle name="20% - Accent2 2 2 3 2 3 2 3" xfId="20676" xr:uid="{00000000-0005-0000-0000-000036090000}"/>
    <cellStyle name="20% - Accent2 2 2 3 2 3 2 3 2" xfId="416" xr:uid="{00000000-0005-0000-0000-000037090000}"/>
    <cellStyle name="20% - Accent2 2 2 3 2 3 2 4" xfId="5656" xr:uid="{00000000-0005-0000-0000-000038090000}"/>
    <cellStyle name="20% - Accent2 2 2 3 2 3 3" xfId="13482" xr:uid="{00000000-0005-0000-0000-000039090000}"/>
    <cellStyle name="20% - Accent2 2 2 3 2 3 3 2" xfId="28196" xr:uid="{00000000-0005-0000-0000-00003A090000}"/>
    <cellStyle name="20% - Accent2 2 2 3 2 3 3 2 2" xfId="13550" xr:uid="{00000000-0005-0000-0000-00003B090000}"/>
    <cellStyle name="20% - Accent2 2 2 3 2 3 3 3" xfId="3137" xr:uid="{00000000-0005-0000-0000-00003C090000}"/>
    <cellStyle name="20% - Accent2 2 2 3 2 3 4" xfId="1993" xr:uid="{00000000-0005-0000-0000-00003D090000}"/>
    <cellStyle name="20% - Accent2 2 2 3 2 3 4 2" xfId="3128" xr:uid="{00000000-0005-0000-0000-00003E090000}"/>
    <cellStyle name="20% - Accent2 2 2 3 2 3 5" xfId="3132" xr:uid="{00000000-0005-0000-0000-00003F090000}"/>
    <cellStyle name="20% - Accent2 2 2 3 2 4" xfId="3692" xr:uid="{00000000-0005-0000-0000-000040090000}"/>
    <cellStyle name="20% - Accent2 2 2 3 2 4 2" xfId="12949" xr:uid="{00000000-0005-0000-0000-000041090000}"/>
    <cellStyle name="20% - Accent2 2 2 3 2 4 2 2" xfId="19060" xr:uid="{00000000-0005-0000-0000-000042090000}"/>
    <cellStyle name="20% - Accent2 2 2 3 2 4 2 2 2" xfId="1813" xr:uid="{00000000-0005-0000-0000-000043090000}"/>
    <cellStyle name="20% - Accent2 2 2 3 2 4 2 3" xfId="29906" xr:uid="{00000000-0005-0000-0000-000044090000}"/>
    <cellStyle name="20% - Accent2 2 2 3 2 4 3" xfId="20184" xr:uid="{00000000-0005-0000-0000-000045090000}"/>
    <cellStyle name="20% - Accent2 2 2 3 2 4 3 2" xfId="3204" xr:uid="{00000000-0005-0000-0000-000046090000}"/>
    <cellStyle name="20% - Accent2 2 2 3 2 4 4" xfId="20190" xr:uid="{00000000-0005-0000-0000-000047090000}"/>
    <cellStyle name="20% - Accent2 2 2 3 2 5" xfId="16631" xr:uid="{00000000-0005-0000-0000-000048090000}"/>
    <cellStyle name="20% - Accent2 2 2 3 2 5 2" xfId="26523" xr:uid="{00000000-0005-0000-0000-000049090000}"/>
    <cellStyle name="20% - Accent2 2 2 3 2 5 2 2" xfId="13666" xr:uid="{00000000-0005-0000-0000-00004A090000}"/>
    <cellStyle name="20% - Accent2 2 2 3 2 5 3" xfId="16815" xr:uid="{00000000-0005-0000-0000-00004B090000}"/>
    <cellStyle name="20% - Accent2 2 2 3 2 6" xfId="16634" xr:uid="{00000000-0005-0000-0000-00004C090000}"/>
    <cellStyle name="20% - Accent2 2 2 3 2 6 2" xfId="26528" xr:uid="{00000000-0005-0000-0000-00004D090000}"/>
    <cellStyle name="20% - Accent2 2 2 3 2 7" xfId="12764" xr:uid="{00000000-0005-0000-0000-00004E090000}"/>
    <cellStyle name="20% - Accent2 2 2 3 3" xfId="3697" xr:uid="{00000000-0005-0000-0000-00004F090000}"/>
    <cellStyle name="20% - Accent2 2 2 3 3 2" xfId="3701" xr:uid="{00000000-0005-0000-0000-000050090000}"/>
    <cellStyle name="20% - Accent2 2 2 3 3 2 2" xfId="3702" xr:uid="{00000000-0005-0000-0000-000051090000}"/>
    <cellStyle name="20% - Accent2 2 2 3 3 2 2 2" xfId="15567" xr:uid="{00000000-0005-0000-0000-000052090000}"/>
    <cellStyle name="20% - Accent2 2 2 3 3 2 2 2 2" xfId="3712" xr:uid="{00000000-0005-0000-0000-000053090000}"/>
    <cellStyle name="20% - Accent2 2 2 3 3 2 2 2 2 2" xfId="11479" xr:uid="{00000000-0005-0000-0000-000054090000}"/>
    <cellStyle name="20% - Accent2 2 2 3 3 2 2 2 3" xfId="6833" xr:uid="{00000000-0005-0000-0000-000055090000}"/>
    <cellStyle name="20% - Accent2 2 2 3 3 2 2 3" xfId="15986" xr:uid="{00000000-0005-0000-0000-000056090000}"/>
    <cellStyle name="20% - Accent2 2 2 3 3 2 2 3 2" xfId="2795" xr:uid="{00000000-0005-0000-0000-000057090000}"/>
    <cellStyle name="20% - Accent2 2 2 3 3 2 2 4" xfId="14766" xr:uid="{00000000-0005-0000-0000-000058090000}"/>
    <cellStyle name="20% - Accent2 2 2 3 3 2 3" xfId="3175" xr:uid="{00000000-0005-0000-0000-000059090000}"/>
    <cellStyle name="20% - Accent2 2 2 3 3 2 3 2" xfId="5063" xr:uid="{00000000-0005-0000-0000-00005A090000}"/>
    <cellStyle name="20% - Accent2 2 2 3 3 2 3 2 2" xfId="13622" xr:uid="{00000000-0005-0000-0000-00005B090000}"/>
    <cellStyle name="20% - Accent2 2 2 3 3 2 3 3" xfId="16004" xr:uid="{00000000-0005-0000-0000-00005C090000}"/>
    <cellStyle name="20% - Accent2 2 2 3 3 2 4" xfId="1861" xr:uid="{00000000-0005-0000-0000-00005D090000}"/>
    <cellStyle name="20% - Accent2 2 2 3 3 2 4 2" xfId="22612" xr:uid="{00000000-0005-0000-0000-00005E090000}"/>
    <cellStyle name="20% - Accent2 2 2 3 3 2 5" xfId="3185" xr:uid="{00000000-0005-0000-0000-00005F090000}"/>
    <cellStyle name="20% - Accent2 2 2 3 3 3" xfId="2267" xr:uid="{00000000-0005-0000-0000-000060090000}"/>
    <cellStyle name="20% - Accent2 2 2 3 3 3 2" xfId="2269" xr:uid="{00000000-0005-0000-0000-000061090000}"/>
    <cellStyle name="20% - Accent2 2 2 3 3 3 2 2" xfId="5115" xr:uid="{00000000-0005-0000-0000-000062090000}"/>
    <cellStyle name="20% - Accent2 2 2 3 3 3 2 2 2" xfId="3278" xr:uid="{00000000-0005-0000-0000-000063090000}"/>
    <cellStyle name="20% - Accent2 2 2 3 3 3 2 3" xfId="16023" xr:uid="{00000000-0005-0000-0000-000064090000}"/>
    <cellStyle name="20% - Accent2 2 2 3 3 3 3" xfId="7776" xr:uid="{00000000-0005-0000-0000-000065090000}"/>
    <cellStyle name="20% - Accent2 2 2 3 3 3 3 2" xfId="3727" xr:uid="{00000000-0005-0000-0000-000066090000}"/>
    <cellStyle name="20% - Accent2 2 2 3 3 3 4" xfId="3191" xr:uid="{00000000-0005-0000-0000-000067090000}"/>
    <cellStyle name="20% - Accent2 2 2 3 3 4" xfId="4186" xr:uid="{00000000-0005-0000-0000-000068090000}"/>
    <cellStyle name="20% - Accent2 2 2 3 3 4 2" xfId="5100" xr:uid="{00000000-0005-0000-0000-000069090000}"/>
    <cellStyle name="20% - Accent2 2 2 3 3 4 2 2" xfId="10278" xr:uid="{00000000-0005-0000-0000-00006A090000}"/>
    <cellStyle name="20% - Accent2 2 2 3 3 4 3" xfId="20205" xr:uid="{00000000-0005-0000-0000-00006B090000}"/>
    <cellStyle name="20% - Accent2 2 2 3 3 5" xfId="16639" xr:uid="{00000000-0005-0000-0000-00006C090000}"/>
    <cellStyle name="20% - Accent2 2 2 3 3 5 2" xfId="26532" xr:uid="{00000000-0005-0000-0000-00006D090000}"/>
    <cellStyle name="20% - Accent2 2 2 3 3 6" xfId="12773" xr:uid="{00000000-0005-0000-0000-00006E090000}"/>
    <cellStyle name="20% - Accent2 2 2 3 4" xfId="8862" xr:uid="{00000000-0005-0000-0000-00006F090000}"/>
    <cellStyle name="20% - Accent2 2 2 3 4 2" xfId="3738" xr:uid="{00000000-0005-0000-0000-000070090000}"/>
    <cellStyle name="20% - Accent2 2 2 3 4 2 2" xfId="2459" xr:uid="{00000000-0005-0000-0000-000071090000}"/>
    <cellStyle name="20% - Accent2 2 2 3 4 2 2 2" xfId="2626" xr:uid="{00000000-0005-0000-0000-000072090000}"/>
    <cellStyle name="20% - Accent2 2 2 3 4 2 2 2 2" xfId="3741" xr:uid="{00000000-0005-0000-0000-000073090000}"/>
    <cellStyle name="20% - Accent2 2 2 3 4 2 2 3" xfId="16075" xr:uid="{00000000-0005-0000-0000-000074090000}"/>
    <cellStyle name="20% - Accent2 2 2 3 4 2 3" xfId="32737" xr:uid="{00000000-0005-0000-0000-000075090000}"/>
    <cellStyle name="20% - Accent2 2 2 3 4 2 3 2" xfId="3742" xr:uid="{00000000-0005-0000-0000-000076090000}"/>
    <cellStyle name="20% - Accent2 2 2 3 4 2 4" xfId="13396" xr:uid="{00000000-0005-0000-0000-000077090000}"/>
    <cellStyle name="20% - Accent2 2 2 3 4 3" xfId="2271" xr:uid="{00000000-0005-0000-0000-000078090000}"/>
    <cellStyle name="20% - Accent2 2 2 3 4 3 2" xfId="2639" xr:uid="{00000000-0005-0000-0000-000079090000}"/>
    <cellStyle name="20% - Accent2 2 2 3 4 3 2 2" xfId="3998" xr:uid="{00000000-0005-0000-0000-00007A090000}"/>
    <cellStyle name="20% - Accent2 2 2 3 4 3 3" xfId="3218" xr:uid="{00000000-0005-0000-0000-00007B090000}"/>
    <cellStyle name="20% - Accent2 2 2 3 4 4" xfId="4219" xr:uid="{00000000-0005-0000-0000-00007C090000}"/>
    <cellStyle name="20% - Accent2 2 2 3 4 4 2" xfId="5144" xr:uid="{00000000-0005-0000-0000-00007D090000}"/>
    <cellStyle name="20% - Accent2 2 2 3 4 5" xfId="12784" xr:uid="{00000000-0005-0000-0000-00007E090000}"/>
    <cellStyle name="20% - Accent2 2 2 3 5" xfId="8866" xr:uid="{00000000-0005-0000-0000-00007F090000}"/>
    <cellStyle name="20% - Accent2 2 2 3 5 2" xfId="3746" xr:uid="{00000000-0005-0000-0000-000080090000}"/>
    <cellStyle name="20% - Accent2 2 2 3 5 2 2" xfId="6501" xr:uid="{00000000-0005-0000-0000-000081090000}"/>
    <cellStyle name="20% - Accent2 2 2 3 5 2 2 2" xfId="3275" xr:uid="{00000000-0005-0000-0000-000082090000}"/>
    <cellStyle name="20% - Accent2 2 2 3 5 2 3" xfId="3478" xr:uid="{00000000-0005-0000-0000-000083090000}"/>
    <cellStyle name="20% - Accent2 2 2 3 5 3" xfId="3748" xr:uid="{00000000-0005-0000-0000-000084090000}"/>
    <cellStyle name="20% - Accent2 2 2 3 5 3 2" xfId="6702" xr:uid="{00000000-0005-0000-0000-000085090000}"/>
    <cellStyle name="20% - Accent2 2 2 3 5 4" xfId="3760" xr:uid="{00000000-0005-0000-0000-000086090000}"/>
    <cellStyle name="20% - Accent2 2 2 3 6" xfId="3765" xr:uid="{00000000-0005-0000-0000-000087090000}"/>
    <cellStyle name="20% - Accent2 2 2 3 6 2" xfId="3766" xr:uid="{00000000-0005-0000-0000-000088090000}"/>
    <cellStyle name="20% - Accent2 2 2 3 6 2 2" xfId="6599" xr:uid="{00000000-0005-0000-0000-000089090000}"/>
    <cellStyle name="20% - Accent2 2 2 3 6 3" xfId="3773" xr:uid="{00000000-0005-0000-0000-00008A090000}"/>
    <cellStyle name="20% - Accent2 2 2 3 7" xfId="3778" xr:uid="{00000000-0005-0000-0000-00008B090000}"/>
    <cellStyle name="20% - Accent2 2 2 3 7 2" xfId="3781" xr:uid="{00000000-0005-0000-0000-00008C090000}"/>
    <cellStyle name="20% - Accent2 2 2 3 8" xfId="6546" xr:uid="{00000000-0005-0000-0000-00008D090000}"/>
    <cellStyle name="20% - Accent2 2 2 4" xfId="27327" xr:uid="{00000000-0005-0000-0000-00008E090000}"/>
    <cellStyle name="20% - Accent2 2 2 4 2" xfId="1460" xr:uid="{00000000-0005-0000-0000-00008F090000}"/>
    <cellStyle name="20% - Accent2 2 2 4 2 2" xfId="3786" xr:uid="{00000000-0005-0000-0000-000090090000}"/>
    <cellStyle name="20% - Accent2 2 2 4 2 2 2" xfId="303" xr:uid="{00000000-0005-0000-0000-000091090000}"/>
    <cellStyle name="20% - Accent2 2 2 4 2 2 2 2" xfId="17408" xr:uid="{00000000-0005-0000-0000-000092090000}"/>
    <cellStyle name="20% - Accent2 2 2 4 2 2 2 2 2" xfId="3791" xr:uid="{00000000-0005-0000-0000-000093090000}"/>
    <cellStyle name="20% - Accent2 2 2 4 2 2 2 2 2 2" xfId="5569" xr:uid="{00000000-0005-0000-0000-000094090000}"/>
    <cellStyle name="20% - Accent2 2 2 4 2 2 2 2 3" xfId="7103" xr:uid="{00000000-0005-0000-0000-000095090000}"/>
    <cellStyle name="20% - Accent2 2 2 4 2 2 2 3" xfId="19167" xr:uid="{00000000-0005-0000-0000-000096090000}"/>
    <cellStyle name="20% - Accent2 2 2 4 2 2 2 3 2" xfId="3799" xr:uid="{00000000-0005-0000-0000-000097090000}"/>
    <cellStyle name="20% - Accent2 2 2 4 2 2 2 4" xfId="176" xr:uid="{00000000-0005-0000-0000-000098090000}"/>
    <cellStyle name="20% - Accent2 2 2 4 2 2 3" xfId="1083" xr:uid="{00000000-0005-0000-0000-000099090000}"/>
    <cellStyle name="20% - Accent2 2 2 4 2 2 3 2" xfId="19170" xr:uid="{00000000-0005-0000-0000-00009A090000}"/>
    <cellStyle name="20% - Accent2 2 2 4 2 2 3 2 2" xfId="13400" xr:uid="{00000000-0005-0000-0000-00009B090000}"/>
    <cellStyle name="20% - Accent2 2 2 4 2 2 3 3" xfId="3616" xr:uid="{00000000-0005-0000-0000-00009C090000}"/>
    <cellStyle name="20% - Accent2 2 2 4 2 2 4" xfId="1616" xr:uid="{00000000-0005-0000-0000-00009D090000}"/>
    <cellStyle name="20% - Accent2 2 2 4 2 2 4 2" xfId="16774" xr:uid="{00000000-0005-0000-0000-00009E090000}"/>
    <cellStyle name="20% - Accent2 2 2 4 2 2 5" xfId="23099" xr:uid="{00000000-0005-0000-0000-00009F090000}"/>
    <cellStyle name="20% - Accent2 2 2 4 2 3" xfId="8291" xr:uid="{00000000-0005-0000-0000-0000A0090000}"/>
    <cellStyle name="20% - Accent2 2 2 4 2 3 2" xfId="1173" xr:uid="{00000000-0005-0000-0000-0000A1090000}"/>
    <cellStyle name="20% - Accent2 2 2 4 2 3 2 2" xfId="19177" xr:uid="{00000000-0005-0000-0000-0000A2090000}"/>
    <cellStyle name="20% - Accent2 2 2 4 2 3 2 2 2" xfId="11272" xr:uid="{00000000-0005-0000-0000-0000A3090000}"/>
    <cellStyle name="20% - Accent2 2 2 4 2 3 2 3" xfId="22959" xr:uid="{00000000-0005-0000-0000-0000A4090000}"/>
    <cellStyle name="20% - Accent2 2 2 4 2 3 3" xfId="1774" xr:uid="{00000000-0005-0000-0000-0000A5090000}"/>
    <cellStyle name="20% - Accent2 2 2 4 2 3 3 2" xfId="25659" xr:uid="{00000000-0005-0000-0000-0000A6090000}"/>
    <cellStyle name="20% - Accent2 2 2 4 2 3 4" xfId="1777" xr:uid="{00000000-0005-0000-0000-0000A7090000}"/>
    <cellStyle name="20% - Accent2 2 2 4 2 4" xfId="8203" xr:uid="{00000000-0005-0000-0000-0000A8090000}"/>
    <cellStyle name="20% - Accent2 2 2 4 2 4 2" xfId="1757" xr:uid="{00000000-0005-0000-0000-0000A9090000}"/>
    <cellStyle name="20% - Accent2 2 2 4 2 4 2 2" xfId="10497" xr:uid="{00000000-0005-0000-0000-0000AA090000}"/>
    <cellStyle name="20% - Accent2 2 2 4 2 4 3" xfId="20226" xr:uid="{00000000-0005-0000-0000-0000AB090000}"/>
    <cellStyle name="20% - Accent2 2 2 4 2 5" xfId="16649" xr:uid="{00000000-0005-0000-0000-0000AC090000}"/>
    <cellStyle name="20% - Accent2 2 2 4 2 5 2" xfId="19460" xr:uid="{00000000-0005-0000-0000-0000AD090000}"/>
    <cellStyle name="20% - Accent2 2 2 4 2 6" xfId="12793" xr:uid="{00000000-0005-0000-0000-0000AE090000}"/>
    <cellStyle name="20% - Accent2 2 2 4 3" xfId="6959" xr:uid="{00000000-0005-0000-0000-0000AF090000}"/>
    <cellStyle name="20% - Accent2 2 2 4 3 2" xfId="3836" xr:uid="{00000000-0005-0000-0000-0000B0090000}"/>
    <cellStyle name="20% - Accent2 2 2 4 3 2 2" xfId="1280" xr:uid="{00000000-0005-0000-0000-0000B1090000}"/>
    <cellStyle name="20% - Accent2 2 2 4 3 2 2 2" xfId="13886" xr:uid="{00000000-0005-0000-0000-0000B2090000}"/>
    <cellStyle name="20% - Accent2 2 2 4 3 2 2 2 2" xfId="3841" xr:uid="{00000000-0005-0000-0000-0000B3090000}"/>
    <cellStyle name="20% - Accent2 2 2 4 3 2 2 3" xfId="16137" xr:uid="{00000000-0005-0000-0000-0000B4090000}"/>
    <cellStyle name="20% - Accent2 2 2 4 3 2 3" xfId="1333" xr:uid="{00000000-0005-0000-0000-0000B5090000}"/>
    <cellStyle name="20% - Accent2 2 2 4 3 2 3 2" xfId="3855" xr:uid="{00000000-0005-0000-0000-0000B6090000}"/>
    <cellStyle name="20% - Accent2 2 2 4 3 2 4" xfId="5958" xr:uid="{00000000-0005-0000-0000-0000B7090000}"/>
    <cellStyle name="20% - Accent2 2 2 4 3 3" xfId="7589" xr:uid="{00000000-0005-0000-0000-0000B8090000}"/>
    <cellStyle name="20% - Accent2 2 2 4 3 3 2" xfId="1394" xr:uid="{00000000-0005-0000-0000-0000B9090000}"/>
    <cellStyle name="20% - Accent2 2 2 4 3 3 2 2" xfId="5830" xr:uid="{00000000-0005-0000-0000-0000BA090000}"/>
    <cellStyle name="20% - Accent2 2 2 4 3 3 3" xfId="1454" xr:uid="{00000000-0005-0000-0000-0000BB090000}"/>
    <cellStyle name="20% - Accent2 2 2 4 3 4" xfId="3646" xr:uid="{00000000-0005-0000-0000-0000BC090000}"/>
    <cellStyle name="20% - Accent2 2 2 4 3 4 2" xfId="1794" xr:uid="{00000000-0005-0000-0000-0000BD090000}"/>
    <cellStyle name="20% - Accent2 2 2 4 3 5" xfId="12799" xr:uid="{00000000-0005-0000-0000-0000BE090000}"/>
    <cellStyle name="20% - Accent2 2 2 4 4" xfId="8868" xr:uid="{00000000-0005-0000-0000-0000BF090000}"/>
    <cellStyle name="20% - Accent2 2 2 4 4 2" xfId="10134" xr:uid="{00000000-0005-0000-0000-0000C0090000}"/>
    <cellStyle name="20% - Accent2 2 2 4 4 2 2" xfId="1479" xr:uid="{00000000-0005-0000-0000-0000C1090000}"/>
    <cellStyle name="20% - Accent2 2 2 4 4 2 2 2" xfId="3874" xr:uid="{00000000-0005-0000-0000-0000C2090000}"/>
    <cellStyle name="20% - Accent2 2 2 4 4 2 3" xfId="1500" xr:uid="{00000000-0005-0000-0000-0000C3090000}"/>
    <cellStyle name="20% - Accent2 2 2 4 4 3" xfId="3880" xr:uid="{00000000-0005-0000-0000-0000C4090000}"/>
    <cellStyle name="20% - Accent2 2 2 4 4 3 2" xfId="1535" xr:uid="{00000000-0005-0000-0000-0000C5090000}"/>
    <cellStyle name="20% - Accent2 2 2 4 4 4" xfId="3657" xr:uid="{00000000-0005-0000-0000-0000C6090000}"/>
    <cellStyle name="20% - Accent2 2 2 4 5" xfId="3881" xr:uid="{00000000-0005-0000-0000-0000C7090000}"/>
    <cellStyle name="20% - Accent2 2 2 4 5 2" xfId="3887" xr:uid="{00000000-0005-0000-0000-0000C8090000}"/>
    <cellStyle name="20% - Accent2 2 2 4 5 2 2" xfId="4275" xr:uid="{00000000-0005-0000-0000-0000C9090000}"/>
    <cellStyle name="20% - Accent2 2 2 4 5 3" xfId="3891" xr:uid="{00000000-0005-0000-0000-0000CA090000}"/>
    <cellStyle name="20% - Accent2 2 2 4 6" xfId="3900" xr:uid="{00000000-0005-0000-0000-0000CB090000}"/>
    <cellStyle name="20% - Accent2 2 2 4 6 2" xfId="3903" xr:uid="{00000000-0005-0000-0000-0000CC090000}"/>
    <cellStyle name="20% - Accent2 2 2 4 7" xfId="3906" xr:uid="{00000000-0005-0000-0000-0000CD090000}"/>
    <cellStyle name="20% - Accent2 2 2 5" xfId="1464" xr:uid="{00000000-0005-0000-0000-0000CE090000}"/>
    <cellStyle name="20% - Accent2 2 2 5 2" xfId="1469" xr:uid="{00000000-0005-0000-0000-0000CF090000}"/>
    <cellStyle name="20% - Accent2 2 2 5 2 2" xfId="1273" xr:uid="{00000000-0005-0000-0000-0000D0090000}"/>
    <cellStyle name="20% - Accent2 2 2 5 2 2 2" xfId="2190" xr:uid="{00000000-0005-0000-0000-0000D1090000}"/>
    <cellStyle name="20% - Accent2 2 2 5 2 2 2 2" xfId="23750" xr:uid="{00000000-0005-0000-0000-0000D2090000}"/>
    <cellStyle name="20% - Accent2 2 2 5 2 2 2 2 2" xfId="6666" xr:uid="{00000000-0005-0000-0000-0000D3090000}"/>
    <cellStyle name="20% - Accent2 2 2 5 2 2 2 3" xfId="527" xr:uid="{00000000-0005-0000-0000-0000D4090000}"/>
    <cellStyle name="20% - Accent2 2 2 5 2 2 3" xfId="4069" xr:uid="{00000000-0005-0000-0000-0000D5090000}"/>
    <cellStyle name="20% - Accent2 2 2 5 2 2 3 2" xfId="1009" xr:uid="{00000000-0005-0000-0000-0000D6090000}"/>
    <cellStyle name="20% - Accent2 2 2 5 2 2 4" xfId="2233" xr:uid="{00000000-0005-0000-0000-0000D7090000}"/>
    <cellStyle name="20% - Accent2 2 2 5 2 3" xfId="3914" xr:uid="{00000000-0005-0000-0000-0000D8090000}"/>
    <cellStyle name="20% - Accent2 2 2 5 2 3 2" xfId="337" xr:uid="{00000000-0005-0000-0000-0000D9090000}"/>
    <cellStyle name="20% - Accent2 2 2 5 2 3 2 2" xfId="20417" xr:uid="{00000000-0005-0000-0000-0000DA090000}"/>
    <cellStyle name="20% - Accent2 2 2 5 2 3 3" xfId="1895" xr:uid="{00000000-0005-0000-0000-0000DB090000}"/>
    <cellStyle name="20% - Accent2 2 2 5 2 4" xfId="3661" xr:uid="{00000000-0005-0000-0000-0000DC090000}"/>
    <cellStyle name="20% - Accent2 2 2 5 2 4 2" xfId="11756" xr:uid="{00000000-0005-0000-0000-0000DD090000}"/>
    <cellStyle name="20% - Accent2 2 2 5 2 5" xfId="12804" xr:uid="{00000000-0005-0000-0000-0000DE090000}"/>
    <cellStyle name="20% - Accent2 2 2 5 3" xfId="3915" xr:uid="{00000000-0005-0000-0000-0000DF090000}"/>
    <cellStyle name="20% - Accent2 2 2 5 3 2" xfId="3919" xr:uid="{00000000-0005-0000-0000-0000E0090000}"/>
    <cellStyle name="20% - Accent2 2 2 5 3 2 2" xfId="2326" xr:uid="{00000000-0005-0000-0000-0000E1090000}"/>
    <cellStyle name="20% - Accent2 2 2 5 3 2 2 2" xfId="3923" xr:uid="{00000000-0005-0000-0000-0000E2090000}"/>
    <cellStyle name="20% - Accent2 2 2 5 3 2 3" xfId="2333" xr:uid="{00000000-0005-0000-0000-0000E3090000}"/>
    <cellStyle name="20% - Accent2 2 2 5 3 3" xfId="3927" xr:uid="{00000000-0005-0000-0000-0000E4090000}"/>
    <cellStyle name="20% - Accent2 2 2 5 3 3 2" xfId="10177" xr:uid="{00000000-0005-0000-0000-0000E5090000}"/>
    <cellStyle name="20% - Accent2 2 2 5 3 4" xfId="3671" xr:uid="{00000000-0005-0000-0000-0000E6090000}"/>
    <cellStyle name="20% - Accent2 2 2 5 4" xfId="9916" xr:uid="{00000000-0005-0000-0000-0000E7090000}"/>
    <cellStyle name="20% - Accent2 2 2 5 4 2" xfId="10550" xr:uid="{00000000-0005-0000-0000-0000E8090000}"/>
    <cellStyle name="20% - Accent2 2 2 5 4 2 2" xfId="7022" xr:uid="{00000000-0005-0000-0000-0000E9090000}"/>
    <cellStyle name="20% - Accent2 2 2 5 4 3" xfId="3931" xr:uid="{00000000-0005-0000-0000-0000EA090000}"/>
    <cellStyle name="20% - Accent2 2 2 5 5" xfId="9928" xr:uid="{00000000-0005-0000-0000-0000EB090000}"/>
    <cellStyle name="20% - Accent2 2 2 5 5 2" xfId="3936" xr:uid="{00000000-0005-0000-0000-0000EC090000}"/>
    <cellStyle name="20% - Accent2 2 2 5 6" xfId="9936" xr:uid="{00000000-0005-0000-0000-0000ED090000}"/>
    <cellStyle name="20% - Accent2 2 2 6" xfId="1744" xr:uid="{00000000-0005-0000-0000-0000EE090000}"/>
    <cellStyle name="20% - Accent2 2 2 6 2" xfId="3947" xr:uid="{00000000-0005-0000-0000-0000EF090000}"/>
    <cellStyle name="20% - Accent2 2 2 6 2 2" xfId="3948" xr:uid="{00000000-0005-0000-0000-0000F0090000}"/>
    <cellStyle name="20% - Accent2 2 2 6 2 2 2" xfId="3309" xr:uid="{00000000-0005-0000-0000-0000F1090000}"/>
    <cellStyle name="20% - Accent2 2 2 6 2 2 2 2" xfId="17780" xr:uid="{00000000-0005-0000-0000-0000F2090000}"/>
    <cellStyle name="20% - Accent2 2 2 6 2 2 3" xfId="2028" xr:uid="{00000000-0005-0000-0000-0000F3090000}"/>
    <cellStyle name="20% - Accent2 2 2 6 2 3" xfId="403" xr:uid="{00000000-0005-0000-0000-0000F4090000}"/>
    <cellStyle name="20% - Accent2 2 2 6 2 3 2" xfId="2814" xr:uid="{00000000-0005-0000-0000-0000F5090000}"/>
    <cellStyle name="20% - Accent2 2 2 6 2 4" xfId="2719" xr:uid="{00000000-0005-0000-0000-0000F6090000}"/>
    <cellStyle name="20% - Accent2 2 2 6 3" xfId="4365" xr:uid="{00000000-0005-0000-0000-0000F7090000}"/>
    <cellStyle name="20% - Accent2 2 2 6 3 2" xfId="17104" xr:uid="{00000000-0005-0000-0000-0000F8090000}"/>
    <cellStyle name="20% - Accent2 2 2 6 3 2 2" xfId="2840" xr:uid="{00000000-0005-0000-0000-0000F9090000}"/>
    <cellStyle name="20% - Accent2 2 2 6 3 3" xfId="13670" xr:uid="{00000000-0005-0000-0000-0000FA090000}"/>
    <cellStyle name="20% - Accent2 2 2 6 4" xfId="9947" xr:uid="{00000000-0005-0000-0000-0000FB090000}"/>
    <cellStyle name="20% - Accent2 2 2 6 4 2" xfId="11320" xr:uid="{00000000-0005-0000-0000-0000FC090000}"/>
    <cellStyle name="20% - Accent2 2 2 6 5" xfId="10143" xr:uid="{00000000-0005-0000-0000-0000FD090000}"/>
    <cellStyle name="20% - Accent2 2 2 7" xfId="3975" xr:uid="{00000000-0005-0000-0000-0000FE090000}"/>
    <cellStyle name="20% - Accent2 2 2 7 2" xfId="3977" xr:uid="{00000000-0005-0000-0000-0000FF090000}"/>
    <cellStyle name="20% - Accent2 2 2 7 2 2" xfId="3978" xr:uid="{00000000-0005-0000-0000-0000000A0000}"/>
    <cellStyle name="20% - Accent2 2 2 7 2 2 2" xfId="6598" xr:uid="{00000000-0005-0000-0000-0000010A0000}"/>
    <cellStyle name="20% - Accent2 2 2 7 2 3" xfId="3981" xr:uid="{00000000-0005-0000-0000-0000020A0000}"/>
    <cellStyle name="20% - Accent2 2 2 7 3" xfId="5403" xr:uid="{00000000-0005-0000-0000-0000030A0000}"/>
    <cellStyle name="20% - Accent2 2 2 7 3 2" xfId="15876" xr:uid="{00000000-0005-0000-0000-0000040A0000}"/>
    <cellStyle name="20% - Accent2 2 2 7 4" xfId="15882" xr:uid="{00000000-0005-0000-0000-0000050A0000}"/>
    <cellStyle name="20% - Accent2 2 2 8" xfId="3982" xr:uid="{00000000-0005-0000-0000-0000060A0000}"/>
    <cellStyle name="20% - Accent2 2 2 8 2" xfId="974" xr:uid="{00000000-0005-0000-0000-0000070A0000}"/>
    <cellStyle name="20% - Accent2 2 2 8 2 2" xfId="8652" xr:uid="{00000000-0005-0000-0000-0000080A0000}"/>
    <cellStyle name="20% - Accent2 2 2 8 3" xfId="15892" xr:uid="{00000000-0005-0000-0000-0000090A0000}"/>
    <cellStyle name="20% - Accent2 2 2 9" xfId="3985" xr:uid="{00000000-0005-0000-0000-00000A0A0000}"/>
    <cellStyle name="20% - Accent2 2 2 9 2" xfId="6857" xr:uid="{00000000-0005-0000-0000-00000B0A0000}"/>
    <cellStyle name="20% - Accent2 2 3" xfId="1166" xr:uid="{00000000-0005-0000-0000-00000C0A0000}"/>
    <cellStyle name="20% - Accent2 2 3 2" xfId="1560" xr:uid="{00000000-0005-0000-0000-00000D0A0000}"/>
    <cellStyle name="20% - Accent2 2 3 2 2" xfId="1230" xr:uid="{00000000-0005-0000-0000-00000E0A0000}"/>
    <cellStyle name="20% - Accent2 2 3 2 2 2" xfId="3986" xr:uid="{00000000-0005-0000-0000-00000F0A0000}"/>
    <cellStyle name="20% - Accent2 2 3 2 2 2 2" xfId="4001" xr:uid="{00000000-0005-0000-0000-0000100A0000}"/>
    <cellStyle name="20% - Accent2 2 3 2 2 2 2 2" xfId="25503" xr:uid="{00000000-0005-0000-0000-0000110A0000}"/>
    <cellStyle name="20% - Accent2 2 3 2 2 2 2 2 2" xfId="17535" xr:uid="{00000000-0005-0000-0000-0000120A0000}"/>
    <cellStyle name="20% - Accent2 2 3 2 2 2 2 2 2 2" xfId="25011" xr:uid="{00000000-0005-0000-0000-0000130A0000}"/>
    <cellStyle name="20% - Accent2 2 3 2 2 2 2 2 2 2 2" xfId="11256" xr:uid="{00000000-0005-0000-0000-0000140A0000}"/>
    <cellStyle name="20% - Accent2 2 3 2 2 2 2 2 2 3" xfId="28591" xr:uid="{00000000-0005-0000-0000-0000150A0000}"/>
    <cellStyle name="20% - Accent2 2 3 2 2 2 2 2 3" xfId="7355" xr:uid="{00000000-0005-0000-0000-0000160A0000}"/>
    <cellStyle name="20% - Accent2 2 3 2 2 2 2 2 3 2" xfId="29897" xr:uid="{00000000-0005-0000-0000-0000170A0000}"/>
    <cellStyle name="20% - Accent2 2 3 2 2 2 2 2 4" xfId="3056" xr:uid="{00000000-0005-0000-0000-0000180A0000}"/>
    <cellStyle name="20% - Accent2 2 3 2 2 2 2 3" xfId="19413" xr:uid="{00000000-0005-0000-0000-0000190A0000}"/>
    <cellStyle name="20% - Accent2 2 3 2 2 2 2 3 2" xfId="4652" xr:uid="{00000000-0005-0000-0000-00001A0A0000}"/>
    <cellStyle name="20% - Accent2 2 3 2 2 2 2 3 2 2" xfId="4011" xr:uid="{00000000-0005-0000-0000-00001B0A0000}"/>
    <cellStyle name="20% - Accent2 2 3 2 2 2 2 3 3" xfId="7359" xr:uid="{00000000-0005-0000-0000-00001C0A0000}"/>
    <cellStyle name="20% - Accent2 2 3 2 2 2 2 4" xfId="19421" xr:uid="{00000000-0005-0000-0000-00001D0A0000}"/>
    <cellStyle name="20% - Accent2 2 3 2 2 2 2 4 2" xfId="5466" xr:uid="{00000000-0005-0000-0000-00001E0A0000}"/>
    <cellStyle name="20% - Accent2 2 3 2 2 2 2 5" xfId="5470" xr:uid="{00000000-0005-0000-0000-00001F0A0000}"/>
    <cellStyle name="20% - Accent2 2 3 2 2 2 3" xfId="4020" xr:uid="{00000000-0005-0000-0000-0000200A0000}"/>
    <cellStyle name="20% - Accent2 2 3 2 2 2 3 2" xfId="19428" xr:uid="{00000000-0005-0000-0000-0000210A0000}"/>
    <cellStyle name="20% - Accent2 2 3 2 2 2 3 2 2" xfId="3851" xr:uid="{00000000-0005-0000-0000-0000220A0000}"/>
    <cellStyle name="20% - Accent2 2 3 2 2 2 3 2 2 2" xfId="31123" xr:uid="{00000000-0005-0000-0000-0000230A0000}"/>
    <cellStyle name="20% - Accent2 2 3 2 2 2 3 2 3" xfId="7371" xr:uid="{00000000-0005-0000-0000-0000240A0000}"/>
    <cellStyle name="20% - Accent2 2 3 2 2 2 3 3" xfId="19438" xr:uid="{00000000-0005-0000-0000-0000250A0000}"/>
    <cellStyle name="20% - Accent2 2 3 2 2 2 3 3 2" xfId="953" xr:uid="{00000000-0005-0000-0000-0000260A0000}"/>
    <cellStyle name="20% - Accent2 2 3 2 2 2 3 4" xfId="30226" xr:uid="{00000000-0005-0000-0000-0000270A0000}"/>
    <cellStyle name="20% - Accent2 2 3 2 2 2 4" xfId="4022" xr:uid="{00000000-0005-0000-0000-0000280A0000}"/>
    <cellStyle name="20% - Accent2 2 3 2 2 2 4 2" xfId="19443" xr:uid="{00000000-0005-0000-0000-0000290A0000}"/>
    <cellStyle name="20% - Accent2 2 3 2 2 2 4 2 2" xfId="3939" xr:uid="{00000000-0005-0000-0000-00002A0A0000}"/>
    <cellStyle name="20% - Accent2 2 3 2 2 2 4 3" xfId="8883" xr:uid="{00000000-0005-0000-0000-00002B0A0000}"/>
    <cellStyle name="20% - Accent2 2 3 2 2 2 5" xfId="3897" xr:uid="{00000000-0005-0000-0000-00002C0A0000}"/>
    <cellStyle name="20% - Accent2 2 3 2 2 2 5 2" xfId="16628" xr:uid="{00000000-0005-0000-0000-00002D0A0000}"/>
    <cellStyle name="20% - Accent2 2 3 2 2 2 6" xfId="3489" xr:uid="{00000000-0005-0000-0000-00002E0A0000}"/>
    <cellStyle name="20% - Accent2 2 3 2 2 3" xfId="4024" xr:uid="{00000000-0005-0000-0000-00002F0A0000}"/>
    <cellStyle name="20% - Accent2 2 3 2 2 3 2" xfId="4037" xr:uid="{00000000-0005-0000-0000-0000300A0000}"/>
    <cellStyle name="20% - Accent2 2 3 2 2 3 2 2" xfId="4040" xr:uid="{00000000-0005-0000-0000-0000310A0000}"/>
    <cellStyle name="20% - Accent2 2 3 2 2 3 2 2 2" xfId="4906" xr:uid="{00000000-0005-0000-0000-0000320A0000}"/>
    <cellStyle name="20% - Accent2 2 3 2 2 3 2 2 2 2" xfId="4042" xr:uid="{00000000-0005-0000-0000-0000330A0000}"/>
    <cellStyle name="20% - Accent2 2 3 2 2 3 2 2 3" xfId="8711" xr:uid="{00000000-0005-0000-0000-0000340A0000}"/>
    <cellStyle name="20% - Accent2 2 3 2 2 3 2 3" xfId="24126" xr:uid="{00000000-0005-0000-0000-0000350A0000}"/>
    <cellStyle name="20% - Accent2 2 3 2 2 3 2 3 2" xfId="559" xr:uid="{00000000-0005-0000-0000-0000360A0000}"/>
    <cellStyle name="20% - Accent2 2 3 2 2 3 2 4" xfId="6044" xr:uid="{00000000-0005-0000-0000-0000370A0000}"/>
    <cellStyle name="20% - Accent2 2 3 2 2 3 3" xfId="4065" xr:uid="{00000000-0005-0000-0000-0000380A0000}"/>
    <cellStyle name="20% - Accent2 2 3 2 2 3 3 2" xfId="16144" xr:uid="{00000000-0005-0000-0000-0000390A0000}"/>
    <cellStyle name="20% - Accent2 2 3 2 2 3 3 2 2" xfId="2646" xr:uid="{00000000-0005-0000-0000-00003A0A0000}"/>
    <cellStyle name="20% - Accent2 2 3 2 2 3 3 3" xfId="14129" xr:uid="{00000000-0005-0000-0000-00003B0A0000}"/>
    <cellStyle name="20% - Accent2 2 3 2 2 3 4" xfId="4067" xr:uid="{00000000-0005-0000-0000-00003C0A0000}"/>
    <cellStyle name="20% - Accent2 2 3 2 2 3 4 2" xfId="13467" xr:uid="{00000000-0005-0000-0000-00003D0A0000}"/>
    <cellStyle name="20% - Accent2 2 3 2 2 3 5" xfId="1826" xr:uid="{00000000-0005-0000-0000-00003E0A0000}"/>
    <cellStyle name="20% - Accent2 2 3 2 2 4" xfId="3092" xr:uid="{00000000-0005-0000-0000-00003F0A0000}"/>
    <cellStyle name="20% - Accent2 2 3 2 2 4 2" xfId="6090" xr:uid="{00000000-0005-0000-0000-0000400A0000}"/>
    <cellStyle name="20% - Accent2 2 3 2 2 4 2 2" xfId="29724" xr:uid="{00000000-0005-0000-0000-0000410A0000}"/>
    <cellStyle name="20% - Accent2 2 3 2 2 4 2 2 2" xfId="2833" xr:uid="{00000000-0005-0000-0000-0000420A0000}"/>
    <cellStyle name="20% - Accent2 2 3 2 2 4 2 3" xfId="11470" xr:uid="{00000000-0005-0000-0000-0000430A0000}"/>
    <cellStyle name="20% - Accent2 2 3 2 2 4 3" xfId="20275" xr:uid="{00000000-0005-0000-0000-0000440A0000}"/>
    <cellStyle name="20% - Accent2 2 3 2 2 4 3 2" xfId="14137" xr:uid="{00000000-0005-0000-0000-0000450A0000}"/>
    <cellStyle name="20% - Accent2 2 3 2 2 4 4" xfId="20288" xr:uid="{00000000-0005-0000-0000-0000460A0000}"/>
    <cellStyle name="20% - Accent2 2 3 2 2 5" xfId="8957" xr:uid="{00000000-0005-0000-0000-0000470A0000}"/>
    <cellStyle name="20% - Accent2 2 3 2 2 5 2" xfId="24718" xr:uid="{00000000-0005-0000-0000-0000480A0000}"/>
    <cellStyle name="20% - Accent2 2 3 2 2 5 2 2" xfId="3917" xr:uid="{00000000-0005-0000-0000-0000490A0000}"/>
    <cellStyle name="20% - Accent2 2 3 2 2 5 3" xfId="18648" xr:uid="{00000000-0005-0000-0000-00004A0A0000}"/>
    <cellStyle name="20% - Accent2 2 3 2 2 6" xfId="12817" xr:uid="{00000000-0005-0000-0000-00004B0A0000}"/>
    <cellStyle name="20% - Accent2 2 3 2 2 6 2" xfId="16395" xr:uid="{00000000-0005-0000-0000-00004C0A0000}"/>
    <cellStyle name="20% - Accent2 2 3 2 2 7" xfId="12825" xr:uid="{00000000-0005-0000-0000-00004D0A0000}"/>
    <cellStyle name="20% - Accent2 2 3 2 3" xfId="6940" xr:uid="{00000000-0005-0000-0000-00004E0A0000}"/>
    <cellStyle name="20% - Accent2 2 3 2 3 2" xfId="1681" xr:uid="{00000000-0005-0000-0000-00004F0A0000}"/>
    <cellStyle name="20% - Accent2 2 3 2 3 2 2" xfId="4818" xr:uid="{00000000-0005-0000-0000-0000500A0000}"/>
    <cellStyle name="20% - Accent2 2 3 2 3 2 2 2" xfId="25988" xr:uid="{00000000-0005-0000-0000-0000510A0000}"/>
    <cellStyle name="20% - Accent2 2 3 2 3 2 2 2 2" xfId="3475" xr:uid="{00000000-0005-0000-0000-0000520A0000}"/>
    <cellStyle name="20% - Accent2 2 3 2 3 2 2 2 2 2" xfId="25283" xr:uid="{00000000-0005-0000-0000-0000530A0000}"/>
    <cellStyle name="20% - Accent2 2 3 2 3 2 2 2 3" xfId="4581" xr:uid="{00000000-0005-0000-0000-0000540A0000}"/>
    <cellStyle name="20% - Accent2 2 3 2 3 2 2 3" xfId="19513" xr:uid="{00000000-0005-0000-0000-0000550A0000}"/>
    <cellStyle name="20% - Accent2 2 3 2 3 2 2 3 2" xfId="4094" xr:uid="{00000000-0005-0000-0000-0000560A0000}"/>
    <cellStyle name="20% - Accent2 2 3 2 3 2 2 4" xfId="5489" xr:uid="{00000000-0005-0000-0000-0000570A0000}"/>
    <cellStyle name="20% - Accent2 2 3 2 3 2 3" xfId="5518" xr:uid="{00000000-0005-0000-0000-0000580A0000}"/>
    <cellStyle name="20% - Accent2 2 3 2 3 2 3 2" xfId="19519" xr:uid="{00000000-0005-0000-0000-0000590A0000}"/>
    <cellStyle name="20% - Accent2 2 3 2 3 2 3 2 2" xfId="6809" xr:uid="{00000000-0005-0000-0000-00005A0A0000}"/>
    <cellStyle name="20% - Accent2 2 3 2 3 2 3 3" xfId="3428" xr:uid="{00000000-0005-0000-0000-00005B0A0000}"/>
    <cellStyle name="20% - Accent2 2 3 2 3 2 4" xfId="5520" xr:uid="{00000000-0005-0000-0000-00005C0A0000}"/>
    <cellStyle name="20% - Accent2 2 3 2 3 2 4 2" xfId="6187" xr:uid="{00000000-0005-0000-0000-00005D0A0000}"/>
    <cellStyle name="20% - Accent2 2 3 2 3 2 5" xfId="4102" xr:uid="{00000000-0005-0000-0000-00005E0A0000}"/>
    <cellStyle name="20% - Accent2 2 3 2 3 3" xfId="34" xr:uid="{00000000-0005-0000-0000-00005F0A0000}"/>
    <cellStyle name="20% - Accent2 2 3 2 3 3 2" xfId="2336" xr:uid="{00000000-0005-0000-0000-0000600A0000}"/>
    <cellStyle name="20% - Accent2 2 3 2 3 3 2 2" xfId="19532" xr:uid="{00000000-0005-0000-0000-0000610A0000}"/>
    <cellStyle name="20% - Accent2 2 3 2 3 3 2 2 2" xfId="1949" xr:uid="{00000000-0005-0000-0000-0000620A0000}"/>
    <cellStyle name="20% - Accent2 2 3 2 3 3 2 3" xfId="5483" xr:uid="{00000000-0005-0000-0000-0000630A0000}"/>
    <cellStyle name="20% - Accent2 2 3 2 3 3 3" xfId="7876" xr:uid="{00000000-0005-0000-0000-0000640A0000}"/>
    <cellStyle name="20% - Accent2 2 3 2 3 3 3 2" xfId="10783" xr:uid="{00000000-0005-0000-0000-0000650A0000}"/>
    <cellStyle name="20% - Accent2 2 3 2 3 3 4" xfId="4105" xr:uid="{00000000-0005-0000-0000-0000660A0000}"/>
    <cellStyle name="20% - Accent2 2 3 2 3 4" xfId="5580" xr:uid="{00000000-0005-0000-0000-0000670A0000}"/>
    <cellStyle name="20% - Accent2 2 3 2 3 4 2" xfId="4086" xr:uid="{00000000-0005-0000-0000-0000680A0000}"/>
    <cellStyle name="20% - Accent2 2 3 2 3 4 2 2" xfId="11642" xr:uid="{00000000-0005-0000-0000-0000690A0000}"/>
    <cellStyle name="20% - Accent2 2 3 2 3 4 3" xfId="20300" xr:uid="{00000000-0005-0000-0000-00006A0A0000}"/>
    <cellStyle name="20% - Accent2 2 3 2 3 5" xfId="14727" xr:uid="{00000000-0005-0000-0000-00006B0A0000}"/>
    <cellStyle name="20% - Accent2 2 3 2 3 5 2" xfId="7283" xr:uid="{00000000-0005-0000-0000-00006C0A0000}"/>
    <cellStyle name="20% - Accent2 2 3 2 3 6" xfId="14736" xr:uid="{00000000-0005-0000-0000-00006D0A0000}"/>
    <cellStyle name="20% - Accent2 2 3 2 4" xfId="8007" xr:uid="{00000000-0005-0000-0000-00006E0A0000}"/>
    <cellStyle name="20% - Accent2 2 3 2 4 2" xfId="4107" xr:uid="{00000000-0005-0000-0000-00006F0A0000}"/>
    <cellStyle name="20% - Accent2 2 3 2 4 2 2" xfId="3945" xr:uid="{00000000-0005-0000-0000-0000700A0000}"/>
    <cellStyle name="20% - Accent2 2 3 2 4 2 2 2" xfId="19564" xr:uid="{00000000-0005-0000-0000-0000710A0000}"/>
    <cellStyle name="20% - Accent2 2 3 2 4 2 2 2 2" xfId="2411" xr:uid="{00000000-0005-0000-0000-0000720A0000}"/>
    <cellStyle name="20% - Accent2 2 3 2 4 2 2 3" xfId="10861" xr:uid="{00000000-0005-0000-0000-0000730A0000}"/>
    <cellStyle name="20% - Accent2 2 3 2 4 2 3" xfId="5534" xr:uid="{00000000-0005-0000-0000-0000740A0000}"/>
    <cellStyle name="20% - Accent2 2 3 2 4 2 3 2" xfId="4111" xr:uid="{00000000-0005-0000-0000-0000750A0000}"/>
    <cellStyle name="20% - Accent2 2 3 2 4 2 4" xfId="4117" xr:uid="{00000000-0005-0000-0000-0000760A0000}"/>
    <cellStyle name="20% - Accent2 2 3 2 4 3" xfId="2338" xr:uid="{00000000-0005-0000-0000-0000770A0000}"/>
    <cellStyle name="20% - Accent2 2 3 2 4 3 2" xfId="4120" xr:uid="{00000000-0005-0000-0000-0000780A0000}"/>
    <cellStyle name="20% - Accent2 2 3 2 4 3 2 2" xfId="4954" xr:uid="{00000000-0005-0000-0000-0000790A0000}"/>
    <cellStyle name="20% - Accent2 2 3 2 4 3 3" xfId="4123" xr:uid="{00000000-0005-0000-0000-00007A0A0000}"/>
    <cellStyle name="20% - Accent2 2 3 2 4 4" xfId="4126" xr:uid="{00000000-0005-0000-0000-00007B0A0000}"/>
    <cellStyle name="20% - Accent2 2 3 2 4 4 2" xfId="4130" xr:uid="{00000000-0005-0000-0000-00007C0A0000}"/>
    <cellStyle name="20% - Accent2 2 3 2 4 5" xfId="14744" xr:uid="{00000000-0005-0000-0000-00007D0A0000}"/>
    <cellStyle name="20% - Accent2 2 3 2 5" xfId="47" xr:uid="{00000000-0005-0000-0000-00007E0A0000}"/>
    <cellStyle name="20% - Accent2 2 3 2 5 2" xfId="4135" xr:uid="{00000000-0005-0000-0000-00007F0A0000}"/>
    <cellStyle name="20% - Accent2 2 3 2 5 2 2" xfId="4137" xr:uid="{00000000-0005-0000-0000-0000800A0000}"/>
    <cellStyle name="20% - Accent2 2 3 2 5 2 2 2" xfId="12253" xr:uid="{00000000-0005-0000-0000-0000810A0000}"/>
    <cellStyle name="20% - Accent2 2 3 2 5 2 3" xfId="4141" xr:uid="{00000000-0005-0000-0000-0000820A0000}"/>
    <cellStyle name="20% - Accent2 2 3 2 5 3" xfId="4147" xr:uid="{00000000-0005-0000-0000-0000830A0000}"/>
    <cellStyle name="20% - Accent2 2 3 2 5 3 2" xfId="4152" xr:uid="{00000000-0005-0000-0000-0000840A0000}"/>
    <cellStyle name="20% - Accent2 2 3 2 5 4" xfId="1247" xr:uid="{00000000-0005-0000-0000-0000850A0000}"/>
    <cellStyle name="20% - Accent2 2 3 2 6" xfId="1922" xr:uid="{00000000-0005-0000-0000-0000860A0000}"/>
    <cellStyle name="20% - Accent2 2 3 2 6 2" xfId="4155" xr:uid="{00000000-0005-0000-0000-0000870A0000}"/>
    <cellStyle name="20% - Accent2 2 3 2 6 2 2" xfId="14624" xr:uid="{00000000-0005-0000-0000-0000880A0000}"/>
    <cellStyle name="20% - Accent2 2 3 2 6 3" xfId="5251" xr:uid="{00000000-0005-0000-0000-0000890A0000}"/>
    <cellStyle name="20% - Accent2 2 3 2 7" xfId="4164" xr:uid="{00000000-0005-0000-0000-00008A0A0000}"/>
    <cellStyle name="20% - Accent2 2 3 2 7 2" xfId="4171" xr:uid="{00000000-0005-0000-0000-00008B0A0000}"/>
    <cellStyle name="20% - Accent2 2 3 2 8" xfId="4174" xr:uid="{00000000-0005-0000-0000-00008C0A0000}"/>
    <cellStyle name="20% - Accent2 2 3 3" xfId="2590" xr:uid="{00000000-0005-0000-0000-00008D0A0000}"/>
    <cellStyle name="20% - Accent2 2 3 3 2" xfId="492" xr:uid="{00000000-0005-0000-0000-00008E0A0000}"/>
    <cellStyle name="20% - Accent2 2 3 3 2 2" xfId="4180" xr:uid="{00000000-0005-0000-0000-00008F0A0000}"/>
    <cellStyle name="20% - Accent2 2 3 3 2 2 2" xfId="2077" xr:uid="{00000000-0005-0000-0000-0000900A0000}"/>
    <cellStyle name="20% - Accent2 2 3 3 2 2 2 2" xfId="6129" xr:uid="{00000000-0005-0000-0000-0000910A0000}"/>
    <cellStyle name="20% - Accent2 2 3 3 2 2 2 2 2" xfId="4182" xr:uid="{00000000-0005-0000-0000-0000920A0000}"/>
    <cellStyle name="20% - Accent2 2 3 3 2 2 2 2 2 2" xfId="4701" xr:uid="{00000000-0005-0000-0000-0000930A0000}"/>
    <cellStyle name="20% - Accent2 2 3 3 2 2 2 2 3" xfId="4188" xr:uid="{00000000-0005-0000-0000-0000940A0000}"/>
    <cellStyle name="20% - Accent2 2 3 3 2 2 2 3" xfId="4202" xr:uid="{00000000-0005-0000-0000-0000950A0000}"/>
    <cellStyle name="20% - Accent2 2 3 3 2 2 2 3 2" xfId="4217" xr:uid="{00000000-0005-0000-0000-0000960A0000}"/>
    <cellStyle name="20% - Accent2 2 3 3 2 2 2 4" xfId="4976" xr:uid="{00000000-0005-0000-0000-0000970A0000}"/>
    <cellStyle name="20% - Accent2 2 3 3 2 2 3" xfId="6355" xr:uid="{00000000-0005-0000-0000-0000980A0000}"/>
    <cellStyle name="20% - Accent2 2 3 3 2 2 3 2" xfId="5620" xr:uid="{00000000-0005-0000-0000-0000990A0000}"/>
    <cellStyle name="20% - Accent2 2 3 3 2 2 3 2 2" xfId="13899" xr:uid="{00000000-0005-0000-0000-00009A0A0000}"/>
    <cellStyle name="20% - Accent2 2 3 3 2 2 3 3" xfId="4225" xr:uid="{00000000-0005-0000-0000-00009B0A0000}"/>
    <cellStyle name="20% - Accent2 2 3 3 2 2 4" xfId="20448" xr:uid="{00000000-0005-0000-0000-00009C0A0000}"/>
    <cellStyle name="20% - Accent2 2 3 3 2 2 4 2" xfId="4228" xr:uid="{00000000-0005-0000-0000-00009D0A0000}"/>
    <cellStyle name="20% - Accent2 2 3 3 2 2 5" xfId="4233" xr:uid="{00000000-0005-0000-0000-00009E0A0000}"/>
    <cellStyle name="20% - Accent2 2 3 3 2 3" xfId="5869" xr:uid="{00000000-0005-0000-0000-00009F0A0000}"/>
    <cellStyle name="20% - Accent2 2 3 3 2 3 2" xfId="25561" xr:uid="{00000000-0005-0000-0000-0000A00A0000}"/>
    <cellStyle name="20% - Accent2 2 3 3 2 3 2 2" xfId="4243" xr:uid="{00000000-0005-0000-0000-0000A10A0000}"/>
    <cellStyle name="20% - Accent2 2 3 3 2 3 2 2 2" xfId="12770" xr:uid="{00000000-0005-0000-0000-0000A20A0000}"/>
    <cellStyle name="20% - Accent2 2 3 3 2 3 2 3" xfId="7054" xr:uid="{00000000-0005-0000-0000-0000A30A0000}"/>
    <cellStyle name="20% - Accent2 2 3 3 2 3 3" xfId="20454" xr:uid="{00000000-0005-0000-0000-0000A40A0000}"/>
    <cellStyle name="20% - Accent2 2 3 3 2 3 3 2" xfId="3337" xr:uid="{00000000-0005-0000-0000-0000A50A0000}"/>
    <cellStyle name="20% - Accent2 2 3 3 2 3 4" xfId="4249" xr:uid="{00000000-0005-0000-0000-0000A60A0000}"/>
    <cellStyle name="20% - Accent2 2 3 3 2 4" xfId="5878" xr:uid="{00000000-0005-0000-0000-0000A70A0000}"/>
    <cellStyle name="20% - Accent2 2 3 3 2 4 2" xfId="20461" xr:uid="{00000000-0005-0000-0000-0000A80A0000}"/>
    <cellStyle name="20% - Accent2 2 3 3 2 4 2 2" xfId="12063" xr:uid="{00000000-0005-0000-0000-0000A90A0000}"/>
    <cellStyle name="20% - Accent2 2 3 3 2 4 3" xfId="22063" xr:uid="{00000000-0005-0000-0000-0000AA0A0000}"/>
    <cellStyle name="20% - Accent2 2 3 3 2 5" xfId="16669" xr:uid="{00000000-0005-0000-0000-0000AB0A0000}"/>
    <cellStyle name="20% - Accent2 2 3 3 2 5 2" xfId="26830" xr:uid="{00000000-0005-0000-0000-0000AC0A0000}"/>
    <cellStyle name="20% - Accent2 2 3 3 2 6" xfId="7207" xr:uid="{00000000-0005-0000-0000-0000AD0A0000}"/>
    <cellStyle name="20% - Accent2 2 3 3 3" xfId="72" xr:uid="{00000000-0005-0000-0000-0000AE0A0000}"/>
    <cellStyle name="20% - Accent2 2 3 3 3 2" xfId="4254" xr:uid="{00000000-0005-0000-0000-0000AF0A0000}"/>
    <cellStyle name="20% - Accent2 2 3 3 3 2 2" xfId="20474" xr:uid="{00000000-0005-0000-0000-0000B00A0000}"/>
    <cellStyle name="20% - Accent2 2 3 3 3 2 2 2" xfId="15377" xr:uid="{00000000-0005-0000-0000-0000B10A0000}"/>
    <cellStyle name="20% - Accent2 2 3 3 3 2 2 2 2" xfId="5823" xr:uid="{00000000-0005-0000-0000-0000B20A0000}"/>
    <cellStyle name="20% - Accent2 2 3 3 3 2 2 3" xfId="16303" xr:uid="{00000000-0005-0000-0000-0000B30A0000}"/>
    <cellStyle name="20% - Accent2 2 3 3 3 2 3" xfId="20478" xr:uid="{00000000-0005-0000-0000-0000B40A0000}"/>
    <cellStyle name="20% - Accent2 2 3 3 3 2 3 2" xfId="4266" xr:uid="{00000000-0005-0000-0000-0000B50A0000}"/>
    <cellStyle name="20% - Accent2 2 3 3 3 2 4" xfId="4271" xr:uid="{00000000-0005-0000-0000-0000B60A0000}"/>
    <cellStyle name="20% - Accent2 2 3 3 3 3" xfId="5885" xr:uid="{00000000-0005-0000-0000-0000B70A0000}"/>
    <cellStyle name="20% - Accent2 2 3 3 3 3 2" xfId="20482" xr:uid="{00000000-0005-0000-0000-0000B80A0000}"/>
    <cellStyle name="20% - Accent2 2 3 3 3 3 2 2" xfId="3885" xr:uid="{00000000-0005-0000-0000-0000B90A0000}"/>
    <cellStyle name="20% - Accent2 2 3 3 3 3 3" xfId="4286" xr:uid="{00000000-0005-0000-0000-0000BA0A0000}"/>
    <cellStyle name="20% - Accent2 2 3 3 3 4" xfId="7291" xr:uid="{00000000-0005-0000-0000-0000BB0A0000}"/>
    <cellStyle name="20% - Accent2 2 3 3 3 4 2" xfId="744" xr:uid="{00000000-0005-0000-0000-0000BC0A0000}"/>
    <cellStyle name="20% - Accent2 2 3 3 3 5" xfId="12834" xr:uid="{00000000-0005-0000-0000-0000BD0A0000}"/>
    <cellStyle name="20% - Accent2 2 3 3 4" xfId="8879" xr:uid="{00000000-0005-0000-0000-0000BE0A0000}"/>
    <cellStyle name="20% - Accent2 2 3 3 4 2" xfId="3789" xr:uid="{00000000-0005-0000-0000-0000BF0A0000}"/>
    <cellStyle name="20% - Accent2 2 3 3 4 2 2" xfId="20501" xr:uid="{00000000-0005-0000-0000-0000C00A0000}"/>
    <cellStyle name="20% - Accent2 2 3 3 4 2 2 2" xfId="4291" xr:uid="{00000000-0005-0000-0000-0000C10A0000}"/>
    <cellStyle name="20% - Accent2 2 3 3 4 2 3" xfId="4294" xr:uid="{00000000-0005-0000-0000-0000C20A0000}"/>
    <cellStyle name="20% - Accent2 2 3 3 4 3" xfId="7293" xr:uid="{00000000-0005-0000-0000-0000C30A0000}"/>
    <cellStyle name="20% - Accent2 2 3 3 4 3 2" xfId="3262" xr:uid="{00000000-0005-0000-0000-0000C40A0000}"/>
    <cellStyle name="20% - Accent2 2 3 3 4 4" xfId="8693" xr:uid="{00000000-0005-0000-0000-0000C50A0000}"/>
    <cellStyle name="20% - Accent2 2 3 3 5" xfId="4296" xr:uid="{00000000-0005-0000-0000-0000C60A0000}"/>
    <cellStyle name="20% - Accent2 2 3 3 5 2" xfId="3802" xr:uid="{00000000-0005-0000-0000-0000C70A0000}"/>
    <cellStyle name="20% - Accent2 2 3 3 5 2 2" xfId="22571" xr:uid="{00000000-0005-0000-0000-0000C80A0000}"/>
    <cellStyle name="20% - Accent2 2 3 3 5 3" xfId="3624" xr:uid="{00000000-0005-0000-0000-0000C90A0000}"/>
    <cellStyle name="20% - Accent2 2 3 3 6" xfId="4306" xr:uid="{00000000-0005-0000-0000-0000CA0A0000}"/>
    <cellStyle name="20% - Accent2 2 3 3 6 2" xfId="3809" xr:uid="{00000000-0005-0000-0000-0000CB0A0000}"/>
    <cellStyle name="20% - Accent2 2 3 3 7" xfId="4312" xr:uid="{00000000-0005-0000-0000-0000CC0A0000}"/>
    <cellStyle name="20% - Accent2 2 3 4" xfId="11358" xr:uid="{00000000-0005-0000-0000-0000CD0A0000}"/>
    <cellStyle name="20% - Accent2 2 3 4 2" xfId="7265" xr:uid="{00000000-0005-0000-0000-0000CE0A0000}"/>
    <cellStyle name="20% - Accent2 2 3 4 2 2" xfId="4318" xr:uid="{00000000-0005-0000-0000-0000CF0A0000}"/>
    <cellStyle name="20% - Accent2 2 3 4 2 2 2" xfId="20569" xr:uid="{00000000-0005-0000-0000-0000D00A0000}"/>
    <cellStyle name="20% - Accent2 2 3 4 2 2 2 2" xfId="16037" xr:uid="{00000000-0005-0000-0000-0000D10A0000}"/>
    <cellStyle name="20% - Accent2 2 3 4 2 2 2 2 2" xfId="6500" xr:uid="{00000000-0005-0000-0000-0000D20A0000}"/>
    <cellStyle name="20% - Accent2 2 3 4 2 2 2 3" xfId="4320" xr:uid="{00000000-0005-0000-0000-0000D30A0000}"/>
    <cellStyle name="20% - Accent2 2 3 4 2 2 3" xfId="20572" xr:uid="{00000000-0005-0000-0000-0000D40A0000}"/>
    <cellStyle name="20% - Accent2 2 3 4 2 2 3 2" xfId="4330" xr:uid="{00000000-0005-0000-0000-0000D50A0000}"/>
    <cellStyle name="20% - Accent2 2 3 4 2 2 4" xfId="10794" xr:uid="{00000000-0005-0000-0000-0000D60A0000}"/>
    <cellStyle name="20% - Accent2 2 3 4 2 3" xfId="4343" xr:uid="{00000000-0005-0000-0000-0000D70A0000}"/>
    <cellStyle name="20% - Accent2 2 3 4 2 3 2" xfId="20577" xr:uid="{00000000-0005-0000-0000-0000D80A0000}"/>
    <cellStyle name="20% - Accent2 2 3 4 2 3 2 2" xfId="22072" xr:uid="{00000000-0005-0000-0000-0000D90A0000}"/>
    <cellStyle name="20% - Accent2 2 3 4 2 3 3" xfId="4348" xr:uid="{00000000-0005-0000-0000-0000DA0A0000}"/>
    <cellStyle name="20% - Accent2 2 3 4 2 4" xfId="7313" xr:uid="{00000000-0005-0000-0000-0000DB0A0000}"/>
    <cellStyle name="20% - Accent2 2 3 4 2 4 2" xfId="1617" xr:uid="{00000000-0005-0000-0000-0000DC0A0000}"/>
    <cellStyle name="20% - Accent2 2 3 4 2 5" xfId="12843" xr:uid="{00000000-0005-0000-0000-0000DD0A0000}"/>
    <cellStyle name="20% - Accent2 2 3 4 3" xfId="25" xr:uid="{00000000-0005-0000-0000-0000DE0A0000}"/>
    <cellStyle name="20% - Accent2 2 3 4 3 2" xfId="7379" xr:uid="{00000000-0005-0000-0000-0000DF0A0000}"/>
    <cellStyle name="20% - Accent2 2 3 4 3 2 2" xfId="20588" xr:uid="{00000000-0005-0000-0000-0000E00A0000}"/>
    <cellStyle name="20% - Accent2 2 3 4 3 2 2 2" xfId="14314" xr:uid="{00000000-0005-0000-0000-0000E10A0000}"/>
    <cellStyle name="20% - Accent2 2 3 4 3 2 3" xfId="4371" xr:uid="{00000000-0005-0000-0000-0000E20A0000}"/>
    <cellStyle name="20% - Accent2 2 3 4 3 3" xfId="7315" xr:uid="{00000000-0005-0000-0000-0000E30A0000}"/>
    <cellStyle name="20% - Accent2 2 3 4 3 3 2" xfId="916" xr:uid="{00000000-0005-0000-0000-0000E40A0000}"/>
    <cellStyle name="20% - Accent2 2 3 4 3 4" xfId="417" xr:uid="{00000000-0005-0000-0000-0000E50A0000}"/>
    <cellStyle name="20% - Accent2 2 3 4 4" xfId="4387" xr:uid="{00000000-0005-0000-0000-0000E60A0000}"/>
    <cellStyle name="20% - Accent2 2 3 4 4 2" xfId="3812" xr:uid="{00000000-0005-0000-0000-0000E70A0000}"/>
    <cellStyle name="20% - Accent2 2 3 4 4 2 2" xfId="4390" xr:uid="{00000000-0005-0000-0000-0000E80A0000}"/>
    <cellStyle name="20% - Accent2 2 3 4 4 3" xfId="131" xr:uid="{00000000-0005-0000-0000-0000E90A0000}"/>
    <cellStyle name="20% - Accent2 2 3 4 5" xfId="4398" xr:uid="{00000000-0005-0000-0000-0000EA0A0000}"/>
    <cellStyle name="20% - Accent2 2 3 4 5 2" xfId="13113" xr:uid="{00000000-0005-0000-0000-0000EB0A0000}"/>
    <cellStyle name="20% - Accent2 2 3 4 6" xfId="4411" xr:uid="{00000000-0005-0000-0000-0000EC0A0000}"/>
    <cellStyle name="20% - Accent2 2 3 5" xfId="12559" xr:uid="{00000000-0005-0000-0000-0000ED0A0000}"/>
    <cellStyle name="20% - Accent2 2 3 5 2" xfId="78" xr:uid="{00000000-0005-0000-0000-0000EE0A0000}"/>
    <cellStyle name="20% - Accent2 2 3 5 2 2" xfId="4420" xr:uid="{00000000-0005-0000-0000-0000EF0A0000}"/>
    <cellStyle name="20% - Accent2 2 3 5 2 2 2" xfId="20630" xr:uid="{00000000-0005-0000-0000-0000F00A0000}"/>
    <cellStyle name="20% - Accent2 2 3 5 2 2 2 2" xfId="4422" xr:uid="{00000000-0005-0000-0000-0000F10A0000}"/>
    <cellStyle name="20% - Accent2 2 3 5 2 2 3" xfId="754" xr:uid="{00000000-0005-0000-0000-0000F20A0000}"/>
    <cellStyle name="20% - Accent2 2 3 5 2 3" xfId="7325" xr:uid="{00000000-0005-0000-0000-0000F30A0000}"/>
    <cellStyle name="20% - Accent2 2 3 5 2 3 2" xfId="4423" xr:uid="{00000000-0005-0000-0000-0000F40A0000}"/>
    <cellStyle name="20% - Accent2 2 3 5 2 4" xfId="3684" xr:uid="{00000000-0005-0000-0000-0000F50A0000}"/>
    <cellStyle name="20% - Accent2 2 3 5 3" xfId="1872" xr:uid="{00000000-0005-0000-0000-0000F60A0000}"/>
    <cellStyle name="20% - Accent2 2 3 5 3 2" xfId="4435" xr:uid="{00000000-0005-0000-0000-0000F70A0000}"/>
    <cellStyle name="20% - Accent2 2 3 5 3 2 2" xfId="4439" xr:uid="{00000000-0005-0000-0000-0000F80A0000}"/>
    <cellStyle name="20% - Accent2 2 3 5 3 3" xfId="4441" xr:uid="{00000000-0005-0000-0000-0000F90A0000}"/>
    <cellStyle name="20% - Accent2 2 3 5 4" xfId="9961" xr:uid="{00000000-0005-0000-0000-0000FA0A0000}"/>
    <cellStyle name="20% - Accent2 2 3 5 4 2" xfId="3834" xr:uid="{00000000-0005-0000-0000-0000FB0A0000}"/>
    <cellStyle name="20% - Accent2 2 3 5 5" xfId="9966" xr:uid="{00000000-0005-0000-0000-0000FC0A0000}"/>
    <cellStyle name="20% - Accent2 2 3 6" xfId="5508" xr:uid="{00000000-0005-0000-0000-0000FD0A0000}"/>
    <cellStyle name="20% - Accent2 2 3 6 2" xfId="4453" xr:uid="{00000000-0005-0000-0000-0000FE0A0000}"/>
    <cellStyle name="20% - Accent2 2 3 6 2 2" xfId="4455" xr:uid="{00000000-0005-0000-0000-0000FF0A0000}"/>
    <cellStyle name="20% - Accent2 2 3 6 2 2 2" xfId="4929" xr:uid="{00000000-0005-0000-0000-0000000B0000}"/>
    <cellStyle name="20% - Accent2 2 3 6 2 3" xfId="4467" xr:uid="{00000000-0005-0000-0000-0000010B0000}"/>
    <cellStyle name="20% - Accent2 2 3 6 3" xfId="4469" xr:uid="{00000000-0005-0000-0000-0000020B0000}"/>
    <cellStyle name="20% - Accent2 2 3 6 3 2" xfId="10325" xr:uid="{00000000-0005-0000-0000-0000030B0000}"/>
    <cellStyle name="20% - Accent2 2 3 6 4" xfId="10155" xr:uid="{00000000-0005-0000-0000-0000040B0000}"/>
    <cellStyle name="20% - Accent2 2 3 7" xfId="8608" xr:uid="{00000000-0005-0000-0000-0000050B0000}"/>
    <cellStyle name="20% - Accent2 2 3 7 2" xfId="8615" xr:uid="{00000000-0005-0000-0000-0000060B0000}"/>
    <cellStyle name="20% - Accent2 2 3 7 2 2" xfId="12679" xr:uid="{00000000-0005-0000-0000-0000070B0000}"/>
    <cellStyle name="20% - Accent2 2 3 7 3" xfId="15900" xr:uid="{00000000-0005-0000-0000-0000080B0000}"/>
    <cellStyle name="20% - Accent2 2 3 8" xfId="12886" xr:uid="{00000000-0005-0000-0000-0000090B0000}"/>
    <cellStyle name="20% - Accent2 2 3 8 2" xfId="33" xr:uid="{00000000-0005-0000-0000-00000A0B0000}"/>
    <cellStyle name="20% - Accent2 2 3 9" xfId="8414" xr:uid="{00000000-0005-0000-0000-00000B0B0000}"/>
    <cellStyle name="20% - Accent2 2 4" xfId="10310" xr:uid="{00000000-0005-0000-0000-00000C0B0000}"/>
    <cellStyle name="20% - Accent2 2 4 2" xfId="4497" xr:uid="{00000000-0005-0000-0000-00000D0B0000}"/>
    <cellStyle name="20% - Accent2 2 4 2 2" xfId="1981" xr:uid="{00000000-0005-0000-0000-00000E0B0000}"/>
    <cellStyle name="20% - Accent2 2 4 2 2 2" xfId="4501" xr:uid="{00000000-0005-0000-0000-00000F0B0000}"/>
    <cellStyle name="20% - Accent2 2 4 2 2 2 2" xfId="7622" xr:uid="{00000000-0005-0000-0000-0000100B0000}"/>
    <cellStyle name="20% - Accent2 2 4 2 2 2 2 2" xfId="26560" xr:uid="{00000000-0005-0000-0000-0000110B0000}"/>
    <cellStyle name="20% - Accent2 2 4 2 2 2 2 2 2" xfId="4506" xr:uid="{00000000-0005-0000-0000-0000120B0000}"/>
    <cellStyle name="20% - Accent2 2 4 2 2 2 2 2 2 2" xfId="14582" xr:uid="{00000000-0005-0000-0000-0000130B0000}"/>
    <cellStyle name="20% - Accent2 2 4 2 2 2 2 2 3" xfId="8384" xr:uid="{00000000-0005-0000-0000-0000140B0000}"/>
    <cellStyle name="20% - Accent2 2 4 2 2 2 2 3" xfId="24776" xr:uid="{00000000-0005-0000-0000-0000150B0000}"/>
    <cellStyle name="20% - Accent2 2 4 2 2 2 2 3 2" xfId="6102" xr:uid="{00000000-0005-0000-0000-0000160B0000}"/>
    <cellStyle name="20% - Accent2 2 4 2 2 2 2 4" xfId="11202" xr:uid="{00000000-0005-0000-0000-0000170B0000}"/>
    <cellStyle name="20% - Accent2 2 4 2 2 2 3" xfId="4520" xr:uid="{00000000-0005-0000-0000-0000180B0000}"/>
    <cellStyle name="20% - Accent2 2 4 2 2 2 3 2" xfId="10870" xr:uid="{00000000-0005-0000-0000-0000190B0000}"/>
    <cellStyle name="20% - Accent2 2 4 2 2 2 3 2 2" xfId="4528" xr:uid="{00000000-0005-0000-0000-00001A0B0000}"/>
    <cellStyle name="20% - Accent2 2 4 2 2 2 3 3" xfId="12806" xr:uid="{00000000-0005-0000-0000-00001B0B0000}"/>
    <cellStyle name="20% - Accent2 2 4 2 2 2 4" xfId="5151" xr:uid="{00000000-0005-0000-0000-00001C0B0000}"/>
    <cellStyle name="20% - Accent2 2 4 2 2 2 4 2" xfId="12809" xr:uid="{00000000-0005-0000-0000-00001D0B0000}"/>
    <cellStyle name="20% - Accent2 2 4 2 2 2 5" xfId="4549" xr:uid="{00000000-0005-0000-0000-00001E0B0000}"/>
    <cellStyle name="20% - Accent2 2 4 2 2 3" xfId="4554" xr:uid="{00000000-0005-0000-0000-00001F0B0000}"/>
    <cellStyle name="20% - Accent2 2 4 2 2 3 2" xfId="4557" xr:uid="{00000000-0005-0000-0000-0000200B0000}"/>
    <cellStyle name="20% - Accent2 2 4 2 2 3 2 2" xfId="7501" xr:uid="{00000000-0005-0000-0000-0000210B0000}"/>
    <cellStyle name="20% - Accent2 2 4 2 2 3 2 2 2" xfId="4563" xr:uid="{00000000-0005-0000-0000-0000220B0000}"/>
    <cellStyle name="20% - Accent2 2 4 2 2 3 2 3" xfId="17225" xr:uid="{00000000-0005-0000-0000-0000230B0000}"/>
    <cellStyle name="20% - Accent2 2 4 2 2 3 3" xfId="12839" xr:uid="{00000000-0005-0000-0000-0000240B0000}"/>
    <cellStyle name="20% - Accent2 2 4 2 2 3 3 2" xfId="12846" xr:uid="{00000000-0005-0000-0000-0000250B0000}"/>
    <cellStyle name="20% - Accent2 2 4 2 2 3 4" xfId="4569" xr:uid="{00000000-0005-0000-0000-0000260B0000}"/>
    <cellStyle name="20% - Accent2 2 4 2 2 4" xfId="3120" xr:uid="{00000000-0005-0000-0000-0000270B0000}"/>
    <cellStyle name="20% - Accent2 2 4 2 2 4 2" xfId="7637" xr:uid="{00000000-0005-0000-0000-0000280B0000}"/>
    <cellStyle name="20% - Accent2 2 4 2 2 4 2 2" xfId="18880" xr:uid="{00000000-0005-0000-0000-0000290B0000}"/>
    <cellStyle name="20% - Accent2 2 4 2 2 4 3" xfId="12449" xr:uid="{00000000-0005-0000-0000-00002A0B0000}"/>
    <cellStyle name="20% - Accent2 2 4 2 2 5" xfId="12849" xr:uid="{00000000-0005-0000-0000-00002B0B0000}"/>
    <cellStyle name="20% - Accent2 2 4 2 2 5 2" xfId="6758" xr:uid="{00000000-0005-0000-0000-00002C0B0000}"/>
    <cellStyle name="20% - Accent2 2 4 2 2 6" xfId="12855" xr:uid="{00000000-0005-0000-0000-00002D0B0000}"/>
    <cellStyle name="20% - Accent2 2 4 2 3" xfId="2276" xr:uid="{00000000-0005-0000-0000-00002E0B0000}"/>
    <cellStyle name="20% - Accent2 2 4 2 3 2" xfId="4599" xr:uid="{00000000-0005-0000-0000-00002F0B0000}"/>
    <cellStyle name="20% - Accent2 2 4 2 3 2 2" xfId="7713" xr:uid="{00000000-0005-0000-0000-0000300B0000}"/>
    <cellStyle name="20% - Accent2 2 4 2 3 2 2 2" xfId="12971" xr:uid="{00000000-0005-0000-0000-0000310B0000}"/>
    <cellStyle name="20% - Accent2 2 4 2 3 2 2 2 2" xfId="9190" xr:uid="{00000000-0005-0000-0000-0000320B0000}"/>
    <cellStyle name="20% - Accent2 2 4 2 3 2 2 3" xfId="7220" xr:uid="{00000000-0005-0000-0000-0000330B0000}"/>
    <cellStyle name="20% - Accent2 2 4 2 3 2 3" xfId="10720" xr:uid="{00000000-0005-0000-0000-0000340B0000}"/>
    <cellStyle name="20% - Accent2 2 4 2 3 2 3 2" xfId="12977" xr:uid="{00000000-0005-0000-0000-0000350B0000}"/>
    <cellStyle name="20% - Accent2 2 4 2 3 2 4" xfId="4607" xr:uid="{00000000-0005-0000-0000-0000360B0000}"/>
    <cellStyle name="20% - Accent2 2 4 2 3 3" xfId="14998" xr:uid="{00000000-0005-0000-0000-0000370B0000}"/>
    <cellStyle name="20% - Accent2 2 4 2 3 3 2" xfId="7722" xr:uid="{00000000-0005-0000-0000-0000380B0000}"/>
    <cellStyle name="20% - Accent2 2 4 2 3 3 2 2" xfId="23580" xr:uid="{00000000-0005-0000-0000-0000390B0000}"/>
    <cellStyle name="20% - Accent2 2 4 2 3 3 3" xfId="4613" xr:uid="{00000000-0005-0000-0000-00003A0B0000}"/>
    <cellStyle name="20% - Accent2 2 4 2 3 4" xfId="4615" xr:uid="{00000000-0005-0000-0000-00003B0B0000}"/>
    <cellStyle name="20% - Accent2 2 4 2 3 4 2" xfId="2425" xr:uid="{00000000-0005-0000-0000-00003C0B0000}"/>
    <cellStyle name="20% - Accent2 2 4 2 3 5" xfId="12865" xr:uid="{00000000-0005-0000-0000-00003D0B0000}"/>
    <cellStyle name="20% - Accent2 2 4 2 4" xfId="12174" xr:uid="{00000000-0005-0000-0000-00003E0B0000}"/>
    <cellStyle name="20% - Accent2 2 4 2 4 2" xfId="4620" xr:uid="{00000000-0005-0000-0000-00003F0B0000}"/>
    <cellStyle name="20% - Accent2 2 4 2 4 2 2" xfId="8492" xr:uid="{00000000-0005-0000-0000-0000400B0000}"/>
    <cellStyle name="20% - Accent2 2 4 2 4 2 2 2" xfId="24147" xr:uid="{00000000-0005-0000-0000-0000410B0000}"/>
    <cellStyle name="20% - Accent2 2 4 2 4 2 3" xfId="4622" xr:uid="{00000000-0005-0000-0000-0000420B0000}"/>
    <cellStyle name="20% - Accent2 2 4 2 4 3" xfId="4624" xr:uid="{00000000-0005-0000-0000-0000430B0000}"/>
    <cellStyle name="20% - Accent2 2 4 2 4 3 2" xfId="4630" xr:uid="{00000000-0005-0000-0000-0000440B0000}"/>
    <cellStyle name="20% - Accent2 2 4 2 4 4" xfId="4633" xr:uid="{00000000-0005-0000-0000-0000450B0000}"/>
    <cellStyle name="20% - Accent2 2 4 2 5" xfId="4326" xr:uid="{00000000-0005-0000-0000-0000460B0000}"/>
    <cellStyle name="20% - Accent2 2 4 2 5 2" xfId="4638" xr:uid="{00000000-0005-0000-0000-0000470B0000}"/>
    <cellStyle name="20% - Accent2 2 4 2 5 2 2" xfId="4644" xr:uid="{00000000-0005-0000-0000-0000480B0000}"/>
    <cellStyle name="20% - Accent2 2 4 2 5 3" xfId="4647" xr:uid="{00000000-0005-0000-0000-0000490B0000}"/>
    <cellStyle name="20% - Accent2 2 4 2 6" xfId="4335" xr:uid="{00000000-0005-0000-0000-00004A0B0000}"/>
    <cellStyle name="20% - Accent2 2 4 2 6 2" xfId="4653" xr:uid="{00000000-0005-0000-0000-00004B0B0000}"/>
    <cellStyle name="20% - Accent2 2 4 2 7" xfId="4656" xr:uid="{00000000-0005-0000-0000-00004C0B0000}"/>
    <cellStyle name="20% - Accent2 2 4 3" xfId="5471" xr:uid="{00000000-0005-0000-0000-00004D0B0000}"/>
    <cellStyle name="20% - Accent2 2 4 3 2" xfId="579" xr:uid="{00000000-0005-0000-0000-00004E0B0000}"/>
    <cellStyle name="20% - Accent2 2 4 3 2 2" xfId="4661" xr:uid="{00000000-0005-0000-0000-00004F0B0000}"/>
    <cellStyle name="20% - Accent2 2 4 3 2 2 2" xfId="4674" xr:uid="{00000000-0005-0000-0000-0000500B0000}"/>
    <cellStyle name="20% - Accent2 2 4 3 2 2 2 2" xfId="13149" xr:uid="{00000000-0005-0000-0000-0000510B0000}"/>
    <cellStyle name="20% - Accent2 2 4 3 2 2 2 2 2" xfId="4681" xr:uid="{00000000-0005-0000-0000-0000520B0000}"/>
    <cellStyle name="20% - Accent2 2 4 3 2 2 2 3" xfId="26835" xr:uid="{00000000-0005-0000-0000-0000530B0000}"/>
    <cellStyle name="20% - Accent2 2 4 3 2 2 3" xfId="20718" xr:uid="{00000000-0005-0000-0000-0000540B0000}"/>
    <cellStyle name="20% - Accent2 2 4 3 2 2 3 2" xfId="12496" xr:uid="{00000000-0005-0000-0000-0000550B0000}"/>
    <cellStyle name="20% - Accent2 2 4 3 2 2 4" xfId="26377" xr:uid="{00000000-0005-0000-0000-0000560B0000}"/>
    <cellStyle name="20% - Accent2 2 4 3 2 3" xfId="4694" xr:uid="{00000000-0005-0000-0000-0000570B0000}"/>
    <cellStyle name="20% - Accent2 2 4 3 2 3 2" xfId="20727" xr:uid="{00000000-0005-0000-0000-0000580B0000}"/>
    <cellStyle name="20% - Accent2 2 4 3 2 3 2 2" xfId="6816" xr:uid="{00000000-0005-0000-0000-0000590B0000}"/>
    <cellStyle name="20% - Accent2 2 4 3 2 3 3" xfId="12388" xr:uid="{00000000-0005-0000-0000-00005A0B0000}"/>
    <cellStyle name="20% - Accent2 2 4 3 2 4" xfId="7373" xr:uid="{00000000-0005-0000-0000-00005B0B0000}"/>
    <cellStyle name="20% - Accent2 2 4 3 2 4 2" xfId="12392" xr:uid="{00000000-0005-0000-0000-00005C0B0000}"/>
    <cellStyle name="20% - Accent2 2 4 3 2 5" xfId="12873" xr:uid="{00000000-0005-0000-0000-00005D0B0000}"/>
    <cellStyle name="20% - Accent2 2 4 3 3" xfId="12181" xr:uid="{00000000-0005-0000-0000-00005E0B0000}"/>
    <cellStyle name="20% - Accent2 2 4 3 3 2" xfId="4720" xr:uid="{00000000-0005-0000-0000-00005F0B0000}"/>
    <cellStyle name="20% - Accent2 2 4 3 3 2 2" xfId="20740" xr:uid="{00000000-0005-0000-0000-0000600B0000}"/>
    <cellStyle name="20% - Accent2 2 4 3 3 2 2 2" xfId="13198" xr:uid="{00000000-0005-0000-0000-0000610B0000}"/>
    <cellStyle name="20% - Accent2 2 4 3 3 2 3" xfId="4725" xr:uid="{00000000-0005-0000-0000-0000620B0000}"/>
    <cellStyle name="20% - Accent2 2 4 3 3 3" xfId="7383" xr:uid="{00000000-0005-0000-0000-0000630B0000}"/>
    <cellStyle name="20% - Accent2 2 4 3 3 3 2" xfId="5593" xr:uid="{00000000-0005-0000-0000-0000640B0000}"/>
    <cellStyle name="20% - Accent2 2 4 3 3 4" xfId="4894" xr:uid="{00000000-0005-0000-0000-0000650B0000}"/>
    <cellStyle name="20% - Accent2 2 4 3 4" xfId="4346" xr:uid="{00000000-0005-0000-0000-0000660B0000}"/>
    <cellStyle name="20% - Accent2 2 4 3 4 2" xfId="5961" xr:uid="{00000000-0005-0000-0000-0000670B0000}"/>
    <cellStyle name="20% - Accent2 2 4 3 4 2 2" xfId="4742" xr:uid="{00000000-0005-0000-0000-0000680B0000}"/>
    <cellStyle name="20% - Accent2 2 4 3 4 3" xfId="3848" xr:uid="{00000000-0005-0000-0000-0000690B0000}"/>
    <cellStyle name="20% - Accent2 2 4 3 5" xfId="4351" xr:uid="{00000000-0005-0000-0000-00006A0B0000}"/>
    <cellStyle name="20% - Accent2 2 4 3 5 2" xfId="3861" xr:uid="{00000000-0005-0000-0000-00006B0B0000}"/>
    <cellStyle name="20% - Accent2 2 4 3 6" xfId="4747" xr:uid="{00000000-0005-0000-0000-00006C0B0000}"/>
    <cellStyle name="20% - Accent2 2 4 4" xfId="11590" xr:uid="{00000000-0005-0000-0000-00006D0B0000}"/>
    <cellStyle name="20% - Accent2 2 4 4 2" xfId="1884" xr:uid="{00000000-0005-0000-0000-00006E0B0000}"/>
    <cellStyle name="20% - Accent2 2 4 4 2 2" xfId="4755" xr:uid="{00000000-0005-0000-0000-00006F0B0000}"/>
    <cellStyle name="20% - Accent2 2 4 4 2 2 2" xfId="20785" xr:uid="{00000000-0005-0000-0000-0000700B0000}"/>
    <cellStyle name="20% - Accent2 2 4 4 2 2 2 2" xfId="12417" xr:uid="{00000000-0005-0000-0000-0000710B0000}"/>
    <cellStyle name="20% - Accent2 2 4 4 2 2 3" xfId="4759" xr:uid="{00000000-0005-0000-0000-0000720B0000}"/>
    <cellStyle name="20% - Accent2 2 4 4 2 3" xfId="4765" xr:uid="{00000000-0005-0000-0000-0000730B0000}"/>
    <cellStyle name="20% - Accent2 2 4 4 2 3 2" xfId="4768" xr:uid="{00000000-0005-0000-0000-0000740B0000}"/>
    <cellStyle name="20% - Accent2 2 4 4 2 4" xfId="4517" xr:uid="{00000000-0005-0000-0000-0000750B0000}"/>
    <cellStyle name="20% - Accent2 2 4 4 3" xfId="1067" xr:uid="{00000000-0005-0000-0000-0000760B0000}"/>
    <cellStyle name="20% - Accent2 2 4 4 3 2" xfId="4777" xr:uid="{00000000-0005-0000-0000-0000770B0000}"/>
    <cellStyle name="20% - Accent2 2 4 4 3 2 2" xfId="9145" xr:uid="{00000000-0005-0000-0000-0000780B0000}"/>
    <cellStyle name="20% - Accent2 2 4 4 3 3" xfId="4782" xr:uid="{00000000-0005-0000-0000-0000790B0000}"/>
    <cellStyle name="20% - Accent2 2 4 4 4" xfId="1620" xr:uid="{00000000-0005-0000-0000-00007A0B0000}"/>
    <cellStyle name="20% - Accent2 2 4 4 4 2" xfId="3866" xr:uid="{00000000-0005-0000-0000-00007B0B0000}"/>
    <cellStyle name="20% - Accent2 2 4 4 5" xfId="2240" xr:uid="{00000000-0005-0000-0000-00007C0B0000}"/>
    <cellStyle name="20% - Accent2 2 4 5" xfId="18704" xr:uid="{00000000-0005-0000-0000-00007D0B0000}"/>
    <cellStyle name="20% - Accent2 2 4 5 2" xfId="4790" xr:uid="{00000000-0005-0000-0000-00007E0B0000}"/>
    <cellStyle name="20% - Accent2 2 4 5 2 2" xfId="8561" xr:uid="{00000000-0005-0000-0000-00007F0B0000}"/>
    <cellStyle name="20% - Accent2 2 4 5 2 2 2" xfId="9546" xr:uid="{00000000-0005-0000-0000-0000800B0000}"/>
    <cellStyle name="20% - Accent2 2 4 5 2 3" xfId="4798" xr:uid="{00000000-0005-0000-0000-0000810B0000}"/>
    <cellStyle name="20% - Accent2 2 4 5 3" xfId="19035" xr:uid="{00000000-0005-0000-0000-0000820B0000}"/>
    <cellStyle name="20% - Accent2 2 4 5 3 2" xfId="4800" xr:uid="{00000000-0005-0000-0000-0000830B0000}"/>
    <cellStyle name="20% - Accent2 2 4 5 4" xfId="1644" xr:uid="{00000000-0005-0000-0000-0000840B0000}"/>
    <cellStyle name="20% - Accent2 2 4 6" xfId="5540" xr:uid="{00000000-0005-0000-0000-0000850B0000}"/>
    <cellStyle name="20% - Accent2 2 4 6 2" xfId="4808" xr:uid="{00000000-0005-0000-0000-0000860B0000}"/>
    <cellStyle name="20% - Accent2 2 4 6 2 2" xfId="4810" xr:uid="{00000000-0005-0000-0000-0000870B0000}"/>
    <cellStyle name="20% - Accent2 2 4 6 3" xfId="31394" xr:uid="{00000000-0005-0000-0000-0000880B0000}"/>
    <cellStyle name="20% - Accent2 2 4 7" xfId="8629" xr:uid="{00000000-0005-0000-0000-0000890B0000}"/>
    <cellStyle name="20% - Accent2 2 4 7 2" xfId="4815" xr:uid="{00000000-0005-0000-0000-00008A0B0000}"/>
    <cellStyle name="20% - Accent2 2 4 8" xfId="21062" xr:uid="{00000000-0005-0000-0000-00008B0B0000}"/>
    <cellStyle name="20% - Accent2 2 5" xfId="15047" xr:uid="{00000000-0005-0000-0000-00008C0B0000}"/>
    <cellStyle name="20% - Accent2 2 5 2" xfId="18233" xr:uid="{00000000-0005-0000-0000-00008D0B0000}"/>
    <cellStyle name="20% - Accent2 2 5 2 2" xfId="8913" xr:uid="{00000000-0005-0000-0000-00008E0B0000}"/>
    <cellStyle name="20% - Accent2 2 5 2 2 2" xfId="4841" xr:uid="{00000000-0005-0000-0000-00008F0B0000}"/>
    <cellStyle name="20% - Accent2 2 5 2 2 2 2" xfId="4851" xr:uid="{00000000-0005-0000-0000-0000900B0000}"/>
    <cellStyle name="20% - Accent2 2 5 2 2 2 2 2" xfId="13538" xr:uid="{00000000-0005-0000-0000-0000910B0000}"/>
    <cellStyle name="20% - Accent2 2 5 2 2 2 2 2 2" xfId="4663" xr:uid="{00000000-0005-0000-0000-0000920B0000}"/>
    <cellStyle name="20% - Accent2 2 5 2 2 2 2 3" xfId="8255" xr:uid="{00000000-0005-0000-0000-0000930B0000}"/>
    <cellStyle name="20% - Accent2 2 5 2 2 2 3" xfId="4863" xr:uid="{00000000-0005-0000-0000-0000940B0000}"/>
    <cellStyle name="20% - Accent2 2 5 2 2 2 3 2" xfId="23973" xr:uid="{00000000-0005-0000-0000-0000950B0000}"/>
    <cellStyle name="20% - Accent2 2 5 2 2 2 4" xfId="4828" xr:uid="{00000000-0005-0000-0000-0000960B0000}"/>
    <cellStyle name="20% - Accent2 2 5 2 2 3" xfId="2924" xr:uid="{00000000-0005-0000-0000-0000970B0000}"/>
    <cellStyle name="20% - Accent2 2 5 2 2 3 2" xfId="13849" xr:uid="{00000000-0005-0000-0000-0000980B0000}"/>
    <cellStyle name="20% - Accent2 2 5 2 2 3 2 2" xfId="13556" xr:uid="{00000000-0005-0000-0000-0000990B0000}"/>
    <cellStyle name="20% - Accent2 2 5 2 2 3 3" xfId="9403" xr:uid="{00000000-0005-0000-0000-00009A0B0000}"/>
    <cellStyle name="20% - Accent2 2 5 2 2 4" xfId="2931" xr:uid="{00000000-0005-0000-0000-00009B0B0000}"/>
    <cellStyle name="20% - Accent2 2 5 2 2 4 2" xfId="13854" xr:uid="{00000000-0005-0000-0000-00009C0B0000}"/>
    <cellStyle name="20% - Accent2 2 5 2 2 5" xfId="12893" xr:uid="{00000000-0005-0000-0000-00009D0B0000}"/>
    <cellStyle name="20% - Accent2 2 5 2 3" xfId="23975" xr:uid="{00000000-0005-0000-0000-00009E0B0000}"/>
    <cellStyle name="20% - Accent2 2 5 2 3 2" xfId="3412" xr:uid="{00000000-0005-0000-0000-00009F0B0000}"/>
    <cellStyle name="20% - Accent2 2 5 2 3 2 2" xfId="6381" xr:uid="{00000000-0005-0000-0000-0000A00B0000}"/>
    <cellStyle name="20% - Accent2 2 5 2 3 2 2 2" xfId="13633" xr:uid="{00000000-0005-0000-0000-0000A10B0000}"/>
    <cellStyle name="20% - Accent2 2 5 2 3 2 3" xfId="6390" xr:uid="{00000000-0005-0000-0000-0000A20B0000}"/>
    <cellStyle name="20% - Accent2 2 5 2 3 3" xfId="2943" xr:uid="{00000000-0005-0000-0000-0000A30B0000}"/>
    <cellStyle name="20% - Accent2 2 5 2 3 3 2" xfId="13865" xr:uid="{00000000-0005-0000-0000-0000A40B0000}"/>
    <cellStyle name="20% - Accent2 2 5 2 3 4" xfId="5980" xr:uid="{00000000-0005-0000-0000-0000A50B0000}"/>
    <cellStyle name="20% - Accent2 2 5 2 4" xfId="4358" xr:uid="{00000000-0005-0000-0000-0000A60B0000}"/>
    <cellStyle name="20% - Accent2 2 5 2 4 2" xfId="3445" xr:uid="{00000000-0005-0000-0000-0000A70B0000}"/>
    <cellStyle name="20% - Accent2 2 5 2 4 2 2" xfId="6421" xr:uid="{00000000-0005-0000-0000-0000A80B0000}"/>
    <cellStyle name="20% - Accent2 2 5 2 4 3" xfId="4896" xr:uid="{00000000-0005-0000-0000-0000A90B0000}"/>
    <cellStyle name="20% - Accent2 2 5 2 5" xfId="4374" xr:uid="{00000000-0005-0000-0000-0000AA0B0000}"/>
    <cellStyle name="20% - Accent2 2 5 2 5 2" xfId="10463" xr:uid="{00000000-0005-0000-0000-0000AB0B0000}"/>
    <cellStyle name="20% - Accent2 2 5 2 6" xfId="4924" xr:uid="{00000000-0005-0000-0000-0000AC0B0000}"/>
    <cellStyle name="20% - Accent2 2 5 3" xfId="6522" xr:uid="{00000000-0005-0000-0000-0000AD0B0000}"/>
    <cellStyle name="20% - Accent2 2 5 3 2" xfId="23981" xr:uid="{00000000-0005-0000-0000-0000AE0B0000}"/>
    <cellStyle name="20% - Accent2 2 5 3 2 2" xfId="5235" xr:uid="{00000000-0005-0000-0000-0000AF0B0000}"/>
    <cellStyle name="20% - Accent2 2 5 3 2 2 2" xfId="20731" xr:uid="{00000000-0005-0000-0000-0000B00B0000}"/>
    <cellStyle name="20% - Accent2 2 5 3 2 2 2 2" xfId="13733" xr:uid="{00000000-0005-0000-0000-0000B10B0000}"/>
    <cellStyle name="20% - Accent2 2 5 3 2 2 3" xfId="20742" xr:uid="{00000000-0005-0000-0000-0000B20B0000}"/>
    <cellStyle name="20% - Accent2 2 5 3 2 3" xfId="7434" xr:uid="{00000000-0005-0000-0000-0000B30B0000}"/>
    <cellStyle name="20% - Accent2 2 5 3 2 3 2" xfId="18867" xr:uid="{00000000-0005-0000-0000-0000B40B0000}"/>
    <cellStyle name="20% - Accent2 2 5 3 2 4" xfId="8352" xr:uid="{00000000-0005-0000-0000-0000B50B0000}"/>
    <cellStyle name="20% - Accent2 2 5 3 3" xfId="4951" xr:uid="{00000000-0005-0000-0000-0000B60B0000}"/>
    <cellStyle name="20% - Accent2 2 5 3 3 2" xfId="4820" xr:uid="{00000000-0005-0000-0000-0000B70B0000}"/>
    <cellStyle name="20% - Accent2 2 5 3 3 2 2" xfId="6517" xr:uid="{00000000-0005-0000-0000-0000B80B0000}"/>
    <cellStyle name="20% - Accent2 2 5 3 3 3" xfId="4971" xr:uid="{00000000-0005-0000-0000-0000B90B0000}"/>
    <cellStyle name="20% - Accent2 2 5 3 4" xfId="6370" xr:uid="{00000000-0005-0000-0000-0000BA0B0000}"/>
    <cellStyle name="20% - Accent2 2 5 3 4 2" xfId="4226" xr:uid="{00000000-0005-0000-0000-0000BB0B0000}"/>
    <cellStyle name="20% - Accent2 2 5 3 5" xfId="4980" xr:uid="{00000000-0005-0000-0000-0000BC0B0000}"/>
    <cellStyle name="20% - Accent2 2 5 4" xfId="7848" xr:uid="{00000000-0005-0000-0000-0000BD0B0000}"/>
    <cellStyle name="20% - Accent2 2 5 4 2" xfId="4990" xr:uid="{00000000-0005-0000-0000-0000BE0B0000}"/>
    <cellStyle name="20% - Accent2 2 5 4 2 2" xfId="3523" xr:uid="{00000000-0005-0000-0000-0000BF0B0000}"/>
    <cellStyle name="20% - Accent2 2 5 4 2 2 2" xfId="21334" xr:uid="{00000000-0005-0000-0000-0000C00B0000}"/>
    <cellStyle name="20% - Accent2 2 5 4 2 3" xfId="7233" xr:uid="{00000000-0005-0000-0000-0000C10B0000}"/>
    <cellStyle name="20% - Accent2 2 5 4 3" xfId="10169" xr:uid="{00000000-0005-0000-0000-0000C20B0000}"/>
    <cellStyle name="20% - Accent2 2 5 4 3 2" xfId="4209" xr:uid="{00000000-0005-0000-0000-0000C30B0000}"/>
    <cellStyle name="20% - Accent2 2 5 4 4" xfId="10174" xr:uid="{00000000-0005-0000-0000-0000C40B0000}"/>
    <cellStyle name="20% - Accent2 2 5 5" xfId="18706" xr:uid="{00000000-0005-0000-0000-0000C50B0000}"/>
    <cellStyle name="20% - Accent2 2 5 5 2" xfId="9877" xr:uid="{00000000-0005-0000-0000-0000C60B0000}"/>
    <cellStyle name="20% - Accent2 2 5 5 2 2" xfId="5010" xr:uid="{00000000-0005-0000-0000-0000C70B0000}"/>
    <cellStyle name="20% - Accent2 2 5 5 3" xfId="10180" xr:uid="{00000000-0005-0000-0000-0000C80B0000}"/>
    <cellStyle name="20% - Accent2 2 5 6" xfId="1215" xr:uid="{00000000-0005-0000-0000-0000C90B0000}"/>
    <cellStyle name="20% - Accent2 2 5 6 2" xfId="4054" xr:uid="{00000000-0005-0000-0000-0000CA0B0000}"/>
    <cellStyle name="20% - Accent2 2 5 7" xfId="5016" xr:uid="{00000000-0005-0000-0000-0000CB0B0000}"/>
    <cellStyle name="20% - Accent2 2 6" xfId="4973" xr:uid="{00000000-0005-0000-0000-0000CC0B0000}"/>
    <cellStyle name="20% - Accent2 2 6 2" xfId="13511" xr:uid="{00000000-0005-0000-0000-0000CD0B0000}"/>
    <cellStyle name="20% - Accent2 2 6 2 2" xfId="3693" xr:uid="{00000000-0005-0000-0000-0000CE0B0000}"/>
    <cellStyle name="20% - Accent2 2 6 2 2 2" xfId="9399" xr:uid="{00000000-0005-0000-0000-0000CF0B0000}"/>
    <cellStyle name="20% - Accent2 2 6 2 2 2 2" xfId="5027" xr:uid="{00000000-0005-0000-0000-0000D00B0000}"/>
    <cellStyle name="20% - Accent2 2 6 2 2 2 2 2" xfId="17653" xr:uid="{00000000-0005-0000-0000-0000D10B0000}"/>
    <cellStyle name="20% - Accent2 2 6 2 2 2 3" xfId="5036" xr:uid="{00000000-0005-0000-0000-0000D20B0000}"/>
    <cellStyle name="20% - Accent2 2 6 2 2 3" xfId="3138" xr:uid="{00000000-0005-0000-0000-0000D30B0000}"/>
    <cellStyle name="20% - Accent2 2 6 2 2 3 2" xfId="13088" xr:uid="{00000000-0005-0000-0000-0000D40B0000}"/>
    <cellStyle name="20% - Accent2 2 6 2 2 4" xfId="5046" xr:uid="{00000000-0005-0000-0000-0000D50B0000}"/>
    <cellStyle name="20% - Accent2 2 6 2 3" xfId="2800" xr:uid="{00000000-0005-0000-0000-0000D60B0000}"/>
    <cellStyle name="20% - Accent2 2 6 2 3 2" xfId="9414" xr:uid="{00000000-0005-0000-0000-0000D70B0000}"/>
    <cellStyle name="20% - Accent2 2 6 2 3 2 2" xfId="3506" xr:uid="{00000000-0005-0000-0000-0000D80B0000}"/>
    <cellStyle name="20% - Accent2 2 6 2 3 3" xfId="5057" xr:uid="{00000000-0005-0000-0000-0000D90B0000}"/>
    <cellStyle name="20% - Accent2 2 6 2 4" xfId="4392" xr:uid="{00000000-0005-0000-0000-0000DA0B0000}"/>
    <cellStyle name="20% - Accent2 2 6 2 4 2" xfId="5071" xr:uid="{00000000-0005-0000-0000-0000DB0B0000}"/>
    <cellStyle name="20% - Accent2 2 6 2 5" xfId="5085" xr:uid="{00000000-0005-0000-0000-0000DC0B0000}"/>
    <cellStyle name="20% - Accent2 2 6 3" xfId="13522" xr:uid="{00000000-0005-0000-0000-0000DD0B0000}"/>
    <cellStyle name="20% - Accent2 2 6 3 2" xfId="4183" xr:uid="{00000000-0005-0000-0000-0000DE0B0000}"/>
    <cellStyle name="20% - Accent2 2 6 3 2 2" xfId="9423" xr:uid="{00000000-0005-0000-0000-0000DF0B0000}"/>
    <cellStyle name="20% - Accent2 2 6 3 2 2 2" xfId="22095" xr:uid="{00000000-0005-0000-0000-0000E00B0000}"/>
    <cellStyle name="20% - Accent2 2 6 3 2 3" xfId="5109" xr:uid="{00000000-0005-0000-0000-0000E10B0000}"/>
    <cellStyle name="20% - Accent2 2 6 3 3" xfId="4194" xr:uid="{00000000-0005-0000-0000-0000E20B0000}"/>
    <cellStyle name="20% - Accent2 2 6 3 3 2" xfId="5119" xr:uid="{00000000-0005-0000-0000-0000E30B0000}"/>
    <cellStyle name="20% - Accent2 2 6 3 4" xfId="3990" xr:uid="{00000000-0005-0000-0000-0000E40B0000}"/>
    <cellStyle name="20% - Accent2 2 6 4" xfId="14298" xr:uid="{00000000-0005-0000-0000-0000E50B0000}"/>
    <cellStyle name="20% - Accent2 2 6 4 2" xfId="12204" xr:uid="{00000000-0005-0000-0000-0000E60B0000}"/>
    <cellStyle name="20% - Accent2 2 6 4 2 2" xfId="5139" xr:uid="{00000000-0005-0000-0000-0000E70B0000}"/>
    <cellStyle name="20% - Accent2 2 6 4 3" xfId="10192" xr:uid="{00000000-0005-0000-0000-0000E80B0000}"/>
    <cellStyle name="20% - Accent2 2 6 5" xfId="5435" xr:uid="{00000000-0005-0000-0000-0000E90B0000}"/>
    <cellStyle name="20% - Accent2 2 6 5 2" xfId="3762" xr:uid="{00000000-0005-0000-0000-0000EA0B0000}"/>
    <cellStyle name="20% - Accent2 2 6 6" xfId="6790" xr:uid="{00000000-0005-0000-0000-0000EB0B0000}"/>
    <cellStyle name="20% - Accent2 2 7" xfId="6295" xr:uid="{00000000-0005-0000-0000-0000EC0B0000}"/>
    <cellStyle name="20% - Accent2 2 7 2" xfId="18592" xr:uid="{00000000-0005-0000-0000-0000ED0B0000}"/>
    <cellStyle name="20% - Accent2 2 7 2 2" xfId="8121" xr:uid="{00000000-0005-0000-0000-0000EE0B0000}"/>
    <cellStyle name="20% - Accent2 2 7 2 2 2" xfId="9440" xr:uid="{00000000-0005-0000-0000-0000EF0B0000}"/>
    <cellStyle name="20% - Accent2 2 7 2 2 2 2" xfId="13486" xr:uid="{00000000-0005-0000-0000-0000F00B0000}"/>
    <cellStyle name="20% - Accent2 2 7 2 2 3" xfId="1782" xr:uid="{00000000-0005-0000-0000-0000F10B0000}"/>
    <cellStyle name="20% - Accent2 2 7 2 3" xfId="1760" xr:uid="{00000000-0005-0000-0000-0000F20B0000}"/>
    <cellStyle name="20% - Accent2 2 7 2 3 2" xfId="9177" xr:uid="{00000000-0005-0000-0000-0000F30B0000}"/>
    <cellStyle name="20% - Accent2 2 7 2 4" xfId="2255" xr:uid="{00000000-0005-0000-0000-0000F40B0000}"/>
    <cellStyle name="20% - Accent2 2 7 3" xfId="14303" xr:uid="{00000000-0005-0000-0000-0000F50B0000}"/>
    <cellStyle name="20% - Accent2 2 7 3 2" xfId="3651" xr:uid="{00000000-0005-0000-0000-0000F60B0000}"/>
    <cellStyle name="20% - Accent2 2 7 3 2 2" xfId="16810" xr:uid="{00000000-0005-0000-0000-0000F70B0000}"/>
    <cellStyle name="20% - Accent2 2 7 3 3" xfId="1796" xr:uid="{00000000-0005-0000-0000-0000F80B0000}"/>
    <cellStyle name="20% - Accent2 2 7 4" xfId="5455" xr:uid="{00000000-0005-0000-0000-0000F90B0000}"/>
    <cellStyle name="20% - Accent2 2 7 4 2" xfId="14446" xr:uid="{00000000-0005-0000-0000-0000FA0B0000}"/>
    <cellStyle name="20% - Accent2 2 7 5" xfId="20951" xr:uid="{00000000-0005-0000-0000-0000FB0B0000}"/>
    <cellStyle name="20% - Accent2 2 8" xfId="8619" xr:uid="{00000000-0005-0000-0000-0000FC0B0000}"/>
    <cellStyle name="20% - Accent2 2 8 2" xfId="14308" xr:uid="{00000000-0005-0000-0000-0000FD0B0000}"/>
    <cellStyle name="20% - Accent2 2 8 2 2" xfId="3663" xr:uid="{00000000-0005-0000-0000-0000FE0B0000}"/>
    <cellStyle name="20% - Accent2 2 8 2 2 2" xfId="1889" xr:uid="{00000000-0005-0000-0000-0000FF0B0000}"/>
    <cellStyle name="20% - Accent2 2 8 2 3" xfId="3271" xr:uid="{00000000-0005-0000-0000-0000000C0000}"/>
    <cellStyle name="20% - Accent2 2 8 3" xfId="4531" xr:uid="{00000000-0005-0000-0000-0000010C0000}"/>
    <cellStyle name="20% - Accent2 2 8 3 2" xfId="3675" xr:uid="{00000000-0005-0000-0000-0000020C0000}"/>
    <cellStyle name="20% - Accent2 2 8 4" xfId="5155" xr:uid="{00000000-0005-0000-0000-0000030C0000}"/>
    <cellStyle name="20% - Accent2 2 9" xfId="5166" xr:uid="{00000000-0005-0000-0000-0000040C0000}"/>
    <cellStyle name="20% - Accent2 2 9 2" xfId="10422" xr:uid="{00000000-0005-0000-0000-0000050C0000}"/>
    <cellStyle name="20% - Accent2 2 9 2 2" xfId="8927" xr:uid="{00000000-0005-0000-0000-0000060C0000}"/>
    <cellStyle name="20% - Accent2 2 9 3" xfId="11360" xr:uid="{00000000-0005-0000-0000-0000070C0000}"/>
    <cellStyle name="20% - Accent2 3" xfId="5186" xr:uid="{00000000-0005-0000-0000-0000080C0000}"/>
    <cellStyle name="20% - Accent2 3 10" xfId="7170" xr:uid="{00000000-0005-0000-0000-0000090C0000}"/>
    <cellStyle name="20% - Accent2 3 2" xfId="5863" xr:uid="{00000000-0005-0000-0000-00000A0C0000}"/>
    <cellStyle name="20% - Accent2 3 2 2" xfId="1345" xr:uid="{00000000-0005-0000-0000-00000B0C0000}"/>
    <cellStyle name="20% - Accent2 3 2 2 2" xfId="3852" xr:uid="{00000000-0005-0000-0000-00000C0C0000}"/>
    <cellStyle name="20% - Accent2 3 2 2 2 2" xfId="10999" xr:uid="{00000000-0005-0000-0000-00000D0C0000}"/>
    <cellStyle name="20% - Accent2 3 2 2 2 2 2" xfId="5190" xr:uid="{00000000-0005-0000-0000-00000E0C0000}"/>
    <cellStyle name="20% - Accent2 3 2 2 2 2 2 2" xfId="20531" xr:uid="{00000000-0005-0000-0000-00000F0C0000}"/>
    <cellStyle name="20% - Accent2 3 2 2 2 2 2 2 2" xfId="24577" xr:uid="{00000000-0005-0000-0000-0000100C0000}"/>
    <cellStyle name="20% - Accent2 3 2 2 2 2 2 2 2 2" xfId="5532" xr:uid="{00000000-0005-0000-0000-0000110C0000}"/>
    <cellStyle name="20% - Accent2 3 2 2 2 2 2 2 2 2 2" xfId="4998" xr:uid="{00000000-0005-0000-0000-0000120C0000}"/>
    <cellStyle name="20% - Accent2 3 2 2 2 2 2 2 2 3" xfId="11734" xr:uid="{00000000-0005-0000-0000-0000130C0000}"/>
    <cellStyle name="20% - Accent2 3 2 2 2 2 2 2 3" xfId="14813" xr:uid="{00000000-0005-0000-0000-0000140C0000}"/>
    <cellStyle name="20% - Accent2 3 2 2 2 2 2 2 3 2" xfId="4504" xr:uid="{00000000-0005-0000-0000-0000150C0000}"/>
    <cellStyle name="20% - Accent2 3 2 2 2 2 2 2 4" xfId="5158" xr:uid="{00000000-0005-0000-0000-0000160C0000}"/>
    <cellStyle name="20% - Accent2 3 2 2 2 2 2 3" xfId="20539" xr:uid="{00000000-0005-0000-0000-0000170C0000}"/>
    <cellStyle name="20% - Accent2 3 2 2 2 2 2 3 2" xfId="5168" xr:uid="{00000000-0005-0000-0000-0000180C0000}"/>
    <cellStyle name="20% - Accent2 3 2 2 2 2 2 3 2 2" xfId="5732" xr:uid="{00000000-0005-0000-0000-0000190C0000}"/>
    <cellStyle name="20% - Accent2 3 2 2 2 2 2 3 3" xfId="5171" xr:uid="{00000000-0005-0000-0000-00001A0C0000}"/>
    <cellStyle name="20% - Accent2 3 2 2 2 2 2 4" xfId="20542" xr:uid="{00000000-0005-0000-0000-00001B0C0000}"/>
    <cellStyle name="20% - Accent2 3 2 2 2 2 2 4 2" xfId="4361" xr:uid="{00000000-0005-0000-0000-00001C0C0000}"/>
    <cellStyle name="20% - Accent2 3 2 2 2 2 2 5" xfId="20549" xr:uid="{00000000-0005-0000-0000-00001D0C0000}"/>
    <cellStyle name="20% - Accent2 3 2 2 2 2 3" xfId="5169" xr:uid="{00000000-0005-0000-0000-00001E0C0000}"/>
    <cellStyle name="20% - Accent2 3 2 2 2 2 3 2" xfId="19830" xr:uid="{00000000-0005-0000-0000-00001F0C0000}"/>
    <cellStyle name="20% - Accent2 3 2 2 2 2 3 2 2" xfId="3419" xr:uid="{00000000-0005-0000-0000-0000200C0000}"/>
    <cellStyle name="20% - Accent2 3 2 2 2 2 3 2 2 2" xfId="4363" xr:uid="{00000000-0005-0000-0000-0000210C0000}"/>
    <cellStyle name="20% - Accent2 3 2 2 2 2 3 2 3" xfId="465" xr:uid="{00000000-0005-0000-0000-0000220C0000}"/>
    <cellStyle name="20% - Accent2 3 2 2 2 2 3 3" xfId="27978" xr:uid="{00000000-0005-0000-0000-0000230C0000}"/>
    <cellStyle name="20% - Accent2 3 2 2 2 2 3 3 2" xfId="5199" xr:uid="{00000000-0005-0000-0000-0000240C0000}"/>
    <cellStyle name="20% - Accent2 3 2 2 2 2 3 4" xfId="20582" xr:uid="{00000000-0005-0000-0000-0000250C0000}"/>
    <cellStyle name="20% - Accent2 3 2 2 2 2 4" xfId="7494" xr:uid="{00000000-0005-0000-0000-0000260C0000}"/>
    <cellStyle name="20% - Accent2 3 2 2 2 2 4 2" xfId="10662" xr:uid="{00000000-0005-0000-0000-0000270C0000}"/>
    <cellStyle name="20% - Accent2 3 2 2 2 2 4 2 2" xfId="7499" xr:uid="{00000000-0005-0000-0000-0000280C0000}"/>
    <cellStyle name="20% - Accent2 3 2 2 2 2 4 3" xfId="25834" xr:uid="{00000000-0005-0000-0000-0000290C0000}"/>
    <cellStyle name="20% - Accent2 3 2 2 2 2 5" xfId="6855" xr:uid="{00000000-0005-0000-0000-00002A0C0000}"/>
    <cellStyle name="20% - Accent2 3 2 2 2 2 5 2" xfId="21574" xr:uid="{00000000-0005-0000-0000-00002B0C0000}"/>
    <cellStyle name="20% - Accent2 3 2 2 2 2 6" xfId="13621" xr:uid="{00000000-0005-0000-0000-00002C0C0000}"/>
    <cellStyle name="20% - Accent2 3 2 2 2 3" xfId="31232" xr:uid="{00000000-0005-0000-0000-00002D0C0000}"/>
    <cellStyle name="20% - Accent2 3 2 2 2 3 2" xfId="2951" xr:uid="{00000000-0005-0000-0000-00002E0C0000}"/>
    <cellStyle name="20% - Accent2 3 2 2 2 3 2 2" xfId="24156" xr:uid="{00000000-0005-0000-0000-00002F0C0000}"/>
    <cellStyle name="20% - Accent2 3 2 2 2 3 2 2 2" xfId="21987" xr:uid="{00000000-0005-0000-0000-0000300C0000}"/>
    <cellStyle name="20% - Accent2 3 2 2 2 3 2 2 2 2" xfId="20934" xr:uid="{00000000-0005-0000-0000-0000310C0000}"/>
    <cellStyle name="20% - Accent2 3 2 2 2 3 2 2 3" xfId="21995" xr:uid="{00000000-0005-0000-0000-0000320C0000}"/>
    <cellStyle name="20% - Accent2 3 2 2 2 3 2 3" xfId="20609" xr:uid="{00000000-0005-0000-0000-0000330C0000}"/>
    <cellStyle name="20% - Accent2 3 2 2 2 3 2 3 2" xfId="21999" xr:uid="{00000000-0005-0000-0000-0000340C0000}"/>
    <cellStyle name="20% - Accent2 3 2 2 2 3 2 4" xfId="20615" xr:uid="{00000000-0005-0000-0000-0000350C0000}"/>
    <cellStyle name="20% - Accent2 3 2 2 2 3 3" xfId="4366" xr:uid="{00000000-0005-0000-0000-0000360C0000}"/>
    <cellStyle name="20% - Accent2 3 2 2 2 3 3 2" xfId="14843" xr:uid="{00000000-0005-0000-0000-0000370C0000}"/>
    <cellStyle name="20% - Accent2 3 2 2 2 3 3 2 2" xfId="17009" xr:uid="{00000000-0005-0000-0000-0000380C0000}"/>
    <cellStyle name="20% - Accent2 3 2 2 2 3 3 3" xfId="14853" xr:uid="{00000000-0005-0000-0000-0000390C0000}"/>
    <cellStyle name="20% - Accent2 3 2 2 2 3 4" xfId="7525" xr:uid="{00000000-0005-0000-0000-00003A0C0000}"/>
    <cellStyle name="20% - Accent2 3 2 2 2 3 4 2" xfId="7530" xr:uid="{00000000-0005-0000-0000-00003B0C0000}"/>
    <cellStyle name="20% - Accent2 3 2 2 2 3 5" xfId="11715" xr:uid="{00000000-0005-0000-0000-00003C0C0000}"/>
    <cellStyle name="20% - Accent2 3 2 2 2 4" xfId="5216" xr:uid="{00000000-0005-0000-0000-00003D0C0000}"/>
    <cellStyle name="20% - Accent2 3 2 2 2 4 2" xfId="4960" xr:uid="{00000000-0005-0000-0000-00003E0C0000}"/>
    <cellStyle name="20% - Accent2 3 2 2 2 4 2 2" xfId="27155" xr:uid="{00000000-0005-0000-0000-00003F0C0000}"/>
    <cellStyle name="20% - Accent2 3 2 2 2 4 2 2 2" xfId="22118" xr:uid="{00000000-0005-0000-0000-0000400C0000}"/>
    <cellStyle name="20% - Accent2 3 2 2 2 4 2 3" xfId="20663" xr:uid="{00000000-0005-0000-0000-0000410C0000}"/>
    <cellStyle name="20% - Accent2 3 2 2 2 4 3" xfId="9389" xr:uid="{00000000-0005-0000-0000-0000420C0000}"/>
    <cellStyle name="20% - Accent2 3 2 2 2 4 3 2" xfId="14961" xr:uid="{00000000-0005-0000-0000-0000430C0000}"/>
    <cellStyle name="20% - Accent2 3 2 2 2 4 4" xfId="23275" xr:uid="{00000000-0005-0000-0000-0000440C0000}"/>
    <cellStyle name="20% - Accent2 3 2 2 2 5" xfId="5595" xr:uid="{00000000-0005-0000-0000-0000450C0000}"/>
    <cellStyle name="20% - Accent2 3 2 2 2 5 2" xfId="6072" xr:uid="{00000000-0005-0000-0000-0000460C0000}"/>
    <cellStyle name="20% - Accent2 3 2 2 2 5 2 2" xfId="20700" xr:uid="{00000000-0005-0000-0000-0000470C0000}"/>
    <cellStyle name="20% - Accent2 3 2 2 2 5 3" xfId="21192" xr:uid="{00000000-0005-0000-0000-0000480C0000}"/>
    <cellStyle name="20% - Accent2 3 2 2 2 6" xfId="5603" xr:uid="{00000000-0005-0000-0000-0000490C0000}"/>
    <cellStyle name="20% - Accent2 3 2 2 2 6 2" xfId="6098" xr:uid="{00000000-0005-0000-0000-00004A0C0000}"/>
    <cellStyle name="20% - Accent2 3 2 2 2 7" xfId="5607" xr:uid="{00000000-0005-0000-0000-00004B0C0000}"/>
    <cellStyle name="20% - Accent2 3 2 2 3" xfId="5233" xr:uid="{00000000-0005-0000-0000-00004C0C0000}"/>
    <cellStyle name="20% - Accent2 3 2 2 3 2" xfId="27916" xr:uid="{00000000-0005-0000-0000-00004D0C0000}"/>
    <cellStyle name="20% - Accent2 3 2 2 3 2 2" xfId="3004" xr:uid="{00000000-0005-0000-0000-00004E0C0000}"/>
    <cellStyle name="20% - Accent2 3 2 2 3 2 2 2" xfId="20755" xr:uid="{00000000-0005-0000-0000-00004F0C0000}"/>
    <cellStyle name="20% - Accent2 3 2 2 3 2 2 2 2" xfId="5238" xr:uid="{00000000-0005-0000-0000-0000500C0000}"/>
    <cellStyle name="20% - Accent2 3 2 2 3 2 2 2 2 2" xfId="4425" xr:uid="{00000000-0005-0000-0000-0000510C0000}"/>
    <cellStyle name="20% - Accent2 3 2 2 3 2 2 2 3" xfId="3209" xr:uid="{00000000-0005-0000-0000-0000520C0000}"/>
    <cellStyle name="20% - Accent2 3 2 2 3 2 2 3" xfId="5239" xr:uid="{00000000-0005-0000-0000-0000530C0000}"/>
    <cellStyle name="20% - Accent2 3 2 2 3 2 2 3 2" xfId="5243" xr:uid="{00000000-0005-0000-0000-0000540C0000}"/>
    <cellStyle name="20% - Accent2 3 2 2 3 2 2 4" xfId="20764" xr:uid="{00000000-0005-0000-0000-0000550C0000}"/>
    <cellStyle name="20% - Accent2 3 2 2 3 2 3" xfId="5249" xr:uid="{00000000-0005-0000-0000-0000560C0000}"/>
    <cellStyle name="20% - Accent2 3 2 2 3 2 3 2" xfId="20790" xr:uid="{00000000-0005-0000-0000-0000570C0000}"/>
    <cellStyle name="20% - Accent2 3 2 2 3 2 3 2 2" xfId="5250" xr:uid="{00000000-0005-0000-0000-0000580C0000}"/>
    <cellStyle name="20% - Accent2 3 2 2 3 2 3 3" xfId="20798" xr:uid="{00000000-0005-0000-0000-0000590C0000}"/>
    <cellStyle name="20% - Accent2 3 2 2 3 2 4" xfId="5624" xr:uid="{00000000-0005-0000-0000-00005A0C0000}"/>
    <cellStyle name="20% - Accent2 3 2 2 3 2 4 2" xfId="7591" xr:uid="{00000000-0005-0000-0000-00005B0C0000}"/>
    <cellStyle name="20% - Accent2 3 2 2 3 2 5" xfId="13631" xr:uid="{00000000-0005-0000-0000-00005C0C0000}"/>
    <cellStyle name="20% - Accent2 3 2 2 3 3" xfId="24106" xr:uid="{00000000-0005-0000-0000-00005D0C0000}"/>
    <cellStyle name="20% - Accent2 3 2 2 3 3 2" xfId="1160" xr:uid="{00000000-0005-0000-0000-00005E0C0000}"/>
    <cellStyle name="20% - Accent2 3 2 2 3 3 2 2" xfId="20838" xr:uid="{00000000-0005-0000-0000-00005F0C0000}"/>
    <cellStyle name="20% - Accent2 3 2 2 3 3 2 2 2" xfId="22306" xr:uid="{00000000-0005-0000-0000-0000600C0000}"/>
    <cellStyle name="20% - Accent2 3 2 2 3 3 2 3" xfId="13462" xr:uid="{00000000-0005-0000-0000-0000610C0000}"/>
    <cellStyle name="20% - Accent2 3 2 2 3 3 3" xfId="29747" xr:uid="{00000000-0005-0000-0000-0000620C0000}"/>
    <cellStyle name="20% - Accent2 3 2 2 3 3 3 2" xfId="15075" xr:uid="{00000000-0005-0000-0000-0000630C0000}"/>
    <cellStyle name="20% - Accent2 3 2 2 3 3 4" xfId="5643" xr:uid="{00000000-0005-0000-0000-0000640C0000}"/>
    <cellStyle name="20% - Accent2 3 2 2 3 4" xfId="13128" xr:uid="{00000000-0005-0000-0000-0000650C0000}"/>
    <cellStyle name="20% - Accent2 3 2 2 3 4 2" xfId="26146" xr:uid="{00000000-0005-0000-0000-0000660C0000}"/>
    <cellStyle name="20% - Accent2 3 2 2 3 4 2 2" xfId="20872" xr:uid="{00000000-0005-0000-0000-0000670C0000}"/>
    <cellStyle name="20% - Accent2 3 2 2 3 4 3" xfId="22915" xr:uid="{00000000-0005-0000-0000-0000680C0000}"/>
    <cellStyle name="20% - Accent2 3 2 2 3 5" xfId="26156" xr:uid="{00000000-0005-0000-0000-0000690C0000}"/>
    <cellStyle name="20% - Accent2 3 2 2 3 5 2" xfId="6116" xr:uid="{00000000-0005-0000-0000-00006A0C0000}"/>
    <cellStyle name="20% - Accent2 3 2 2 3 6" xfId="26163" xr:uid="{00000000-0005-0000-0000-00006B0C0000}"/>
    <cellStyle name="20% - Accent2 3 2 2 4" xfId="666" xr:uid="{00000000-0005-0000-0000-00006C0C0000}"/>
    <cellStyle name="20% - Accent2 3 2 2 4 2" xfId="12715" xr:uid="{00000000-0005-0000-0000-00006D0C0000}"/>
    <cellStyle name="20% - Accent2 3 2 2 4 2 2" xfId="5268" xr:uid="{00000000-0005-0000-0000-00006E0C0000}"/>
    <cellStyle name="20% - Accent2 3 2 2 4 2 2 2" xfId="20964" xr:uid="{00000000-0005-0000-0000-00006F0C0000}"/>
    <cellStyle name="20% - Accent2 3 2 2 4 2 2 2 2" xfId="5274" xr:uid="{00000000-0005-0000-0000-0000700C0000}"/>
    <cellStyle name="20% - Accent2 3 2 2 4 2 2 3" xfId="6948" xr:uid="{00000000-0005-0000-0000-0000710C0000}"/>
    <cellStyle name="20% - Accent2 3 2 2 4 2 3" xfId="9561" xr:uid="{00000000-0005-0000-0000-0000720C0000}"/>
    <cellStyle name="20% - Accent2 3 2 2 4 2 3 2" xfId="20984" xr:uid="{00000000-0005-0000-0000-0000730C0000}"/>
    <cellStyle name="20% - Accent2 3 2 2 4 2 4" xfId="11167" xr:uid="{00000000-0005-0000-0000-0000740C0000}"/>
    <cellStyle name="20% - Accent2 3 2 2 4 3" xfId="18025" xr:uid="{00000000-0005-0000-0000-0000750C0000}"/>
    <cellStyle name="20% - Accent2 3 2 2 4 3 2" xfId="5278" xr:uid="{00000000-0005-0000-0000-0000760C0000}"/>
    <cellStyle name="20% - Accent2 3 2 2 4 3 2 2" xfId="21017" xr:uid="{00000000-0005-0000-0000-0000770C0000}"/>
    <cellStyle name="20% - Accent2 3 2 2 4 3 3" xfId="2628" xr:uid="{00000000-0005-0000-0000-0000780C0000}"/>
    <cellStyle name="20% - Accent2 3 2 2 4 4" xfId="26164" xr:uid="{00000000-0005-0000-0000-0000790C0000}"/>
    <cellStyle name="20% - Accent2 3 2 2 4 4 2" xfId="19070" xr:uid="{00000000-0005-0000-0000-00007A0C0000}"/>
    <cellStyle name="20% - Accent2 3 2 2 4 5" xfId="26172" xr:uid="{00000000-0005-0000-0000-00007B0C0000}"/>
    <cellStyle name="20% - Accent2 3 2 2 5" xfId="1314" xr:uid="{00000000-0005-0000-0000-00007C0C0000}"/>
    <cellStyle name="20% - Accent2 3 2 2 5 2" xfId="14761" xr:uid="{00000000-0005-0000-0000-00007D0C0000}"/>
    <cellStyle name="20% - Accent2 3 2 2 5 2 2" xfId="5292" xr:uid="{00000000-0005-0000-0000-00007E0C0000}"/>
    <cellStyle name="20% - Accent2 3 2 2 5 2 2 2" xfId="21073" xr:uid="{00000000-0005-0000-0000-00007F0C0000}"/>
    <cellStyle name="20% - Accent2 3 2 2 5 2 3" xfId="5298" xr:uid="{00000000-0005-0000-0000-0000800C0000}"/>
    <cellStyle name="20% - Accent2 3 2 2 5 3" xfId="5302" xr:uid="{00000000-0005-0000-0000-0000810C0000}"/>
    <cellStyle name="20% - Accent2 3 2 2 5 3 2" xfId="5305" xr:uid="{00000000-0005-0000-0000-0000820C0000}"/>
    <cellStyle name="20% - Accent2 3 2 2 5 4" xfId="27016" xr:uid="{00000000-0005-0000-0000-0000830C0000}"/>
    <cellStyle name="20% - Accent2 3 2 2 6" xfId="1326" xr:uid="{00000000-0005-0000-0000-0000840C0000}"/>
    <cellStyle name="20% - Accent2 3 2 2 6 2" xfId="5317" xr:uid="{00000000-0005-0000-0000-0000850C0000}"/>
    <cellStyle name="20% - Accent2 3 2 2 6 2 2" xfId="5324" xr:uid="{00000000-0005-0000-0000-0000860C0000}"/>
    <cellStyle name="20% - Accent2 3 2 2 6 3" xfId="5327" xr:uid="{00000000-0005-0000-0000-0000870C0000}"/>
    <cellStyle name="20% - Accent2 3 2 2 7" xfId="3374" xr:uid="{00000000-0005-0000-0000-0000880C0000}"/>
    <cellStyle name="20% - Accent2 3 2 2 7 2" xfId="5340" xr:uid="{00000000-0005-0000-0000-0000890C0000}"/>
    <cellStyle name="20% - Accent2 3 2 2 8" xfId="5347" xr:uid="{00000000-0005-0000-0000-00008A0C0000}"/>
    <cellStyle name="20% - Accent2 3 2 3" xfId="6620" xr:uid="{00000000-0005-0000-0000-00008B0C0000}"/>
    <cellStyle name="20% - Accent2 3 2 3 2" xfId="1919" xr:uid="{00000000-0005-0000-0000-00008C0C0000}"/>
    <cellStyle name="20% - Accent2 3 2 3 2 2" xfId="17029" xr:uid="{00000000-0005-0000-0000-00008D0C0000}"/>
    <cellStyle name="20% - Accent2 3 2 3 2 2 2" xfId="3149" xr:uid="{00000000-0005-0000-0000-00008E0C0000}"/>
    <cellStyle name="20% - Accent2 3 2 3 2 2 2 2" xfId="21202" xr:uid="{00000000-0005-0000-0000-00008F0C0000}"/>
    <cellStyle name="20% - Accent2 3 2 3 2 2 2 2 2" xfId="3145" xr:uid="{00000000-0005-0000-0000-0000900C0000}"/>
    <cellStyle name="20% - Accent2 3 2 3 2 2 2 2 2 2" xfId="5352" xr:uid="{00000000-0005-0000-0000-0000910C0000}"/>
    <cellStyle name="20% - Accent2 3 2 3 2 2 2 2 3" xfId="6991" xr:uid="{00000000-0005-0000-0000-0000920C0000}"/>
    <cellStyle name="20% - Accent2 3 2 3 2 2 2 3" xfId="21206" xr:uid="{00000000-0005-0000-0000-0000930C0000}"/>
    <cellStyle name="20% - Accent2 3 2 3 2 2 2 3 2" xfId="4465" xr:uid="{00000000-0005-0000-0000-0000940C0000}"/>
    <cellStyle name="20% - Accent2 3 2 3 2 2 2 4" xfId="21208" xr:uid="{00000000-0005-0000-0000-0000950C0000}"/>
    <cellStyle name="20% - Accent2 3 2 3 2 2 3" xfId="5366" xr:uid="{00000000-0005-0000-0000-0000960C0000}"/>
    <cellStyle name="20% - Accent2 3 2 3 2 2 3 2" xfId="21229" xr:uid="{00000000-0005-0000-0000-0000970C0000}"/>
    <cellStyle name="20% - Accent2 3 2 3 2 2 3 2 2" xfId="1059" xr:uid="{00000000-0005-0000-0000-0000980C0000}"/>
    <cellStyle name="20% - Accent2 3 2 3 2 2 3 3" xfId="21238" xr:uid="{00000000-0005-0000-0000-0000990C0000}"/>
    <cellStyle name="20% - Accent2 3 2 3 2 2 4" xfId="7645" xr:uid="{00000000-0005-0000-0000-00009A0C0000}"/>
    <cellStyle name="20% - Accent2 3 2 3 2 2 4 2" xfId="21245" xr:uid="{00000000-0005-0000-0000-00009B0C0000}"/>
    <cellStyle name="20% - Accent2 3 2 3 2 2 5" xfId="10955" xr:uid="{00000000-0005-0000-0000-00009C0C0000}"/>
    <cellStyle name="20% - Accent2 3 2 3 2 3" xfId="24136" xr:uid="{00000000-0005-0000-0000-00009D0C0000}"/>
    <cellStyle name="20% - Accent2 3 2 3 2 3 2" xfId="7821" xr:uid="{00000000-0005-0000-0000-00009E0C0000}"/>
    <cellStyle name="20% - Accent2 3 2 3 2 3 2 2" xfId="21268" xr:uid="{00000000-0005-0000-0000-00009F0C0000}"/>
    <cellStyle name="20% - Accent2 3 2 3 2 3 2 2 2" xfId="22704" xr:uid="{00000000-0005-0000-0000-0000A00C0000}"/>
    <cellStyle name="20% - Accent2 3 2 3 2 3 2 3" xfId="21846" xr:uid="{00000000-0005-0000-0000-0000A10C0000}"/>
    <cellStyle name="20% - Accent2 3 2 3 2 3 3" xfId="7824" xr:uid="{00000000-0005-0000-0000-0000A20C0000}"/>
    <cellStyle name="20% - Accent2 3 2 3 2 3 3 2" xfId="15666" xr:uid="{00000000-0005-0000-0000-0000A30C0000}"/>
    <cellStyle name="20% - Accent2 3 2 3 2 3 4" xfId="7655" xr:uid="{00000000-0005-0000-0000-0000A40C0000}"/>
    <cellStyle name="20% - Accent2 3 2 3 2 4" xfId="5393" xr:uid="{00000000-0005-0000-0000-0000A50C0000}"/>
    <cellStyle name="20% - Accent2 3 2 3 2 4 2" xfId="7828" xr:uid="{00000000-0005-0000-0000-0000A60C0000}"/>
    <cellStyle name="20% - Accent2 3 2 3 2 4 2 2" xfId="21289" xr:uid="{00000000-0005-0000-0000-0000A70C0000}"/>
    <cellStyle name="20% - Accent2 3 2 3 2 4 3" xfId="22971" xr:uid="{00000000-0005-0000-0000-0000A80C0000}"/>
    <cellStyle name="20% - Accent2 3 2 3 2 5" xfId="10094" xr:uid="{00000000-0005-0000-0000-0000A90C0000}"/>
    <cellStyle name="20% - Accent2 3 2 3 2 5 2" xfId="10008" xr:uid="{00000000-0005-0000-0000-0000AA0C0000}"/>
    <cellStyle name="20% - Accent2 3 2 3 2 6" xfId="5698" xr:uid="{00000000-0005-0000-0000-0000AB0C0000}"/>
    <cellStyle name="20% - Accent2 3 2 3 3" xfId="1927" xr:uid="{00000000-0005-0000-0000-0000AC0C0000}"/>
    <cellStyle name="20% - Accent2 3 2 3 3 2" xfId="24148" xr:uid="{00000000-0005-0000-0000-0000AD0C0000}"/>
    <cellStyle name="20% - Accent2 3 2 3 3 2 2" xfId="5398" xr:uid="{00000000-0005-0000-0000-0000AE0C0000}"/>
    <cellStyle name="20% - Accent2 3 2 3 3 2 2 2" xfId="21364" xr:uid="{00000000-0005-0000-0000-0000AF0C0000}"/>
    <cellStyle name="20% - Accent2 3 2 3 3 2 2 2 2" xfId="5399" xr:uid="{00000000-0005-0000-0000-0000B00C0000}"/>
    <cellStyle name="20% - Accent2 3 2 3 3 2 2 3" xfId="17889" xr:uid="{00000000-0005-0000-0000-0000B10C0000}"/>
    <cellStyle name="20% - Accent2 3 2 3 3 2 3" xfId="7493" xr:uid="{00000000-0005-0000-0000-0000B20C0000}"/>
    <cellStyle name="20% - Accent2 3 2 3 3 2 3 2" xfId="21384" xr:uid="{00000000-0005-0000-0000-0000B30C0000}"/>
    <cellStyle name="20% - Accent2 3 2 3 3 2 4" xfId="5802" xr:uid="{00000000-0005-0000-0000-0000B40C0000}"/>
    <cellStyle name="20% - Accent2 3 2 3 3 3" xfId="5407" xr:uid="{00000000-0005-0000-0000-0000B50C0000}"/>
    <cellStyle name="20% - Accent2 3 2 3 3 3 2" xfId="6179" xr:uid="{00000000-0005-0000-0000-0000B60C0000}"/>
    <cellStyle name="20% - Accent2 3 2 3 3 3 2 2" xfId="21411" xr:uid="{00000000-0005-0000-0000-0000B70C0000}"/>
    <cellStyle name="20% - Accent2 3 2 3 3 3 3" xfId="7844" xr:uid="{00000000-0005-0000-0000-0000B80C0000}"/>
    <cellStyle name="20% - Accent2 3 2 3 3 4" xfId="29979" xr:uid="{00000000-0005-0000-0000-0000B90C0000}"/>
    <cellStyle name="20% - Accent2 3 2 3 3 4 2" xfId="26173" xr:uid="{00000000-0005-0000-0000-0000BA0C0000}"/>
    <cellStyle name="20% - Accent2 3 2 3 3 5" xfId="16662" xr:uid="{00000000-0005-0000-0000-0000BB0C0000}"/>
    <cellStyle name="20% - Accent2 3 2 3 4" xfId="27823" xr:uid="{00000000-0005-0000-0000-0000BC0C0000}"/>
    <cellStyle name="20% - Accent2 3 2 3 4 2" xfId="16607" xr:uid="{00000000-0005-0000-0000-0000BD0C0000}"/>
    <cellStyle name="20% - Accent2 3 2 3 4 2 2" xfId="5411" xr:uid="{00000000-0005-0000-0000-0000BE0C0000}"/>
    <cellStyle name="20% - Accent2 3 2 3 4 2 2 2" xfId="21495" xr:uid="{00000000-0005-0000-0000-0000BF0C0000}"/>
    <cellStyle name="20% - Accent2 3 2 3 4 2 3" xfId="5417" xr:uid="{00000000-0005-0000-0000-0000C00C0000}"/>
    <cellStyle name="20% - Accent2 3 2 3 4 3" xfId="5418" xr:uid="{00000000-0005-0000-0000-0000C10C0000}"/>
    <cellStyle name="20% - Accent2 3 2 3 4 3 2" xfId="2927" xr:uid="{00000000-0005-0000-0000-0000C20C0000}"/>
    <cellStyle name="20% - Accent2 3 2 3 4 4" xfId="16671" xr:uid="{00000000-0005-0000-0000-0000C30C0000}"/>
    <cellStyle name="20% - Accent2 3 2 3 5" xfId="5423" xr:uid="{00000000-0005-0000-0000-0000C40C0000}"/>
    <cellStyle name="20% - Accent2 3 2 3 5 2" xfId="5426" xr:uid="{00000000-0005-0000-0000-0000C50C0000}"/>
    <cellStyle name="20% - Accent2 3 2 3 5 2 2" xfId="5428" xr:uid="{00000000-0005-0000-0000-0000C60C0000}"/>
    <cellStyle name="20% - Accent2 3 2 3 5 3" xfId="5431" xr:uid="{00000000-0005-0000-0000-0000C70C0000}"/>
    <cellStyle name="20% - Accent2 3 2 3 6" xfId="5438" xr:uid="{00000000-0005-0000-0000-0000C80C0000}"/>
    <cellStyle name="20% - Accent2 3 2 3 6 2" xfId="5449" xr:uid="{00000000-0005-0000-0000-0000C90C0000}"/>
    <cellStyle name="20% - Accent2 3 2 3 7" xfId="5459" xr:uid="{00000000-0005-0000-0000-0000CA0C0000}"/>
    <cellStyle name="20% - Accent2 3 2 4" xfId="27348" xr:uid="{00000000-0005-0000-0000-0000CB0C0000}"/>
    <cellStyle name="20% - Accent2 3 2 4 2" xfId="1929" xr:uid="{00000000-0005-0000-0000-0000CC0C0000}"/>
    <cellStyle name="20% - Accent2 3 2 4 2 2" xfId="24168" xr:uid="{00000000-0005-0000-0000-0000CD0C0000}"/>
    <cellStyle name="20% - Accent2 3 2 4 2 2 2" xfId="5463" xr:uid="{00000000-0005-0000-0000-0000CE0C0000}"/>
    <cellStyle name="20% - Accent2 3 2 4 2 2 2 2" xfId="19423" xr:uid="{00000000-0005-0000-0000-0000CF0C0000}"/>
    <cellStyle name="20% - Accent2 3 2 4 2 2 2 2 2" xfId="5464" xr:uid="{00000000-0005-0000-0000-0000D00C0000}"/>
    <cellStyle name="20% - Accent2 3 2 4 2 2 2 3" xfId="21596" xr:uid="{00000000-0005-0000-0000-0000D10C0000}"/>
    <cellStyle name="20% - Accent2 3 2 4 2 2 3" xfId="5475" xr:uid="{00000000-0005-0000-0000-0000D20C0000}"/>
    <cellStyle name="20% - Accent2 3 2 4 2 2 3 2" xfId="21605" xr:uid="{00000000-0005-0000-0000-0000D30C0000}"/>
    <cellStyle name="20% - Accent2 3 2 4 2 2 4" xfId="7730" xr:uid="{00000000-0005-0000-0000-0000D40C0000}"/>
    <cellStyle name="20% - Accent2 3 2 4 2 3" xfId="5477" xr:uid="{00000000-0005-0000-0000-0000D50C0000}"/>
    <cellStyle name="20% - Accent2 3 2 4 2 3 2" xfId="7853" xr:uid="{00000000-0005-0000-0000-0000D60C0000}"/>
    <cellStyle name="20% - Accent2 3 2 4 2 3 2 2" xfId="26187" xr:uid="{00000000-0005-0000-0000-0000D70C0000}"/>
    <cellStyle name="20% - Accent2 3 2 4 2 3 3" xfId="7859" xr:uid="{00000000-0005-0000-0000-0000D80C0000}"/>
    <cellStyle name="20% - Accent2 3 2 4 2 4" xfId="5485" xr:uid="{00000000-0005-0000-0000-0000D90C0000}"/>
    <cellStyle name="20% - Accent2 3 2 4 2 4 2" xfId="7861" xr:uid="{00000000-0005-0000-0000-0000DA0C0000}"/>
    <cellStyle name="20% - Accent2 3 2 4 2 5" xfId="7865" xr:uid="{00000000-0005-0000-0000-0000DB0C0000}"/>
    <cellStyle name="20% - Accent2 3 2 4 3" xfId="1930" xr:uid="{00000000-0005-0000-0000-0000DC0C0000}"/>
    <cellStyle name="20% - Accent2 3 2 4 3 2" xfId="9083" xr:uid="{00000000-0005-0000-0000-0000DD0C0000}"/>
    <cellStyle name="20% - Accent2 3 2 4 3 2 2" xfId="5488" xr:uid="{00000000-0005-0000-0000-0000DE0C0000}"/>
    <cellStyle name="20% - Accent2 3 2 4 3 2 2 2" xfId="21697" xr:uid="{00000000-0005-0000-0000-0000DF0C0000}"/>
    <cellStyle name="20% - Accent2 3 2 4 3 2 3" xfId="5497" xr:uid="{00000000-0005-0000-0000-0000E00C0000}"/>
    <cellStyle name="20% - Accent2 3 2 4 3 3" xfId="5499" xr:uid="{00000000-0005-0000-0000-0000E10C0000}"/>
    <cellStyle name="20% - Accent2 3 2 4 3 3 2" xfId="7867" xr:uid="{00000000-0005-0000-0000-0000E20C0000}"/>
    <cellStyle name="20% - Accent2 3 2 4 3 4" xfId="16675" xr:uid="{00000000-0005-0000-0000-0000E30C0000}"/>
    <cellStyle name="20% - Accent2 3 2 4 4" xfId="9345" xr:uid="{00000000-0005-0000-0000-0000E40C0000}"/>
    <cellStyle name="20% - Accent2 3 2 4 4 2" xfId="5500" xr:uid="{00000000-0005-0000-0000-0000E50C0000}"/>
    <cellStyle name="20% - Accent2 3 2 4 4 2 2" xfId="18566" xr:uid="{00000000-0005-0000-0000-0000E60C0000}"/>
    <cellStyle name="20% - Accent2 3 2 4 4 3" xfId="7869" xr:uid="{00000000-0005-0000-0000-0000E70C0000}"/>
    <cellStyle name="20% - Accent2 3 2 4 5" xfId="5504" xr:uid="{00000000-0005-0000-0000-0000E80C0000}"/>
    <cellStyle name="20% - Accent2 3 2 4 5 2" xfId="316" xr:uid="{00000000-0005-0000-0000-0000E90C0000}"/>
    <cellStyle name="20% - Accent2 3 2 4 6" xfId="5510" xr:uid="{00000000-0005-0000-0000-0000EA0C0000}"/>
    <cellStyle name="20% - Accent2 3 2 5" xfId="478" xr:uid="{00000000-0005-0000-0000-0000EB0C0000}"/>
    <cellStyle name="20% - Accent2 3 2 5 2" xfId="1936" xr:uid="{00000000-0005-0000-0000-0000EC0C0000}"/>
    <cellStyle name="20% - Accent2 3 2 5 2 2" xfId="5515" xr:uid="{00000000-0005-0000-0000-0000ED0C0000}"/>
    <cellStyle name="20% - Accent2 3 2 5 2 2 2" xfId="12697" xr:uid="{00000000-0005-0000-0000-0000EE0C0000}"/>
    <cellStyle name="20% - Accent2 3 2 5 2 2 2 2" xfId="4977" xr:uid="{00000000-0005-0000-0000-0000EF0C0000}"/>
    <cellStyle name="20% - Accent2 3 2 5 2 2 3" xfId="12701" xr:uid="{00000000-0005-0000-0000-0000F00C0000}"/>
    <cellStyle name="20% - Accent2 3 2 5 2 3" xfId="5288" xr:uid="{00000000-0005-0000-0000-0000F10C0000}"/>
    <cellStyle name="20% - Accent2 3 2 5 2 3 2" xfId="12705" xr:uid="{00000000-0005-0000-0000-0000F20C0000}"/>
    <cellStyle name="20% - Accent2 3 2 5 2 4" xfId="25096" xr:uid="{00000000-0005-0000-0000-0000F30C0000}"/>
    <cellStyle name="20% - Accent2 3 2 5 3" xfId="5529" xr:uid="{00000000-0005-0000-0000-0000F40C0000}"/>
    <cellStyle name="20% - Accent2 3 2 5 3 2" xfId="5533" xr:uid="{00000000-0005-0000-0000-0000F50C0000}"/>
    <cellStyle name="20% - Accent2 3 2 5 3 2 2" xfId="9417" xr:uid="{00000000-0005-0000-0000-0000F60C0000}"/>
    <cellStyle name="20% - Accent2 3 2 5 3 3" xfId="7879" xr:uid="{00000000-0005-0000-0000-0000F70C0000}"/>
    <cellStyle name="20% - Accent2 3 2 5 4" xfId="10005" xr:uid="{00000000-0005-0000-0000-0000F80C0000}"/>
    <cellStyle name="20% - Accent2 3 2 5 4 2" xfId="6346" xr:uid="{00000000-0005-0000-0000-0000F90C0000}"/>
    <cellStyle name="20% - Accent2 3 2 5 5" xfId="11115" xr:uid="{00000000-0005-0000-0000-0000FA0C0000}"/>
    <cellStyle name="20% - Accent2 3 2 6" xfId="1942" xr:uid="{00000000-0005-0000-0000-0000FB0C0000}"/>
    <cellStyle name="20% - Accent2 3 2 6 2" xfId="5543" xr:uid="{00000000-0005-0000-0000-0000FC0C0000}"/>
    <cellStyle name="20% - Accent2 3 2 6 2 2" xfId="4787" xr:uid="{00000000-0005-0000-0000-0000FD0C0000}"/>
    <cellStyle name="20% - Accent2 3 2 6 2 2 2" xfId="33692" xr:uid="{00000000-0005-0000-0000-0000FE0C0000}"/>
    <cellStyle name="20% - Accent2 3 2 6 2 3" xfId="7890" xr:uid="{00000000-0005-0000-0000-0000FF0C0000}"/>
    <cellStyle name="20% - Accent2 3 2 6 3" xfId="4333" xr:uid="{00000000-0005-0000-0000-0000000D0000}"/>
    <cellStyle name="20% - Accent2 3 2 6 3 2" xfId="10522" xr:uid="{00000000-0005-0000-0000-0000010D0000}"/>
    <cellStyle name="20% - Accent2 3 2 6 4" xfId="24185" xr:uid="{00000000-0005-0000-0000-0000020D0000}"/>
    <cellStyle name="20% - Accent2 3 2 7" xfId="5548" xr:uid="{00000000-0005-0000-0000-0000030D0000}"/>
    <cellStyle name="20% - Accent2 3 2 7 2" xfId="5549" xr:uid="{00000000-0005-0000-0000-0000040D0000}"/>
    <cellStyle name="20% - Accent2 3 2 7 2 2" xfId="5550" xr:uid="{00000000-0005-0000-0000-0000050D0000}"/>
    <cellStyle name="20% - Accent2 3 2 7 3" xfId="15946" xr:uid="{00000000-0005-0000-0000-0000060D0000}"/>
    <cellStyle name="20% - Accent2 3 2 8" xfId="5559" xr:uid="{00000000-0005-0000-0000-0000070D0000}"/>
    <cellStyle name="20% - Accent2 3 2 8 2" xfId="1523" xr:uid="{00000000-0005-0000-0000-0000080D0000}"/>
    <cellStyle name="20% - Accent2 3 2 9" xfId="5560" xr:uid="{00000000-0005-0000-0000-0000090D0000}"/>
    <cellStyle name="20% - Accent2 3 3" xfId="1955" xr:uid="{00000000-0005-0000-0000-00000A0D0000}"/>
    <cellStyle name="20% - Accent2 3 3 2" xfId="2838" xr:uid="{00000000-0005-0000-0000-00000B0D0000}"/>
    <cellStyle name="20% - Accent2 3 3 2 2" xfId="2229" xr:uid="{00000000-0005-0000-0000-00000C0D0000}"/>
    <cellStyle name="20% - Accent2 3 3 2 2 2" xfId="11051" xr:uid="{00000000-0005-0000-0000-00000D0D0000}"/>
    <cellStyle name="20% - Accent2 3 3 2 2 2 2" xfId="949" xr:uid="{00000000-0005-0000-0000-00000E0D0000}"/>
    <cellStyle name="20% - Accent2 3 3 2 2 2 2 2" xfId="21982" xr:uid="{00000000-0005-0000-0000-00000F0D0000}"/>
    <cellStyle name="20% - Accent2 3 3 2 2 2 2 2 2" xfId="5231" xr:uid="{00000000-0005-0000-0000-0000100D0000}"/>
    <cellStyle name="20% - Accent2 3 3 2 2 2 2 2 2 2" xfId="9392" xr:uid="{00000000-0005-0000-0000-0000110D0000}"/>
    <cellStyle name="20% - Accent2 3 3 2 2 2 2 2 3" xfId="18012" xr:uid="{00000000-0005-0000-0000-0000120D0000}"/>
    <cellStyle name="20% - Accent2 3 3 2 2 2 2 3" xfId="5561" xr:uid="{00000000-0005-0000-0000-0000130D0000}"/>
    <cellStyle name="20% - Accent2 3 3 2 2 2 2 3 2" xfId="701" xr:uid="{00000000-0005-0000-0000-0000140D0000}"/>
    <cellStyle name="20% - Accent2 3 3 2 2 2 2 4" xfId="9027" xr:uid="{00000000-0005-0000-0000-0000150D0000}"/>
    <cellStyle name="20% - Accent2 3 3 2 2 2 3" xfId="5567" xr:uid="{00000000-0005-0000-0000-0000160D0000}"/>
    <cellStyle name="20% - Accent2 3 3 2 2 2 3 2" xfId="21996" xr:uid="{00000000-0005-0000-0000-0000170D0000}"/>
    <cellStyle name="20% - Accent2 3 3 2 2 2 3 2 2" xfId="1974" xr:uid="{00000000-0005-0000-0000-0000180D0000}"/>
    <cellStyle name="20% - Accent2 3 3 2 2 2 3 3" xfId="5571" xr:uid="{00000000-0005-0000-0000-0000190D0000}"/>
    <cellStyle name="20% - Accent2 3 3 2 2 2 4" xfId="7820" xr:uid="{00000000-0005-0000-0000-00001A0D0000}"/>
    <cellStyle name="20% - Accent2 3 3 2 2 2 4 2" xfId="22000" xr:uid="{00000000-0005-0000-0000-00001B0D0000}"/>
    <cellStyle name="20% - Accent2 3 3 2 2 2 5" xfId="9804" xr:uid="{00000000-0005-0000-0000-00001C0D0000}"/>
    <cellStyle name="20% - Accent2 3 3 2 2 3" xfId="9655" xr:uid="{00000000-0005-0000-0000-00001D0D0000}"/>
    <cellStyle name="20% - Accent2 3 3 2 2 3 2" xfId="938" xr:uid="{00000000-0005-0000-0000-00001E0D0000}"/>
    <cellStyle name="20% - Accent2 3 3 2 2 3 2 2" xfId="22025" xr:uid="{00000000-0005-0000-0000-00001F0D0000}"/>
    <cellStyle name="20% - Accent2 3 3 2 2 3 2 2 2" xfId="14277" xr:uid="{00000000-0005-0000-0000-0000200D0000}"/>
    <cellStyle name="20% - Accent2 3 3 2 2 3 2 3" xfId="5587" xr:uid="{00000000-0005-0000-0000-0000210D0000}"/>
    <cellStyle name="20% - Accent2 3 3 2 2 3 3" xfId="5589" xr:uid="{00000000-0005-0000-0000-0000220D0000}"/>
    <cellStyle name="20% - Accent2 3 3 2 2 3 3 2" xfId="17018" xr:uid="{00000000-0005-0000-0000-0000230D0000}"/>
    <cellStyle name="20% - Accent2 3 3 2 2 3 4" xfId="7827" xr:uid="{00000000-0005-0000-0000-0000240D0000}"/>
    <cellStyle name="20% - Accent2 3 3 2 2 4" xfId="10643" xr:uid="{00000000-0005-0000-0000-0000250D0000}"/>
    <cellStyle name="20% - Accent2 3 3 2 2 4 2" xfId="5600" xr:uid="{00000000-0005-0000-0000-0000260D0000}"/>
    <cellStyle name="20% - Accent2 3 3 2 2 4 2 2" xfId="22046" xr:uid="{00000000-0005-0000-0000-0000270D0000}"/>
    <cellStyle name="20% - Accent2 3 3 2 2 4 3" xfId="23103" xr:uid="{00000000-0005-0000-0000-0000280D0000}"/>
    <cellStyle name="20% - Accent2 3 3 2 2 5" xfId="5780" xr:uid="{00000000-0005-0000-0000-0000290D0000}"/>
    <cellStyle name="20% - Accent2 3 3 2 2 5 2" xfId="6103" xr:uid="{00000000-0005-0000-0000-00002A0D0000}"/>
    <cellStyle name="20% - Accent2 3 3 2 2 6" xfId="5793" xr:uid="{00000000-0005-0000-0000-00002B0D0000}"/>
    <cellStyle name="20% - Accent2 3 3 2 3" xfId="1555" xr:uid="{00000000-0005-0000-0000-00002C0D0000}"/>
    <cellStyle name="20% - Accent2 3 3 2 3 2" xfId="3911" xr:uid="{00000000-0005-0000-0000-00002D0D0000}"/>
    <cellStyle name="20% - Accent2 3 3 2 3 2 2" xfId="5609" xr:uid="{00000000-0005-0000-0000-00002E0D0000}"/>
    <cellStyle name="20% - Accent2 3 3 2 3 2 2 2" xfId="22109" xr:uid="{00000000-0005-0000-0000-00002F0D0000}"/>
    <cellStyle name="20% - Accent2 3 3 2 3 2 2 2 2" xfId="204" xr:uid="{00000000-0005-0000-0000-0000300D0000}"/>
    <cellStyle name="20% - Accent2 3 3 2 3 2 2 3" xfId="2784" xr:uid="{00000000-0005-0000-0000-0000310D0000}"/>
    <cellStyle name="20% - Accent2 3 3 2 3 2 3" xfId="6128" xr:uid="{00000000-0005-0000-0000-0000320D0000}"/>
    <cellStyle name="20% - Accent2 3 3 2 3 2 3 2" xfId="22121" xr:uid="{00000000-0005-0000-0000-0000330D0000}"/>
    <cellStyle name="20% - Accent2 3 3 2 3 2 4" xfId="6178" xr:uid="{00000000-0005-0000-0000-0000340D0000}"/>
    <cellStyle name="20% - Accent2 3 3 2 3 3" xfId="5615" xr:uid="{00000000-0005-0000-0000-0000350D0000}"/>
    <cellStyle name="20% - Accent2 3 3 2 3 3 2" xfId="5616" xr:uid="{00000000-0005-0000-0000-0000360D0000}"/>
    <cellStyle name="20% - Accent2 3 3 2 3 3 2 2" xfId="24884" xr:uid="{00000000-0005-0000-0000-0000370D0000}"/>
    <cellStyle name="20% - Accent2 3 3 2 3 3 3" xfId="5619" xr:uid="{00000000-0005-0000-0000-0000380D0000}"/>
    <cellStyle name="20% - Accent2 3 3 2 3 4" xfId="11800" xr:uid="{00000000-0005-0000-0000-0000390D0000}"/>
    <cellStyle name="20% - Accent2 3 3 2 3 4 2" xfId="26366" xr:uid="{00000000-0005-0000-0000-00003A0D0000}"/>
    <cellStyle name="20% - Accent2 3 3 2 3 5" xfId="30110" xr:uid="{00000000-0005-0000-0000-00003B0D0000}"/>
    <cellStyle name="20% - Accent2 3 3 2 4" xfId="1396" xr:uid="{00000000-0005-0000-0000-00003C0D0000}"/>
    <cellStyle name="20% - Accent2 3 3 2 4 2" xfId="29792" xr:uid="{00000000-0005-0000-0000-00003D0D0000}"/>
    <cellStyle name="20% - Accent2 3 3 2 4 2 2" xfId="5632" xr:uid="{00000000-0005-0000-0000-00003E0D0000}"/>
    <cellStyle name="20% - Accent2 3 3 2 4 2 2 2" xfId="24347" xr:uid="{00000000-0005-0000-0000-00003F0D0000}"/>
    <cellStyle name="20% - Accent2 3 3 2 4 2 3" xfId="5635" xr:uid="{00000000-0005-0000-0000-0000400D0000}"/>
    <cellStyle name="20% - Accent2 3 3 2 4 3" xfId="5636" xr:uid="{00000000-0005-0000-0000-0000410D0000}"/>
    <cellStyle name="20% - Accent2 3 3 2 4 3 2" xfId="5640" xr:uid="{00000000-0005-0000-0000-0000420D0000}"/>
    <cellStyle name="20% - Accent2 3 3 2 4 4" xfId="26369" xr:uid="{00000000-0005-0000-0000-0000430D0000}"/>
    <cellStyle name="20% - Accent2 3 3 2 5" xfId="5646" xr:uid="{00000000-0005-0000-0000-0000440D0000}"/>
    <cellStyle name="20% - Accent2 3 3 2 5 2" xfId="5649" xr:uid="{00000000-0005-0000-0000-0000450D0000}"/>
    <cellStyle name="20% - Accent2 3 3 2 5 2 2" xfId="5654" xr:uid="{00000000-0005-0000-0000-0000460D0000}"/>
    <cellStyle name="20% - Accent2 3 3 2 5 3" xfId="5660" xr:uid="{00000000-0005-0000-0000-0000470D0000}"/>
    <cellStyle name="20% - Accent2 3 3 2 6" xfId="5663" xr:uid="{00000000-0005-0000-0000-0000480D0000}"/>
    <cellStyle name="20% - Accent2 3 3 2 6 2" xfId="5672" xr:uid="{00000000-0005-0000-0000-0000490D0000}"/>
    <cellStyle name="20% - Accent2 3 3 2 7" xfId="18465" xr:uid="{00000000-0005-0000-0000-00004A0D0000}"/>
    <cellStyle name="20% - Accent2 3 3 3" xfId="8098" xr:uid="{00000000-0005-0000-0000-00004B0D0000}"/>
    <cellStyle name="20% - Accent2 3 3 3 2" xfId="1557" xr:uid="{00000000-0005-0000-0000-00004C0D0000}"/>
    <cellStyle name="20% - Accent2 3 3 3 2 2" xfId="11070" xr:uid="{00000000-0005-0000-0000-00004D0D0000}"/>
    <cellStyle name="20% - Accent2 3 3 3 2 2 2" xfId="22645" xr:uid="{00000000-0005-0000-0000-00004E0D0000}"/>
    <cellStyle name="20% - Accent2 3 3 3 2 2 2 2" xfId="22285" xr:uid="{00000000-0005-0000-0000-00004F0D0000}"/>
    <cellStyle name="20% - Accent2 3 3 3 2 2 2 2 2" xfId="1741" xr:uid="{00000000-0005-0000-0000-0000500D0000}"/>
    <cellStyle name="20% - Accent2 3 3 3 2 2 2 3" xfId="3000" xr:uid="{00000000-0005-0000-0000-0000510D0000}"/>
    <cellStyle name="20% - Accent2 3 3 3 2 2 3" xfId="21168" xr:uid="{00000000-0005-0000-0000-0000520D0000}"/>
    <cellStyle name="20% - Accent2 3 3 3 2 2 3 2" xfId="22317" xr:uid="{00000000-0005-0000-0000-0000530D0000}"/>
    <cellStyle name="20% - Accent2 3 3 3 2 2 4" xfId="7852" xr:uid="{00000000-0005-0000-0000-0000540D0000}"/>
    <cellStyle name="20% - Accent2 3 3 3 2 3" xfId="7546" xr:uid="{00000000-0005-0000-0000-0000550D0000}"/>
    <cellStyle name="20% - Accent2 3 3 3 2 3 2" xfId="21175" xr:uid="{00000000-0005-0000-0000-0000560D0000}"/>
    <cellStyle name="20% - Accent2 3 3 3 2 3 2 2" xfId="22744" xr:uid="{00000000-0005-0000-0000-0000570D0000}"/>
    <cellStyle name="20% - Accent2 3 3 3 2 3 3" xfId="7906" xr:uid="{00000000-0005-0000-0000-0000580D0000}"/>
    <cellStyle name="20% - Accent2 3 3 3 2 4" xfId="7558" xr:uid="{00000000-0005-0000-0000-0000590D0000}"/>
    <cellStyle name="20% - Accent2 3 3 3 2 4 2" xfId="7911" xr:uid="{00000000-0005-0000-0000-00005A0D0000}"/>
    <cellStyle name="20% - Accent2 3 3 3 2 5" xfId="7921" xr:uid="{00000000-0005-0000-0000-00005B0D0000}"/>
    <cellStyle name="20% - Accent2 3 3 3 3" xfId="1564" xr:uid="{00000000-0005-0000-0000-00005C0D0000}"/>
    <cellStyle name="20% - Accent2 3 3 3 3 2" xfId="5700" xr:uid="{00000000-0005-0000-0000-00005D0D0000}"/>
    <cellStyle name="20% - Accent2 3 3 3 3 2 2" xfId="21183" xr:uid="{00000000-0005-0000-0000-00005E0D0000}"/>
    <cellStyle name="20% - Accent2 3 3 3 3 2 2 2" xfId="22422" xr:uid="{00000000-0005-0000-0000-00005F0D0000}"/>
    <cellStyle name="20% - Accent2 3 3 3 3 2 3" xfId="380" xr:uid="{00000000-0005-0000-0000-0000600D0000}"/>
    <cellStyle name="20% - Accent2 3 3 3 3 3" xfId="7583" xr:uid="{00000000-0005-0000-0000-0000610D0000}"/>
    <cellStyle name="20% - Accent2 3 3 3 3 3 2" xfId="7924" xr:uid="{00000000-0005-0000-0000-0000620D0000}"/>
    <cellStyle name="20% - Accent2 3 3 3 3 4" xfId="7926" xr:uid="{00000000-0005-0000-0000-0000630D0000}"/>
    <cellStyle name="20% - Accent2 3 3 3 4" xfId="5703" xr:uid="{00000000-0005-0000-0000-0000640D0000}"/>
    <cellStyle name="20% - Accent2 3 3 3 4 2" xfId="5706" xr:uid="{00000000-0005-0000-0000-0000650D0000}"/>
    <cellStyle name="20% - Accent2 3 3 3 4 2 2" xfId="5709" xr:uid="{00000000-0005-0000-0000-0000660D0000}"/>
    <cellStyle name="20% - Accent2 3 3 3 4 3" xfId="7932" xr:uid="{00000000-0005-0000-0000-0000670D0000}"/>
    <cellStyle name="20% - Accent2 3 3 3 5" xfId="5710" xr:uid="{00000000-0005-0000-0000-0000680D0000}"/>
    <cellStyle name="20% - Accent2 3 3 3 5 2" xfId="5712" xr:uid="{00000000-0005-0000-0000-0000690D0000}"/>
    <cellStyle name="20% - Accent2 3 3 3 6" xfId="5714" xr:uid="{00000000-0005-0000-0000-00006A0D0000}"/>
    <cellStyle name="20% - Accent2 3 3 4" xfId="11989" xr:uid="{00000000-0005-0000-0000-00006B0D0000}"/>
    <cellStyle name="20% - Accent2 3 3 4 2" xfId="1576" xr:uid="{00000000-0005-0000-0000-00006C0D0000}"/>
    <cellStyle name="20% - Accent2 3 3 4 2 2" xfId="9080" xr:uid="{00000000-0005-0000-0000-00006D0D0000}"/>
    <cellStyle name="20% - Accent2 3 3 4 2 2 2" xfId="21226" xr:uid="{00000000-0005-0000-0000-00006E0D0000}"/>
    <cellStyle name="20% - Accent2 3 3 4 2 2 2 2" xfId="22536" xr:uid="{00000000-0005-0000-0000-00006F0D0000}"/>
    <cellStyle name="20% - Accent2 3 3 4 2 2 3" xfId="5716" xr:uid="{00000000-0005-0000-0000-0000700D0000}"/>
    <cellStyle name="20% - Accent2 3 3 4 2 3" xfId="9051" xr:uid="{00000000-0005-0000-0000-0000710D0000}"/>
    <cellStyle name="20% - Accent2 3 3 4 2 3 2" xfId="7935" xr:uid="{00000000-0005-0000-0000-0000720D0000}"/>
    <cellStyle name="20% - Accent2 3 3 4 2 4" xfId="9068" xr:uid="{00000000-0005-0000-0000-0000730D0000}"/>
    <cellStyle name="20% - Accent2 3 3 4 3" xfId="5717" xr:uid="{00000000-0005-0000-0000-0000740D0000}"/>
    <cellStyle name="20% - Accent2 3 3 4 3 2" xfId="9088" xr:uid="{00000000-0005-0000-0000-0000750D0000}"/>
    <cellStyle name="20% - Accent2 3 3 4 3 2 2" xfId="5719" xr:uid="{00000000-0005-0000-0000-0000760D0000}"/>
    <cellStyle name="20% - Accent2 3 3 4 3 3" xfId="9103" xr:uid="{00000000-0005-0000-0000-0000770D0000}"/>
    <cellStyle name="20% - Accent2 3 3 4 4" xfId="5720" xr:uid="{00000000-0005-0000-0000-0000780D0000}"/>
    <cellStyle name="20% - Accent2 3 3 4 4 2" xfId="9123" xr:uid="{00000000-0005-0000-0000-0000790D0000}"/>
    <cellStyle name="20% - Accent2 3 3 4 5" xfId="2289" xr:uid="{00000000-0005-0000-0000-00007A0D0000}"/>
    <cellStyle name="20% - Accent2 3 3 5" xfId="18710" xr:uid="{00000000-0005-0000-0000-00007B0D0000}"/>
    <cellStyle name="20% - Accent2 3 3 5 2" xfId="5722" xr:uid="{00000000-0005-0000-0000-00007C0D0000}"/>
    <cellStyle name="20% - Accent2 3 3 5 2 2" xfId="11038" xr:uid="{00000000-0005-0000-0000-00007D0D0000}"/>
    <cellStyle name="20% - Accent2 3 3 5 2 2 2" xfId="12810" xr:uid="{00000000-0005-0000-0000-00007E0D0000}"/>
    <cellStyle name="20% - Accent2 3 3 5 2 3" xfId="9576" xr:uid="{00000000-0005-0000-0000-00007F0D0000}"/>
    <cellStyle name="20% - Accent2 3 3 5 3" xfId="5727" xr:uid="{00000000-0005-0000-0000-0000800D0000}"/>
    <cellStyle name="20% - Accent2 3 3 5 3 2" xfId="11057" xr:uid="{00000000-0005-0000-0000-0000810D0000}"/>
    <cellStyle name="20% - Accent2 3 3 5 4" xfId="10023" xr:uid="{00000000-0005-0000-0000-0000820D0000}"/>
    <cellStyle name="20% - Accent2 3 3 6" xfId="5737" xr:uid="{00000000-0005-0000-0000-0000830D0000}"/>
    <cellStyle name="20% - Accent2 3 3 6 2" xfId="5740" xr:uid="{00000000-0005-0000-0000-0000840D0000}"/>
    <cellStyle name="20% - Accent2 3 3 6 2 2" xfId="11062" xr:uid="{00000000-0005-0000-0000-0000850D0000}"/>
    <cellStyle name="20% - Accent2 3 3 6 3" xfId="13423" xr:uid="{00000000-0005-0000-0000-0000860D0000}"/>
    <cellStyle name="20% - Accent2 3 3 7" xfId="5746" xr:uid="{00000000-0005-0000-0000-0000870D0000}"/>
    <cellStyle name="20% - Accent2 3 3 7 2" xfId="5749" xr:uid="{00000000-0005-0000-0000-0000880D0000}"/>
    <cellStyle name="20% - Accent2 3 3 8" xfId="24865" xr:uid="{00000000-0005-0000-0000-0000890D0000}"/>
    <cellStyle name="20% - Accent2 3 4" xfId="13724" xr:uid="{00000000-0005-0000-0000-00008A0D0000}"/>
    <cellStyle name="20% - Accent2 3 4 2" xfId="7040" xr:uid="{00000000-0005-0000-0000-00008B0D0000}"/>
    <cellStyle name="20% - Accent2 3 4 2 2" xfId="1966" xr:uid="{00000000-0005-0000-0000-00008C0D0000}"/>
    <cellStyle name="20% - Accent2 3 4 2 2 2" xfId="12519" xr:uid="{00000000-0005-0000-0000-00008D0D0000}"/>
    <cellStyle name="20% - Accent2 3 4 2 2 2 2" xfId="20355" xr:uid="{00000000-0005-0000-0000-00008E0D0000}"/>
    <cellStyle name="20% - Accent2 3 4 2 2 2 2 2" xfId="8041" xr:uid="{00000000-0005-0000-0000-00008F0D0000}"/>
    <cellStyle name="20% - Accent2 3 4 2 2 2 2 2 2" xfId="59" xr:uid="{00000000-0005-0000-0000-0000900D0000}"/>
    <cellStyle name="20% - Accent2 3 4 2 2 2 2 3" xfId="14871" xr:uid="{00000000-0005-0000-0000-0000910D0000}"/>
    <cellStyle name="20% - Accent2 3 4 2 2 2 3" xfId="5760" xr:uid="{00000000-0005-0000-0000-0000920D0000}"/>
    <cellStyle name="20% - Accent2 3 4 2 2 2 3 2" xfId="29375" xr:uid="{00000000-0005-0000-0000-0000930D0000}"/>
    <cellStyle name="20% - Accent2 3 4 2 2 2 4" xfId="5765" xr:uid="{00000000-0005-0000-0000-0000940D0000}"/>
    <cellStyle name="20% - Accent2 3 4 2 2 3" xfId="5768" xr:uid="{00000000-0005-0000-0000-0000950D0000}"/>
    <cellStyle name="20% - Accent2 3 4 2 2 3 2" xfId="5769" xr:uid="{00000000-0005-0000-0000-0000960D0000}"/>
    <cellStyle name="20% - Accent2 3 4 2 2 3 2 2" xfId="5554" xr:uid="{00000000-0005-0000-0000-0000970D0000}"/>
    <cellStyle name="20% - Accent2 3 4 2 2 3 3" xfId="5776" xr:uid="{00000000-0005-0000-0000-0000980D0000}"/>
    <cellStyle name="20% - Accent2 3 4 2 2 4" xfId="5777" xr:uid="{00000000-0005-0000-0000-0000990D0000}"/>
    <cellStyle name="20% - Accent2 3 4 2 2 4 2" xfId="5785" xr:uid="{00000000-0005-0000-0000-00009A0D0000}"/>
    <cellStyle name="20% - Accent2 3 4 2 2 5" xfId="5787" xr:uid="{00000000-0005-0000-0000-00009B0D0000}"/>
    <cellStyle name="20% - Accent2 3 4 2 3" xfId="13822" xr:uid="{00000000-0005-0000-0000-00009C0D0000}"/>
    <cellStyle name="20% - Accent2 3 4 2 3 2" xfId="6766" xr:uid="{00000000-0005-0000-0000-00009D0D0000}"/>
    <cellStyle name="20% - Accent2 3 4 2 3 2 2" xfId="23222" xr:uid="{00000000-0005-0000-0000-00009E0D0000}"/>
    <cellStyle name="20% - Accent2 3 4 2 3 2 2 2" xfId="17257" xr:uid="{00000000-0005-0000-0000-00009F0D0000}"/>
    <cellStyle name="20% - Accent2 3 4 2 3 2 3" xfId="13985" xr:uid="{00000000-0005-0000-0000-0000A00D0000}"/>
    <cellStyle name="20% - Accent2 3 4 2 3 3" xfId="5799" xr:uid="{00000000-0005-0000-0000-0000A10D0000}"/>
    <cellStyle name="20% - Accent2 3 4 2 3 3 2" xfId="5800" xr:uid="{00000000-0005-0000-0000-0000A20D0000}"/>
    <cellStyle name="20% - Accent2 3 4 2 3 4" xfId="26447" xr:uid="{00000000-0005-0000-0000-0000A30D0000}"/>
    <cellStyle name="20% - Accent2 3 4 2 4" xfId="5803" xr:uid="{00000000-0005-0000-0000-0000A40D0000}"/>
    <cellStyle name="20% - Accent2 3 4 2 4 2" xfId="5809" xr:uid="{00000000-0005-0000-0000-0000A50D0000}"/>
    <cellStyle name="20% - Accent2 3 4 2 4 2 2" xfId="25586" xr:uid="{00000000-0005-0000-0000-0000A60D0000}"/>
    <cellStyle name="20% - Accent2 3 4 2 4 3" xfId="6510" xr:uid="{00000000-0005-0000-0000-0000A70D0000}"/>
    <cellStyle name="20% - Accent2 3 4 2 5" xfId="5813" xr:uid="{00000000-0005-0000-0000-0000A80D0000}"/>
    <cellStyle name="20% - Accent2 3 4 2 5 2" xfId="5816" xr:uid="{00000000-0005-0000-0000-0000A90D0000}"/>
    <cellStyle name="20% - Accent2 3 4 2 6" xfId="5821" xr:uid="{00000000-0005-0000-0000-0000AA0D0000}"/>
    <cellStyle name="20% - Accent2 3 4 3" xfId="1227" xr:uid="{00000000-0005-0000-0000-0000AB0D0000}"/>
    <cellStyle name="20% - Accent2 3 4 3 2" xfId="93" xr:uid="{00000000-0005-0000-0000-0000AC0D0000}"/>
    <cellStyle name="20% - Accent2 3 4 3 2 2" xfId="10280" xr:uid="{00000000-0005-0000-0000-0000AD0D0000}"/>
    <cellStyle name="20% - Accent2 3 4 3 2 2 2" xfId="14036" xr:uid="{00000000-0005-0000-0000-0000AE0D0000}"/>
    <cellStyle name="20% - Accent2 3 4 3 2 2 2 2" xfId="15304" xr:uid="{00000000-0005-0000-0000-0000AF0D0000}"/>
    <cellStyle name="20% - Accent2 3 4 3 2 2 3" xfId="28630" xr:uid="{00000000-0005-0000-0000-0000B00D0000}"/>
    <cellStyle name="20% - Accent2 3 4 3 2 3" xfId="10289" xr:uid="{00000000-0005-0000-0000-0000B10D0000}"/>
    <cellStyle name="20% - Accent2 3 4 3 2 3 2" xfId="14058" xr:uid="{00000000-0005-0000-0000-0000B20D0000}"/>
    <cellStyle name="20% - Accent2 3 4 3 2 4" xfId="10295" xr:uid="{00000000-0005-0000-0000-0000B30D0000}"/>
    <cellStyle name="20% - Accent2 3 4 3 3" xfId="5835" xr:uid="{00000000-0005-0000-0000-0000B40D0000}"/>
    <cellStyle name="20% - Accent2 3 4 3 3 2" xfId="5840" xr:uid="{00000000-0005-0000-0000-0000B50D0000}"/>
    <cellStyle name="20% - Accent2 3 4 3 3 2 2" xfId="5841" xr:uid="{00000000-0005-0000-0000-0000B60D0000}"/>
    <cellStyle name="20% - Accent2 3 4 3 3 3" xfId="7956" xr:uid="{00000000-0005-0000-0000-0000B70D0000}"/>
    <cellStyle name="20% - Accent2 3 4 3 4" xfId="5844" xr:uid="{00000000-0005-0000-0000-0000B80D0000}"/>
    <cellStyle name="20% - Accent2 3 4 3 4 2" xfId="5852" xr:uid="{00000000-0005-0000-0000-0000B90D0000}"/>
    <cellStyle name="20% - Accent2 3 4 3 5" xfId="5854" xr:uid="{00000000-0005-0000-0000-0000BA0D0000}"/>
    <cellStyle name="20% - Accent2 3 4 4" xfId="12121" xr:uid="{00000000-0005-0000-0000-0000BB0D0000}"/>
    <cellStyle name="20% - Accent2 3 4 4 2" xfId="11793" xr:uid="{00000000-0005-0000-0000-0000BC0D0000}"/>
    <cellStyle name="20% - Accent2 3 4 4 2 2" xfId="14440" xr:uid="{00000000-0005-0000-0000-0000BD0D0000}"/>
    <cellStyle name="20% - Accent2 3 4 4 2 2 2" xfId="9571" xr:uid="{00000000-0005-0000-0000-0000BE0D0000}"/>
    <cellStyle name="20% - Accent2 3 4 4 2 3" xfId="10726" xr:uid="{00000000-0005-0000-0000-0000BF0D0000}"/>
    <cellStyle name="20% - Accent2 3 4 4 3" xfId="11801" xr:uid="{00000000-0005-0000-0000-0000C00D0000}"/>
    <cellStyle name="20% - Accent2 3 4 4 3 2" xfId="5865" xr:uid="{00000000-0005-0000-0000-0000C10D0000}"/>
    <cellStyle name="20% - Accent2 3 4 4 4" xfId="13270" xr:uid="{00000000-0005-0000-0000-0000C20D0000}"/>
    <cellStyle name="20% - Accent2 3 4 5" xfId="18716" xr:uid="{00000000-0005-0000-0000-0000C30D0000}"/>
    <cellStyle name="20% - Accent2 3 4 5 2" xfId="11836" xr:uid="{00000000-0005-0000-0000-0000C40D0000}"/>
    <cellStyle name="20% - Accent2 3 4 5 2 2" xfId="14987" xr:uid="{00000000-0005-0000-0000-0000C50D0000}"/>
    <cellStyle name="20% - Accent2 3 4 5 3" xfId="11844" xr:uid="{00000000-0005-0000-0000-0000C60D0000}"/>
    <cellStyle name="20% - Accent2 3 4 6" xfId="8402" xr:uid="{00000000-0005-0000-0000-0000C70D0000}"/>
    <cellStyle name="20% - Accent2 3 4 6 2" xfId="11858" xr:uid="{00000000-0005-0000-0000-0000C80D0000}"/>
    <cellStyle name="20% - Accent2 3 4 7" xfId="5888" xr:uid="{00000000-0005-0000-0000-0000C90D0000}"/>
    <cellStyle name="20% - Accent2 3 5" xfId="7809" xr:uid="{00000000-0005-0000-0000-0000CA0D0000}"/>
    <cellStyle name="20% - Accent2 3 5 2" xfId="9789" xr:uid="{00000000-0005-0000-0000-0000CB0D0000}"/>
    <cellStyle name="20% - Accent2 3 5 2 2" xfId="19903" xr:uid="{00000000-0005-0000-0000-0000CC0D0000}"/>
    <cellStyle name="20% - Accent2 3 5 2 2 2" xfId="17547" xr:uid="{00000000-0005-0000-0000-0000CD0D0000}"/>
    <cellStyle name="20% - Accent2 3 5 2 2 2 2" xfId="9272" xr:uid="{00000000-0005-0000-0000-0000CE0D0000}"/>
    <cellStyle name="20% - Accent2 3 5 2 2 2 2 2" xfId="26422" xr:uid="{00000000-0005-0000-0000-0000CF0D0000}"/>
    <cellStyle name="20% - Accent2 3 5 2 2 2 3" xfId="5898" xr:uid="{00000000-0005-0000-0000-0000D00D0000}"/>
    <cellStyle name="20% - Accent2 3 5 2 2 3" xfId="13561" xr:uid="{00000000-0005-0000-0000-0000D10D0000}"/>
    <cellStyle name="20% - Accent2 3 5 2 2 3 2" xfId="5905" xr:uid="{00000000-0005-0000-0000-0000D20D0000}"/>
    <cellStyle name="20% - Accent2 3 5 2 2 4" xfId="4882" xr:uid="{00000000-0005-0000-0000-0000D30D0000}"/>
    <cellStyle name="20% - Accent2 3 5 2 3" xfId="4360" xr:uid="{00000000-0005-0000-0000-0000D40D0000}"/>
    <cellStyle name="20% - Accent2 3 5 2 3 2" xfId="4075" xr:uid="{00000000-0005-0000-0000-0000D50D0000}"/>
    <cellStyle name="20% - Accent2 3 5 2 3 2 2" xfId="5916" xr:uid="{00000000-0005-0000-0000-0000D60D0000}"/>
    <cellStyle name="20% - Accent2 3 5 2 3 3" xfId="4901" xr:uid="{00000000-0005-0000-0000-0000D70D0000}"/>
    <cellStyle name="20% - Accent2 3 5 2 4" xfId="4380" xr:uid="{00000000-0005-0000-0000-0000D80D0000}"/>
    <cellStyle name="20% - Accent2 3 5 2 4 2" xfId="29203" xr:uid="{00000000-0005-0000-0000-0000D90D0000}"/>
    <cellStyle name="20% - Accent2 3 5 2 5" xfId="4933" xr:uid="{00000000-0005-0000-0000-0000DA0D0000}"/>
    <cellStyle name="20% - Accent2 3 5 3" xfId="2415" xr:uid="{00000000-0005-0000-0000-0000DB0D0000}"/>
    <cellStyle name="20% - Accent2 3 5 3 2" xfId="4958" xr:uid="{00000000-0005-0000-0000-0000DC0D0000}"/>
    <cellStyle name="20% - Accent2 3 5 3 2 2" xfId="7478" xr:uid="{00000000-0005-0000-0000-0000DD0D0000}"/>
    <cellStyle name="20% - Accent2 3 5 3 2 2 2" xfId="23640" xr:uid="{00000000-0005-0000-0000-0000DE0D0000}"/>
    <cellStyle name="20% - Accent2 3 5 3 2 3" xfId="7984" xr:uid="{00000000-0005-0000-0000-0000DF0D0000}"/>
    <cellStyle name="20% - Accent2 3 5 3 3" xfId="766" xr:uid="{00000000-0005-0000-0000-0000E00D0000}"/>
    <cellStyle name="20% - Accent2 3 5 3 3 2" xfId="25209" xr:uid="{00000000-0005-0000-0000-0000E10D0000}"/>
    <cellStyle name="20% - Accent2 3 5 3 4" xfId="4985" xr:uid="{00000000-0005-0000-0000-0000E20D0000}"/>
    <cellStyle name="20% - Accent2 3 5 4" xfId="5929" xr:uid="{00000000-0005-0000-0000-0000E30D0000}"/>
    <cellStyle name="20% - Accent2 3 5 4 2" xfId="11148" xr:uid="{00000000-0005-0000-0000-0000E40D0000}"/>
    <cellStyle name="20% - Accent2 3 5 4 2 2" xfId="8614" xr:uid="{00000000-0005-0000-0000-0000E50D0000}"/>
    <cellStyle name="20% - Accent2 3 5 4 3" xfId="12060" xr:uid="{00000000-0005-0000-0000-0000E60D0000}"/>
    <cellStyle name="20% - Accent2 3 5 5" xfId="5932" xr:uid="{00000000-0005-0000-0000-0000E70D0000}"/>
    <cellStyle name="20% - Accent2 3 5 5 2" xfId="11170" xr:uid="{00000000-0005-0000-0000-0000E80D0000}"/>
    <cellStyle name="20% - Accent2 3 5 6" xfId="5937" xr:uid="{00000000-0005-0000-0000-0000E90D0000}"/>
    <cellStyle name="20% - Accent2 3 6" xfId="6054" xr:uid="{00000000-0005-0000-0000-0000EA0D0000}"/>
    <cellStyle name="20% - Accent2 3 6 2" xfId="13532" xr:uid="{00000000-0005-0000-0000-0000EB0D0000}"/>
    <cellStyle name="20% - Accent2 3 6 2 2" xfId="3103" xr:uid="{00000000-0005-0000-0000-0000EC0D0000}"/>
    <cellStyle name="20% - Accent2 3 6 2 2 2" xfId="9467" xr:uid="{00000000-0005-0000-0000-0000ED0D0000}"/>
    <cellStyle name="20% - Accent2 3 6 2 2 2 2" xfId="1514" xr:uid="{00000000-0005-0000-0000-0000EE0D0000}"/>
    <cellStyle name="20% - Accent2 3 6 2 2 3" xfId="5064" xr:uid="{00000000-0005-0000-0000-0000EF0D0000}"/>
    <cellStyle name="20% - Accent2 3 6 2 3" xfId="4395" xr:uid="{00000000-0005-0000-0000-0000F00D0000}"/>
    <cellStyle name="20% - Accent2 3 6 2 3 2" xfId="5080" xr:uid="{00000000-0005-0000-0000-0000F10D0000}"/>
    <cellStyle name="20% - Accent2 3 6 2 4" xfId="5088" xr:uid="{00000000-0005-0000-0000-0000F20D0000}"/>
    <cellStyle name="20% - Accent2 3 6 3" xfId="14319" xr:uid="{00000000-0005-0000-0000-0000F30D0000}"/>
    <cellStyle name="20% - Accent2 3 6 3 2" xfId="4198" xr:uid="{00000000-0005-0000-0000-0000F40D0000}"/>
    <cellStyle name="20% - Accent2 3 6 3 2 2" xfId="8685" xr:uid="{00000000-0005-0000-0000-0000F50D0000}"/>
    <cellStyle name="20% - Accent2 3 6 3 3" xfId="3993" xr:uid="{00000000-0005-0000-0000-0000F60D0000}"/>
    <cellStyle name="20% - Accent2 3 6 4" xfId="4966" xr:uid="{00000000-0005-0000-0000-0000F70D0000}"/>
    <cellStyle name="20% - Accent2 3 6 4 2" xfId="11314" xr:uid="{00000000-0005-0000-0000-0000F80D0000}"/>
    <cellStyle name="20% - Accent2 3 6 5" xfId="5942" xr:uid="{00000000-0005-0000-0000-0000F90D0000}"/>
    <cellStyle name="20% - Accent2 3 7" xfId="9113" xr:uid="{00000000-0005-0000-0000-0000FA0D0000}"/>
    <cellStyle name="20% - Accent2 3 7 2" xfId="14322" xr:uid="{00000000-0005-0000-0000-0000FB0D0000}"/>
    <cellStyle name="20% - Accent2 3 7 2 2" xfId="3395" xr:uid="{00000000-0005-0000-0000-0000FC0D0000}"/>
    <cellStyle name="20% - Accent2 3 7 2 2 2" xfId="2803" xr:uid="{00000000-0005-0000-0000-0000FD0D0000}"/>
    <cellStyle name="20% - Accent2 3 7 2 3" xfId="2253" xr:uid="{00000000-0005-0000-0000-0000FE0D0000}"/>
    <cellStyle name="20% - Accent2 3 7 3" xfId="2530" xr:uid="{00000000-0005-0000-0000-0000FF0D0000}"/>
    <cellStyle name="20% - Accent2 3 7 3 2" xfId="1800" xr:uid="{00000000-0005-0000-0000-0000000E0000}"/>
    <cellStyle name="20% - Accent2 3 7 4" xfId="1048" xr:uid="{00000000-0005-0000-0000-0000010E0000}"/>
    <cellStyle name="20% - Accent2 3 8" xfId="22771" xr:uid="{00000000-0005-0000-0000-0000020E0000}"/>
    <cellStyle name="20% - Accent2 3 8 2" xfId="5951" xr:uid="{00000000-0005-0000-0000-0000030E0000}"/>
    <cellStyle name="20% - Accent2 3 8 2 2" xfId="3687" xr:uid="{00000000-0005-0000-0000-0000040E0000}"/>
    <cellStyle name="20% - Accent2 3 8 3" xfId="3466" xr:uid="{00000000-0005-0000-0000-0000050E0000}"/>
    <cellStyle name="20% - Accent2 3 9" xfId="5954" xr:uid="{00000000-0005-0000-0000-0000060E0000}"/>
    <cellStyle name="20% - Accent2 3 9 2" xfId="10434" xr:uid="{00000000-0005-0000-0000-0000070E0000}"/>
    <cellStyle name="20% - Accent2 4" xfId="26940" xr:uid="{00000000-0005-0000-0000-0000080E0000}"/>
    <cellStyle name="20% - Accent2 4 2" xfId="12874" xr:uid="{00000000-0005-0000-0000-0000090E0000}"/>
    <cellStyle name="20% - Accent2 4 2 2" xfId="15765" xr:uid="{00000000-0005-0000-0000-00000A0E0000}"/>
    <cellStyle name="20% - Accent2 4 2 2 2" xfId="2105" xr:uid="{00000000-0005-0000-0000-00000B0E0000}"/>
    <cellStyle name="20% - Accent2 4 2 2 2 2" xfId="25324" xr:uid="{00000000-0005-0000-0000-00000C0E0000}"/>
    <cellStyle name="20% - Accent2 4 2 2 2 2 2" xfId="9682" xr:uid="{00000000-0005-0000-0000-00000D0E0000}"/>
    <cellStyle name="20% - Accent2 4 2 2 2 2 2 2" xfId="23434" xr:uid="{00000000-0005-0000-0000-00000E0E0000}"/>
    <cellStyle name="20% - Accent2 4 2 2 2 2 2 2 2" xfId="11127" xr:uid="{00000000-0005-0000-0000-00000F0E0000}"/>
    <cellStyle name="20% - Accent2 4 2 2 2 2 2 2 2 2" xfId="2061" xr:uid="{00000000-0005-0000-0000-0000100E0000}"/>
    <cellStyle name="20% - Accent2 4 2 2 2 2 2 2 3" xfId="17003" xr:uid="{00000000-0005-0000-0000-0000110E0000}"/>
    <cellStyle name="20% - Accent2 4 2 2 2 2 2 3" xfId="16633" xr:uid="{00000000-0005-0000-0000-0000120E0000}"/>
    <cellStyle name="20% - Accent2 4 2 2 2 2 2 3 2" xfId="5963" xr:uid="{00000000-0005-0000-0000-0000130E0000}"/>
    <cellStyle name="20% - Accent2 4 2 2 2 2 2 4" xfId="23437" xr:uid="{00000000-0005-0000-0000-0000140E0000}"/>
    <cellStyle name="20% - Accent2 4 2 2 2 2 3" xfId="9375" xr:uid="{00000000-0005-0000-0000-0000150E0000}"/>
    <cellStyle name="20% - Accent2 4 2 2 2 2 3 2" xfId="19983" xr:uid="{00000000-0005-0000-0000-0000160E0000}"/>
    <cellStyle name="20% - Accent2 4 2 2 2 2 3 2 2" xfId="10077" xr:uid="{00000000-0005-0000-0000-0000170E0000}"/>
    <cellStyle name="20% - Accent2 4 2 2 2 2 3 3" xfId="23456" xr:uid="{00000000-0005-0000-0000-0000180E0000}"/>
    <cellStyle name="20% - Accent2 4 2 2 2 2 4" xfId="11299" xr:uid="{00000000-0005-0000-0000-0000190E0000}"/>
    <cellStyle name="20% - Accent2 4 2 2 2 2 4 2" xfId="20898" xr:uid="{00000000-0005-0000-0000-00001A0E0000}"/>
    <cellStyle name="20% - Accent2 4 2 2 2 2 5" xfId="24001" xr:uid="{00000000-0005-0000-0000-00001B0E0000}"/>
    <cellStyle name="20% - Accent2 4 2 2 2 3" xfId="22920" xr:uid="{00000000-0005-0000-0000-00001C0E0000}"/>
    <cellStyle name="20% - Accent2 4 2 2 2 3 2" xfId="9378" xr:uid="{00000000-0005-0000-0000-00001D0E0000}"/>
    <cellStyle name="20% - Accent2 4 2 2 2 3 2 2" xfId="23513" xr:uid="{00000000-0005-0000-0000-00001E0E0000}"/>
    <cellStyle name="20% - Accent2 4 2 2 2 3 2 2 2" xfId="11308" xr:uid="{00000000-0005-0000-0000-00001F0E0000}"/>
    <cellStyle name="20% - Accent2 4 2 2 2 3 2 3" xfId="23524" xr:uid="{00000000-0005-0000-0000-0000200E0000}"/>
    <cellStyle name="20% - Accent2 4 2 2 2 3 3" xfId="27854" xr:uid="{00000000-0005-0000-0000-0000210E0000}"/>
    <cellStyle name="20% - Accent2 4 2 2 2 3 3 2" xfId="23543" xr:uid="{00000000-0005-0000-0000-0000220E0000}"/>
    <cellStyle name="20% - Accent2 4 2 2 2 3 4" xfId="5990" xr:uid="{00000000-0005-0000-0000-0000230E0000}"/>
    <cellStyle name="20% - Accent2 4 2 2 2 4" xfId="5993" xr:uid="{00000000-0005-0000-0000-0000240E0000}"/>
    <cellStyle name="20% - Accent2 4 2 2 2 4 2" xfId="5994" xr:uid="{00000000-0005-0000-0000-0000250E0000}"/>
    <cellStyle name="20% - Accent2 4 2 2 2 4 2 2" xfId="7017" xr:uid="{00000000-0005-0000-0000-0000260E0000}"/>
    <cellStyle name="20% - Accent2 4 2 2 2 4 3" xfId="15499" xr:uid="{00000000-0005-0000-0000-0000270E0000}"/>
    <cellStyle name="20% - Accent2 4 2 2 2 5" xfId="5995" xr:uid="{00000000-0005-0000-0000-0000280E0000}"/>
    <cellStyle name="20% - Accent2 4 2 2 2 5 2" xfId="7474" xr:uid="{00000000-0005-0000-0000-0000290E0000}"/>
    <cellStyle name="20% - Accent2 4 2 2 2 6" xfId="5997" xr:uid="{00000000-0005-0000-0000-00002A0E0000}"/>
    <cellStyle name="20% - Accent2 4 2 2 3" xfId="2111" xr:uid="{00000000-0005-0000-0000-00002B0E0000}"/>
    <cellStyle name="20% - Accent2 4 2 2 3 2" xfId="19702" xr:uid="{00000000-0005-0000-0000-00002C0E0000}"/>
    <cellStyle name="20% - Accent2 4 2 2 3 2 2" xfId="13835" xr:uid="{00000000-0005-0000-0000-00002D0E0000}"/>
    <cellStyle name="20% - Accent2 4 2 2 3 2 2 2" xfId="23684" xr:uid="{00000000-0005-0000-0000-00002E0E0000}"/>
    <cellStyle name="20% - Accent2 4 2 2 3 2 2 2 2" xfId="11512" xr:uid="{00000000-0005-0000-0000-00002F0E0000}"/>
    <cellStyle name="20% - Accent2 4 2 2 3 2 2 3" xfId="23695" xr:uid="{00000000-0005-0000-0000-0000300E0000}"/>
    <cellStyle name="20% - Accent2 4 2 2 3 2 3" xfId="28060" xr:uid="{00000000-0005-0000-0000-0000310E0000}"/>
    <cellStyle name="20% - Accent2 4 2 2 3 2 3 2" xfId="23717" xr:uid="{00000000-0005-0000-0000-0000320E0000}"/>
    <cellStyle name="20% - Accent2 4 2 2 3 2 4" xfId="8364" xr:uid="{00000000-0005-0000-0000-0000330E0000}"/>
    <cellStyle name="20% - Accent2 4 2 2 3 3" xfId="6011" xr:uid="{00000000-0005-0000-0000-0000340E0000}"/>
    <cellStyle name="20% - Accent2 4 2 2 3 3 2" xfId="6012" xr:uid="{00000000-0005-0000-0000-0000350E0000}"/>
    <cellStyle name="20% - Accent2 4 2 2 3 3 2 2" xfId="23755" xr:uid="{00000000-0005-0000-0000-0000360E0000}"/>
    <cellStyle name="20% - Accent2 4 2 2 3 3 3" xfId="6014" xr:uid="{00000000-0005-0000-0000-0000370E0000}"/>
    <cellStyle name="20% - Accent2 4 2 2 3 4" xfId="19997" xr:uid="{00000000-0005-0000-0000-0000380E0000}"/>
    <cellStyle name="20% - Accent2 4 2 2 3 4 2" xfId="6019" xr:uid="{00000000-0005-0000-0000-0000390E0000}"/>
    <cellStyle name="20% - Accent2 4 2 2 3 5" xfId="8458" xr:uid="{00000000-0005-0000-0000-00003A0E0000}"/>
    <cellStyle name="20% - Accent2 4 2 2 4" xfId="4875" xr:uid="{00000000-0005-0000-0000-00003B0E0000}"/>
    <cellStyle name="20% - Accent2 4 2 2 4 2" xfId="15266" xr:uid="{00000000-0005-0000-0000-00003C0E0000}"/>
    <cellStyle name="20% - Accent2 4 2 2 4 2 2" xfId="15267" xr:uid="{00000000-0005-0000-0000-00003D0E0000}"/>
    <cellStyle name="20% - Accent2 4 2 2 4 2 2 2" xfId="23838" xr:uid="{00000000-0005-0000-0000-00003E0E0000}"/>
    <cellStyle name="20% - Accent2 4 2 2 4 2 3" xfId="12574" xr:uid="{00000000-0005-0000-0000-00003F0E0000}"/>
    <cellStyle name="20% - Accent2 4 2 2 4 3" xfId="15270" xr:uid="{00000000-0005-0000-0000-0000400E0000}"/>
    <cellStyle name="20% - Accent2 4 2 2 4 3 2" xfId="12604" xr:uid="{00000000-0005-0000-0000-0000410E0000}"/>
    <cellStyle name="20% - Accent2 4 2 2 4 4" xfId="6592" xr:uid="{00000000-0005-0000-0000-0000420E0000}"/>
    <cellStyle name="20% - Accent2 4 2 2 5" xfId="6038" xr:uid="{00000000-0005-0000-0000-0000430E0000}"/>
    <cellStyle name="20% - Accent2 4 2 2 5 2" xfId="15282" xr:uid="{00000000-0005-0000-0000-0000440E0000}"/>
    <cellStyle name="20% - Accent2 4 2 2 5 2 2" xfId="6041" xr:uid="{00000000-0005-0000-0000-0000450E0000}"/>
    <cellStyle name="20% - Accent2 4 2 2 5 3" xfId="6607" xr:uid="{00000000-0005-0000-0000-0000460E0000}"/>
    <cellStyle name="20% - Accent2 4 2 2 6" xfId="6615" xr:uid="{00000000-0005-0000-0000-0000470E0000}"/>
    <cellStyle name="20% - Accent2 4 2 2 6 2" xfId="6627" xr:uid="{00000000-0005-0000-0000-0000480E0000}"/>
    <cellStyle name="20% - Accent2 4 2 2 7" xfId="6046" xr:uid="{00000000-0005-0000-0000-0000490E0000}"/>
    <cellStyle name="20% - Accent2 4 2 3" xfId="6194" xr:uid="{00000000-0005-0000-0000-00004A0E0000}"/>
    <cellStyle name="20% - Accent2 4 2 3 2" xfId="2113" xr:uid="{00000000-0005-0000-0000-00004B0E0000}"/>
    <cellStyle name="20% - Accent2 4 2 3 2 2" xfId="11112" xr:uid="{00000000-0005-0000-0000-00004C0E0000}"/>
    <cellStyle name="20% - Accent2 4 2 3 2 2 2" xfId="21347" xr:uid="{00000000-0005-0000-0000-00004D0E0000}"/>
    <cellStyle name="20% - Accent2 4 2 3 2 2 2 2" xfId="6052" xr:uid="{00000000-0005-0000-0000-00004E0E0000}"/>
    <cellStyle name="20% - Accent2 4 2 3 2 2 2 2 2" xfId="12298" xr:uid="{00000000-0005-0000-0000-00004F0E0000}"/>
    <cellStyle name="20% - Accent2 4 2 3 2 2 2 3" xfId="9114" xr:uid="{00000000-0005-0000-0000-0000500E0000}"/>
    <cellStyle name="20% - Accent2 4 2 3 2 2 3" xfId="19936" xr:uid="{00000000-0005-0000-0000-0000510E0000}"/>
    <cellStyle name="20% - Accent2 4 2 3 2 2 3 2" xfId="9126" xr:uid="{00000000-0005-0000-0000-0000520E0000}"/>
    <cellStyle name="20% - Accent2 4 2 3 2 2 4" xfId="19941" xr:uid="{00000000-0005-0000-0000-0000530E0000}"/>
    <cellStyle name="20% - Accent2 4 2 3 2 3" xfId="6810" xr:uid="{00000000-0005-0000-0000-0000540E0000}"/>
    <cellStyle name="20% - Accent2 4 2 3 2 3 2" xfId="21464" xr:uid="{00000000-0005-0000-0000-0000550E0000}"/>
    <cellStyle name="20% - Accent2 4 2 3 2 3 2 2" xfId="8551" xr:uid="{00000000-0005-0000-0000-0000560E0000}"/>
    <cellStyle name="20% - Accent2 4 2 3 2 3 3" xfId="19953" xr:uid="{00000000-0005-0000-0000-0000570E0000}"/>
    <cellStyle name="20% - Accent2 4 2 3 2 4" xfId="6815" xr:uid="{00000000-0005-0000-0000-0000580E0000}"/>
    <cellStyle name="20% - Accent2 4 2 3 2 4 2" xfId="19965" xr:uid="{00000000-0005-0000-0000-0000590E0000}"/>
    <cellStyle name="20% - Accent2 4 2 3 2 5" xfId="15166" xr:uid="{00000000-0005-0000-0000-00005A0E0000}"/>
    <cellStyle name="20% - Accent2 4 2 3 3" xfId="2117" xr:uid="{00000000-0005-0000-0000-00005B0E0000}"/>
    <cellStyle name="20% - Accent2 4 2 3 3 2" xfId="6086" xr:uid="{00000000-0005-0000-0000-00005C0E0000}"/>
    <cellStyle name="20% - Accent2 4 2 3 3 2 2" xfId="19981" xr:uid="{00000000-0005-0000-0000-00005D0E0000}"/>
    <cellStyle name="20% - Accent2 4 2 3 3 2 2 2" xfId="11029" xr:uid="{00000000-0005-0000-0000-00005E0E0000}"/>
    <cellStyle name="20% - Accent2 4 2 3 3 2 3" xfId="20011" xr:uid="{00000000-0005-0000-0000-00005F0E0000}"/>
    <cellStyle name="20% - Accent2 4 2 3 3 3" xfId="6094" xr:uid="{00000000-0005-0000-0000-0000600E0000}"/>
    <cellStyle name="20% - Accent2 4 2 3 3 3 2" xfId="8502" xr:uid="{00000000-0005-0000-0000-0000610E0000}"/>
    <cellStyle name="20% - Accent2 4 2 3 3 4" xfId="14464" xr:uid="{00000000-0005-0000-0000-0000620E0000}"/>
    <cellStyle name="20% - Accent2 4 2 3 4" xfId="6110" xr:uid="{00000000-0005-0000-0000-0000630E0000}"/>
    <cellStyle name="20% - Accent2 4 2 3 4 2" xfId="15290" xr:uid="{00000000-0005-0000-0000-0000640E0000}"/>
    <cellStyle name="20% - Accent2 4 2 3 4 2 2" xfId="19993" xr:uid="{00000000-0005-0000-0000-0000650E0000}"/>
    <cellStyle name="20% - Accent2 4 2 3 4 3" xfId="8102" xr:uid="{00000000-0005-0000-0000-0000660E0000}"/>
    <cellStyle name="20% - Accent2 4 2 3 5" xfId="6657" xr:uid="{00000000-0005-0000-0000-0000670E0000}"/>
    <cellStyle name="20% - Accent2 4 2 3 5 2" xfId="1348" xr:uid="{00000000-0005-0000-0000-0000680E0000}"/>
    <cellStyle name="20% - Accent2 4 2 3 6" xfId="6663" xr:uid="{00000000-0005-0000-0000-0000690E0000}"/>
    <cellStyle name="20% - Accent2 4 2 4" xfId="21638" xr:uid="{00000000-0005-0000-0000-00006A0E0000}"/>
    <cellStyle name="20% - Accent2 4 2 4 2" xfId="8170" xr:uid="{00000000-0005-0000-0000-00006B0E0000}"/>
    <cellStyle name="20% - Accent2 4 2 4 2 2" xfId="6871" xr:uid="{00000000-0005-0000-0000-00006C0E0000}"/>
    <cellStyle name="20% - Accent2 4 2 4 2 2 2" xfId="17897" xr:uid="{00000000-0005-0000-0000-00006D0E0000}"/>
    <cellStyle name="20% - Accent2 4 2 4 2 2 2 2" xfId="9024" xr:uid="{00000000-0005-0000-0000-00006E0E0000}"/>
    <cellStyle name="20% - Accent2 4 2 4 2 2 3" xfId="23268" xr:uid="{00000000-0005-0000-0000-00006F0E0000}"/>
    <cellStyle name="20% - Accent2 4 2 4 2 3" xfId="6880" xr:uid="{00000000-0005-0000-0000-0000700E0000}"/>
    <cellStyle name="20% - Accent2 4 2 4 2 3 2" xfId="22474" xr:uid="{00000000-0005-0000-0000-0000710E0000}"/>
    <cellStyle name="20% - Accent2 4 2 4 2 4" xfId="8694" xr:uid="{00000000-0005-0000-0000-0000720E0000}"/>
    <cellStyle name="20% - Accent2 4 2 4 3" xfId="8851" xr:uid="{00000000-0005-0000-0000-0000730E0000}"/>
    <cellStyle name="20% - Accent2 4 2 4 3 2" xfId="6121" xr:uid="{00000000-0005-0000-0000-0000740E0000}"/>
    <cellStyle name="20% - Accent2 4 2 4 3 2 2" xfId="22569" xr:uid="{00000000-0005-0000-0000-0000750E0000}"/>
    <cellStyle name="20% - Accent2 4 2 4 3 3" xfId="9520" xr:uid="{00000000-0005-0000-0000-0000760E0000}"/>
    <cellStyle name="20% - Accent2 4 2 4 4" xfId="6671" xr:uid="{00000000-0005-0000-0000-0000770E0000}"/>
    <cellStyle name="20% - Accent2 4 2 4 4 2" xfId="21763" xr:uid="{00000000-0005-0000-0000-0000780E0000}"/>
    <cellStyle name="20% - Accent2 4 2 4 5" xfId="6691" xr:uid="{00000000-0005-0000-0000-0000790E0000}"/>
    <cellStyle name="20% - Accent2 4 2 5" xfId="8174" xr:uid="{00000000-0005-0000-0000-00007A0E0000}"/>
    <cellStyle name="20% - Accent2 4 2 5 2" xfId="1642" xr:uid="{00000000-0005-0000-0000-00007B0E0000}"/>
    <cellStyle name="20% - Accent2 4 2 5 2 2" xfId="6919" xr:uid="{00000000-0005-0000-0000-00007C0E0000}"/>
    <cellStyle name="20% - Accent2 4 2 5 2 2 2" xfId="20822" xr:uid="{00000000-0005-0000-0000-00007D0E0000}"/>
    <cellStyle name="20% - Accent2 4 2 5 2 3" xfId="9594" xr:uid="{00000000-0005-0000-0000-00007E0E0000}"/>
    <cellStyle name="20% - Accent2 4 2 5 3" xfId="631" xr:uid="{00000000-0005-0000-0000-00007F0E0000}"/>
    <cellStyle name="20% - Accent2 4 2 5 3 2" xfId="6505" xr:uid="{00000000-0005-0000-0000-0000800E0000}"/>
    <cellStyle name="20% - Accent2 4 2 5 4" xfId="10034" xr:uid="{00000000-0005-0000-0000-0000810E0000}"/>
    <cellStyle name="20% - Accent2 4 2 6" xfId="1237" xr:uid="{00000000-0005-0000-0000-0000820E0000}"/>
    <cellStyle name="20% - Accent2 4 2 6 2" xfId="1244" xr:uid="{00000000-0005-0000-0000-0000830E0000}"/>
    <cellStyle name="20% - Accent2 4 2 6 2 2" xfId="6133" xr:uid="{00000000-0005-0000-0000-0000840E0000}"/>
    <cellStyle name="20% - Accent2 4 2 6 3" xfId="10344" xr:uid="{00000000-0005-0000-0000-0000850E0000}"/>
    <cellStyle name="20% - Accent2 4 2 7" xfId="1256" xr:uid="{00000000-0005-0000-0000-0000860E0000}"/>
    <cellStyle name="20% - Accent2 4 2 7 2" xfId="1261" xr:uid="{00000000-0005-0000-0000-0000870E0000}"/>
    <cellStyle name="20% - Accent2 4 2 8" xfId="1269" xr:uid="{00000000-0005-0000-0000-0000880E0000}"/>
    <cellStyle name="20% - Accent2 4 3" xfId="1710" xr:uid="{00000000-0005-0000-0000-0000890E0000}"/>
    <cellStyle name="20% - Accent2 4 3 2" xfId="8110" xr:uid="{00000000-0005-0000-0000-00008A0E0000}"/>
    <cellStyle name="20% - Accent2 4 3 2 2" xfId="2125" xr:uid="{00000000-0005-0000-0000-00008B0E0000}"/>
    <cellStyle name="20% - Accent2 4 3 2 2 2" xfId="11123" xr:uid="{00000000-0005-0000-0000-00008C0E0000}"/>
    <cellStyle name="20% - Accent2 4 3 2 2 2 2" xfId="9479" xr:uid="{00000000-0005-0000-0000-00008D0E0000}"/>
    <cellStyle name="20% - Accent2 4 3 2 2 2 2 2" xfId="14271" xr:uid="{00000000-0005-0000-0000-00008E0E0000}"/>
    <cellStyle name="20% - Accent2 4 3 2 2 2 2 2 2" xfId="16549" xr:uid="{00000000-0005-0000-0000-00008F0E0000}"/>
    <cellStyle name="20% - Accent2 4 3 2 2 2 2 3" xfId="13285" xr:uid="{00000000-0005-0000-0000-0000900E0000}"/>
    <cellStyle name="20% - Accent2 4 3 2 2 2 3" xfId="8023" xr:uid="{00000000-0005-0000-0000-0000910E0000}"/>
    <cellStyle name="20% - Accent2 4 3 2 2 2 3 2" xfId="8534" xr:uid="{00000000-0005-0000-0000-0000920E0000}"/>
    <cellStyle name="20% - Accent2 4 3 2 2 2 4" xfId="18815" xr:uid="{00000000-0005-0000-0000-0000930E0000}"/>
    <cellStyle name="20% - Accent2 4 3 2 2 3" xfId="2883" xr:uid="{00000000-0005-0000-0000-0000940E0000}"/>
    <cellStyle name="20% - Accent2 4 3 2 2 3 2" xfId="6160" xr:uid="{00000000-0005-0000-0000-0000950E0000}"/>
    <cellStyle name="20% - Accent2 4 3 2 2 3 2 2" xfId="7892" xr:uid="{00000000-0005-0000-0000-0000960E0000}"/>
    <cellStyle name="20% - Accent2 4 3 2 2 3 3" xfId="273" xr:uid="{00000000-0005-0000-0000-0000970E0000}"/>
    <cellStyle name="20% - Accent2 4 3 2 2 4" xfId="6162" xr:uid="{00000000-0005-0000-0000-0000980E0000}"/>
    <cellStyle name="20% - Accent2 4 3 2 2 4 2" xfId="1568" xr:uid="{00000000-0005-0000-0000-0000990E0000}"/>
    <cellStyle name="20% - Accent2 4 3 2 2 5" xfId="7799" xr:uid="{00000000-0005-0000-0000-00009A0E0000}"/>
    <cellStyle name="20% - Accent2 4 3 2 3" xfId="1874" xr:uid="{00000000-0005-0000-0000-00009B0E0000}"/>
    <cellStyle name="20% - Accent2 4 3 2 3 2" xfId="6167" xr:uid="{00000000-0005-0000-0000-00009C0E0000}"/>
    <cellStyle name="20% - Accent2 4 3 2 3 2 2" xfId="1168" xr:uid="{00000000-0005-0000-0000-00009D0E0000}"/>
    <cellStyle name="20% - Accent2 4 3 2 3 2 2 2" xfId="7567" xr:uid="{00000000-0005-0000-0000-00009E0E0000}"/>
    <cellStyle name="20% - Accent2 4 3 2 3 2 3" xfId="279" xr:uid="{00000000-0005-0000-0000-00009F0E0000}"/>
    <cellStyle name="20% - Accent2 4 3 2 3 3" xfId="6169" xr:uid="{00000000-0005-0000-0000-0000A00E0000}"/>
    <cellStyle name="20% - Accent2 4 3 2 3 3 2" xfId="6172" xr:uid="{00000000-0005-0000-0000-0000A10E0000}"/>
    <cellStyle name="20% - Accent2 4 3 2 3 4" xfId="6174" xr:uid="{00000000-0005-0000-0000-0000A20E0000}"/>
    <cellStyle name="20% - Accent2 4 3 2 4" xfId="6180" xr:uid="{00000000-0005-0000-0000-0000A30E0000}"/>
    <cellStyle name="20% - Accent2 4 3 2 4 2" xfId="15325" xr:uid="{00000000-0005-0000-0000-0000A40E0000}"/>
    <cellStyle name="20% - Accent2 4 3 2 4 2 2" xfId="12698" xr:uid="{00000000-0005-0000-0000-0000A50E0000}"/>
    <cellStyle name="20% - Accent2 4 3 2 4 3" xfId="7075" xr:uid="{00000000-0005-0000-0000-0000A60E0000}"/>
    <cellStyle name="20% - Accent2 4 3 2 5" xfId="6183" xr:uid="{00000000-0005-0000-0000-0000A70E0000}"/>
    <cellStyle name="20% - Accent2 4 3 2 5 2" xfId="7079" xr:uid="{00000000-0005-0000-0000-0000A80E0000}"/>
    <cellStyle name="20% - Accent2 4 3 2 6" xfId="6188" xr:uid="{00000000-0005-0000-0000-0000A90E0000}"/>
    <cellStyle name="20% - Accent2 4 3 3" xfId="8113" xr:uid="{00000000-0005-0000-0000-0000AA0E0000}"/>
    <cellStyle name="20% - Accent2 4 3 3 2" xfId="2128" xr:uid="{00000000-0005-0000-0000-0000AB0E0000}"/>
    <cellStyle name="20% - Accent2 4 3 3 2 2" xfId="6968" xr:uid="{00000000-0005-0000-0000-0000AC0E0000}"/>
    <cellStyle name="20% - Accent2 4 3 3 2 2 2" xfId="24121" xr:uid="{00000000-0005-0000-0000-0000AD0E0000}"/>
    <cellStyle name="20% - Accent2 4 3 3 2 2 2 2" xfId="6196" xr:uid="{00000000-0005-0000-0000-0000AE0E0000}"/>
    <cellStyle name="20% - Accent2 4 3 3 2 2 3" xfId="24154" xr:uid="{00000000-0005-0000-0000-0000AF0E0000}"/>
    <cellStyle name="20% - Accent2 4 3 3 2 3" xfId="7832" xr:uid="{00000000-0005-0000-0000-0000B00E0000}"/>
    <cellStyle name="20% - Accent2 4 3 3 2 3 2" xfId="24209" xr:uid="{00000000-0005-0000-0000-0000B10E0000}"/>
    <cellStyle name="20% - Accent2 4 3 3 2 4" xfId="8516" xr:uid="{00000000-0005-0000-0000-0000B20E0000}"/>
    <cellStyle name="20% - Accent2 4 3 3 3" xfId="6202" xr:uid="{00000000-0005-0000-0000-0000B30E0000}"/>
    <cellStyle name="20% - Accent2 4 3 3 3 2" xfId="6204" xr:uid="{00000000-0005-0000-0000-0000B40E0000}"/>
    <cellStyle name="20% - Accent2 4 3 3 3 2 2" xfId="27362" xr:uid="{00000000-0005-0000-0000-0000B50E0000}"/>
    <cellStyle name="20% - Accent2 4 3 3 3 3" xfId="14174" xr:uid="{00000000-0005-0000-0000-0000B60E0000}"/>
    <cellStyle name="20% - Accent2 4 3 3 4" xfId="7091" xr:uid="{00000000-0005-0000-0000-0000B70E0000}"/>
    <cellStyle name="20% - Accent2 4 3 3 4 2" xfId="7094" xr:uid="{00000000-0005-0000-0000-0000B80E0000}"/>
    <cellStyle name="20% - Accent2 4 3 3 5" xfId="7097" xr:uid="{00000000-0005-0000-0000-0000B90E0000}"/>
    <cellStyle name="20% - Accent2 4 3 4" xfId="12278" xr:uid="{00000000-0005-0000-0000-0000BA0E0000}"/>
    <cellStyle name="20% - Accent2 4 3 4 2" xfId="1666" xr:uid="{00000000-0005-0000-0000-0000BB0E0000}"/>
    <cellStyle name="20% - Accent2 4 3 4 2 2" xfId="1715" xr:uid="{00000000-0005-0000-0000-0000BC0E0000}"/>
    <cellStyle name="20% - Accent2 4 3 4 2 2 2" xfId="24880" xr:uid="{00000000-0005-0000-0000-0000BD0E0000}"/>
    <cellStyle name="20% - Accent2 4 3 4 2 3" xfId="4670" xr:uid="{00000000-0005-0000-0000-0000BE0E0000}"/>
    <cellStyle name="20% - Accent2 4 3 4 3" xfId="2298" xr:uid="{00000000-0005-0000-0000-0000BF0E0000}"/>
    <cellStyle name="20% - Accent2 4 3 4 3 2" xfId="1625" xr:uid="{00000000-0005-0000-0000-0000C00E0000}"/>
    <cellStyle name="20% - Accent2 4 3 4 4" xfId="7108" xr:uid="{00000000-0005-0000-0000-0000C10E0000}"/>
    <cellStyle name="20% - Accent2 4 3 5" xfId="18722" xr:uid="{00000000-0005-0000-0000-0000C20E0000}"/>
    <cellStyle name="20% - Accent2 4 3 5 2" xfId="1675" xr:uid="{00000000-0005-0000-0000-0000C30E0000}"/>
    <cellStyle name="20% - Accent2 4 3 5 2 2" xfId="12721" xr:uid="{00000000-0005-0000-0000-0000C40E0000}"/>
    <cellStyle name="20% - Accent2 4 3 5 3" xfId="772" xr:uid="{00000000-0005-0000-0000-0000C50E0000}"/>
    <cellStyle name="20% - Accent2 4 3 6" xfId="1089" xr:uid="{00000000-0005-0000-0000-0000C60E0000}"/>
    <cellStyle name="20% - Accent2 4 3 6 2" xfId="1274" xr:uid="{00000000-0005-0000-0000-0000C70E0000}"/>
    <cellStyle name="20% - Accent2 4 3 7" xfId="1276" xr:uid="{00000000-0005-0000-0000-0000C80E0000}"/>
    <cellStyle name="20% - Accent2 4 4" xfId="1157" xr:uid="{00000000-0005-0000-0000-0000C90E0000}"/>
    <cellStyle name="20% - Accent2 4 4 2" xfId="2133" xr:uid="{00000000-0005-0000-0000-0000CA0E0000}"/>
    <cellStyle name="20% - Accent2 4 4 2 2" xfId="2141" xr:uid="{00000000-0005-0000-0000-0000CB0E0000}"/>
    <cellStyle name="20% - Accent2 4 4 2 2 2" xfId="6210" xr:uid="{00000000-0005-0000-0000-0000CC0E0000}"/>
    <cellStyle name="20% - Accent2 4 4 2 2 2 2" xfId="6212" xr:uid="{00000000-0005-0000-0000-0000CD0E0000}"/>
    <cellStyle name="20% - Accent2 4 4 2 2 2 2 2" xfId="28590" xr:uid="{00000000-0005-0000-0000-0000CE0E0000}"/>
    <cellStyle name="20% - Accent2 4 4 2 2 2 3" xfId="530" xr:uid="{00000000-0005-0000-0000-0000CF0E0000}"/>
    <cellStyle name="20% - Accent2 4 4 2 2 3" xfId="6215" xr:uid="{00000000-0005-0000-0000-0000D00E0000}"/>
    <cellStyle name="20% - Accent2 4 4 2 2 3 2" xfId="6220" xr:uid="{00000000-0005-0000-0000-0000D10E0000}"/>
    <cellStyle name="20% - Accent2 4 4 2 2 4" xfId="27264" xr:uid="{00000000-0005-0000-0000-0000D20E0000}"/>
    <cellStyle name="20% - Accent2 4 4 2 3" xfId="6223" xr:uid="{00000000-0005-0000-0000-0000D30E0000}"/>
    <cellStyle name="20% - Accent2 4 4 2 3 2" xfId="6226" xr:uid="{00000000-0005-0000-0000-0000D40E0000}"/>
    <cellStyle name="20% - Accent2 4 4 2 3 2 2" xfId="6228" xr:uid="{00000000-0005-0000-0000-0000D50E0000}"/>
    <cellStyle name="20% - Accent2 4 4 2 3 3" xfId="6231" xr:uid="{00000000-0005-0000-0000-0000D60E0000}"/>
    <cellStyle name="20% - Accent2 4 4 2 4" xfId="6233" xr:uid="{00000000-0005-0000-0000-0000D70E0000}"/>
    <cellStyle name="20% - Accent2 4 4 2 4 2" xfId="238" xr:uid="{00000000-0005-0000-0000-0000D80E0000}"/>
    <cellStyle name="20% - Accent2 4 4 2 5" xfId="6240" xr:uid="{00000000-0005-0000-0000-0000D90E0000}"/>
    <cellStyle name="20% - Accent2 4 4 3" xfId="705" xr:uid="{00000000-0005-0000-0000-0000DA0E0000}"/>
    <cellStyle name="20% - Accent2 4 4 3 2" xfId="6244" xr:uid="{00000000-0005-0000-0000-0000DB0E0000}"/>
    <cellStyle name="20% - Accent2 4 4 3 2 2" xfId="10564" xr:uid="{00000000-0005-0000-0000-0000DC0E0000}"/>
    <cellStyle name="20% - Accent2 4 4 3 2 2 2" xfId="27121" xr:uid="{00000000-0005-0000-0000-0000DD0E0000}"/>
    <cellStyle name="20% - Accent2 4 4 3 2 3" xfId="10568" xr:uid="{00000000-0005-0000-0000-0000DE0E0000}"/>
    <cellStyle name="20% - Accent2 4 4 3 3" xfId="6247" xr:uid="{00000000-0005-0000-0000-0000DF0E0000}"/>
    <cellStyle name="20% - Accent2 4 4 3 3 2" xfId="6259" xr:uid="{00000000-0005-0000-0000-0000E00E0000}"/>
    <cellStyle name="20% - Accent2 4 4 3 4" xfId="6261" xr:uid="{00000000-0005-0000-0000-0000E10E0000}"/>
    <cellStyle name="20% - Accent2 4 4 4" xfId="10584" xr:uid="{00000000-0005-0000-0000-0000E20E0000}"/>
    <cellStyle name="20% - Accent2 4 4 4 2" xfId="11853" xr:uid="{00000000-0005-0000-0000-0000E30E0000}"/>
    <cellStyle name="20% - Accent2 4 4 4 2 2" xfId="10578" xr:uid="{00000000-0005-0000-0000-0000E40E0000}"/>
    <cellStyle name="20% - Accent2 4 4 4 3" xfId="13343" xr:uid="{00000000-0005-0000-0000-0000E50E0000}"/>
    <cellStyle name="20% - Accent2 4 4 5" xfId="1076" xr:uid="{00000000-0005-0000-0000-0000E60E0000}"/>
    <cellStyle name="20% - Accent2 4 4 5 2" xfId="11861" xr:uid="{00000000-0005-0000-0000-0000E70E0000}"/>
    <cellStyle name="20% - Accent2 4 4 6" xfId="1309" xr:uid="{00000000-0005-0000-0000-0000E80E0000}"/>
    <cellStyle name="20% - Accent2 4 5" xfId="2090" xr:uid="{00000000-0005-0000-0000-0000E90E0000}"/>
    <cellStyle name="20% - Accent2 4 5 2" xfId="335" xr:uid="{00000000-0005-0000-0000-0000EA0E0000}"/>
    <cellStyle name="20% - Accent2 4 5 2 2" xfId="3123" xr:uid="{00000000-0005-0000-0000-0000EB0E0000}"/>
    <cellStyle name="20% - Accent2 4 5 2 2 2" xfId="4571" xr:uid="{00000000-0005-0000-0000-0000EC0E0000}"/>
    <cellStyle name="20% - Accent2 4 5 2 2 2 2" xfId="6277" xr:uid="{00000000-0005-0000-0000-0000ED0E0000}"/>
    <cellStyle name="20% - Accent2 4 5 2 2 3" xfId="4575" xr:uid="{00000000-0005-0000-0000-0000EE0E0000}"/>
    <cellStyle name="20% - Accent2 4 5 2 3" xfId="4582" xr:uid="{00000000-0005-0000-0000-0000EF0E0000}"/>
    <cellStyle name="20% - Accent2 4 5 2 3 2" xfId="4586" xr:uid="{00000000-0005-0000-0000-0000F00E0000}"/>
    <cellStyle name="20% - Accent2 4 5 2 4" xfId="4596" xr:uid="{00000000-0005-0000-0000-0000F10E0000}"/>
    <cellStyle name="20% - Accent2 4 5 3" xfId="6279" xr:uid="{00000000-0005-0000-0000-0000F20E0000}"/>
    <cellStyle name="20% - Accent2 4 5 3 2" xfId="4618" xr:uid="{00000000-0005-0000-0000-0000F30E0000}"/>
    <cellStyle name="20% - Accent2 4 5 3 2 2" xfId="13475" xr:uid="{00000000-0005-0000-0000-0000F40E0000}"/>
    <cellStyle name="20% - Accent2 4 5 3 3" xfId="304" xr:uid="{00000000-0005-0000-0000-0000F50E0000}"/>
    <cellStyle name="20% - Accent2 4 5 4" xfId="6283" xr:uid="{00000000-0005-0000-0000-0000F60E0000}"/>
    <cellStyle name="20% - Accent2 4 5 4 2" xfId="27435" xr:uid="{00000000-0005-0000-0000-0000F70E0000}"/>
    <cellStyle name="20% - Accent2 4 5 5" xfId="11279" xr:uid="{00000000-0005-0000-0000-0000F80E0000}"/>
    <cellStyle name="20% - Accent2 4 6" xfId="9127" xr:uid="{00000000-0005-0000-0000-0000F90E0000}"/>
    <cellStyle name="20% - Accent2 4 6 2" xfId="14326" xr:uid="{00000000-0005-0000-0000-0000FA0E0000}"/>
    <cellStyle name="20% - Accent2 4 6 2 2" xfId="4711" xr:uid="{00000000-0005-0000-0000-0000FB0E0000}"/>
    <cellStyle name="20% - Accent2 4 6 2 2 2" xfId="9231" xr:uid="{00000000-0005-0000-0000-0000FC0E0000}"/>
    <cellStyle name="20% - Accent2 4 6 2 3" xfId="4805" xr:uid="{00000000-0005-0000-0000-0000FD0E0000}"/>
    <cellStyle name="20% - Accent2 4 6 3" xfId="6285" xr:uid="{00000000-0005-0000-0000-0000FE0E0000}"/>
    <cellStyle name="20% - Accent2 4 6 3 2" xfId="1865" xr:uid="{00000000-0005-0000-0000-0000FF0E0000}"/>
    <cellStyle name="20% - Accent2 4 6 4" xfId="6288" xr:uid="{00000000-0005-0000-0000-0000000F0000}"/>
    <cellStyle name="20% - Accent2 4 7" xfId="24044" xr:uid="{00000000-0005-0000-0000-0000010F0000}"/>
    <cellStyle name="20% - Accent2 4 7 2" xfId="6297" xr:uid="{00000000-0005-0000-0000-0000020F0000}"/>
    <cellStyle name="20% - Accent2 4 7 2 2" xfId="11669" xr:uid="{00000000-0005-0000-0000-0000030F0000}"/>
    <cellStyle name="20% - Accent2 4 7 3" xfId="3495" xr:uid="{00000000-0005-0000-0000-0000040F0000}"/>
    <cellStyle name="20% - Accent2 4 8" xfId="14996" xr:uid="{00000000-0005-0000-0000-0000050F0000}"/>
    <cellStyle name="20% - Accent2 4 8 2" xfId="6301" xr:uid="{00000000-0005-0000-0000-0000060F0000}"/>
    <cellStyle name="20% - Accent2 4 9" xfId="15001" xr:uid="{00000000-0005-0000-0000-0000070F0000}"/>
    <cellStyle name="20% - Accent2 5" xfId="26943" xr:uid="{00000000-0005-0000-0000-0000080F0000}"/>
    <cellStyle name="20% - Accent2 5 2" xfId="1726" xr:uid="{00000000-0005-0000-0000-0000090F0000}"/>
    <cellStyle name="20% - Accent2 5 2 2" xfId="5204" xr:uid="{00000000-0005-0000-0000-00000A0F0000}"/>
    <cellStyle name="20% - Accent2 5 2 2 2" xfId="29033" xr:uid="{00000000-0005-0000-0000-00000B0F0000}"/>
    <cellStyle name="20% - Accent2 5 2 2 2 2" xfId="24434" xr:uid="{00000000-0005-0000-0000-00000C0F0000}"/>
    <cellStyle name="20% - Accent2 5 2 2 2 2 2" xfId="9690" xr:uid="{00000000-0005-0000-0000-00000D0F0000}"/>
    <cellStyle name="20% - Accent2 5 2 2 2 2 2 2" xfId="28703" xr:uid="{00000000-0005-0000-0000-00000E0F0000}"/>
    <cellStyle name="20% - Accent2 5 2 2 2 2 2 2 2" xfId="18675" xr:uid="{00000000-0005-0000-0000-00000F0F0000}"/>
    <cellStyle name="20% - Accent2 5 2 2 2 2 2 3" xfId="25804" xr:uid="{00000000-0005-0000-0000-0000100F0000}"/>
    <cellStyle name="20% - Accent2 5 2 2 2 2 3" xfId="8847" xr:uid="{00000000-0005-0000-0000-0000110F0000}"/>
    <cellStyle name="20% - Accent2 5 2 2 2 2 3 2" xfId="25817" xr:uid="{00000000-0005-0000-0000-0000120F0000}"/>
    <cellStyle name="20% - Accent2 5 2 2 2 2 4" xfId="28255" xr:uid="{00000000-0005-0000-0000-0000130F0000}"/>
    <cellStyle name="20% - Accent2 5 2 2 2 3" xfId="6077" xr:uid="{00000000-0005-0000-0000-0000140F0000}"/>
    <cellStyle name="20% - Accent2 5 2 2 2 3 2" xfId="1548" xr:uid="{00000000-0005-0000-0000-0000150F0000}"/>
    <cellStyle name="20% - Accent2 5 2 2 2 3 2 2" xfId="25852" xr:uid="{00000000-0005-0000-0000-0000160F0000}"/>
    <cellStyle name="20% - Accent2 5 2 2 2 3 3" xfId="6307" xr:uid="{00000000-0005-0000-0000-0000170F0000}"/>
    <cellStyle name="20% - Accent2 5 2 2 2 4" xfId="6078" xr:uid="{00000000-0005-0000-0000-0000180F0000}"/>
    <cellStyle name="20% - Accent2 5 2 2 2 4 2" xfId="23685" xr:uid="{00000000-0005-0000-0000-0000190F0000}"/>
    <cellStyle name="20% - Accent2 5 2 2 2 5" xfId="6309" xr:uid="{00000000-0005-0000-0000-00001A0F0000}"/>
    <cellStyle name="20% - Accent2 5 2 2 3" xfId="2181" xr:uid="{00000000-0005-0000-0000-00001B0F0000}"/>
    <cellStyle name="20% - Accent2 5 2 2 3 2" xfId="24842" xr:uid="{00000000-0005-0000-0000-00001C0F0000}"/>
    <cellStyle name="20% - Accent2 5 2 2 3 2 2" xfId="27138" xr:uid="{00000000-0005-0000-0000-00001D0F0000}"/>
    <cellStyle name="20% - Accent2 5 2 2 3 2 2 2" xfId="25976" xr:uid="{00000000-0005-0000-0000-00001E0F0000}"/>
    <cellStyle name="20% - Accent2 5 2 2 3 2 3" xfId="27145" xr:uid="{00000000-0005-0000-0000-00001F0F0000}"/>
    <cellStyle name="20% - Accent2 5 2 2 3 3" xfId="24851" xr:uid="{00000000-0005-0000-0000-0000200F0000}"/>
    <cellStyle name="20% - Accent2 5 2 2 3 3 2" xfId="27146" xr:uid="{00000000-0005-0000-0000-0000210F0000}"/>
    <cellStyle name="20% - Accent2 5 2 2 3 4" xfId="26885" xr:uid="{00000000-0005-0000-0000-0000220F0000}"/>
    <cellStyle name="20% - Accent2 5 2 2 4" xfId="18881" xr:uid="{00000000-0005-0000-0000-0000230F0000}"/>
    <cellStyle name="20% - Accent2 5 2 2 4 2" xfId="18890" xr:uid="{00000000-0005-0000-0000-0000240F0000}"/>
    <cellStyle name="20% - Accent2 5 2 2 4 2 2" xfId="14713" xr:uid="{00000000-0005-0000-0000-0000250F0000}"/>
    <cellStyle name="20% - Accent2 5 2 2 4 3" xfId="18903" xr:uid="{00000000-0005-0000-0000-0000260F0000}"/>
    <cellStyle name="20% - Accent2 5 2 2 5" xfId="12988" xr:uid="{00000000-0005-0000-0000-0000270F0000}"/>
    <cellStyle name="20% - Accent2 5 2 2 5 2" xfId="24041" xr:uid="{00000000-0005-0000-0000-0000280F0000}"/>
    <cellStyle name="20% - Accent2 5 2 2 6" xfId="19161" xr:uid="{00000000-0005-0000-0000-0000290F0000}"/>
    <cellStyle name="20% - Accent2 5 2 3" xfId="542" xr:uid="{00000000-0005-0000-0000-00002A0F0000}"/>
    <cellStyle name="20% - Accent2 5 2 3 2" xfId="2270" xr:uid="{00000000-0005-0000-0000-00002B0F0000}"/>
    <cellStyle name="20% - Accent2 5 2 3 2 2" xfId="10004" xr:uid="{00000000-0005-0000-0000-00002C0F0000}"/>
    <cellStyle name="20% - Accent2 5 2 3 2 2 2" xfId="6345" xr:uid="{00000000-0005-0000-0000-00002D0F0000}"/>
    <cellStyle name="20% - Accent2 5 2 3 2 2 2 2" xfId="2160" xr:uid="{00000000-0005-0000-0000-00002E0F0000}"/>
    <cellStyle name="20% - Accent2 5 2 3 2 2 3" xfId="6351" xr:uid="{00000000-0005-0000-0000-00002F0F0000}"/>
    <cellStyle name="20% - Accent2 5 2 3 2 3" xfId="11114" xr:uid="{00000000-0005-0000-0000-0000300F0000}"/>
    <cellStyle name="20% - Accent2 5 2 3 2 3 2" xfId="6352" xr:uid="{00000000-0005-0000-0000-0000310F0000}"/>
    <cellStyle name="20% - Accent2 5 2 3 2 4" xfId="8748" xr:uid="{00000000-0005-0000-0000-0000320F0000}"/>
    <cellStyle name="20% - Accent2 5 2 3 3" xfId="27148" xr:uid="{00000000-0005-0000-0000-0000330F0000}"/>
    <cellStyle name="20% - Accent2 5 2 3 3 2" xfId="24186" xr:uid="{00000000-0005-0000-0000-0000340F0000}"/>
    <cellStyle name="20% - Accent2 5 2 3 3 2 2" xfId="17562" xr:uid="{00000000-0005-0000-0000-0000350F0000}"/>
    <cellStyle name="20% - Accent2 5 2 3 3 3" xfId="8752" xr:uid="{00000000-0005-0000-0000-0000360F0000}"/>
    <cellStyle name="20% - Accent2 5 2 3 4" xfId="18921" xr:uid="{00000000-0005-0000-0000-0000370F0000}"/>
    <cellStyle name="20% - Accent2 5 2 3 4 2" xfId="24070" xr:uid="{00000000-0005-0000-0000-0000380F0000}"/>
    <cellStyle name="20% - Accent2 5 2 3 5" xfId="22601" xr:uid="{00000000-0005-0000-0000-0000390F0000}"/>
    <cellStyle name="20% - Accent2 5 2 4" xfId="29254" xr:uid="{00000000-0005-0000-0000-00003A0F0000}"/>
    <cellStyle name="20% - Accent2 5 2 4 2" xfId="1700" xr:uid="{00000000-0005-0000-0000-00003B0F0000}"/>
    <cellStyle name="20% - Accent2 5 2 4 2 2" xfId="10021" xr:uid="{00000000-0005-0000-0000-00003C0F0000}"/>
    <cellStyle name="20% - Accent2 5 2 4 2 2 2" xfId="6367" xr:uid="{00000000-0005-0000-0000-00003D0F0000}"/>
    <cellStyle name="20% - Accent2 5 2 4 2 3" xfId="8754" xr:uid="{00000000-0005-0000-0000-00003E0F0000}"/>
    <cellStyle name="20% - Accent2 5 2 4 3" xfId="26698" xr:uid="{00000000-0005-0000-0000-00003F0F0000}"/>
    <cellStyle name="20% - Accent2 5 2 4 3 2" xfId="26457" xr:uid="{00000000-0005-0000-0000-0000400F0000}"/>
    <cellStyle name="20% - Accent2 5 2 4 4" xfId="18935" xr:uid="{00000000-0005-0000-0000-0000410F0000}"/>
    <cellStyle name="20% - Accent2 5 2 5" xfId="21619" xr:uid="{00000000-0005-0000-0000-0000420F0000}"/>
    <cellStyle name="20% - Accent2 5 2 5 2" xfId="1720" xr:uid="{00000000-0005-0000-0000-0000430F0000}"/>
    <cellStyle name="20% - Accent2 5 2 5 2 2" xfId="31390" xr:uid="{00000000-0005-0000-0000-0000440F0000}"/>
    <cellStyle name="20% - Accent2 5 2 5 3" xfId="14830" xr:uid="{00000000-0005-0000-0000-0000450F0000}"/>
    <cellStyle name="20% - Accent2 5 2 6" xfId="21621" xr:uid="{00000000-0005-0000-0000-0000460F0000}"/>
    <cellStyle name="20% - Accent2 5 2 6 2" xfId="1359" xr:uid="{00000000-0005-0000-0000-0000470F0000}"/>
    <cellStyle name="20% - Accent2 5 2 7" xfId="12615" xr:uid="{00000000-0005-0000-0000-0000480F0000}"/>
    <cellStyle name="20% - Accent2 5 3" xfId="1750" xr:uid="{00000000-0005-0000-0000-0000490F0000}"/>
    <cellStyle name="20% - Accent2 5 3 2" xfId="8117" xr:uid="{00000000-0005-0000-0000-00004A0F0000}"/>
    <cellStyle name="20% - Accent2 5 3 2 2" xfId="2280" xr:uid="{00000000-0005-0000-0000-00004B0F0000}"/>
    <cellStyle name="20% - Accent2 5 3 2 2 2" xfId="6374" xr:uid="{00000000-0005-0000-0000-00004C0F0000}"/>
    <cellStyle name="20% - Accent2 5 3 2 2 2 2" xfId="6376" xr:uid="{00000000-0005-0000-0000-00004D0F0000}"/>
    <cellStyle name="20% - Accent2 5 3 2 2 2 2 2" xfId="20196" xr:uid="{00000000-0005-0000-0000-00004E0F0000}"/>
    <cellStyle name="20% - Accent2 5 3 2 2 2 3" xfId="2074" xr:uid="{00000000-0005-0000-0000-00004F0F0000}"/>
    <cellStyle name="20% - Accent2 5 3 2 2 3" xfId="6119" xr:uid="{00000000-0005-0000-0000-0000500F0000}"/>
    <cellStyle name="20% - Accent2 5 3 2 2 3 2" xfId="13038" xr:uid="{00000000-0005-0000-0000-0000510F0000}"/>
    <cellStyle name="20% - Accent2 5 3 2 2 4" xfId="904" xr:uid="{00000000-0005-0000-0000-0000520F0000}"/>
    <cellStyle name="20% - Accent2 5 3 2 3" xfId="27152" xr:uid="{00000000-0005-0000-0000-0000530F0000}"/>
    <cellStyle name="20% - Accent2 5 3 2 3 2" xfId="10088" xr:uid="{00000000-0005-0000-0000-0000540F0000}"/>
    <cellStyle name="20% - Accent2 5 3 2 3 2 2" xfId="27158" xr:uid="{00000000-0005-0000-0000-0000550F0000}"/>
    <cellStyle name="20% - Accent2 5 3 2 3 3" xfId="27160" xr:uid="{00000000-0005-0000-0000-0000560F0000}"/>
    <cellStyle name="20% - Accent2 5 3 2 4" xfId="19116" xr:uid="{00000000-0005-0000-0000-0000570F0000}"/>
    <cellStyle name="20% - Accent2 5 3 2 4 2" xfId="1688" xr:uid="{00000000-0005-0000-0000-0000580F0000}"/>
    <cellStyle name="20% - Accent2 5 3 2 5" xfId="22802" xr:uid="{00000000-0005-0000-0000-0000590F0000}"/>
    <cellStyle name="20% - Accent2 5 3 3" xfId="4289" xr:uid="{00000000-0005-0000-0000-00005A0F0000}"/>
    <cellStyle name="20% - Accent2 5 3 3 2" xfId="6398" xr:uid="{00000000-0005-0000-0000-00005B0F0000}"/>
    <cellStyle name="20% - Accent2 5 3 3 2 2" xfId="10035" xr:uid="{00000000-0005-0000-0000-00005C0F0000}"/>
    <cellStyle name="20% - Accent2 5 3 3 2 2 2" xfId="6400" xr:uid="{00000000-0005-0000-0000-00005D0F0000}"/>
    <cellStyle name="20% - Accent2 5 3 3 2 3" xfId="6405" xr:uid="{00000000-0005-0000-0000-00005E0F0000}"/>
    <cellStyle name="20% - Accent2 5 3 3 3" xfId="27875" xr:uid="{00000000-0005-0000-0000-00005F0F0000}"/>
    <cellStyle name="20% - Accent2 5 3 3 3 2" xfId="24495" xr:uid="{00000000-0005-0000-0000-0000600F0000}"/>
    <cellStyle name="20% - Accent2 5 3 3 4" xfId="19869" xr:uid="{00000000-0005-0000-0000-0000610F0000}"/>
    <cellStyle name="20% - Accent2 5 3 4" xfId="12404" xr:uid="{00000000-0005-0000-0000-0000620F0000}"/>
    <cellStyle name="20% - Accent2 5 3 4 2" xfId="1739" xr:uid="{00000000-0005-0000-0000-0000630F0000}"/>
    <cellStyle name="20% - Accent2 5 3 4 2 2" xfId="422" xr:uid="{00000000-0005-0000-0000-0000640F0000}"/>
    <cellStyle name="20% - Accent2 5 3 4 3" xfId="20310" xr:uid="{00000000-0005-0000-0000-0000650F0000}"/>
    <cellStyle name="20% - Accent2 5 3 5" xfId="15393" xr:uid="{00000000-0005-0000-0000-0000660F0000}"/>
    <cellStyle name="20% - Accent2 5 3 5 2" xfId="470" xr:uid="{00000000-0005-0000-0000-0000670F0000}"/>
    <cellStyle name="20% - Accent2 5 3 6" xfId="6324" xr:uid="{00000000-0005-0000-0000-0000680F0000}"/>
    <cellStyle name="20% - Accent2 5 4" xfId="1759" xr:uid="{00000000-0005-0000-0000-0000690F0000}"/>
    <cellStyle name="20% - Accent2 5 4 2" xfId="1765" xr:uid="{00000000-0005-0000-0000-00006A0F0000}"/>
    <cellStyle name="20% - Accent2 5 4 2 2" xfId="6409" xr:uid="{00000000-0005-0000-0000-00006B0F0000}"/>
    <cellStyle name="20% - Accent2 5 4 2 2 2" xfId="5972" xr:uid="{00000000-0005-0000-0000-00006C0F0000}"/>
    <cellStyle name="20% - Accent2 5 4 2 2 2 2" xfId="6412" xr:uid="{00000000-0005-0000-0000-00006D0F0000}"/>
    <cellStyle name="20% - Accent2 5 4 2 2 3" xfId="6415" xr:uid="{00000000-0005-0000-0000-00006E0F0000}"/>
    <cellStyle name="20% - Accent2 5 4 2 3" xfId="6417" xr:uid="{00000000-0005-0000-0000-00006F0F0000}"/>
    <cellStyle name="20% - Accent2 5 4 2 3 2" xfId="6424" xr:uid="{00000000-0005-0000-0000-0000700F0000}"/>
    <cellStyle name="20% - Accent2 5 4 2 4" xfId="6428" xr:uid="{00000000-0005-0000-0000-0000710F0000}"/>
    <cellStyle name="20% - Accent2 5 4 3" xfId="6432" xr:uid="{00000000-0005-0000-0000-0000720F0000}"/>
    <cellStyle name="20% - Accent2 5 4 3 2" xfId="6436" xr:uid="{00000000-0005-0000-0000-0000730F0000}"/>
    <cellStyle name="20% - Accent2 5 4 3 2 2" xfId="19002" xr:uid="{00000000-0005-0000-0000-0000740F0000}"/>
    <cellStyle name="20% - Accent2 5 4 3 3" xfId="24944" xr:uid="{00000000-0005-0000-0000-0000750F0000}"/>
    <cellStyle name="20% - Accent2 5 4 4" xfId="12436" xr:uid="{00000000-0005-0000-0000-0000760F0000}"/>
    <cellStyle name="20% - Accent2 5 4 4 2" xfId="11891" xr:uid="{00000000-0005-0000-0000-0000770F0000}"/>
    <cellStyle name="20% - Accent2 5 4 5" xfId="15397" xr:uid="{00000000-0005-0000-0000-0000780F0000}"/>
    <cellStyle name="20% - Accent2 5 5" xfId="9920" xr:uid="{00000000-0005-0000-0000-0000790F0000}"/>
    <cellStyle name="20% - Accent2 5 5 2" xfId="6445" xr:uid="{00000000-0005-0000-0000-00007A0F0000}"/>
    <cellStyle name="20% - Accent2 5 5 2 2" xfId="4579" xr:uid="{00000000-0005-0000-0000-00007B0F0000}"/>
    <cellStyle name="20% - Accent2 5 5 2 2 2" xfId="4584" xr:uid="{00000000-0005-0000-0000-00007C0F0000}"/>
    <cellStyle name="20% - Accent2 5 5 2 3" xfId="4859" xr:uid="{00000000-0005-0000-0000-00007D0F0000}"/>
    <cellStyle name="20% - Accent2 5 5 3" xfId="10791" xr:uid="{00000000-0005-0000-0000-00007E0F0000}"/>
    <cellStyle name="20% - Accent2 5 5 3 2" xfId="4886" xr:uid="{00000000-0005-0000-0000-00007F0F0000}"/>
    <cellStyle name="20% - Accent2 5 5 4" xfId="2845" xr:uid="{00000000-0005-0000-0000-0000800F0000}"/>
    <cellStyle name="20% - Accent2 5 6" xfId="23770" xr:uid="{00000000-0005-0000-0000-0000810F0000}"/>
    <cellStyle name="20% - Accent2 5 6 2" xfId="6454" xr:uid="{00000000-0005-0000-0000-0000820F0000}"/>
    <cellStyle name="20% - Accent2 5 6 2 2" xfId="4946" xr:uid="{00000000-0005-0000-0000-0000830F0000}"/>
    <cellStyle name="20% - Accent2 5 6 3" xfId="6458" xr:uid="{00000000-0005-0000-0000-0000840F0000}"/>
    <cellStyle name="20% - Accent2 5 7" xfId="6461" xr:uid="{00000000-0005-0000-0000-0000850F0000}"/>
    <cellStyle name="20% - Accent2 5 7 2" xfId="846" xr:uid="{00000000-0005-0000-0000-0000860F0000}"/>
    <cellStyle name="20% - Accent2 5 8" xfId="15012" xr:uid="{00000000-0005-0000-0000-0000870F0000}"/>
    <cellStyle name="20% - Accent2 6" xfId="6468" xr:uid="{00000000-0005-0000-0000-0000880F0000}"/>
    <cellStyle name="20% - Accent2 6 2" xfId="8903" xr:uid="{00000000-0005-0000-0000-0000890F0000}"/>
    <cellStyle name="20% - Accent2 6 2 2" xfId="2383" xr:uid="{00000000-0005-0000-0000-00008A0F0000}"/>
    <cellStyle name="20% - Accent2 6 2 2 2" xfId="25716" xr:uid="{00000000-0005-0000-0000-00008B0F0000}"/>
    <cellStyle name="20% - Accent2 6 2 2 2 2" xfId="30450" xr:uid="{00000000-0005-0000-0000-00008C0F0000}"/>
    <cellStyle name="20% - Accent2 6 2 2 2 2 2" xfId="6470" xr:uid="{00000000-0005-0000-0000-00008D0F0000}"/>
    <cellStyle name="20% - Accent2 6 2 2 2 2 2 2" xfId="6473" xr:uid="{00000000-0005-0000-0000-00008E0F0000}"/>
    <cellStyle name="20% - Accent2 6 2 2 2 2 3" xfId="29758" xr:uid="{00000000-0005-0000-0000-00008F0F0000}"/>
    <cellStyle name="20% - Accent2 6 2 2 2 3" xfId="6201" xr:uid="{00000000-0005-0000-0000-0000900F0000}"/>
    <cellStyle name="20% - Accent2 6 2 2 2 3 2" xfId="970" xr:uid="{00000000-0005-0000-0000-0000910F0000}"/>
    <cellStyle name="20% - Accent2 6 2 2 2 4" xfId="6480" xr:uid="{00000000-0005-0000-0000-0000920F0000}"/>
    <cellStyle name="20% - Accent2 6 2 2 3" xfId="27430" xr:uid="{00000000-0005-0000-0000-0000930F0000}"/>
    <cellStyle name="20% - Accent2 6 2 2 3 2" xfId="24861" xr:uid="{00000000-0005-0000-0000-0000940F0000}"/>
    <cellStyle name="20% - Accent2 6 2 2 3 2 2" xfId="27172" xr:uid="{00000000-0005-0000-0000-0000950F0000}"/>
    <cellStyle name="20% - Accent2 6 2 2 3 3" xfId="27727" xr:uid="{00000000-0005-0000-0000-0000960F0000}"/>
    <cellStyle name="20% - Accent2 6 2 2 4" xfId="19548" xr:uid="{00000000-0005-0000-0000-0000970F0000}"/>
    <cellStyle name="20% - Accent2 6 2 2 4 2" xfId="22626" xr:uid="{00000000-0005-0000-0000-0000980F0000}"/>
    <cellStyle name="20% - Accent2 6 2 2 5" xfId="19553" xr:uid="{00000000-0005-0000-0000-0000990F0000}"/>
    <cellStyle name="20% - Accent2 6 2 3" xfId="680" xr:uid="{00000000-0005-0000-0000-00009A0F0000}"/>
    <cellStyle name="20% - Accent2 6 2 3 2" xfId="9849" xr:uid="{00000000-0005-0000-0000-00009B0F0000}"/>
    <cellStyle name="20% - Accent2 6 2 3 2 2" xfId="8276" xr:uid="{00000000-0005-0000-0000-00009C0F0000}"/>
    <cellStyle name="20% - Accent2 6 2 3 2 2 2" xfId="8282" xr:uid="{00000000-0005-0000-0000-00009D0F0000}"/>
    <cellStyle name="20% - Accent2 6 2 3 2 3" xfId="10113" xr:uid="{00000000-0005-0000-0000-00009E0F0000}"/>
    <cellStyle name="20% - Accent2 6 2 3 3" xfId="27178" xr:uid="{00000000-0005-0000-0000-00009F0F0000}"/>
    <cellStyle name="20% - Accent2 6 2 3 3 2" xfId="27185" xr:uid="{00000000-0005-0000-0000-0000A00F0000}"/>
    <cellStyle name="20% - Accent2 6 2 3 4" xfId="19578" xr:uid="{00000000-0005-0000-0000-0000A10F0000}"/>
    <cellStyle name="20% - Accent2 6 2 4" xfId="11765" xr:uid="{00000000-0005-0000-0000-0000A20F0000}"/>
    <cellStyle name="20% - Accent2 6 2 4 2" xfId="1859" xr:uid="{00000000-0005-0000-0000-0000A30F0000}"/>
    <cellStyle name="20% - Accent2 6 2 4 2 2" xfId="31818" xr:uid="{00000000-0005-0000-0000-0000A40F0000}"/>
    <cellStyle name="20% - Accent2 6 2 4 3" xfId="9753" xr:uid="{00000000-0005-0000-0000-0000A50F0000}"/>
    <cellStyle name="20% - Accent2 6 2 5" xfId="15416" xr:uid="{00000000-0005-0000-0000-0000A60F0000}"/>
    <cellStyle name="20% - Accent2 6 2 5 2" xfId="3090" xr:uid="{00000000-0005-0000-0000-0000A70F0000}"/>
    <cellStyle name="20% - Accent2 6 2 6" xfId="6482" xr:uid="{00000000-0005-0000-0000-0000A80F0000}"/>
    <cellStyle name="20% - Accent2 6 3" xfId="12711" xr:uid="{00000000-0005-0000-0000-0000A90F0000}"/>
    <cellStyle name="20% - Accent2 6 3 2" xfId="3266" xr:uid="{00000000-0005-0000-0000-0000AA0F0000}"/>
    <cellStyle name="20% - Accent2 6 3 2 2" xfId="29824" xr:uid="{00000000-0005-0000-0000-0000AB0F0000}"/>
    <cellStyle name="20% - Accent2 6 3 2 2 2" xfId="6511" xr:uid="{00000000-0005-0000-0000-0000AC0F0000}"/>
    <cellStyle name="20% - Accent2 6 3 2 2 2 2" xfId="16304" xr:uid="{00000000-0005-0000-0000-0000AD0F0000}"/>
    <cellStyle name="20% - Accent2 6 3 2 2 3" xfId="6513" xr:uid="{00000000-0005-0000-0000-0000AE0F0000}"/>
    <cellStyle name="20% - Accent2 6 3 2 3" xfId="27191" xr:uid="{00000000-0005-0000-0000-0000AF0F0000}"/>
    <cellStyle name="20% - Accent2 6 3 2 3 2" xfId="16419" xr:uid="{00000000-0005-0000-0000-0000B00F0000}"/>
    <cellStyle name="20% - Accent2 6 3 2 4" xfId="19673" xr:uid="{00000000-0005-0000-0000-0000B10F0000}"/>
    <cellStyle name="20% - Accent2 6 3 3" xfId="6527" xr:uid="{00000000-0005-0000-0000-0000B20F0000}"/>
    <cellStyle name="20% - Accent2 6 3 3 2" xfId="6531" xr:uid="{00000000-0005-0000-0000-0000B30F0000}"/>
    <cellStyle name="20% - Accent2 6 3 3 2 2" xfId="10050" xr:uid="{00000000-0005-0000-0000-0000B40F0000}"/>
    <cellStyle name="20% - Accent2 6 3 3 3" xfId="29613" xr:uid="{00000000-0005-0000-0000-0000B50F0000}"/>
    <cellStyle name="20% - Accent2 6 3 4" xfId="12472" xr:uid="{00000000-0005-0000-0000-0000B60F0000}"/>
    <cellStyle name="20% - Accent2 6 3 4 2" xfId="6536" xr:uid="{00000000-0005-0000-0000-0000B70F0000}"/>
    <cellStyle name="20% - Accent2 6 3 5" xfId="15421" xr:uid="{00000000-0005-0000-0000-0000B80F0000}"/>
    <cellStyle name="20% - Accent2 6 4" xfId="12720" xr:uid="{00000000-0005-0000-0000-0000B90F0000}"/>
    <cellStyle name="20% - Accent2 6 4 2" xfId="1054" xr:uid="{00000000-0005-0000-0000-0000BA0F0000}"/>
    <cellStyle name="20% - Accent2 6 4 2 2" xfId="6538" xr:uid="{00000000-0005-0000-0000-0000BB0F0000}"/>
    <cellStyle name="20% - Accent2 6 4 2 2 2" xfId="1552" xr:uid="{00000000-0005-0000-0000-0000BC0F0000}"/>
    <cellStyle name="20% - Accent2 6 4 2 3" xfId="6542" xr:uid="{00000000-0005-0000-0000-0000BD0F0000}"/>
    <cellStyle name="20% - Accent2 6 4 3" xfId="6547" xr:uid="{00000000-0005-0000-0000-0000BE0F0000}"/>
    <cellStyle name="20% - Accent2 6 4 3 2" xfId="6549" xr:uid="{00000000-0005-0000-0000-0000BF0F0000}"/>
    <cellStyle name="20% - Accent2 6 4 4" xfId="3039" xr:uid="{00000000-0005-0000-0000-0000C00F0000}"/>
    <cellStyle name="20% - Accent2 6 5" xfId="24054" xr:uid="{00000000-0005-0000-0000-0000C10F0000}"/>
    <cellStyle name="20% - Accent2 6 5 2" xfId="6558" xr:uid="{00000000-0005-0000-0000-0000C20F0000}"/>
    <cellStyle name="20% - Accent2 6 5 2 2" xfId="5052" xr:uid="{00000000-0005-0000-0000-0000C30F0000}"/>
    <cellStyle name="20% - Accent2 6 5 3" xfId="6563" xr:uid="{00000000-0005-0000-0000-0000C40F0000}"/>
    <cellStyle name="20% - Accent2 6 6" xfId="6566" xr:uid="{00000000-0005-0000-0000-0000C50F0000}"/>
    <cellStyle name="20% - Accent2 6 6 2" xfId="6575" xr:uid="{00000000-0005-0000-0000-0000C60F0000}"/>
    <cellStyle name="20% - Accent2 6 7" xfId="6578" xr:uid="{00000000-0005-0000-0000-0000C70F0000}"/>
    <cellStyle name="20% - Accent2 7" xfId="3415" xr:uid="{00000000-0005-0000-0000-0000C80F0000}"/>
    <cellStyle name="20% - Accent2 7 2" xfId="12723" xr:uid="{00000000-0005-0000-0000-0000C90F0000}"/>
    <cellStyle name="20% - Accent2 7 2 2" xfId="6023" xr:uid="{00000000-0005-0000-0000-0000CA0F0000}"/>
    <cellStyle name="20% - Accent2 7 2 2 2" xfId="11234" xr:uid="{00000000-0005-0000-0000-0000CB0F0000}"/>
    <cellStyle name="20% - Accent2 7 2 2 2 2" xfId="501" xr:uid="{00000000-0005-0000-0000-0000CC0F0000}"/>
    <cellStyle name="20% - Accent2 7 2 2 2 2 2" xfId="6582" xr:uid="{00000000-0005-0000-0000-0000CD0F0000}"/>
    <cellStyle name="20% - Accent2 7 2 2 2 3" xfId="535" xr:uid="{00000000-0005-0000-0000-0000CE0F0000}"/>
    <cellStyle name="20% - Accent2 7 2 2 3" xfId="6030" xr:uid="{00000000-0005-0000-0000-0000CF0F0000}"/>
    <cellStyle name="20% - Accent2 7 2 2 3 2" xfId="28459" xr:uid="{00000000-0005-0000-0000-0000D00F0000}"/>
    <cellStyle name="20% - Accent2 7 2 2 4" xfId="19899" xr:uid="{00000000-0005-0000-0000-0000D10F0000}"/>
    <cellStyle name="20% - Accent2 7 2 3" xfId="6585" xr:uid="{00000000-0005-0000-0000-0000D20F0000}"/>
    <cellStyle name="20% - Accent2 7 2 3 2" xfId="6037" xr:uid="{00000000-0005-0000-0000-0000D30F0000}"/>
    <cellStyle name="20% - Accent2 7 2 3 2 2" xfId="14505" xr:uid="{00000000-0005-0000-0000-0000D40F0000}"/>
    <cellStyle name="20% - Accent2 7 2 3 3" xfId="27513" xr:uid="{00000000-0005-0000-0000-0000D50F0000}"/>
    <cellStyle name="20% - Accent2 7 2 4" xfId="21741" xr:uid="{00000000-0005-0000-0000-0000D60F0000}"/>
    <cellStyle name="20% - Accent2 7 2 4 2" xfId="33640" xr:uid="{00000000-0005-0000-0000-0000D70F0000}"/>
    <cellStyle name="20% - Accent2 7 2 5" xfId="4996" xr:uid="{00000000-0005-0000-0000-0000D80F0000}"/>
    <cellStyle name="20% - Accent2 7 3" xfId="14759" xr:uid="{00000000-0005-0000-0000-0000D90F0000}"/>
    <cellStyle name="20% - Accent2 7 3 2" xfId="6602" xr:uid="{00000000-0005-0000-0000-0000DA0F0000}"/>
    <cellStyle name="20% - Accent2 7 3 2 2" xfId="14414" xr:uid="{00000000-0005-0000-0000-0000DB0F0000}"/>
    <cellStyle name="20% - Accent2 7 3 2 2 2" xfId="321" xr:uid="{00000000-0005-0000-0000-0000DC0F0000}"/>
    <cellStyle name="20% - Accent2 7 3 2 3" xfId="33411" xr:uid="{00000000-0005-0000-0000-0000DD0F0000}"/>
    <cellStyle name="20% - Accent2 7 3 3" xfId="6606" xr:uid="{00000000-0005-0000-0000-0000DE0F0000}"/>
    <cellStyle name="20% - Accent2 7 3 3 2" xfId="1343" xr:uid="{00000000-0005-0000-0000-0000DF0F0000}"/>
    <cellStyle name="20% - Accent2 7 3 4" xfId="12512" xr:uid="{00000000-0005-0000-0000-0000E00F0000}"/>
    <cellStyle name="20% - Accent2 7 4" xfId="6614" xr:uid="{00000000-0005-0000-0000-0000E10F0000}"/>
    <cellStyle name="20% - Accent2 7 4 2" xfId="6626" xr:uid="{00000000-0005-0000-0000-0000E20F0000}"/>
    <cellStyle name="20% - Accent2 7 4 2 2" xfId="1743" xr:uid="{00000000-0005-0000-0000-0000E30F0000}"/>
    <cellStyle name="20% - Accent2 7 4 3" xfId="6638" xr:uid="{00000000-0005-0000-0000-0000E40F0000}"/>
    <cellStyle name="20% - Accent2 7 5" xfId="33172" xr:uid="{00000000-0005-0000-0000-0000E50F0000}"/>
    <cellStyle name="20% - Accent2 7 5 2" xfId="33977" xr:uid="{00000000-0005-0000-0000-0000E60F0000}"/>
    <cellStyle name="20% - Accent2 7 6" xfId="5856" xr:uid="{00000000-0005-0000-0000-0000E70F0000}"/>
    <cellStyle name="20% - Accent2 8" xfId="2945" xr:uid="{00000000-0005-0000-0000-0000E80F0000}"/>
    <cellStyle name="20% - Accent2 8 2" xfId="12743" xr:uid="{00000000-0005-0000-0000-0000E90F0000}"/>
    <cellStyle name="20% - Accent2 8 2 2" xfId="7660" xr:uid="{00000000-0005-0000-0000-0000EA0F0000}"/>
    <cellStyle name="20% - Accent2 8 2 2 2" xfId="6111" xr:uid="{00000000-0005-0000-0000-0000EB0F0000}"/>
    <cellStyle name="20% - Accent2 8 2 2 2 2" xfId="112" xr:uid="{00000000-0005-0000-0000-0000EC0F0000}"/>
    <cellStyle name="20% - Accent2 8 2 2 3" xfId="18381" xr:uid="{00000000-0005-0000-0000-0000ED0F0000}"/>
    <cellStyle name="20% - Accent2 8 2 3" xfId="8101" xr:uid="{00000000-0005-0000-0000-0000EE0F0000}"/>
    <cellStyle name="20% - Accent2 8 2 3 2" xfId="6652" xr:uid="{00000000-0005-0000-0000-0000EF0F0000}"/>
    <cellStyle name="20% - Accent2 8 2 4" xfId="6653" xr:uid="{00000000-0005-0000-0000-0000F00F0000}"/>
    <cellStyle name="20% - Accent2 8 3" xfId="6656" xr:uid="{00000000-0005-0000-0000-0000F10F0000}"/>
    <cellStyle name="20% - Accent2 8 3 2" xfId="1346" xr:uid="{00000000-0005-0000-0000-0000F20F0000}"/>
    <cellStyle name="20% - Accent2 8 3 2 2" xfId="3383" xr:uid="{00000000-0005-0000-0000-0000F30F0000}"/>
    <cellStyle name="20% - Accent2 8 3 3" xfId="213" xr:uid="{00000000-0005-0000-0000-0000F40F0000}"/>
    <cellStyle name="20% - Accent2 8 4" xfId="6662" xr:uid="{00000000-0005-0000-0000-0000F50F0000}"/>
    <cellStyle name="20% - Accent2 8 4 2" xfId="1364" xr:uid="{00000000-0005-0000-0000-0000F60F0000}"/>
    <cellStyle name="20% - Accent2 8 5" xfId="6669" xr:uid="{00000000-0005-0000-0000-0000F70F0000}"/>
    <cellStyle name="20% - Accent2 9" xfId="4888" xr:uid="{00000000-0005-0000-0000-0000F80F0000}"/>
    <cellStyle name="20% - Accent2 9 2" xfId="6670" xr:uid="{00000000-0005-0000-0000-0000F90F0000}"/>
    <cellStyle name="20% - Accent2 9 2 2" xfId="6674" xr:uid="{00000000-0005-0000-0000-0000FA0F0000}"/>
    <cellStyle name="20% - Accent2 9 2 2 2" xfId="6676" xr:uid="{00000000-0005-0000-0000-0000FB0F0000}"/>
    <cellStyle name="20% - Accent2 9 2 3" xfId="6684" xr:uid="{00000000-0005-0000-0000-0000FC0F0000}"/>
    <cellStyle name="20% - Accent2 9 3" xfId="6870" xr:uid="{00000000-0005-0000-0000-0000FD0F0000}"/>
    <cellStyle name="20% - Accent2 9 3 2" xfId="121" xr:uid="{00000000-0005-0000-0000-0000FE0F0000}"/>
    <cellStyle name="20% - Accent2 9 4" xfId="13654" xr:uid="{00000000-0005-0000-0000-0000FF0F0000}"/>
    <cellStyle name="20% - Accent3 10" xfId="22910" xr:uid="{00000000-0005-0000-0000-000000100000}"/>
    <cellStyle name="20% - Accent3 10 2" xfId="8215" xr:uid="{00000000-0005-0000-0000-000001100000}"/>
    <cellStyle name="20% - Accent3 10 2 2" xfId="8250" xr:uid="{00000000-0005-0000-0000-000002100000}"/>
    <cellStyle name="20% - Accent3 10 3" xfId="8222" xr:uid="{00000000-0005-0000-0000-000003100000}"/>
    <cellStyle name="20% - Accent3 11" xfId="25593" xr:uid="{00000000-0005-0000-0000-000004100000}"/>
    <cellStyle name="20% - Accent3 11 2" xfId="8233" xr:uid="{00000000-0005-0000-0000-000005100000}"/>
    <cellStyle name="20% - Accent3 12" xfId="8237" xr:uid="{00000000-0005-0000-0000-000006100000}"/>
    <cellStyle name="20% - Accent3 13" xfId="6911" xr:uid="{00000000-0005-0000-0000-000007100000}"/>
    <cellStyle name="20% - Accent3 2" xfId="402" xr:uid="{00000000-0005-0000-0000-000008100000}"/>
    <cellStyle name="20% - Accent3 2 10" xfId="7268" xr:uid="{00000000-0005-0000-0000-000009100000}"/>
    <cellStyle name="20% - Accent3 2 10 2" xfId="33143" xr:uid="{00000000-0005-0000-0000-00000A100000}"/>
    <cellStyle name="20% - Accent3 2 11" xfId="30413" xr:uid="{00000000-0005-0000-0000-00000B100000}"/>
    <cellStyle name="20% - Accent3 2 2" xfId="934" xr:uid="{00000000-0005-0000-0000-00000C100000}"/>
    <cellStyle name="20% - Accent3 2 2 10" xfId="4849" xr:uid="{00000000-0005-0000-0000-00000D100000}"/>
    <cellStyle name="20% - Accent3 2 2 2" xfId="91" xr:uid="{00000000-0005-0000-0000-00000E100000}"/>
    <cellStyle name="20% - Accent3 2 2 2 2" xfId="940" xr:uid="{00000000-0005-0000-0000-00000F100000}"/>
    <cellStyle name="20% - Accent3 2 2 2 2 2" xfId="24232" xr:uid="{00000000-0005-0000-0000-000010100000}"/>
    <cellStyle name="20% - Accent3 2 2 2 2 2 2" xfId="1539" xr:uid="{00000000-0005-0000-0000-000011100000}"/>
    <cellStyle name="20% - Accent3 2 2 2 2 2 2 2" xfId="6709" xr:uid="{00000000-0005-0000-0000-000012100000}"/>
    <cellStyle name="20% - Accent3 2 2 2 2 2 2 2 2" xfId="6714" xr:uid="{00000000-0005-0000-0000-000013100000}"/>
    <cellStyle name="20% - Accent3 2 2 2 2 2 2 2 2 2" xfId="6716" xr:uid="{00000000-0005-0000-0000-000014100000}"/>
    <cellStyle name="20% - Accent3 2 2 2 2 2 2 2 2 2 2" xfId="6717" xr:uid="{00000000-0005-0000-0000-000015100000}"/>
    <cellStyle name="20% - Accent3 2 2 2 2 2 2 2 2 2 2 2" xfId="11065" xr:uid="{00000000-0005-0000-0000-000016100000}"/>
    <cellStyle name="20% - Accent3 2 2 2 2 2 2 2 2 2 3" xfId="6720" xr:uid="{00000000-0005-0000-0000-000017100000}"/>
    <cellStyle name="20% - Accent3 2 2 2 2 2 2 2 2 3" xfId="6721" xr:uid="{00000000-0005-0000-0000-000018100000}"/>
    <cellStyle name="20% - Accent3 2 2 2 2 2 2 2 2 3 2" xfId="1162" xr:uid="{00000000-0005-0000-0000-000019100000}"/>
    <cellStyle name="20% - Accent3 2 2 2 2 2 2 2 2 4" xfId="6723" xr:uid="{00000000-0005-0000-0000-00001A100000}"/>
    <cellStyle name="20% - Accent3 2 2 2 2 2 2 2 3" xfId="6728" xr:uid="{00000000-0005-0000-0000-00001B100000}"/>
    <cellStyle name="20% - Accent3 2 2 2 2 2 2 2 3 2" xfId="6736" xr:uid="{00000000-0005-0000-0000-00001C100000}"/>
    <cellStyle name="20% - Accent3 2 2 2 2 2 2 2 3 2 2" xfId="6737" xr:uid="{00000000-0005-0000-0000-00001D100000}"/>
    <cellStyle name="20% - Accent3 2 2 2 2 2 2 2 3 3" xfId="6738" xr:uid="{00000000-0005-0000-0000-00001E100000}"/>
    <cellStyle name="20% - Accent3 2 2 2 2 2 2 2 4" xfId="6739" xr:uid="{00000000-0005-0000-0000-00001F100000}"/>
    <cellStyle name="20% - Accent3 2 2 2 2 2 2 2 4 2" xfId="24372" xr:uid="{00000000-0005-0000-0000-000020100000}"/>
    <cellStyle name="20% - Accent3 2 2 2 2 2 2 2 5" xfId="11782" xr:uid="{00000000-0005-0000-0000-000021100000}"/>
    <cellStyle name="20% - Accent3 2 2 2 2 2 2 3" xfId="1554" xr:uid="{00000000-0005-0000-0000-000022100000}"/>
    <cellStyle name="20% - Accent3 2 2 2 2 2 2 3 2" xfId="6625" xr:uid="{00000000-0005-0000-0000-000023100000}"/>
    <cellStyle name="20% - Accent3 2 2 2 2 2 2 3 2 2" xfId="6743" xr:uid="{00000000-0005-0000-0000-000024100000}"/>
    <cellStyle name="20% - Accent3 2 2 2 2 2 2 3 2 2 2" xfId="6746" xr:uid="{00000000-0005-0000-0000-000025100000}"/>
    <cellStyle name="20% - Accent3 2 2 2 2 2 2 3 2 3" xfId="6751" xr:uid="{00000000-0005-0000-0000-000026100000}"/>
    <cellStyle name="20% - Accent3 2 2 2 2 2 2 3 3" xfId="5806" xr:uid="{00000000-0005-0000-0000-000027100000}"/>
    <cellStyle name="20% - Accent3 2 2 2 2 2 2 3 3 2" xfId="6754" xr:uid="{00000000-0005-0000-0000-000028100000}"/>
    <cellStyle name="20% - Accent3 2 2 2 2 2 2 3 4" xfId="5814" xr:uid="{00000000-0005-0000-0000-000029100000}"/>
    <cellStyle name="20% - Accent3 2 2 2 2 2 2 4" xfId="28149" xr:uid="{00000000-0005-0000-0000-00002A100000}"/>
    <cellStyle name="20% - Accent3 2 2 2 2 2 2 4 2" xfId="23541" xr:uid="{00000000-0005-0000-0000-00002B100000}"/>
    <cellStyle name="20% - Accent3 2 2 2 2 2 2 4 2 2" xfId="9828" xr:uid="{00000000-0005-0000-0000-00002C100000}"/>
    <cellStyle name="20% - Accent3 2 2 2 2 2 2 4 3" xfId="5848" xr:uid="{00000000-0005-0000-0000-00002D100000}"/>
    <cellStyle name="20% - Accent3 2 2 2 2 2 2 5" xfId="2517" xr:uid="{00000000-0005-0000-0000-00002E100000}"/>
    <cellStyle name="20% - Accent3 2 2 2 2 2 2 5 2" xfId="16886" xr:uid="{00000000-0005-0000-0000-00002F100000}"/>
    <cellStyle name="20% - Accent3 2 2 2 2 2 2 6" xfId="6762" xr:uid="{00000000-0005-0000-0000-000030100000}"/>
    <cellStyle name="20% - Accent3 2 2 2 2 2 3" xfId="8758" xr:uid="{00000000-0005-0000-0000-000031100000}"/>
    <cellStyle name="20% - Accent3 2 2 2 2 2 3 2" xfId="6767" xr:uid="{00000000-0005-0000-0000-000032100000}"/>
    <cellStyle name="20% - Accent3 2 2 2 2 2 3 2 2" xfId="13686" xr:uid="{00000000-0005-0000-0000-000033100000}"/>
    <cellStyle name="20% - Accent3 2 2 2 2 2 3 2 2 2" xfId="6768" xr:uid="{00000000-0005-0000-0000-000034100000}"/>
    <cellStyle name="20% - Accent3 2 2 2 2 2 3 2 2 2 2" xfId="6687" xr:uid="{00000000-0005-0000-0000-000035100000}"/>
    <cellStyle name="20% - Accent3 2 2 2 2 2 3 2 2 3" xfId="6771" xr:uid="{00000000-0005-0000-0000-000036100000}"/>
    <cellStyle name="20% - Accent3 2 2 2 2 2 3 2 3" xfId="11630" xr:uid="{00000000-0005-0000-0000-000037100000}"/>
    <cellStyle name="20% - Accent3 2 2 2 2 2 3 2 3 2" xfId="6779" xr:uid="{00000000-0005-0000-0000-000038100000}"/>
    <cellStyle name="20% - Accent3 2 2 2 2 2 3 2 4" xfId="11956" xr:uid="{00000000-0005-0000-0000-000039100000}"/>
    <cellStyle name="20% - Accent3 2 2 2 2 2 3 3" xfId="6787" xr:uid="{00000000-0005-0000-0000-00003A100000}"/>
    <cellStyle name="20% - Accent3 2 2 2 2 2 3 3 2" xfId="5494" xr:uid="{00000000-0005-0000-0000-00003B100000}"/>
    <cellStyle name="20% - Accent3 2 2 2 2 2 3 3 2 2" xfId="6788" xr:uid="{00000000-0005-0000-0000-00003C100000}"/>
    <cellStyle name="20% - Accent3 2 2 2 2 2 3 3 3" xfId="17754" xr:uid="{00000000-0005-0000-0000-00003D100000}"/>
    <cellStyle name="20% - Accent3 2 2 2 2 2 3 4" xfId="13143" xr:uid="{00000000-0005-0000-0000-00003E100000}"/>
    <cellStyle name="20% - Accent3 2 2 2 2 2 3 4 2" xfId="13220" xr:uid="{00000000-0005-0000-0000-00003F100000}"/>
    <cellStyle name="20% - Accent3 2 2 2 2 2 3 5" xfId="21172" xr:uid="{00000000-0005-0000-0000-000040100000}"/>
    <cellStyle name="20% - Accent3 2 2 2 2 2 4" xfId="2429" xr:uid="{00000000-0005-0000-0000-000041100000}"/>
    <cellStyle name="20% - Accent3 2 2 2 2 2 4 2" xfId="6798" xr:uid="{00000000-0005-0000-0000-000042100000}"/>
    <cellStyle name="20% - Accent3 2 2 2 2 2 4 2 2" xfId="10030" xr:uid="{00000000-0005-0000-0000-000043100000}"/>
    <cellStyle name="20% - Accent3 2 2 2 2 2 4 2 2 2" xfId="6799" xr:uid="{00000000-0005-0000-0000-000044100000}"/>
    <cellStyle name="20% - Accent3 2 2 2 2 2 4 2 3" xfId="12014" xr:uid="{00000000-0005-0000-0000-000045100000}"/>
    <cellStyle name="20% - Accent3 2 2 2 2 2 4 3" xfId="6803" xr:uid="{00000000-0005-0000-0000-000046100000}"/>
    <cellStyle name="20% - Accent3 2 2 2 2 2 4 3 2" xfId="15894" xr:uid="{00000000-0005-0000-0000-000047100000}"/>
    <cellStyle name="20% - Accent3 2 2 2 2 2 4 4" xfId="18564" xr:uid="{00000000-0005-0000-0000-000048100000}"/>
    <cellStyle name="20% - Accent3 2 2 2 2 2 5" xfId="19913" xr:uid="{00000000-0005-0000-0000-000049100000}"/>
    <cellStyle name="20% - Accent3 2 2 2 2 2 5 2" xfId="6805" xr:uid="{00000000-0005-0000-0000-00004A100000}"/>
    <cellStyle name="20% - Accent3 2 2 2 2 2 5 2 2" xfId="12033" xr:uid="{00000000-0005-0000-0000-00004B100000}"/>
    <cellStyle name="20% - Accent3 2 2 2 2 2 5 3" xfId="50" xr:uid="{00000000-0005-0000-0000-00004C100000}"/>
    <cellStyle name="20% - Accent3 2 2 2 2 2 6" xfId="6807" xr:uid="{00000000-0005-0000-0000-00004D100000}"/>
    <cellStyle name="20% - Accent3 2 2 2 2 2 6 2" xfId="6812" xr:uid="{00000000-0005-0000-0000-00004E100000}"/>
    <cellStyle name="20% - Accent3 2 2 2 2 2 7" xfId="7124" xr:uid="{00000000-0005-0000-0000-00004F100000}"/>
    <cellStyle name="20% - Accent3 2 2 2 2 3" xfId="1727" xr:uid="{00000000-0005-0000-0000-000050100000}"/>
    <cellStyle name="20% - Accent3 2 2 2 2 3 2" xfId="1637" xr:uid="{00000000-0005-0000-0000-000051100000}"/>
    <cellStyle name="20% - Accent3 2 2 2 2 3 2 2" xfId="25812" xr:uid="{00000000-0005-0000-0000-000052100000}"/>
    <cellStyle name="20% - Accent3 2 2 2 2 3 2 2 2" xfId="6817" xr:uid="{00000000-0005-0000-0000-000053100000}"/>
    <cellStyle name="20% - Accent3 2 2 2 2 3 2 2 2 2" xfId="6819" xr:uid="{00000000-0005-0000-0000-000054100000}"/>
    <cellStyle name="20% - Accent3 2 2 2 2 3 2 2 2 2 2" xfId="6394" xr:uid="{00000000-0005-0000-0000-000055100000}"/>
    <cellStyle name="20% - Accent3 2 2 2 2 3 2 2 2 3" xfId="6820" xr:uid="{00000000-0005-0000-0000-000056100000}"/>
    <cellStyle name="20% - Accent3 2 2 2 2 3 2 2 3" xfId="7318" xr:uid="{00000000-0005-0000-0000-000057100000}"/>
    <cellStyle name="20% - Accent3 2 2 2 2 3 2 2 3 2" xfId="6822" xr:uid="{00000000-0005-0000-0000-000058100000}"/>
    <cellStyle name="20% - Accent3 2 2 2 2 3 2 2 4" xfId="6824" xr:uid="{00000000-0005-0000-0000-000059100000}"/>
    <cellStyle name="20% - Accent3 2 2 2 2 3 2 3" xfId="12897" xr:uid="{00000000-0005-0000-0000-00005A100000}"/>
    <cellStyle name="20% - Accent3 2 2 2 2 3 2 3 2" xfId="6708" xr:uid="{00000000-0005-0000-0000-00005B100000}"/>
    <cellStyle name="20% - Accent3 2 2 2 2 3 2 3 2 2" xfId="6827" xr:uid="{00000000-0005-0000-0000-00005C100000}"/>
    <cellStyle name="20% - Accent3 2 2 2 2 3 2 3 3" xfId="6238" xr:uid="{00000000-0005-0000-0000-00005D100000}"/>
    <cellStyle name="20% - Accent3 2 2 2 2 3 2 4" xfId="5334" xr:uid="{00000000-0005-0000-0000-00005E100000}"/>
    <cellStyle name="20% - Accent3 2 2 2 2 3 2 4 2" xfId="6251" xr:uid="{00000000-0005-0000-0000-00005F100000}"/>
    <cellStyle name="20% - Accent3 2 2 2 2 3 2 5" xfId="6829" xr:uid="{00000000-0005-0000-0000-000060100000}"/>
    <cellStyle name="20% - Accent3 2 2 2 2 3 3" xfId="3658" xr:uid="{00000000-0005-0000-0000-000061100000}"/>
    <cellStyle name="20% - Accent3 2 2 2 2 3 3 2" xfId="15721" xr:uid="{00000000-0005-0000-0000-000062100000}"/>
    <cellStyle name="20% - Accent3 2 2 2 2 3 3 2 2" xfId="7408" xr:uid="{00000000-0005-0000-0000-000063100000}"/>
    <cellStyle name="20% - Accent3 2 2 2 2 3 3 2 2 2" xfId="2345" xr:uid="{00000000-0005-0000-0000-000064100000}"/>
    <cellStyle name="20% - Accent3 2 2 2 2 3 3 2 3" xfId="7214" xr:uid="{00000000-0005-0000-0000-000065100000}"/>
    <cellStyle name="20% - Accent3 2 2 2 2 3 3 3" xfId="12900" xr:uid="{00000000-0005-0000-0000-000066100000}"/>
    <cellStyle name="20% - Accent3 2 2 2 2 3 3 3 2" xfId="7248" xr:uid="{00000000-0005-0000-0000-000067100000}"/>
    <cellStyle name="20% - Accent3 2 2 2 2 3 3 4" xfId="8938" xr:uid="{00000000-0005-0000-0000-000068100000}"/>
    <cellStyle name="20% - Accent3 2 2 2 2 3 4" xfId="628" xr:uid="{00000000-0005-0000-0000-000069100000}"/>
    <cellStyle name="20% - Accent3 2 2 2 2 3 4 2" xfId="6830" xr:uid="{00000000-0005-0000-0000-00006A100000}"/>
    <cellStyle name="20% - Accent3 2 2 2 2 3 4 2 2" xfId="9712" xr:uid="{00000000-0005-0000-0000-00006B100000}"/>
    <cellStyle name="20% - Accent3 2 2 2 2 3 4 3" xfId="203" xr:uid="{00000000-0005-0000-0000-00006C100000}"/>
    <cellStyle name="20% - Accent3 2 2 2 2 3 5" xfId="6088" xr:uid="{00000000-0005-0000-0000-00006D100000}"/>
    <cellStyle name="20% - Accent3 2 2 2 2 3 5 2" xfId="801" xr:uid="{00000000-0005-0000-0000-00006E100000}"/>
    <cellStyle name="20% - Accent3 2 2 2 2 3 6" xfId="6095" xr:uid="{00000000-0005-0000-0000-00006F100000}"/>
    <cellStyle name="20% - Accent3 2 2 2 2 4" xfId="1751" xr:uid="{00000000-0005-0000-0000-000070100000}"/>
    <cellStyle name="20% - Accent3 2 2 2 2 4 2" xfId="10318" xr:uid="{00000000-0005-0000-0000-000071100000}"/>
    <cellStyle name="20% - Accent3 2 2 2 2 4 2 2" xfId="13015" xr:uid="{00000000-0005-0000-0000-000072100000}"/>
    <cellStyle name="20% - Accent3 2 2 2 2 4 2 2 2" xfId="7614" xr:uid="{00000000-0005-0000-0000-000073100000}"/>
    <cellStyle name="20% - Accent3 2 2 2 2 4 2 2 2 2" xfId="6834" xr:uid="{00000000-0005-0000-0000-000074100000}"/>
    <cellStyle name="20% - Accent3 2 2 2 2 4 2 2 3" xfId="6835" xr:uid="{00000000-0005-0000-0000-000075100000}"/>
    <cellStyle name="20% - Accent3 2 2 2 2 4 2 3" xfId="13019" xr:uid="{00000000-0005-0000-0000-000076100000}"/>
    <cellStyle name="20% - Accent3 2 2 2 2 4 2 3 2" xfId="6423" xr:uid="{00000000-0005-0000-0000-000077100000}"/>
    <cellStyle name="20% - Accent3 2 2 2 2 4 2 4" xfId="13335" xr:uid="{00000000-0005-0000-0000-000078100000}"/>
    <cellStyle name="20% - Accent3 2 2 2 2 4 3" xfId="10725" xr:uid="{00000000-0005-0000-0000-000079100000}"/>
    <cellStyle name="20% - Accent3 2 2 2 2 4 3 2" xfId="23691" xr:uid="{00000000-0005-0000-0000-00007A100000}"/>
    <cellStyle name="20% - Accent3 2 2 2 2 4 3 2 2" xfId="8280" xr:uid="{00000000-0005-0000-0000-00007B100000}"/>
    <cellStyle name="20% - Accent3 2 2 2 2 4 3 3" xfId="6836" xr:uid="{00000000-0005-0000-0000-00007C100000}"/>
    <cellStyle name="20% - Accent3 2 2 2 2 4 4" xfId="12966" xr:uid="{00000000-0005-0000-0000-00007D100000}"/>
    <cellStyle name="20% - Accent3 2 2 2 2 4 4 2" xfId="6838" xr:uid="{00000000-0005-0000-0000-00007E100000}"/>
    <cellStyle name="20% - Accent3 2 2 2 2 4 5" xfId="6645" xr:uid="{00000000-0005-0000-0000-00007F100000}"/>
    <cellStyle name="20% - Accent3 2 2 2 2 5" xfId="24095" xr:uid="{00000000-0005-0000-0000-000080100000}"/>
    <cellStyle name="20% - Accent3 2 2 2 2 5 2" xfId="21450" xr:uid="{00000000-0005-0000-0000-000081100000}"/>
    <cellStyle name="20% - Accent3 2 2 2 2 5 2 2" xfId="12177" xr:uid="{00000000-0005-0000-0000-000082100000}"/>
    <cellStyle name="20% - Accent3 2 2 2 2 5 2 2 2" xfId="6842" xr:uid="{00000000-0005-0000-0000-000083100000}"/>
    <cellStyle name="20% - Accent3 2 2 2 2 5 2 3" xfId="8792" xr:uid="{00000000-0005-0000-0000-000084100000}"/>
    <cellStyle name="20% - Accent3 2 2 2 2 5 3" xfId="21456" xr:uid="{00000000-0005-0000-0000-000085100000}"/>
    <cellStyle name="20% - Accent3 2 2 2 2 5 3 2" xfId="32256" xr:uid="{00000000-0005-0000-0000-000086100000}"/>
    <cellStyle name="20% - Accent3 2 2 2 2 5 4" xfId="21462" xr:uid="{00000000-0005-0000-0000-000087100000}"/>
    <cellStyle name="20% - Accent3 2 2 2 2 6" xfId="2285" xr:uid="{00000000-0005-0000-0000-000088100000}"/>
    <cellStyle name="20% - Accent3 2 2 2 2 6 2" xfId="21503" xr:uid="{00000000-0005-0000-0000-000089100000}"/>
    <cellStyle name="20% - Accent3 2 2 2 2 6 2 2" xfId="8824" xr:uid="{00000000-0005-0000-0000-00008A100000}"/>
    <cellStyle name="20% - Accent3 2 2 2 2 6 3" xfId="18985" xr:uid="{00000000-0005-0000-0000-00008B100000}"/>
    <cellStyle name="20% - Accent3 2 2 2 2 7" xfId="6453" xr:uid="{00000000-0005-0000-0000-00008C100000}"/>
    <cellStyle name="20% - Accent3 2 2 2 2 7 2" xfId="21528" xr:uid="{00000000-0005-0000-0000-00008D100000}"/>
    <cellStyle name="20% - Accent3 2 2 2 2 8" xfId="6464" xr:uid="{00000000-0005-0000-0000-00008E100000}"/>
    <cellStyle name="20% - Accent3 2 2 2 3" xfId="81" xr:uid="{00000000-0005-0000-0000-00008F100000}"/>
    <cellStyle name="20% - Accent3 2 2 2 3 2" xfId="31822" xr:uid="{00000000-0005-0000-0000-000090100000}"/>
    <cellStyle name="20% - Accent3 2 2 2 3 2 2" xfId="1660" xr:uid="{00000000-0005-0000-0000-000091100000}"/>
    <cellStyle name="20% - Accent3 2 2 2 3 2 2 2" xfId="6843" xr:uid="{00000000-0005-0000-0000-000092100000}"/>
    <cellStyle name="20% - Accent3 2 2 2 3 2 2 2 2" xfId="33422" xr:uid="{00000000-0005-0000-0000-000093100000}"/>
    <cellStyle name="20% - Accent3 2 2 2 3 2 2 2 2 2" xfId="1845" xr:uid="{00000000-0005-0000-0000-000094100000}"/>
    <cellStyle name="20% - Accent3 2 2 2 3 2 2 2 2 2 2" xfId="13219" xr:uid="{00000000-0005-0000-0000-000095100000}"/>
    <cellStyle name="20% - Accent3 2 2 2 3 2 2 2 2 3" xfId="3427" xr:uid="{00000000-0005-0000-0000-000096100000}"/>
    <cellStyle name="20% - Accent3 2 2 2 3 2 2 2 3" xfId="15750" xr:uid="{00000000-0005-0000-0000-000097100000}"/>
    <cellStyle name="20% - Accent3 2 2 2 3 2 2 2 3 2" xfId="4919" xr:uid="{00000000-0005-0000-0000-000098100000}"/>
    <cellStyle name="20% - Accent3 2 2 2 3 2 2 2 4" xfId="11231" xr:uid="{00000000-0005-0000-0000-000099100000}"/>
    <cellStyle name="20% - Accent3 2 2 2 3 2 2 3" xfId="6845" xr:uid="{00000000-0005-0000-0000-00009A100000}"/>
    <cellStyle name="20% - Accent3 2 2 2 3 2 2 3 2" xfId="8082" xr:uid="{00000000-0005-0000-0000-00009B100000}"/>
    <cellStyle name="20% - Accent3 2 2 2 3 2 2 3 2 2" xfId="1860" xr:uid="{00000000-0005-0000-0000-00009C100000}"/>
    <cellStyle name="20% - Accent3 2 2 2 3 2 2 3 3" xfId="23495" xr:uid="{00000000-0005-0000-0000-00009D100000}"/>
    <cellStyle name="20% - Accent3 2 2 2 3 2 2 4" xfId="13584" xr:uid="{00000000-0005-0000-0000-00009E100000}"/>
    <cellStyle name="20% - Accent3 2 2 2 3 2 2 4 2" xfId="13752" xr:uid="{00000000-0005-0000-0000-00009F100000}"/>
    <cellStyle name="20% - Accent3 2 2 2 3 2 2 5" xfId="13766" xr:uid="{00000000-0005-0000-0000-0000A0100000}"/>
    <cellStyle name="20% - Accent3 2 2 2 3 2 3" xfId="1662" xr:uid="{00000000-0005-0000-0000-0000A1100000}"/>
    <cellStyle name="20% - Accent3 2 2 2 3 2 3 2" xfId="6865" xr:uid="{00000000-0005-0000-0000-0000A2100000}"/>
    <cellStyle name="20% - Accent3 2 2 2 3 2 3 2 2" xfId="14164" xr:uid="{00000000-0005-0000-0000-0000A3100000}"/>
    <cellStyle name="20% - Accent3 2 2 2 3 2 3 2 2 2" xfId="1606" xr:uid="{00000000-0005-0000-0000-0000A4100000}"/>
    <cellStyle name="20% - Accent3 2 2 2 3 2 3 2 3" xfId="14181" xr:uid="{00000000-0005-0000-0000-0000A5100000}"/>
    <cellStyle name="20% - Accent3 2 2 2 3 2 3 3" xfId="6866" xr:uid="{00000000-0005-0000-0000-0000A6100000}"/>
    <cellStyle name="20% - Accent3 2 2 2 3 2 3 3 2" xfId="6925" xr:uid="{00000000-0005-0000-0000-0000A7100000}"/>
    <cellStyle name="20% - Accent3 2 2 2 3 2 3 4" xfId="13195" xr:uid="{00000000-0005-0000-0000-0000A8100000}"/>
    <cellStyle name="20% - Accent3 2 2 2 3 2 4" xfId="2295" xr:uid="{00000000-0005-0000-0000-0000A9100000}"/>
    <cellStyle name="20% - Accent3 2 2 2 3 2 4 2" xfId="6867" xr:uid="{00000000-0005-0000-0000-0000AA100000}"/>
    <cellStyle name="20% - Accent3 2 2 2 3 2 4 2 2" xfId="8192" xr:uid="{00000000-0005-0000-0000-0000AB100000}"/>
    <cellStyle name="20% - Accent3 2 2 2 3 2 4 3" xfId="6868" xr:uid="{00000000-0005-0000-0000-0000AC100000}"/>
    <cellStyle name="20% - Accent3 2 2 2 3 2 5" xfId="9333" xr:uid="{00000000-0005-0000-0000-0000AD100000}"/>
    <cellStyle name="20% - Accent3 2 2 2 3 2 5 2" xfId="6878" xr:uid="{00000000-0005-0000-0000-0000AE100000}"/>
    <cellStyle name="20% - Accent3 2 2 2 3 2 6" xfId="9335" xr:uid="{00000000-0005-0000-0000-0000AF100000}"/>
    <cellStyle name="20% - Accent3 2 2 2 3 3" xfId="2401" xr:uid="{00000000-0005-0000-0000-0000B0100000}"/>
    <cellStyle name="20% - Accent3 2 2 2 3 3 2" xfId="2385" xr:uid="{00000000-0005-0000-0000-0000B1100000}"/>
    <cellStyle name="20% - Accent3 2 2 2 3 3 2 2" xfId="13165" xr:uid="{00000000-0005-0000-0000-0000B2100000}"/>
    <cellStyle name="20% - Accent3 2 2 2 3 3 2 2 2" xfId="8369" xr:uid="{00000000-0005-0000-0000-0000B3100000}"/>
    <cellStyle name="20% - Accent3 2 2 2 3 3 2 2 2 2" xfId="16149" xr:uid="{00000000-0005-0000-0000-0000B4100000}"/>
    <cellStyle name="20% - Accent3 2 2 2 3 3 2 2 3" xfId="6884" xr:uid="{00000000-0005-0000-0000-0000B5100000}"/>
    <cellStyle name="20% - Accent3 2 2 2 3 3 2 3" xfId="13171" xr:uid="{00000000-0005-0000-0000-0000B6100000}"/>
    <cellStyle name="20% - Accent3 2 2 2 3 3 2 3 2" xfId="6885" xr:uid="{00000000-0005-0000-0000-0000B7100000}"/>
    <cellStyle name="20% - Accent3 2 2 2 3 3 2 4" xfId="24755" xr:uid="{00000000-0005-0000-0000-0000B8100000}"/>
    <cellStyle name="20% - Accent3 2 2 2 3 3 3" xfId="1673" xr:uid="{00000000-0005-0000-0000-0000B9100000}"/>
    <cellStyle name="20% - Accent3 2 2 2 3 3 3 2" xfId="13176" xr:uid="{00000000-0005-0000-0000-0000BA100000}"/>
    <cellStyle name="20% - Accent3 2 2 2 3 3 3 2 2" xfId="6888" xr:uid="{00000000-0005-0000-0000-0000BB100000}"/>
    <cellStyle name="20% - Accent3 2 2 2 3 3 3 3" xfId="105" xr:uid="{00000000-0005-0000-0000-0000BC100000}"/>
    <cellStyle name="20% - Accent3 2 2 2 3 3 4" xfId="6498" xr:uid="{00000000-0005-0000-0000-0000BD100000}"/>
    <cellStyle name="20% - Accent3 2 2 2 3 3 4 2" xfId="1103" xr:uid="{00000000-0005-0000-0000-0000BE100000}"/>
    <cellStyle name="20% - Accent3 2 2 2 3 3 5" xfId="9339" xr:uid="{00000000-0005-0000-0000-0000BF100000}"/>
    <cellStyle name="20% - Accent3 2 2 2 3 4" xfId="1414" xr:uid="{00000000-0005-0000-0000-0000C0100000}"/>
    <cellStyle name="20% - Accent3 2 2 2 3 4 2" xfId="11076" xr:uid="{00000000-0005-0000-0000-0000C1100000}"/>
    <cellStyle name="20% - Accent3 2 2 2 3 4 2 2" xfId="8437" xr:uid="{00000000-0005-0000-0000-0000C2100000}"/>
    <cellStyle name="20% - Accent3 2 2 2 3 4 2 2 2" xfId="6891" xr:uid="{00000000-0005-0000-0000-0000C3100000}"/>
    <cellStyle name="20% - Accent3 2 2 2 3 4 2 3" xfId="6892" xr:uid="{00000000-0005-0000-0000-0000C4100000}"/>
    <cellStyle name="20% - Accent3 2 2 2 3 4 3" xfId="12975" xr:uid="{00000000-0005-0000-0000-0000C5100000}"/>
    <cellStyle name="20% - Accent3 2 2 2 3 4 3 2" xfId="6895" xr:uid="{00000000-0005-0000-0000-0000C6100000}"/>
    <cellStyle name="20% - Accent3 2 2 2 3 4 4" xfId="6698" xr:uid="{00000000-0005-0000-0000-0000C7100000}"/>
    <cellStyle name="20% - Accent3 2 2 2 3 5" xfId="6715" xr:uid="{00000000-0005-0000-0000-0000C8100000}"/>
    <cellStyle name="20% - Accent3 2 2 2 3 5 2" xfId="26853" xr:uid="{00000000-0005-0000-0000-0000C9100000}"/>
    <cellStyle name="20% - Accent3 2 2 2 3 5 2 2" xfId="8872" xr:uid="{00000000-0005-0000-0000-0000CA100000}"/>
    <cellStyle name="20% - Accent3 2 2 2 3 5 3" xfId="21540" xr:uid="{00000000-0005-0000-0000-0000CB100000}"/>
    <cellStyle name="20% - Accent3 2 2 2 3 6" xfId="6729" xr:uid="{00000000-0005-0000-0000-0000CC100000}"/>
    <cellStyle name="20% - Accent3 2 2 2 3 6 2" xfId="21549" xr:uid="{00000000-0005-0000-0000-0000CD100000}"/>
    <cellStyle name="20% - Accent3 2 2 2 3 7" xfId="15662" xr:uid="{00000000-0005-0000-0000-0000CE100000}"/>
    <cellStyle name="20% - Accent3 2 2 2 4" xfId="26781" xr:uid="{00000000-0005-0000-0000-0000CF100000}"/>
    <cellStyle name="20% - Accent3 2 2 2 4 2" xfId="5866" xr:uid="{00000000-0005-0000-0000-0000D0100000}"/>
    <cellStyle name="20% - Accent3 2 2 2 4 2 2" xfId="2369" xr:uid="{00000000-0005-0000-0000-0000D1100000}"/>
    <cellStyle name="20% - Accent3 2 2 2 4 2 2 2" xfId="6898" xr:uid="{00000000-0005-0000-0000-0000D2100000}"/>
    <cellStyle name="20% - Accent3 2 2 2 4 2 2 2 2" xfId="11743" xr:uid="{00000000-0005-0000-0000-0000D3100000}"/>
    <cellStyle name="20% - Accent3 2 2 2 4 2 2 2 2 2" xfId="6902" xr:uid="{00000000-0005-0000-0000-0000D4100000}"/>
    <cellStyle name="20% - Accent3 2 2 2 4 2 2 2 3" xfId="8387" xr:uid="{00000000-0005-0000-0000-0000D5100000}"/>
    <cellStyle name="20% - Accent3 2 2 2 4 2 2 3" xfId="5323" xr:uid="{00000000-0005-0000-0000-0000D6100000}"/>
    <cellStyle name="20% - Accent3 2 2 2 4 2 2 3 2" xfId="6899" xr:uid="{00000000-0005-0000-0000-0000D7100000}"/>
    <cellStyle name="20% - Accent3 2 2 2 4 2 2 4" xfId="5333" xr:uid="{00000000-0005-0000-0000-0000D8100000}"/>
    <cellStyle name="20% - Accent3 2 2 2 4 2 3" xfId="3648" xr:uid="{00000000-0005-0000-0000-0000D9100000}"/>
    <cellStyle name="20% - Accent3 2 2 2 4 2 3 2" xfId="17724" xr:uid="{00000000-0005-0000-0000-0000DA100000}"/>
    <cellStyle name="20% - Accent3 2 2 2 4 2 3 2 2" xfId="6904" xr:uid="{00000000-0005-0000-0000-0000DB100000}"/>
    <cellStyle name="20% - Accent3 2 2 2 4 2 3 3" xfId="5346" xr:uid="{00000000-0005-0000-0000-0000DC100000}"/>
    <cellStyle name="20% - Accent3 2 2 2 4 2 4" xfId="6914" xr:uid="{00000000-0005-0000-0000-0000DD100000}"/>
    <cellStyle name="20% - Accent3 2 2 2 4 2 4 2" xfId="6917" xr:uid="{00000000-0005-0000-0000-0000DE100000}"/>
    <cellStyle name="20% - Accent3 2 2 2 4 2 5" xfId="9367" xr:uid="{00000000-0005-0000-0000-0000DF100000}"/>
    <cellStyle name="20% - Accent3 2 2 2 4 3" xfId="13624" xr:uid="{00000000-0005-0000-0000-0000E0100000}"/>
    <cellStyle name="20% - Accent3 2 2 2 4 3 2" xfId="2398" xr:uid="{00000000-0005-0000-0000-0000E1100000}"/>
    <cellStyle name="20% - Accent3 2 2 2 4 3 2 2" xfId="17665" xr:uid="{00000000-0005-0000-0000-0000E2100000}"/>
    <cellStyle name="20% - Accent3 2 2 2 4 3 2 2 2" xfId="6920" xr:uid="{00000000-0005-0000-0000-0000E3100000}"/>
    <cellStyle name="20% - Accent3 2 2 2 4 3 2 3" xfId="5458" xr:uid="{00000000-0005-0000-0000-0000E4100000}"/>
    <cellStyle name="20% - Accent3 2 2 2 4 3 3" xfId="6586" xr:uid="{00000000-0005-0000-0000-0000E5100000}"/>
    <cellStyle name="20% - Accent3 2 2 2 4 3 3 2" xfId="6922" xr:uid="{00000000-0005-0000-0000-0000E6100000}"/>
    <cellStyle name="20% - Accent3 2 2 2 4 3 4" xfId="6594" xr:uid="{00000000-0005-0000-0000-0000E7100000}"/>
    <cellStyle name="20% - Accent3 2 2 2 4 4" xfId="4879" xr:uid="{00000000-0005-0000-0000-0000E8100000}"/>
    <cellStyle name="20% - Accent3 2 2 2 4 4 2" xfId="11085" xr:uid="{00000000-0005-0000-0000-0000E9100000}"/>
    <cellStyle name="20% - Accent3 2 2 2 4 4 2 2" xfId="19" xr:uid="{00000000-0005-0000-0000-0000EA100000}"/>
    <cellStyle name="20% - Accent3 2 2 2 4 4 3" xfId="6610" xr:uid="{00000000-0005-0000-0000-0000EB100000}"/>
    <cellStyle name="20% - Accent3 2 2 2 4 5" xfId="6623" xr:uid="{00000000-0005-0000-0000-0000EC100000}"/>
    <cellStyle name="20% - Accent3 2 2 2 4 5 2" xfId="21568" xr:uid="{00000000-0005-0000-0000-0000ED100000}"/>
    <cellStyle name="20% - Accent3 2 2 2 4 6" xfId="5807" xr:uid="{00000000-0005-0000-0000-0000EE100000}"/>
    <cellStyle name="20% - Accent3 2 2 2 5" xfId="6903" xr:uid="{00000000-0005-0000-0000-0000EF100000}"/>
    <cellStyle name="20% - Accent3 2 2 2 5 2" xfId="11717" xr:uid="{00000000-0005-0000-0000-0000F0100000}"/>
    <cellStyle name="20% - Accent3 2 2 2 5 2 2" xfId="4626" xr:uid="{00000000-0005-0000-0000-0000F1100000}"/>
    <cellStyle name="20% - Accent3 2 2 2 5 2 2 2" xfId="150" xr:uid="{00000000-0005-0000-0000-0000F2100000}"/>
    <cellStyle name="20% - Accent3 2 2 2 5 2 2 2 2" xfId="6923" xr:uid="{00000000-0005-0000-0000-0000F3100000}"/>
    <cellStyle name="20% - Accent3 2 2 2 5 2 2 3" xfId="5683" xr:uid="{00000000-0005-0000-0000-0000F4100000}"/>
    <cellStyle name="20% - Accent3 2 2 2 5 2 3" xfId="6926" xr:uid="{00000000-0005-0000-0000-0000F5100000}"/>
    <cellStyle name="20% - Accent3 2 2 2 5 2 3 2" xfId="6928" xr:uid="{00000000-0005-0000-0000-0000F6100000}"/>
    <cellStyle name="20% - Accent3 2 2 2 5 2 4" xfId="6929" xr:uid="{00000000-0005-0000-0000-0000F7100000}"/>
    <cellStyle name="20% - Accent3 2 2 2 5 3" xfId="1972" xr:uid="{00000000-0005-0000-0000-0000F8100000}"/>
    <cellStyle name="20% - Accent3 2 2 2 5 3 2" xfId="6648" xr:uid="{00000000-0005-0000-0000-0000F9100000}"/>
    <cellStyle name="20% - Accent3 2 2 2 5 3 2 2" xfId="14538" xr:uid="{00000000-0005-0000-0000-0000FA100000}"/>
    <cellStyle name="20% - Accent3 2 2 2 5 3 3" xfId="6649" xr:uid="{00000000-0005-0000-0000-0000FB100000}"/>
    <cellStyle name="20% - Accent3 2 2 2 5 4" xfId="23787" xr:uid="{00000000-0005-0000-0000-0000FC100000}"/>
    <cellStyle name="20% - Accent3 2 2 2 5 4 2" xfId="1351" xr:uid="{00000000-0005-0000-0000-0000FD100000}"/>
    <cellStyle name="20% - Accent3 2 2 2 5 5" xfId="23793" xr:uid="{00000000-0005-0000-0000-0000FE100000}"/>
    <cellStyle name="20% - Accent3 2 2 2 6" xfId="3473" xr:uid="{00000000-0005-0000-0000-0000FF100000}"/>
    <cellStyle name="20% - Accent3 2 2 2 6 2" xfId="96" xr:uid="{00000000-0005-0000-0000-000000110000}"/>
    <cellStyle name="20% - Accent3 2 2 2 6 2 2" xfId="6935" xr:uid="{00000000-0005-0000-0000-000001110000}"/>
    <cellStyle name="20% - Accent3 2 2 2 6 2 2 2" xfId="6937" xr:uid="{00000000-0005-0000-0000-000002110000}"/>
    <cellStyle name="20% - Accent3 2 2 2 6 2 3" xfId="14992" xr:uid="{00000000-0005-0000-0000-000003110000}"/>
    <cellStyle name="20% - Accent3 2 2 2 6 3" xfId="6672" xr:uid="{00000000-0005-0000-0000-000004110000}"/>
    <cellStyle name="20% - Accent3 2 2 2 6 3 2" xfId="15131" xr:uid="{00000000-0005-0000-0000-000005110000}"/>
    <cellStyle name="20% - Accent3 2 2 2 6 4" xfId="13709" xr:uid="{00000000-0005-0000-0000-000006110000}"/>
    <cellStyle name="20% - Accent3 2 2 2 7" xfId="3392" xr:uid="{00000000-0005-0000-0000-000007110000}"/>
    <cellStyle name="20% - Accent3 2 2 2 7 2" xfId="20939" xr:uid="{00000000-0005-0000-0000-000008110000}"/>
    <cellStyle name="20% - Accent3 2 2 2 7 2 2" xfId="15708" xr:uid="{00000000-0005-0000-0000-000009110000}"/>
    <cellStyle name="20% - Accent3 2 2 2 7 3" xfId="6950" xr:uid="{00000000-0005-0000-0000-00000A110000}"/>
    <cellStyle name="20% - Accent3 2 2 2 8" xfId="6952" xr:uid="{00000000-0005-0000-0000-00000B110000}"/>
    <cellStyle name="20% - Accent3 2 2 2 8 2" xfId="6953" xr:uid="{00000000-0005-0000-0000-00000C110000}"/>
    <cellStyle name="20% - Accent3 2 2 2 9" xfId="584" xr:uid="{00000000-0005-0000-0000-00000D110000}"/>
    <cellStyle name="20% - Accent3 2 2 3" xfId="33783" xr:uid="{00000000-0005-0000-0000-00000E110000}"/>
    <cellStyle name="20% - Accent3 2 2 3 2" xfId="582" xr:uid="{00000000-0005-0000-0000-00000F110000}"/>
    <cellStyle name="20% - Accent3 2 2 3 2 2" xfId="19426" xr:uid="{00000000-0005-0000-0000-000010110000}"/>
    <cellStyle name="20% - Accent3 2 2 3 2 2 2" xfId="9057" xr:uid="{00000000-0005-0000-0000-000011110000}"/>
    <cellStyle name="20% - Accent3 2 2 3 2 2 2 2" xfId="6957" xr:uid="{00000000-0005-0000-0000-000012110000}"/>
    <cellStyle name="20% - Accent3 2 2 3 2 2 2 2 2" xfId="28650" xr:uid="{00000000-0005-0000-0000-000013110000}"/>
    <cellStyle name="20% - Accent3 2 2 3 2 2 2 2 2 2" xfId="14017" xr:uid="{00000000-0005-0000-0000-000014110000}"/>
    <cellStyle name="20% - Accent3 2 2 3 2 2 2 2 2 2 2" xfId="6958" xr:uid="{00000000-0005-0000-0000-000015110000}"/>
    <cellStyle name="20% - Accent3 2 2 3 2 2 2 2 2 3" xfId="14160" xr:uid="{00000000-0005-0000-0000-000016110000}"/>
    <cellStyle name="20% - Accent3 2 2 3 2 2 2 2 3" xfId="4482" xr:uid="{00000000-0005-0000-0000-000017110000}"/>
    <cellStyle name="20% - Accent3 2 2 3 2 2 2 2 3 2" xfId="1300" xr:uid="{00000000-0005-0000-0000-000018110000}"/>
    <cellStyle name="20% - Accent3 2 2 3 2 2 2 2 4" xfId="12714" xr:uid="{00000000-0005-0000-0000-000019110000}"/>
    <cellStyle name="20% - Accent3 2 2 3 2 2 2 3" xfId="6960" xr:uid="{00000000-0005-0000-0000-00001A110000}"/>
    <cellStyle name="20% - Accent3 2 2 3 2 2 2 3 2" xfId="4804" xr:uid="{00000000-0005-0000-0000-00001B110000}"/>
    <cellStyle name="20% - Accent3 2 2 3 2 2 2 3 2 2" xfId="687" xr:uid="{00000000-0005-0000-0000-00001C110000}"/>
    <cellStyle name="20% - Accent3 2 2 3 2 2 2 3 3" xfId="9238" xr:uid="{00000000-0005-0000-0000-00001D110000}"/>
    <cellStyle name="20% - Accent3 2 2 3 2 2 2 4" xfId="3280" xr:uid="{00000000-0005-0000-0000-00001E110000}"/>
    <cellStyle name="20% - Accent3 2 2 3 2 2 2 4 2" xfId="1219" xr:uid="{00000000-0005-0000-0000-00001F110000}"/>
    <cellStyle name="20% - Accent3 2 2 3 2 2 2 5" xfId="6961" xr:uid="{00000000-0005-0000-0000-000020110000}"/>
    <cellStyle name="20% - Accent3 2 2 3 2 2 3" xfId="2808" xr:uid="{00000000-0005-0000-0000-000021110000}"/>
    <cellStyle name="20% - Accent3 2 2 3 2 2 3 2" xfId="1863" xr:uid="{00000000-0005-0000-0000-000022110000}"/>
    <cellStyle name="20% - Accent3 2 2 3 2 2 3 2 2" xfId="11666" xr:uid="{00000000-0005-0000-0000-000023110000}"/>
    <cellStyle name="20% - Accent3 2 2 3 2 2 3 2 2 2" xfId="375" xr:uid="{00000000-0005-0000-0000-000024110000}"/>
    <cellStyle name="20% - Accent3 2 2 3 2 2 3 2 3" xfId="31912" xr:uid="{00000000-0005-0000-0000-000025110000}"/>
    <cellStyle name="20% - Accent3 2 2 3 2 2 3 3" xfId="3186" xr:uid="{00000000-0005-0000-0000-000026110000}"/>
    <cellStyle name="20% - Accent3 2 2 3 2 2 3 3 2" xfId="9384" xr:uid="{00000000-0005-0000-0000-000027110000}"/>
    <cellStyle name="20% - Accent3 2 2 3 2 2 3 4" xfId="6963" xr:uid="{00000000-0005-0000-0000-000028110000}"/>
    <cellStyle name="20% - Accent3 2 2 3 2 2 4" xfId="2813" xr:uid="{00000000-0005-0000-0000-000029110000}"/>
    <cellStyle name="20% - Accent3 2 2 3 2 2 4 2" xfId="3194" xr:uid="{00000000-0005-0000-0000-00002A110000}"/>
    <cellStyle name="20% - Accent3 2 2 3 2 2 4 2 2" xfId="6373" xr:uid="{00000000-0005-0000-0000-00002B110000}"/>
    <cellStyle name="20% - Accent3 2 2 3 2 2 4 3" xfId="6967" xr:uid="{00000000-0005-0000-0000-00002C110000}"/>
    <cellStyle name="20% - Accent3 2 2 3 2 2 5" xfId="7619" xr:uid="{00000000-0005-0000-0000-00002D110000}"/>
    <cellStyle name="20% - Accent3 2 2 3 2 2 5 2" xfId="6971" xr:uid="{00000000-0005-0000-0000-00002E110000}"/>
    <cellStyle name="20% - Accent3 2 2 3 2 2 6" xfId="7834" xr:uid="{00000000-0005-0000-0000-00002F110000}"/>
    <cellStyle name="20% - Accent3 2 2 3 2 3" xfId="27193" xr:uid="{00000000-0005-0000-0000-000030110000}"/>
    <cellStyle name="20% - Accent3 2 2 3 2 3 2" xfId="678" xr:uid="{00000000-0005-0000-0000-000031110000}"/>
    <cellStyle name="20% - Accent3 2 2 3 2 3 2 2" xfId="13571" xr:uid="{00000000-0005-0000-0000-000032110000}"/>
    <cellStyle name="20% - Accent3 2 2 3 2 3 2 2 2" xfId="10924" xr:uid="{00000000-0005-0000-0000-000033110000}"/>
    <cellStyle name="20% - Accent3 2 2 3 2 3 2 2 2 2" xfId="86" xr:uid="{00000000-0005-0000-0000-000034110000}"/>
    <cellStyle name="20% - Accent3 2 2 3 2 3 2 2 3" xfId="33258" xr:uid="{00000000-0005-0000-0000-000035110000}"/>
    <cellStyle name="20% - Accent3 2 2 3 2 3 2 3" xfId="13575" xr:uid="{00000000-0005-0000-0000-000036110000}"/>
    <cellStyle name="20% - Accent3 2 2 3 2 3 2 3 2" xfId="9639" xr:uid="{00000000-0005-0000-0000-000037110000}"/>
    <cellStyle name="20% - Accent3 2 2 3 2 3 2 4" xfId="6984" xr:uid="{00000000-0005-0000-0000-000038110000}"/>
    <cellStyle name="20% - Accent3 2 2 3 2 3 3" xfId="1719" xr:uid="{00000000-0005-0000-0000-000039110000}"/>
    <cellStyle name="20% - Accent3 2 2 3 2 3 3 2" xfId="13578" xr:uid="{00000000-0005-0000-0000-00003A110000}"/>
    <cellStyle name="20% - Accent3 2 2 3 2 3 3 2 2" xfId="28779" xr:uid="{00000000-0005-0000-0000-00003B110000}"/>
    <cellStyle name="20% - Accent3 2 2 3 2 3 3 3" xfId="8918" xr:uid="{00000000-0005-0000-0000-00003C110000}"/>
    <cellStyle name="20% - Accent3 2 2 3 2 3 4" xfId="6989" xr:uid="{00000000-0005-0000-0000-00003D110000}"/>
    <cellStyle name="20% - Accent3 2 2 3 2 3 4 2" xfId="6990" xr:uid="{00000000-0005-0000-0000-00003E110000}"/>
    <cellStyle name="20% - Accent3 2 2 3 2 3 5" xfId="6206" xr:uid="{00000000-0005-0000-0000-00003F110000}"/>
    <cellStyle name="20% - Accent3 2 2 3 2 4" xfId="9066" xr:uid="{00000000-0005-0000-0000-000040110000}"/>
    <cellStyle name="20% - Accent3 2 2 3 2 4 2" xfId="8612" xr:uid="{00000000-0005-0000-0000-000041110000}"/>
    <cellStyle name="20% - Accent3 2 2 3 2 4 2 2" xfId="5992" xr:uid="{00000000-0005-0000-0000-000042110000}"/>
    <cellStyle name="20% - Accent3 2 2 3 2 4 2 2 2" xfId="28075" xr:uid="{00000000-0005-0000-0000-000043110000}"/>
    <cellStyle name="20% - Accent3 2 2 3 2 4 2 3" xfId="6995" xr:uid="{00000000-0005-0000-0000-000044110000}"/>
    <cellStyle name="20% - Accent3 2 2 3 2 4 3" xfId="12692" xr:uid="{00000000-0005-0000-0000-000045110000}"/>
    <cellStyle name="20% - Accent3 2 2 3 2 4 3 2" xfId="6998" xr:uid="{00000000-0005-0000-0000-000046110000}"/>
    <cellStyle name="20% - Accent3 2 2 3 2 4 4" xfId="3705" xr:uid="{00000000-0005-0000-0000-000047110000}"/>
    <cellStyle name="20% - Accent3 2 2 3 2 5" xfId="15031" xr:uid="{00000000-0005-0000-0000-000048110000}"/>
    <cellStyle name="20% - Accent3 2 2 3 2 5 2" xfId="8634" xr:uid="{00000000-0005-0000-0000-000049110000}"/>
    <cellStyle name="20% - Accent3 2 2 3 2 5 2 2" xfId="1499" xr:uid="{00000000-0005-0000-0000-00004A110000}"/>
    <cellStyle name="20% - Accent3 2 2 3 2 5 3" xfId="21727" xr:uid="{00000000-0005-0000-0000-00004B110000}"/>
    <cellStyle name="20% - Accent3 2 2 3 2 6" xfId="6944" xr:uid="{00000000-0005-0000-0000-00004C110000}"/>
    <cellStyle name="20% - Accent3 2 2 3 2 6 2" xfId="21739" xr:uid="{00000000-0005-0000-0000-00004D110000}"/>
    <cellStyle name="20% - Accent3 2 2 3 2 7" xfId="7007" xr:uid="{00000000-0005-0000-0000-00004E110000}"/>
    <cellStyle name="20% - Accent3 2 2 3 3" xfId="33226" xr:uid="{00000000-0005-0000-0000-00004F110000}"/>
    <cellStyle name="20% - Accent3 2 2 3 3 2" xfId="33769" xr:uid="{00000000-0005-0000-0000-000050110000}"/>
    <cellStyle name="20% - Accent3 2 2 3 3 2 2" xfId="2852" xr:uid="{00000000-0005-0000-0000-000051110000}"/>
    <cellStyle name="20% - Accent3 2 2 3 3 2 2 2" xfId="7015" xr:uid="{00000000-0005-0000-0000-000052110000}"/>
    <cellStyle name="20% - Accent3 2 2 3 3 2 2 2 2" xfId="7026" xr:uid="{00000000-0005-0000-0000-000053110000}"/>
    <cellStyle name="20% - Accent3 2 2 3 3 2 2 2 2 2" xfId="21369" xr:uid="{00000000-0005-0000-0000-000054110000}"/>
    <cellStyle name="20% - Accent3 2 2 3 3 2 2 2 3" xfId="15252" xr:uid="{00000000-0005-0000-0000-000055110000}"/>
    <cellStyle name="20% - Accent3 2 2 3 3 2 2 3" xfId="7031" xr:uid="{00000000-0005-0000-0000-000056110000}"/>
    <cellStyle name="20% - Accent3 2 2 3 3 2 2 3 2" xfId="10047" xr:uid="{00000000-0005-0000-0000-000057110000}"/>
    <cellStyle name="20% - Accent3 2 2 3 3 2 2 4" xfId="7033" xr:uid="{00000000-0005-0000-0000-000058110000}"/>
    <cellStyle name="20% - Accent3 2 2 3 3 2 3" xfId="2854" xr:uid="{00000000-0005-0000-0000-000059110000}"/>
    <cellStyle name="20% - Accent3 2 2 3 3 2 3 2" xfId="412" xr:uid="{00000000-0005-0000-0000-00005A110000}"/>
    <cellStyle name="20% - Accent3 2 2 3 3 2 3 2 2" xfId="10901" xr:uid="{00000000-0005-0000-0000-00005B110000}"/>
    <cellStyle name="20% - Accent3 2 2 3 3 2 3 3" xfId="7036" xr:uid="{00000000-0005-0000-0000-00005C110000}"/>
    <cellStyle name="20% - Accent3 2 2 3 3 2 4" xfId="7038" xr:uid="{00000000-0005-0000-0000-00005D110000}"/>
    <cellStyle name="20% - Accent3 2 2 3 3 2 4 2" xfId="1806" xr:uid="{00000000-0005-0000-0000-00005E110000}"/>
    <cellStyle name="20% - Accent3 2 2 3 3 2 5" xfId="7709" xr:uid="{00000000-0005-0000-0000-00005F110000}"/>
    <cellStyle name="20% - Accent3 2 2 3 3 3" xfId="9101" xr:uid="{00000000-0005-0000-0000-000060110000}"/>
    <cellStyle name="20% - Accent3 2 2 3 3 3 2" xfId="1753" xr:uid="{00000000-0005-0000-0000-000061110000}"/>
    <cellStyle name="20% - Accent3 2 2 3 3 3 2 2" xfId="18007" xr:uid="{00000000-0005-0000-0000-000062110000}"/>
    <cellStyle name="20% - Accent3 2 2 3 3 3 2 2 2" xfId="7042" xr:uid="{00000000-0005-0000-0000-000063110000}"/>
    <cellStyle name="20% - Accent3 2 2 3 3 3 2 3" xfId="7044" xr:uid="{00000000-0005-0000-0000-000064110000}"/>
    <cellStyle name="20% - Accent3 2 2 3 3 3 3" xfId="7045" xr:uid="{00000000-0005-0000-0000-000065110000}"/>
    <cellStyle name="20% - Accent3 2 2 3 3 3 3 2" xfId="7050" xr:uid="{00000000-0005-0000-0000-000066110000}"/>
    <cellStyle name="20% - Accent3 2 2 3 3 3 4" xfId="9209" xr:uid="{00000000-0005-0000-0000-000067110000}"/>
    <cellStyle name="20% - Accent3 2 2 3 3 4" xfId="9107" xr:uid="{00000000-0005-0000-0000-000068110000}"/>
    <cellStyle name="20% - Accent3 2 2 3 3 4 2" xfId="11093" xr:uid="{00000000-0005-0000-0000-000069110000}"/>
    <cellStyle name="20% - Accent3 2 2 3 3 4 2 2" xfId="7055" xr:uid="{00000000-0005-0000-0000-00006A110000}"/>
    <cellStyle name="20% - Accent3 2 2 3 3 4 3" xfId="7057" xr:uid="{00000000-0005-0000-0000-00006B110000}"/>
    <cellStyle name="20% - Accent3 2 2 3 3 5" xfId="13690" xr:uid="{00000000-0005-0000-0000-00006C110000}"/>
    <cellStyle name="20% - Accent3 2 2 3 3 5 2" xfId="21746" xr:uid="{00000000-0005-0000-0000-00006D110000}"/>
    <cellStyle name="20% - Accent3 2 2 3 3 6" xfId="11631" xr:uid="{00000000-0005-0000-0000-00006E110000}"/>
    <cellStyle name="20% - Accent3 2 2 3 4" xfId="3484" xr:uid="{00000000-0005-0000-0000-00006F110000}"/>
    <cellStyle name="20% - Accent3 2 2 3 4 2" xfId="18393" xr:uid="{00000000-0005-0000-0000-000070110000}"/>
    <cellStyle name="20% - Accent3 2 2 3 4 2 2" xfId="2868" xr:uid="{00000000-0005-0000-0000-000071110000}"/>
    <cellStyle name="20% - Accent3 2 2 3 4 2 2 2" xfId="7063" xr:uid="{00000000-0005-0000-0000-000072110000}"/>
    <cellStyle name="20% - Accent3 2 2 3 4 2 2 2 2" xfId="10431" xr:uid="{00000000-0005-0000-0000-000073110000}"/>
    <cellStyle name="20% - Accent3 2 2 3 4 2 2 3" xfId="13021" xr:uid="{00000000-0005-0000-0000-000074110000}"/>
    <cellStyle name="20% - Accent3 2 2 3 4 2 3" xfId="7065" xr:uid="{00000000-0005-0000-0000-000075110000}"/>
    <cellStyle name="20% - Accent3 2 2 3 4 2 3 2" xfId="7068" xr:uid="{00000000-0005-0000-0000-000076110000}"/>
    <cellStyle name="20% - Accent3 2 2 3 4 2 4" xfId="969" xr:uid="{00000000-0005-0000-0000-000077110000}"/>
    <cellStyle name="20% - Accent3 2 2 3 4 3" xfId="19228" xr:uid="{00000000-0005-0000-0000-000078110000}"/>
    <cellStyle name="20% - Accent3 2 2 3 4 3 2" xfId="7069" xr:uid="{00000000-0005-0000-0000-000079110000}"/>
    <cellStyle name="20% - Accent3 2 2 3 4 3 2 2" xfId="1259" xr:uid="{00000000-0005-0000-0000-00007A110000}"/>
    <cellStyle name="20% - Accent3 2 2 3 4 3 3" xfId="7073" xr:uid="{00000000-0005-0000-0000-00007B110000}"/>
    <cellStyle name="20% - Accent3 2 2 3 4 4" xfId="5365" xr:uid="{00000000-0005-0000-0000-00007C110000}"/>
    <cellStyle name="20% - Accent3 2 2 3 4 4 2" xfId="8036" xr:uid="{00000000-0005-0000-0000-00007D110000}"/>
    <cellStyle name="20% - Accent3 2 2 3 4 5" xfId="5492" xr:uid="{00000000-0005-0000-0000-00007E110000}"/>
    <cellStyle name="20% - Accent3 2 2 3 5" xfId="3498" xr:uid="{00000000-0005-0000-0000-00007F110000}"/>
    <cellStyle name="20% - Accent3 2 2 3 5 2" xfId="18397" xr:uid="{00000000-0005-0000-0000-000080110000}"/>
    <cellStyle name="20% - Accent3 2 2 3 5 2 2" xfId="7083" xr:uid="{00000000-0005-0000-0000-000081110000}"/>
    <cellStyle name="20% - Accent3 2 2 3 5 2 2 2" xfId="879" xr:uid="{00000000-0005-0000-0000-000082110000}"/>
    <cellStyle name="20% - Accent3 2 2 3 5 2 3" xfId="7084" xr:uid="{00000000-0005-0000-0000-000083110000}"/>
    <cellStyle name="20% - Accent3 2 2 3 5 3" xfId="7085" xr:uid="{00000000-0005-0000-0000-000084110000}"/>
    <cellStyle name="20% - Accent3 2 2 3 5 3 2" xfId="7093" xr:uid="{00000000-0005-0000-0000-000085110000}"/>
    <cellStyle name="20% - Accent3 2 2 3 5 4" xfId="23802" xr:uid="{00000000-0005-0000-0000-000086110000}"/>
    <cellStyle name="20% - Accent3 2 2 3 6" xfId="7099" xr:uid="{00000000-0005-0000-0000-000087110000}"/>
    <cellStyle name="20% - Accent3 2 2 3 6 2" xfId="7101" xr:uid="{00000000-0005-0000-0000-000088110000}"/>
    <cellStyle name="20% - Accent3 2 2 3 6 2 2" xfId="17090" xr:uid="{00000000-0005-0000-0000-000089110000}"/>
    <cellStyle name="20% - Accent3 2 2 3 6 3" xfId="7104" xr:uid="{00000000-0005-0000-0000-00008A110000}"/>
    <cellStyle name="20% - Accent3 2 2 3 7" xfId="7110" xr:uid="{00000000-0005-0000-0000-00008B110000}"/>
    <cellStyle name="20% - Accent3 2 2 3 7 2" xfId="7112" xr:uid="{00000000-0005-0000-0000-00008C110000}"/>
    <cellStyle name="20% - Accent3 2 2 3 8" xfId="8970" xr:uid="{00000000-0005-0000-0000-00008D110000}"/>
    <cellStyle name="20% - Accent3 2 2 4" xfId="5354" xr:uid="{00000000-0005-0000-0000-00008E110000}"/>
    <cellStyle name="20% - Accent3 2 2 4 2" xfId="4562" xr:uid="{00000000-0005-0000-0000-00008F110000}"/>
    <cellStyle name="20% - Accent3 2 2 4 2 2" xfId="33031" xr:uid="{00000000-0005-0000-0000-000090110000}"/>
    <cellStyle name="20% - Accent3 2 2 4 2 2 2" xfId="3818" xr:uid="{00000000-0005-0000-0000-000091110000}"/>
    <cellStyle name="20% - Accent3 2 2 4 2 2 2 2" xfId="7117" xr:uid="{00000000-0005-0000-0000-000092110000}"/>
    <cellStyle name="20% - Accent3 2 2 4 2 2 2 2 2" xfId="5977" xr:uid="{00000000-0005-0000-0000-000093110000}"/>
    <cellStyle name="20% - Accent3 2 2 4 2 2 2 2 2 2" xfId="7051" xr:uid="{00000000-0005-0000-0000-000094110000}"/>
    <cellStyle name="20% - Accent3 2 2 4 2 2 2 2 3" xfId="11143" xr:uid="{00000000-0005-0000-0000-000095110000}"/>
    <cellStyle name="20% - Accent3 2 2 4 2 2 2 3" xfId="7118" xr:uid="{00000000-0005-0000-0000-000096110000}"/>
    <cellStyle name="20% - Accent3 2 2 4 2 2 2 3 2" xfId="11165" xr:uid="{00000000-0005-0000-0000-000097110000}"/>
    <cellStyle name="20% - Accent3 2 2 4 2 2 2 4" xfId="194" xr:uid="{00000000-0005-0000-0000-000098110000}"/>
    <cellStyle name="20% - Accent3 2 2 4 2 2 3" xfId="3045" xr:uid="{00000000-0005-0000-0000-000099110000}"/>
    <cellStyle name="20% - Accent3 2 2 4 2 2 3 2" xfId="4274" xr:uid="{00000000-0005-0000-0000-00009A110000}"/>
    <cellStyle name="20% - Accent3 2 2 4 2 2 3 2 2" xfId="12626" xr:uid="{00000000-0005-0000-0000-00009B110000}"/>
    <cellStyle name="20% - Accent3 2 2 4 2 2 3 3" xfId="7119" xr:uid="{00000000-0005-0000-0000-00009C110000}"/>
    <cellStyle name="20% - Accent3 2 2 4 2 2 4" xfId="7120" xr:uid="{00000000-0005-0000-0000-00009D110000}"/>
    <cellStyle name="20% - Accent3 2 2 4 2 2 4 2" xfId="26812" xr:uid="{00000000-0005-0000-0000-00009E110000}"/>
    <cellStyle name="20% - Accent3 2 2 4 2 2 5" xfId="10563" xr:uid="{00000000-0005-0000-0000-00009F110000}"/>
    <cellStyle name="20% - Accent3 2 2 4 2 3" xfId="9159" xr:uid="{00000000-0005-0000-0000-0000A0110000}"/>
    <cellStyle name="20% - Accent3 2 2 4 2 3 2" xfId="10547" xr:uid="{00000000-0005-0000-0000-0000A1110000}"/>
    <cellStyle name="20% - Accent3 2 2 4 2 3 2 2" xfId="21640" xr:uid="{00000000-0005-0000-0000-0000A2110000}"/>
    <cellStyle name="20% - Accent3 2 2 4 2 3 2 2 2" xfId="15515" xr:uid="{00000000-0005-0000-0000-0000A3110000}"/>
    <cellStyle name="20% - Accent3 2 2 4 2 3 2 3" xfId="7121" xr:uid="{00000000-0005-0000-0000-0000A4110000}"/>
    <cellStyle name="20% - Accent3 2 2 4 2 3 3" xfId="10530" xr:uid="{00000000-0005-0000-0000-0000A5110000}"/>
    <cellStyle name="20% - Accent3 2 2 4 2 3 3 2" xfId="25391" xr:uid="{00000000-0005-0000-0000-0000A6110000}"/>
    <cellStyle name="20% - Accent3 2 2 4 2 3 4" xfId="2842" xr:uid="{00000000-0005-0000-0000-0000A7110000}"/>
    <cellStyle name="20% - Accent3 2 2 4 2 4" xfId="9165" xr:uid="{00000000-0005-0000-0000-0000A8110000}"/>
    <cellStyle name="20% - Accent3 2 2 4 2 4 2" xfId="2317" xr:uid="{00000000-0005-0000-0000-0000A9110000}"/>
    <cellStyle name="20% - Accent3 2 2 4 2 4 2 2" xfId="28917" xr:uid="{00000000-0005-0000-0000-0000AA110000}"/>
    <cellStyle name="20% - Accent3 2 2 4 2 4 3" xfId="5282" xr:uid="{00000000-0005-0000-0000-0000AB110000}"/>
    <cellStyle name="20% - Accent3 2 2 4 2 5" xfId="2324" xr:uid="{00000000-0005-0000-0000-0000AC110000}"/>
    <cellStyle name="20% - Accent3 2 2 4 2 5 2" xfId="21810" xr:uid="{00000000-0005-0000-0000-0000AD110000}"/>
    <cellStyle name="20% - Accent3 2 2 4 2 6" xfId="7127" xr:uid="{00000000-0005-0000-0000-0000AE110000}"/>
    <cellStyle name="20% - Accent3 2 2 4 3" xfId="2918" xr:uid="{00000000-0005-0000-0000-0000AF110000}"/>
    <cellStyle name="20% - Accent3 2 2 4 3 2" xfId="18432" xr:uid="{00000000-0005-0000-0000-0000B0110000}"/>
    <cellStyle name="20% - Accent3 2 2 4 3 2 2" xfId="14447" xr:uid="{00000000-0005-0000-0000-0000B1110000}"/>
    <cellStyle name="20% - Accent3 2 2 4 3 2 2 2" xfId="7129" xr:uid="{00000000-0005-0000-0000-0000B2110000}"/>
    <cellStyle name="20% - Accent3 2 2 4 3 2 2 2 2" xfId="11897" xr:uid="{00000000-0005-0000-0000-0000B3110000}"/>
    <cellStyle name="20% - Accent3 2 2 4 3 2 2 3" xfId="7132" xr:uid="{00000000-0005-0000-0000-0000B4110000}"/>
    <cellStyle name="20% - Accent3 2 2 4 3 2 3" xfId="16541" xr:uid="{00000000-0005-0000-0000-0000B5110000}"/>
    <cellStyle name="20% - Accent3 2 2 4 3 2 3 2" xfId="7137" xr:uid="{00000000-0005-0000-0000-0000B6110000}"/>
    <cellStyle name="20% - Accent3 2 2 4 3 2 4" xfId="16545" xr:uid="{00000000-0005-0000-0000-0000B7110000}"/>
    <cellStyle name="20% - Accent3 2 2 4 3 3" xfId="8771" xr:uid="{00000000-0005-0000-0000-0000B8110000}"/>
    <cellStyle name="20% - Accent3 2 2 4 3 3 2" xfId="16575" xr:uid="{00000000-0005-0000-0000-0000B9110000}"/>
    <cellStyle name="20% - Accent3 2 2 4 3 3 2 2" xfId="7141" xr:uid="{00000000-0005-0000-0000-0000BA110000}"/>
    <cellStyle name="20% - Accent3 2 2 4 3 3 3" xfId="7307" xr:uid="{00000000-0005-0000-0000-0000BB110000}"/>
    <cellStyle name="20% - Accent3 2 2 4 3 4" xfId="9188" xr:uid="{00000000-0005-0000-0000-0000BC110000}"/>
    <cellStyle name="20% - Accent3 2 2 4 3 4 2" xfId="16594" xr:uid="{00000000-0005-0000-0000-0000BD110000}"/>
    <cellStyle name="20% - Accent3 2 2 4 3 5" xfId="10028" xr:uid="{00000000-0005-0000-0000-0000BE110000}"/>
    <cellStyle name="20% - Accent3 2 2 4 4" xfId="3504" xr:uid="{00000000-0005-0000-0000-0000BF110000}"/>
    <cellStyle name="20% - Accent3 2 2 4 4 2" xfId="18436" xr:uid="{00000000-0005-0000-0000-0000C0110000}"/>
    <cellStyle name="20% - Accent3 2 2 4 4 2 2" xfId="18422" xr:uid="{00000000-0005-0000-0000-0000C1110000}"/>
    <cellStyle name="20% - Accent3 2 2 4 4 2 2 2" xfId="7145" xr:uid="{00000000-0005-0000-0000-0000C2110000}"/>
    <cellStyle name="20% - Accent3 2 2 4 4 2 3" xfId="18429" xr:uid="{00000000-0005-0000-0000-0000C3110000}"/>
    <cellStyle name="20% - Accent3 2 2 4 4 3" xfId="12580" xr:uid="{00000000-0005-0000-0000-0000C4110000}"/>
    <cellStyle name="20% - Accent3 2 2 4 4 3 2" xfId="18449" xr:uid="{00000000-0005-0000-0000-0000C5110000}"/>
    <cellStyle name="20% - Accent3 2 2 4 4 4" xfId="7159" xr:uid="{00000000-0005-0000-0000-0000C6110000}"/>
    <cellStyle name="20% - Accent3 2 2 4 5" xfId="7161" xr:uid="{00000000-0005-0000-0000-0000C7110000}"/>
    <cellStyle name="20% - Accent3 2 2 4 5 2" xfId="9202" xr:uid="{00000000-0005-0000-0000-0000C8110000}"/>
    <cellStyle name="20% - Accent3 2 2 4 5 2 2" xfId="11370" xr:uid="{00000000-0005-0000-0000-0000C9110000}"/>
    <cellStyle name="20% - Accent3 2 2 4 5 3" xfId="7162" xr:uid="{00000000-0005-0000-0000-0000CA110000}"/>
    <cellStyle name="20% - Accent3 2 2 4 6" xfId="7164" xr:uid="{00000000-0005-0000-0000-0000CB110000}"/>
    <cellStyle name="20% - Accent3 2 2 4 6 2" xfId="24903" xr:uid="{00000000-0005-0000-0000-0000CC110000}"/>
    <cellStyle name="20% - Accent3 2 2 4 7" xfId="7165" xr:uid="{00000000-0005-0000-0000-0000CD110000}"/>
    <cellStyle name="20% - Accent3 2 2 5" xfId="2860" xr:uid="{00000000-0005-0000-0000-0000CE110000}"/>
    <cellStyle name="20% - Accent3 2 2 5 2" xfId="4568" xr:uid="{00000000-0005-0000-0000-0000CF110000}"/>
    <cellStyle name="20% - Accent3 2 2 5 2 2" xfId="6954" xr:uid="{00000000-0005-0000-0000-0000D0110000}"/>
    <cellStyle name="20% - Accent3 2 2 5 2 2 2" xfId="6306" xr:uid="{00000000-0005-0000-0000-0000D1110000}"/>
    <cellStyle name="20% - Accent3 2 2 5 2 2 2 2" xfId="14701" xr:uid="{00000000-0005-0000-0000-0000D2110000}"/>
    <cellStyle name="20% - Accent3 2 2 5 2 2 2 2 2" xfId="10865" xr:uid="{00000000-0005-0000-0000-0000D3110000}"/>
    <cellStyle name="20% - Accent3 2 2 5 2 2 2 3" xfId="7174" xr:uid="{00000000-0005-0000-0000-0000D4110000}"/>
    <cellStyle name="20% - Accent3 2 2 5 2 2 3" xfId="7178" xr:uid="{00000000-0005-0000-0000-0000D5110000}"/>
    <cellStyle name="20% - Accent3 2 2 5 2 2 3 2" xfId="7183" xr:uid="{00000000-0005-0000-0000-0000D6110000}"/>
    <cellStyle name="20% - Accent3 2 2 5 2 2 4" xfId="7185" xr:uid="{00000000-0005-0000-0000-0000D7110000}"/>
    <cellStyle name="20% - Accent3 2 2 5 2 3" xfId="9214" xr:uid="{00000000-0005-0000-0000-0000D8110000}"/>
    <cellStyle name="20% - Accent3 2 2 5 2 3 2" xfId="19066" xr:uid="{00000000-0005-0000-0000-0000D9110000}"/>
    <cellStyle name="20% - Accent3 2 2 5 2 3 2 2" xfId="23340" xr:uid="{00000000-0005-0000-0000-0000DA110000}"/>
    <cellStyle name="20% - Accent3 2 2 5 2 3 3" xfId="5412" xr:uid="{00000000-0005-0000-0000-0000DB110000}"/>
    <cellStyle name="20% - Accent3 2 2 5 2 4" xfId="9219" xr:uid="{00000000-0005-0000-0000-0000DC110000}"/>
    <cellStyle name="20% - Accent3 2 2 5 2 4 2" xfId="16326" xr:uid="{00000000-0005-0000-0000-0000DD110000}"/>
    <cellStyle name="20% - Accent3 2 2 5 2 5" xfId="16332" xr:uid="{00000000-0005-0000-0000-0000DE110000}"/>
    <cellStyle name="20% - Accent3 2 2 5 3" xfId="7190" xr:uid="{00000000-0005-0000-0000-0000DF110000}"/>
    <cellStyle name="20% - Accent3 2 2 5 3 2" xfId="27135" xr:uid="{00000000-0005-0000-0000-0000E0110000}"/>
    <cellStyle name="20% - Accent3 2 2 5 3 2 2" xfId="7192" xr:uid="{00000000-0005-0000-0000-0000E1110000}"/>
    <cellStyle name="20% - Accent3 2 2 5 3 2 2 2" xfId="7194" xr:uid="{00000000-0005-0000-0000-0000E2110000}"/>
    <cellStyle name="20% - Accent3 2 2 5 3 2 3" xfId="8581" xr:uid="{00000000-0005-0000-0000-0000E3110000}"/>
    <cellStyle name="20% - Accent3 2 2 5 3 3" xfId="9226" xr:uid="{00000000-0005-0000-0000-0000E4110000}"/>
    <cellStyle name="20% - Accent3 2 2 5 3 3 2" xfId="10501" xr:uid="{00000000-0005-0000-0000-0000E5110000}"/>
    <cellStyle name="20% - Accent3 2 2 5 3 4" xfId="16337" xr:uid="{00000000-0005-0000-0000-0000E6110000}"/>
    <cellStyle name="20% - Accent3 2 2 5 4" xfId="15368" xr:uid="{00000000-0005-0000-0000-0000E7110000}"/>
    <cellStyle name="20% - Accent3 2 2 5 4 2" xfId="9233" xr:uid="{00000000-0005-0000-0000-0000E8110000}"/>
    <cellStyle name="20% - Accent3 2 2 5 4 2 2" xfId="8675" xr:uid="{00000000-0005-0000-0000-0000E9110000}"/>
    <cellStyle name="20% - Accent3 2 2 5 4 3" xfId="7211" xr:uid="{00000000-0005-0000-0000-0000EA110000}"/>
    <cellStyle name="20% - Accent3 2 2 5 5" xfId="15380" xr:uid="{00000000-0005-0000-0000-0000EB110000}"/>
    <cellStyle name="20% - Accent3 2 2 5 5 2" xfId="7215" xr:uid="{00000000-0005-0000-0000-0000EC110000}"/>
    <cellStyle name="20% - Accent3 2 2 5 6" xfId="18380" xr:uid="{00000000-0005-0000-0000-0000ED110000}"/>
    <cellStyle name="20% - Accent3 2 2 6" xfId="27864" xr:uid="{00000000-0005-0000-0000-0000EE110000}"/>
    <cellStyle name="20% - Accent3 2 2 6 2" xfId="27867" xr:uid="{00000000-0005-0000-0000-0000EF110000}"/>
    <cellStyle name="20% - Accent3 2 2 6 2 2" xfId="18462" xr:uid="{00000000-0005-0000-0000-0000F0110000}"/>
    <cellStyle name="20% - Accent3 2 2 6 2 2 2" xfId="7218" xr:uid="{00000000-0005-0000-0000-0000F1110000}"/>
    <cellStyle name="20% - Accent3 2 2 6 2 2 2 2" xfId="14894" xr:uid="{00000000-0005-0000-0000-0000F2110000}"/>
    <cellStyle name="20% - Accent3 2 2 6 2 2 3" xfId="7228" xr:uid="{00000000-0005-0000-0000-0000F3110000}"/>
    <cellStyle name="20% - Accent3 2 2 6 2 3" xfId="9240" xr:uid="{00000000-0005-0000-0000-0000F4110000}"/>
    <cellStyle name="20% - Accent3 2 2 6 2 3 2" xfId="8408" xr:uid="{00000000-0005-0000-0000-0000F5110000}"/>
    <cellStyle name="20% - Accent3 2 2 6 2 4" xfId="16370" xr:uid="{00000000-0005-0000-0000-0000F6110000}"/>
    <cellStyle name="20% - Accent3 2 2 6 3" xfId="2355" xr:uid="{00000000-0005-0000-0000-0000F7110000}"/>
    <cellStyle name="20% - Accent3 2 2 6 3 2" xfId="9249" xr:uid="{00000000-0005-0000-0000-0000F8110000}"/>
    <cellStyle name="20% - Accent3 2 2 6 3 2 2" xfId="20916" xr:uid="{00000000-0005-0000-0000-0000F9110000}"/>
    <cellStyle name="20% - Accent3 2 2 6 3 3" xfId="7237" xr:uid="{00000000-0005-0000-0000-0000FA110000}"/>
    <cellStyle name="20% - Accent3 2 2 6 4" xfId="20386" xr:uid="{00000000-0005-0000-0000-0000FB110000}"/>
    <cellStyle name="20% - Accent3 2 2 6 4 2" xfId="5828" xr:uid="{00000000-0005-0000-0000-0000FC110000}"/>
    <cellStyle name="20% - Accent3 2 2 6 5" xfId="14207" xr:uid="{00000000-0005-0000-0000-0000FD110000}"/>
    <cellStyle name="20% - Accent3 2 2 7" xfId="7250" xr:uid="{00000000-0005-0000-0000-0000FE110000}"/>
    <cellStyle name="20% - Accent3 2 2 7 2" xfId="8189" xr:uid="{00000000-0005-0000-0000-0000FF110000}"/>
    <cellStyle name="20% - Accent3 2 2 7 2 2" xfId="9252" xr:uid="{00000000-0005-0000-0000-000000120000}"/>
    <cellStyle name="20% - Accent3 2 2 7 2 2 2" xfId="9549" xr:uid="{00000000-0005-0000-0000-000001120000}"/>
    <cellStyle name="20% - Accent3 2 2 7 2 3" xfId="9612" xr:uid="{00000000-0005-0000-0000-000002120000}"/>
    <cellStyle name="20% - Accent3 2 2 7 3" xfId="16257" xr:uid="{00000000-0005-0000-0000-000003120000}"/>
    <cellStyle name="20% - Accent3 2 2 7 3 2" xfId="7257" xr:uid="{00000000-0005-0000-0000-000004120000}"/>
    <cellStyle name="20% - Accent3 2 2 7 4" xfId="28457" xr:uid="{00000000-0005-0000-0000-000005120000}"/>
    <cellStyle name="20% - Accent3 2 2 8" xfId="7271" xr:uid="{00000000-0005-0000-0000-000006120000}"/>
    <cellStyle name="20% - Accent3 2 2 8 2" xfId="6028" xr:uid="{00000000-0005-0000-0000-000007120000}"/>
    <cellStyle name="20% - Accent3 2 2 8 2 2" xfId="7273" xr:uid="{00000000-0005-0000-0000-000008120000}"/>
    <cellStyle name="20% - Accent3 2 2 8 3" xfId="6696" xr:uid="{00000000-0005-0000-0000-000009120000}"/>
    <cellStyle name="20% - Accent3 2 2 9" xfId="7274" xr:uid="{00000000-0005-0000-0000-00000A120000}"/>
    <cellStyle name="20% - Accent3 2 2 9 2" xfId="7823" xr:uid="{00000000-0005-0000-0000-00000B120000}"/>
    <cellStyle name="20% - Accent3 2 3" xfId="16846" xr:uid="{00000000-0005-0000-0000-00000C120000}"/>
    <cellStyle name="20% - Accent3 2 3 2" xfId="864" xr:uid="{00000000-0005-0000-0000-00000D120000}"/>
    <cellStyle name="20% - Accent3 2 3 2 2" xfId="867" xr:uid="{00000000-0005-0000-0000-00000E120000}"/>
    <cellStyle name="20% - Accent3 2 3 2 2 2" xfId="6485" xr:uid="{00000000-0005-0000-0000-00000F120000}"/>
    <cellStyle name="20% - Accent3 2 3 2 2 2 2" xfId="4910" xr:uid="{00000000-0005-0000-0000-000010120000}"/>
    <cellStyle name="20% - Accent3 2 3 2 2 2 2 2" xfId="7277" xr:uid="{00000000-0005-0000-0000-000011120000}"/>
    <cellStyle name="20% - Accent3 2 3 2 2 2 2 2 2" xfId="28203" xr:uid="{00000000-0005-0000-0000-000012120000}"/>
    <cellStyle name="20% - Accent3 2 3 2 2 2 2 2 2 2" xfId="900" xr:uid="{00000000-0005-0000-0000-000013120000}"/>
    <cellStyle name="20% - Accent3 2 3 2 2 2 2 2 2 2 2" xfId="4019" xr:uid="{00000000-0005-0000-0000-000014120000}"/>
    <cellStyle name="20% - Accent3 2 3 2 2 2 2 2 2 3" xfId="7286" xr:uid="{00000000-0005-0000-0000-000015120000}"/>
    <cellStyle name="20% - Accent3 2 3 2 2 2 2 2 3" xfId="708" xr:uid="{00000000-0005-0000-0000-000016120000}"/>
    <cellStyle name="20% - Accent3 2 3 2 2 2 2 2 3 2" xfId="28550" xr:uid="{00000000-0005-0000-0000-000017120000}"/>
    <cellStyle name="20% - Accent3 2 3 2 2 2 2 2 4" xfId="700" xr:uid="{00000000-0005-0000-0000-000018120000}"/>
    <cellStyle name="20% - Accent3 2 3 2 2 2 2 3" xfId="1435" xr:uid="{00000000-0005-0000-0000-000019120000}"/>
    <cellStyle name="20% - Accent3 2 3 2 2 2 2 3 2" xfId="11412" xr:uid="{00000000-0005-0000-0000-00001A120000}"/>
    <cellStyle name="20% - Accent3 2 3 2 2 2 2 3 2 2" xfId="8670" xr:uid="{00000000-0005-0000-0000-00001B120000}"/>
    <cellStyle name="20% - Accent3 2 3 2 2 2 2 3 3" xfId="11432" xr:uid="{00000000-0005-0000-0000-00001C120000}"/>
    <cellStyle name="20% - Accent3 2 3 2 2 2 2 4" xfId="4598" xr:uid="{00000000-0005-0000-0000-00001D120000}"/>
    <cellStyle name="20% - Accent3 2 3 2 2 2 2 4 2" xfId="10687" xr:uid="{00000000-0005-0000-0000-00001E120000}"/>
    <cellStyle name="20% - Accent3 2 3 2 2 2 2 5" xfId="8185" xr:uid="{00000000-0005-0000-0000-00001F120000}"/>
    <cellStyle name="20% - Accent3 2 3 2 2 2 3" xfId="15514" xr:uid="{00000000-0005-0000-0000-000020120000}"/>
    <cellStyle name="20% - Accent3 2 3 2 2 2 3 2" xfId="16892" xr:uid="{00000000-0005-0000-0000-000021120000}"/>
    <cellStyle name="20% - Accent3 2 3 2 2 2 3 2 2" xfId="33041" xr:uid="{00000000-0005-0000-0000-000022120000}"/>
    <cellStyle name="20% - Accent3 2 3 2 2 2 3 2 2 2" xfId="5331" xr:uid="{00000000-0005-0000-0000-000023120000}"/>
    <cellStyle name="20% - Accent3 2 3 2 2 2 3 2 3" xfId="597" xr:uid="{00000000-0005-0000-0000-000024120000}"/>
    <cellStyle name="20% - Accent3 2 3 2 2 2 3 3" xfId="22607" xr:uid="{00000000-0005-0000-0000-000025120000}"/>
    <cellStyle name="20% - Accent3 2 3 2 2 2 3 3 2" xfId="12028" xr:uid="{00000000-0005-0000-0000-000026120000}"/>
    <cellStyle name="20% - Accent3 2 3 2 2 2 3 4" xfId="22617" xr:uid="{00000000-0005-0000-0000-000027120000}"/>
    <cellStyle name="20% - Accent3 2 3 2 2 2 4" xfId="5851" xr:uid="{00000000-0005-0000-0000-000028120000}"/>
    <cellStyle name="20% - Accent3 2 3 2 2 2 4 2" xfId="7416" xr:uid="{00000000-0005-0000-0000-000029120000}"/>
    <cellStyle name="20% - Accent3 2 3 2 2 2 4 2 2" xfId="4438" xr:uid="{00000000-0005-0000-0000-00002A120000}"/>
    <cellStyle name="20% - Accent3 2 3 2 2 2 4 3" xfId="20060" xr:uid="{00000000-0005-0000-0000-00002B120000}"/>
    <cellStyle name="20% - Accent3 2 3 2 2 2 5" xfId="6343" xr:uid="{00000000-0005-0000-0000-00002C120000}"/>
    <cellStyle name="20% - Accent3 2 3 2 2 2 5 2" xfId="11927" xr:uid="{00000000-0005-0000-0000-00002D120000}"/>
    <cellStyle name="20% - Accent3 2 3 2 2 2 6" xfId="7288" xr:uid="{00000000-0005-0000-0000-00002E120000}"/>
    <cellStyle name="20% - Accent3 2 3 2 2 3" xfId="69" xr:uid="{00000000-0005-0000-0000-00002F120000}"/>
    <cellStyle name="20% - Accent3 2 3 2 2 3 2" xfId="29925" xr:uid="{00000000-0005-0000-0000-000030120000}"/>
    <cellStyle name="20% - Accent3 2 3 2 2 3 2 2" xfId="13095" xr:uid="{00000000-0005-0000-0000-000031120000}"/>
    <cellStyle name="20% - Accent3 2 3 2 2 3 2 2 2" xfId="1429" xr:uid="{00000000-0005-0000-0000-000032120000}"/>
    <cellStyle name="20% - Accent3 2 3 2 2 3 2 2 2 2" xfId="3243" xr:uid="{00000000-0005-0000-0000-000033120000}"/>
    <cellStyle name="20% - Accent3 2 3 2 2 3 2 2 3" xfId="19108" xr:uid="{00000000-0005-0000-0000-000034120000}"/>
    <cellStyle name="20% - Accent3 2 3 2 2 3 2 3" xfId="16799" xr:uid="{00000000-0005-0000-0000-000035120000}"/>
    <cellStyle name="20% - Accent3 2 3 2 2 3 2 3 2" xfId="13059" xr:uid="{00000000-0005-0000-0000-000036120000}"/>
    <cellStyle name="20% - Accent3 2 3 2 2 3 2 4" xfId="16800" xr:uid="{00000000-0005-0000-0000-000037120000}"/>
    <cellStyle name="20% - Accent3 2 3 2 2 3 3" xfId="32109" xr:uid="{00000000-0005-0000-0000-000038120000}"/>
    <cellStyle name="20% - Accent3 2 3 2 2 3 3 2" xfId="13295" xr:uid="{00000000-0005-0000-0000-000039120000}"/>
    <cellStyle name="20% - Accent3 2 3 2 2 3 3 2 2" xfId="2940" xr:uid="{00000000-0005-0000-0000-00003A120000}"/>
    <cellStyle name="20% - Accent3 2 3 2 2 3 3 3" xfId="19256" xr:uid="{00000000-0005-0000-0000-00003B120000}"/>
    <cellStyle name="20% - Accent3 2 3 2 2 3 4" xfId="5867" xr:uid="{00000000-0005-0000-0000-00003C120000}"/>
    <cellStyle name="20% - Accent3 2 3 2 2 3 4 2" xfId="146" xr:uid="{00000000-0005-0000-0000-00003D120000}"/>
    <cellStyle name="20% - Accent3 2 3 2 2 3 5" xfId="6361" xr:uid="{00000000-0005-0000-0000-00003E120000}"/>
    <cellStyle name="20% - Accent3 2 3 2 2 4" xfId="5555" xr:uid="{00000000-0005-0000-0000-00003F120000}"/>
    <cellStyle name="20% - Accent3 2 3 2 2 4 2" xfId="12527" xr:uid="{00000000-0005-0000-0000-000040120000}"/>
    <cellStyle name="20% - Accent3 2 3 2 2 4 2 2" xfId="13676" xr:uid="{00000000-0005-0000-0000-000041120000}"/>
    <cellStyle name="20% - Accent3 2 3 2 2 4 2 2 2" xfId="1201" xr:uid="{00000000-0005-0000-0000-000042120000}"/>
    <cellStyle name="20% - Accent3 2 3 2 2 4 2 3" xfId="16826" xr:uid="{00000000-0005-0000-0000-000043120000}"/>
    <cellStyle name="20% - Accent3 2 3 2 2 4 3" xfId="12548" xr:uid="{00000000-0005-0000-0000-000044120000}"/>
    <cellStyle name="20% - Accent3 2 3 2 2 4 3 2" xfId="7290" xr:uid="{00000000-0005-0000-0000-000045120000}"/>
    <cellStyle name="20% - Accent3 2 3 2 2 4 4" xfId="5003" xr:uid="{00000000-0005-0000-0000-000046120000}"/>
    <cellStyle name="20% - Accent3 2 3 2 2 5" xfId="5882" xr:uid="{00000000-0005-0000-0000-000047120000}"/>
    <cellStyle name="20% - Accent3 2 3 2 2 5 2" xfId="22466" xr:uid="{00000000-0005-0000-0000-000048120000}"/>
    <cellStyle name="20% - Accent3 2 3 2 2 5 2 2" xfId="6063" xr:uid="{00000000-0005-0000-0000-000049120000}"/>
    <cellStyle name="20% - Accent3 2 3 2 2 5 3" xfId="14397" xr:uid="{00000000-0005-0000-0000-00004A120000}"/>
    <cellStyle name="20% - Accent3 2 3 2 2 6" xfId="5891" xr:uid="{00000000-0005-0000-0000-00004B120000}"/>
    <cellStyle name="20% - Accent3 2 3 2 2 6 2" xfId="23647" xr:uid="{00000000-0005-0000-0000-00004C120000}"/>
    <cellStyle name="20% - Accent3 2 3 2 2 7" xfId="31163" xr:uid="{00000000-0005-0000-0000-00004D120000}"/>
    <cellStyle name="20% - Accent3 2 3 2 3" xfId="7296" xr:uid="{00000000-0005-0000-0000-00004E120000}"/>
    <cellStyle name="20% - Accent3 2 3 2 3 2" xfId="2417" xr:uid="{00000000-0005-0000-0000-00004F120000}"/>
    <cellStyle name="20% - Accent3 2 3 2 3 2 2" xfId="4609" xr:uid="{00000000-0005-0000-0000-000050120000}"/>
    <cellStyle name="20% - Accent3 2 3 2 3 2 2 2" xfId="7298" xr:uid="{00000000-0005-0000-0000-000051120000}"/>
    <cellStyle name="20% - Accent3 2 3 2 3 2 2 2 2" xfId="669" xr:uid="{00000000-0005-0000-0000-000052120000}"/>
    <cellStyle name="20% - Accent3 2 3 2 3 2 2 2 2 2" xfId="5378" xr:uid="{00000000-0005-0000-0000-000053120000}"/>
    <cellStyle name="20% - Accent3 2 3 2 3 2 2 2 3" xfId="1325" xr:uid="{00000000-0005-0000-0000-000054120000}"/>
    <cellStyle name="20% - Accent3 2 3 2 3 2 2 3" xfId="251" xr:uid="{00000000-0005-0000-0000-000055120000}"/>
    <cellStyle name="20% - Accent3 2 3 2 3 2 2 3 2" xfId="1340" xr:uid="{00000000-0005-0000-0000-000056120000}"/>
    <cellStyle name="20% - Accent3 2 3 2 3 2 2 4" xfId="8217" xr:uid="{00000000-0005-0000-0000-000057120000}"/>
    <cellStyle name="20% - Accent3 2 3 2 3 2 3" xfId="8258" xr:uid="{00000000-0005-0000-0000-000058120000}"/>
    <cellStyle name="20% - Accent3 2 3 2 3 2 3 2" xfId="7299" xr:uid="{00000000-0005-0000-0000-000059120000}"/>
    <cellStyle name="20% - Accent3 2 3 2 3 2 3 2 2" xfId="1405" xr:uid="{00000000-0005-0000-0000-00005A120000}"/>
    <cellStyle name="20% - Accent3 2 3 2 3 2 3 3" xfId="26604" xr:uid="{00000000-0005-0000-0000-00005B120000}"/>
    <cellStyle name="20% - Accent3 2 3 2 3 2 4" xfId="22941" xr:uid="{00000000-0005-0000-0000-00005C120000}"/>
    <cellStyle name="20% - Accent3 2 3 2 3 2 4 2" xfId="7302" xr:uid="{00000000-0005-0000-0000-00005D120000}"/>
    <cellStyle name="20% - Accent3 2 3 2 3 2 5" xfId="26099" xr:uid="{00000000-0005-0000-0000-00005E120000}"/>
    <cellStyle name="20% - Accent3 2 3 2 3 3" xfId="5931" xr:uid="{00000000-0005-0000-0000-00005F120000}"/>
    <cellStyle name="20% - Accent3 2 3 2 3 3 2" xfId="4870" xr:uid="{00000000-0005-0000-0000-000060120000}"/>
    <cellStyle name="20% - Accent3 2 3 2 3 3 2 2" xfId="7305" xr:uid="{00000000-0005-0000-0000-000061120000}"/>
    <cellStyle name="20% - Accent3 2 3 2 3 3 2 2 2" xfId="4410" xr:uid="{00000000-0005-0000-0000-000062120000}"/>
    <cellStyle name="20% - Accent3 2 3 2 3 3 2 3" xfId="16874" xr:uid="{00000000-0005-0000-0000-000063120000}"/>
    <cellStyle name="20% - Accent3 2 3 2 3 3 3" xfId="8267" xr:uid="{00000000-0005-0000-0000-000064120000}"/>
    <cellStyle name="20% - Accent3 2 3 2 3 3 3 2" xfId="7309" xr:uid="{00000000-0005-0000-0000-000065120000}"/>
    <cellStyle name="20% - Accent3 2 3 2 3 3 4" xfId="26139" xr:uid="{00000000-0005-0000-0000-000066120000}"/>
    <cellStyle name="20% - Accent3 2 3 2 3 4" xfId="5934" xr:uid="{00000000-0005-0000-0000-000067120000}"/>
    <cellStyle name="20% - Accent3 2 3 2 3 4 2" xfId="11138" xr:uid="{00000000-0005-0000-0000-000068120000}"/>
    <cellStyle name="20% - Accent3 2 3 2 3 4 2 2" xfId="23072" xr:uid="{00000000-0005-0000-0000-000069120000}"/>
    <cellStyle name="20% - Accent3 2 3 2 3 4 3" xfId="7312" xr:uid="{00000000-0005-0000-0000-00006A120000}"/>
    <cellStyle name="20% - Accent3 2 3 2 3 5" xfId="6818" xr:uid="{00000000-0005-0000-0000-00006B120000}"/>
    <cellStyle name="20% - Accent3 2 3 2 3 5 2" xfId="22495" xr:uid="{00000000-0005-0000-0000-00006C120000}"/>
    <cellStyle name="20% - Accent3 2 3 2 3 6" xfId="7317" xr:uid="{00000000-0005-0000-0000-00006D120000}"/>
    <cellStyle name="20% - Accent3 2 3 2 4" xfId="3505" xr:uid="{00000000-0005-0000-0000-00006E120000}"/>
    <cellStyle name="20% - Accent3 2 3 2 4 2" xfId="19912" xr:uid="{00000000-0005-0000-0000-00006F120000}"/>
    <cellStyle name="20% - Accent3 2 3 2 4 2 2" xfId="29578" xr:uid="{00000000-0005-0000-0000-000070120000}"/>
    <cellStyle name="20% - Accent3 2 3 2 4 2 2 2" xfId="7322" xr:uid="{00000000-0005-0000-0000-000071120000}"/>
    <cellStyle name="20% - Accent3 2 3 2 4 2 2 2 2" xfId="7378" xr:uid="{00000000-0005-0000-0000-000072120000}"/>
    <cellStyle name="20% - Accent3 2 3 2 4 2 2 3" xfId="2196" xr:uid="{00000000-0005-0000-0000-000073120000}"/>
    <cellStyle name="20% - Accent3 2 3 2 4 2 3" xfId="22761" xr:uid="{00000000-0005-0000-0000-000074120000}"/>
    <cellStyle name="20% - Accent3 2 3 2 4 2 3 2" xfId="7323" xr:uid="{00000000-0005-0000-0000-000075120000}"/>
    <cellStyle name="20% - Accent3 2 3 2 4 2 4" xfId="28599" xr:uid="{00000000-0005-0000-0000-000076120000}"/>
    <cellStyle name="20% - Accent3 2 3 2 4 3" xfId="6808" xr:uid="{00000000-0005-0000-0000-000077120000}"/>
    <cellStyle name="20% - Accent3 2 3 2 4 3 2" xfId="33511" xr:uid="{00000000-0005-0000-0000-000078120000}"/>
    <cellStyle name="20% - Accent3 2 3 2 4 3 2 2" xfId="7324" xr:uid="{00000000-0005-0000-0000-000079120000}"/>
    <cellStyle name="20% - Accent3 2 3 2 4 3 3" xfId="30603" xr:uid="{00000000-0005-0000-0000-00007A120000}"/>
    <cellStyle name="20% - Accent3 2 3 2 4 4" xfId="7123" xr:uid="{00000000-0005-0000-0000-00007B120000}"/>
    <cellStyle name="20% - Accent3 2 3 2 4 4 2" xfId="25450" xr:uid="{00000000-0005-0000-0000-00007C120000}"/>
    <cellStyle name="20% - Accent3 2 3 2 4 5" xfId="6706" xr:uid="{00000000-0005-0000-0000-00007D120000}"/>
    <cellStyle name="20% - Accent3 2 3 2 5" xfId="3516" xr:uid="{00000000-0005-0000-0000-00007E120000}"/>
    <cellStyle name="20% - Accent3 2 3 2 5 2" xfId="6089" xr:uid="{00000000-0005-0000-0000-00007F120000}"/>
    <cellStyle name="20% - Accent3 2 3 2 5 2 2" xfId="420" xr:uid="{00000000-0005-0000-0000-000080120000}"/>
    <cellStyle name="20% - Accent3 2 3 2 5 2 2 2" xfId="6981" xr:uid="{00000000-0005-0000-0000-000081120000}"/>
    <cellStyle name="20% - Accent3 2 3 2 5 2 3" xfId="7327" xr:uid="{00000000-0005-0000-0000-000082120000}"/>
    <cellStyle name="20% - Accent3 2 3 2 5 3" xfId="6096" xr:uid="{00000000-0005-0000-0000-000083120000}"/>
    <cellStyle name="20% - Accent3 2 3 2 5 3 2" xfId="7329" xr:uid="{00000000-0005-0000-0000-000084120000}"/>
    <cellStyle name="20% - Accent3 2 3 2 5 4" xfId="19924" xr:uid="{00000000-0005-0000-0000-000085120000}"/>
    <cellStyle name="20% - Accent3 2 3 2 6" xfId="7333" xr:uid="{00000000-0005-0000-0000-000086120000}"/>
    <cellStyle name="20% - Accent3 2 3 2 6 2" xfId="6646" xr:uid="{00000000-0005-0000-0000-000087120000}"/>
    <cellStyle name="20% - Accent3 2 3 2 6 2 2" xfId="7337" xr:uid="{00000000-0005-0000-0000-000088120000}"/>
    <cellStyle name="20% - Accent3 2 3 2 6 3" xfId="7338" xr:uid="{00000000-0005-0000-0000-000089120000}"/>
    <cellStyle name="20% - Accent3 2 3 2 7" xfId="345" xr:uid="{00000000-0005-0000-0000-00008A120000}"/>
    <cellStyle name="20% - Accent3 2 3 2 7 2" xfId="7340" xr:uid="{00000000-0005-0000-0000-00008B120000}"/>
    <cellStyle name="20% - Accent3 2 3 2 8" xfId="7342" xr:uid="{00000000-0005-0000-0000-00008C120000}"/>
    <cellStyle name="20% - Accent3 2 3 3" xfId="14618" xr:uid="{00000000-0005-0000-0000-00008D120000}"/>
    <cellStyle name="20% - Accent3 2 3 3 2" xfId="7343" xr:uid="{00000000-0005-0000-0000-00008E120000}"/>
    <cellStyle name="20% - Accent3 2 3 3 2 2" xfId="5855" xr:uid="{00000000-0005-0000-0000-00008F120000}"/>
    <cellStyle name="20% - Accent3 2 3 3 2 2 2" xfId="8865" xr:uid="{00000000-0005-0000-0000-000090120000}"/>
    <cellStyle name="20% - Accent3 2 3 3 2 2 2 2" xfId="3023" xr:uid="{00000000-0005-0000-0000-000091120000}"/>
    <cellStyle name="20% - Accent3 2 3 3 2 2 2 2 2" xfId="3988" xr:uid="{00000000-0005-0000-0000-000092120000}"/>
    <cellStyle name="20% - Accent3 2 3 3 2 2 2 2 2 2" xfId="5441" xr:uid="{00000000-0005-0000-0000-000093120000}"/>
    <cellStyle name="20% - Accent3 2 3 3 2 2 2 2 3" xfId="4033" xr:uid="{00000000-0005-0000-0000-000094120000}"/>
    <cellStyle name="20% - Accent3 2 3 3 2 2 2 3" xfId="3256" xr:uid="{00000000-0005-0000-0000-000095120000}"/>
    <cellStyle name="20% - Accent3 2 3 3 2 2 2 3 2" xfId="26787" xr:uid="{00000000-0005-0000-0000-000096120000}"/>
    <cellStyle name="20% - Accent3 2 3 3 2 2 2 4" xfId="7301" xr:uid="{00000000-0005-0000-0000-000097120000}"/>
    <cellStyle name="20% - Accent3 2 3 3 2 2 3" xfId="8821" xr:uid="{00000000-0005-0000-0000-000098120000}"/>
    <cellStyle name="20% - Accent3 2 3 3 2 2 3 2" xfId="3044" xr:uid="{00000000-0005-0000-0000-000099120000}"/>
    <cellStyle name="20% - Accent3 2 3 3 2 2 3 2 2" xfId="17615" xr:uid="{00000000-0005-0000-0000-00009A120000}"/>
    <cellStyle name="20% - Accent3 2 3 3 2 2 3 3" xfId="5219" xr:uid="{00000000-0005-0000-0000-00009B120000}"/>
    <cellStyle name="20% - Accent3 2 3 3 2 2 4" xfId="6264" xr:uid="{00000000-0005-0000-0000-00009C120000}"/>
    <cellStyle name="20% - Accent3 2 3 3 2 2 4 2" xfId="7344" xr:uid="{00000000-0005-0000-0000-00009D120000}"/>
    <cellStyle name="20% - Accent3 2 3 3 2 2 5" xfId="7350" xr:uid="{00000000-0005-0000-0000-00009E120000}"/>
    <cellStyle name="20% - Accent3 2 3 3 2 3" xfId="7963" xr:uid="{00000000-0005-0000-0000-00009F120000}"/>
    <cellStyle name="20% - Accent3 2 3 3 2 3 2" xfId="11037" xr:uid="{00000000-0005-0000-0000-0000A0120000}"/>
    <cellStyle name="20% - Accent3 2 3 3 2 3 2 2" xfId="7353" xr:uid="{00000000-0005-0000-0000-0000A1120000}"/>
    <cellStyle name="20% - Accent3 2 3 3 2 3 2 2 2" xfId="4503" xr:uid="{00000000-0005-0000-0000-0000A2120000}"/>
    <cellStyle name="20% - Accent3 2 3 3 2 3 2 3" xfId="17120" xr:uid="{00000000-0005-0000-0000-0000A3120000}"/>
    <cellStyle name="20% - Accent3 2 3 3 2 3 3" xfId="6271" xr:uid="{00000000-0005-0000-0000-0000A4120000}"/>
    <cellStyle name="20% - Accent3 2 3 3 2 3 3 2" xfId="7357" xr:uid="{00000000-0005-0000-0000-0000A5120000}"/>
    <cellStyle name="20% - Accent3 2 3 3 2 3 4" xfId="7365" xr:uid="{00000000-0005-0000-0000-0000A6120000}"/>
    <cellStyle name="20% - Accent3 2 3 3 2 4" xfId="9302" xr:uid="{00000000-0005-0000-0000-0000A7120000}"/>
    <cellStyle name="20% - Accent3 2 3 3 2 4 2" xfId="8844" xr:uid="{00000000-0005-0000-0000-0000A8120000}"/>
    <cellStyle name="20% - Accent3 2 3 3 2 4 2 2" xfId="7368" xr:uid="{00000000-0005-0000-0000-0000A9120000}"/>
    <cellStyle name="20% - Accent3 2 3 3 2 4 3" xfId="7372" xr:uid="{00000000-0005-0000-0000-0000AA120000}"/>
    <cellStyle name="20% - Accent3 2 3 3 2 5" xfId="20328" xr:uid="{00000000-0005-0000-0000-0000AB120000}"/>
    <cellStyle name="20% - Accent3 2 3 3 2 5 2" xfId="23467" xr:uid="{00000000-0005-0000-0000-0000AC120000}"/>
    <cellStyle name="20% - Accent3 2 3 3 2 6" xfId="7387" xr:uid="{00000000-0005-0000-0000-0000AD120000}"/>
    <cellStyle name="20% - Accent3 2 3 3 3" xfId="7388" xr:uid="{00000000-0005-0000-0000-0000AE120000}"/>
    <cellStyle name="20% - Accent3 2 3 3 3 2" xfId="6282" xr:uid="{00000000-0005-0000-0000-0000AF120000}"/>
    <cellStyle name="20% - Accent3 2 3 3 3 2 2" xfId="21959" xr:uid="{00000000-0005-0000-0000-0000B0120000}"/>
    <cellStyle name="20% - Accent3 2 3 3 3 2 2 2" xfId="17472" xr:uid="{00000000-0005-0000-0000-0000B1120000}"/>
    <cellStyle name="20% - Accent3 2 3 3 3 2 2 2 2" xfId="368" xr:uid="{00000000-0005-0000-0000-0000B2120000}"/>
    <cellStyle name="20% - Accent3 2 3 3 3 2 2 3" xfId="5387" xr:uid="{00000000-0005-0000-0000-0000B3120000}"/>
    <cellStyle name="20% - Accent3 2 3 3 3 2 3" xfId="8292" xr:uid="{00000000-0005-0000-0000-0000B4120000}"/>
    <cellStyle name="20% - Accent3 2 3 3 3 2 3 2" xfId="7392" xr:uid="{00000000-0005-0000-0000-0000B5120000}"/>
    <cellStyle name="20% - Accent3 2 3 3 3 2 4" xfId="18250" xr:uid="{00000000-0005-0000-0000-0000B6120000}"/>
    <cellStyle name="20% - Accent3 2 3 3 3 3" xfId="31722" xr:uid="{00000000-0005-0000-0000-0000B7120000}"/>
    <cellStyle name="20% - Accent3 2 3 3 3 3 2" xfId="4635" xr:uid="{00000000-0005-0000-0000-0000B8120000}"/>
    <cellStyle name="20% - Accent3 2 3 3 3 3 2 2" xfId="7403" xr:uid="{00000000-0005-0000-0000-0000B9120000}"/>
    <cellStyle name="20% - Accent3 2 3 3 3 3 3" xfId="587" xr:uid="{00000000-0005-0000-0000-0000BA120000}"/>
    <cellStyle name="20% - Accent3 2 3 3 3 4" xfId="20347" xr:uid="{00000000-0005-0000-0000-0000BB120000}"/>
    <cellStyle name="20% - Accent3 2 3 3 3 4 2" xfId="4767" xr:uid="{00000000-0005-0000-0000-0000BC120000}"/>
    <cellStyle name="20% - Accent3 2 3 3 3 5" xfId="7406" xr:uid="{00000000-0005-0000-0000-0000BD120000}"/>
    <cellStyle name="20% - Accent3 2 3 3 4" xfId="1305" xr:uid="{00000000-0005-0000-0000-0000BE120000}"/>
    <cellStyle name="20% - Accent3 2 3 3 4 2" xfId="9332" xr:uid="{00000000-0005-0000-0000-0000BF120000}"/>
    <cellStyle name="20% - Accent3 2 3 3 4 2 2" xfId="6794" xr:uid="{00000000-0005-0000-0000-0000C0120000}"/>
    <cellStyle name="20% - Accent3 2 3 3 4 2 2 2" xfId="7409" xr:uid="{00000000-0005-0000-0000-0000C1120000}"/>
    <cellStyle name="20% - Accent3 2 3 3 4 2 3" xfId="7410" xr:uid="{00000000-0005-0000-0000-0000C2120000}"/>
    <cellStyle name="20% - Accent3 2 3 3 4 3" xfId="9334" xr:uid="{00000000-0005-0000-0000-0000C3120000}"/>
    <cellStyle name="20% - Accent3 2 3 3 4 3 2" xfId="3526" xr:uid="{00000000-0005-0000-0000-0000C4120000}"/>
    <cellStyle name="20% - Accent3 2 3 3 4 4" xfId="7411" xr:uid="{00000000-0005-0000-0000-0000C5120000}"/>
    <cellStyle name="20% - Accent3 2 3 3 5" xfId="16871" xr:uid="{00000000-0005-0000-0000-0000C6120000}"/>
    <cellStyle name="20% - Accent3 2 3 3 5 2" xfId="9338" xr:uid="{00000000-0005-0000-0000-0000C7120000}"/>
    <cellStyle name="20% - Accent3 2 3 3 5 2 2" xfId="7415" xr:uid="{00000000-0005-0000-0000-0000C8120000}"/>
    <cellStyle name="20% - Accent3 2 3 3 5 3" xfId="7417" xr:uid="{00000000-0005-0000-0000-0000C9120000}"/>
    <cellStyle name="20% - Accent3 2 3 3 6" xfId="7418" xr:uid="{00000000-0005-0000-0000-0000CA120000}"/>
    <cellStyle name="20% - Accent3 2 3 3 6 2" xfId="2114" xr:uid="{00000000-0005-0000-0000-0000CB120000}"/>
    <cellStyle name="20% - Accent3 2 3 3 7" xfId="7425" xr:uid="{00000000-0005-0000-0000-0000CC120000}"/>
    <cellStyle name="20% - Accent3 2 3 4" xfId="7427" xr:uid="{00000000-0005-0000-0000-0000CD120000}"/>
    <cellStyle name="20% - Accent3 2 3 4 2" xfId="4434" xr:uid="{00000000-0005-0000-0000-0000CE120000}"/>
    <cellStyle name="20% - Accent3 2 3 4 2 2" xfId="6435" xr:uid="{00000000-0005-0000-0000-0000CF120000}"/>
    <cellStyle name="20% - Accent3 2 3 4 2 2 2" xfId="21994" xr:uid="{00000000-0005-0000-0000-0000D0120000}"/>
    <cellStyle name="20% - Accent3 2 3 4 2 2 2 2" xfId="11329" xr:uid="{00000000-0005-0000-0000-0000D1120000}"/>
    <cellStyle name="20% - Accent3 2 3 4 2 2 2 2 2" xfId="62" xr:uid="{00000000-0005-0000-0000-0000D2120000}"/>
    <cellStyle name="20% - Accent3 2 3 4 2 2 2 3" xfId="6420" xr:uid="{00000000-0005-0000-0000-0000D3120000}"/>
    <cellStyle name="20% - Accent3 2 3 4 2 2 3" xfId="9054" xr:uid="{00000000-0005-0000-0000-0000D4120000}"/>
    <cellStyle name="20% - Accent3 2 3 4 2 2 3 2" xfId="6438" xr:uid="{00000000-0005-0000-0000-0000D5120000}"/>
    <cellStyle name="20% - Accent3 2 3 4 2 2 4" xfId="9060" xr:uid="{00000000-0005-0000-0000-0000D6120000}"/>
    <cellStyle name="20% - Accent3 2 3 4 2 3" xfId="25951" xr:uid="{00000000-0005-0000-0000-0000D7120000}"/>
    <cellStyle name="20% - Accent3 2 3 4 2 3 2" xfId="6443" xr:uid="{00000000-0005-0000-0000-0000D8120000}"/>
    <cellStyle name="20% - Accent3 2 3 4 2 3 2 2" xfId="5949" xr:uid="{00000000-0005-0000-0000-0000D9120000}"/>
    <cellStyle name="20% - Accent3 2 3 4 2 3 3" xfId="9071" xr:uid="{00000000-0005-0000-0000-0000DA120000}"/>
    <cellStyle name="20% - Accent3 2 3 4 2 4" xfId="2363" xr:uid="{00000000-0005-0000-0000-0000DB120000}"/>
    <cellStyle name="20% - Accent3 2 3 4 2 4 2" xfId="8997" xr:uid="{00000000-0005-0000-0000-0000DC120000}"/>
    <cellStyle name="20% - Accent3 2 3 4 2 5" xfId="3335" xr:uid="{00000000-0005-0000-0000-0000DD120000}"/>
    <cellStyle name="20% - Accent3 2 3 4 3" xfId="20913" xr:uid="{00000000-0005-0000-0000-0000DE120000}"/>
    <cellStyle name="20% - Accent3 2 3 4 3 2" xfId="32781" xr:uid="{00000000-0005-0000-0000-0000DF120000}"/>
    <cellStyle name="20% - Accent3 2 3 4 3 2 2" xfId="4889" xr:uid="{00000000-0005-0000-0000-0000E0120000}"/>
    <cellStyle name="20% - Accent3 2 3 4 3 2 2 2" xfId="9929" xr:uid="{00000000-0005-0000-0000-0000E1120000}"/>
    <cellStyle name="20% - Accent3 2 3 4 3 2 3" xfId="7439" xr:uid="{00000000-0005-0000-0000-0000E2120000}"/>
    <cellStyle name="20% - Accent3 2 3 4 3 3" xfId="9363" xr:uid="{00000000-0005-0000-0000-0000E3120000}"/>
    <cellStyle name="20% - Accent3 2 3 4 3 3 2" xfId="3587" xr:uid="{00000000-0005-0000-0000-0000E4120000}"/>
    <cellStyle name="20% - Accent3 2 3 4 3 4" xfId="752" xr:uid="{00000000-0005-0000-0000-0000E5120000}"/>
    <cellStyle name="20% - Accent3 2 3 4 4" xfId="7443" xr:uid="{00000000-0005-0000-0000-0000E6120000}"/>
    <cellStyle name="20% - Accent3 2 3 4 4 2" xfId="9366" xr:uid="{00000000-0005-0000-0000-0000E7120000}"/>
    <cellStyle name="20% - Accent3 2 3 4 4 2 2" xfId="7946" xr:uid="{00000000-0005-0000-0000-0000E8120000}"/>
    <cellStyle name="20% - Accent3 2 3 4 4 3" xfId="2865" xr:uid="{00000000-0005-0000-0000-0000E9120000}"/>
    <cellStyle name="20% - Accent3 2 3 4 5" xfId="2707" xr:uid="{00000000-0005-0000-0000-0000EA120000}"/>
    <cellStyle name="20% - Accent3 2 3 4 5 2" xfId="2714" xr:uid="{00000000-0005-0000-0000-0000EB120000}"/>
    <cellStyle name="20% - Accent3 2 3 4 6" xfId="2735" xr:uid="{00000000-0005-0000-0000-0000EC120000}"/>
    <cellStyle name="20% - Accent3 2 3 5" xfId="30648" xr:uid="{00000000-0005-0000-0000-0000ED120000}"/>
    <cellStyle name="20% - Accent3 2 3 5 2" xfId="7448" xr:uid="{00000000-0005-0000-0000-0000EE120000}"/>
    <cellStyle name="20% - Accent3 2 3 5 2 2" xfId="33490" xr:uid="{00000000-0005-0000-0000-0000EF120000}"/>
    <cellStyle name="20% - Accent3 2 3 5 2 2 2" xfId="12578" xr:uid="{00000000-0005-0000-0000-0000F0120000}"/>
    <cellStyle name="20% - Accent3 2 3 5 2 2 2 2" xfId="10777" xr:uid="{00000000-0005-0000-0000-0000F1120000}"/>
    <cellStyle name="20% - Accent3 2 3 5 2 2 3" xfId="12586" xr:uid="{00000000-0005-0000-0000-0000F2120000}"/>
    <cellStyle name="20% - Accent3 2 3 5 2 3" xfId="3041" xr:uid="{00000000-0005-0000-0000-0000F3120000}"/>
    <cellStyle name="20% - Accent3 2 3 5 2 3 2" xfId="12611" xr:uid="{00000000-0005-0000-0000-0000F4120000}"/>
    <cellStyle name="20% - Accent3 2 3 5 2 4" xfId="16465" xr:uid="{00000000-0005-0000-0000-0000F5120000}"/>
    <cellStyle name="20% - Accent3 2 3 5 3" xfId="7450" xr:uid="{00000000-0005-0000-0000-0000F6120000}"/>
    <cellStyle name="20% - Accent3 2 3 5 3 2" xfId="23427" xr:uid="{00000000-0005-0000-0000-0000F7120000}"/>
    <cellStyle name="20% - Accent3 2 3 5 3 2 2" xfId="7452" xr:uid="{00000000-0005-0000-0000-0000F8120000}"/>
    <cellStyle name="20% - Accent3 2 3 5 3 3" xfId="3067" xr:uid="{00000000-0005-0000-0000-0000F9120000}"/>
    <cellStyle name="20% - Accent3 2 3 5 4" xfId="30625" xr:uid="{00000000-0005-0000-0000-0000FA120000}"/>
    <cellStyle name="20% - Accent3 2 3 5 4 2" xfId="7456" xr:uid="{00000000-0005-0000-0000-0000FB120000}"/>
    <cellStyle name="20% - Accent3 2 3 5 5" xfId="22371" xr:uid="{00000000-0005-0000-0000-0000FC120000}"/>
    <cellStyle name="20% - Accent3 2 3 6" xfId="6974" xr:uid="{00000000-0005-0000-0000-0000FD120000}"/>
    <cellStyle name="20% - Accent3 2 3 6 2" xfId="7460" xr:uid="{00000000-0005-0000-0000-0000FE120000}"/>
    <cellStyle name="20% - Accent3 2 3 6 2 2" xfId="20395" xr:uid="{00000000-0005-0000-0000-0000FF120000}"/>
    <cellStyle name="20% - Accent3 2 3 6 2 2 2" xfId="17548" xr:uid="{00000000-0005-0000-0000-000000130000}"/>
    <cellStyle name="20% - Accent3 2 3 6 2 3" xfId="5578" xr:uid="{00000000-0005-0000-0000-000001130000}"/>
    <cellStyle name="20% - Accent3 2 3 6 3" xfId="8713" xr:uid="{00000000-0005-0000-0000-000002130000}"/>
    <cellStyle name="20% - Accent3 2 3 6 3 2" xfId="13004" xr:uid="{00000000-0005-0000-0000-000003130000}"/>
    <cellStyle name="20% - Accent3 2 3 6 4" xfId="13081" xr:uid="{00000000-0005-0000-0000-000004130000}"/>
    <cellStyle name="20% - Accent3 2 3 7" xfId="6978" xr:uid="{00000000-0005-0000-0000-000005130000}"/>
    <cellStyle name="20% - Accent3 2 3 7 2" xfId="8221" xr:uid="{00000000-0005-0000-0000-000006130000}"/>
    <cellStyle name="20% - Accent3 2 3 7 2 2" xfId="13503" xr:uid="{00000000-0005-0000-0000-000007130000}"/>
    <cellStyle name="20% - Accent3 2 3 7 3" xfId="7482" xr:uid="{00000000-0005-0000-0000-000008130000}"/>
    <cellStyle name="20% - Accent3 2 3 8" xfId="24869" xr:uid="{00000000-0005-0000-0000-000009130000}"/>
    <cellStyle name="20% - Accent3 2 3 8 2" xfId="7491" xr:uid="{00000000-0005-0000-0000-00000A130000}"/>
    <cellStyle name="20% - Accent3 2 3 9" xfId="17121" xr:uid="{00000000-0005-0000-0000-00000B130000}"/>
    <cellStyle name="20% - Accent3 2 4" xfId="10630" xr:uid="{00000000-0005-0000-0000-00000C130000}"/>
    <cellStyle name="20% - Accent3 2 4 2" xfId="5491" xr:uid="{00000000-0005-0000-0000-00000D130000}"/>
    <cellStyle name="20% - Accent3 2 4 2 2" xfId="24998" xr:uid="{00000000-0005-0000-0000-00000E130000}"/>
    <cellStyle name="20% - Accent3 2 4 2 2 2" xfId="1612" xr:uid="{00000000-0005-0000-0000-00000F130000}"/>
    <cellStyle name="20% - Accent3 2 4 2 2 2 2" xfId="9938" xr:uid="{00000000-0005-0000-0000-000010130000}"/>
    <cellStyle name="20% - Accent3 2 4 2 2 2 2 2" xfId="10663" xr:uid="{00000000-0005-0000-0000-000011130000}"/>
    <cellStyle name="20% - Accent3 2 4 2 2 2 2 2 2" xfId="7498" xr:uid="{00000000-0005-0000-0000-000012130000}"/>
    <cellStyle name="20% - Accent3 2 4 2 2 2 2 2 2 2" xfId="4331" xr:uid="{00000000-0005-0000-0000-000013130000}"/>
    <cellStyle name="20% - Accent3 2 4 2 2 2 2 2 3" xfId="7502" xr:uid="{00000000-0005-0000-0000-000014130000}"/>
    <cellStyle name="20% - Accent3 2 4 2 2 2 2 3" xfId="13123" xr:uid="{00000000-0005-0000-0000-000015130000}"/>
    <cellStyle name="20% - Accent3 2 4 2 2 2 2 3 2" xfId="7496" xr:uid="{00000000-0005-0000-0000-000016130000}"/>
    <cellStyle name="20% - Accent3 2 4 2 2 2 2 4" xfId="16045" xr:uid="{00000000-0005-0000-0000-000017130000}"/>
    <cellStyle name="20% - Accent3 2 4 2 2 2 3" xfId="6854" xr:uid="{00000000-0005-0000-0000-000018130000}"/>
    <cellStyle name="20% - Accent3 2 4 2 2 2 3 2" xfId="7511" xr:uid="{00000000-0005-0000-0000-000019130000}"/>
    <cellStyle name="20% - Accent3 2 4 2 2 2 3 2 2" xfId="11012" xr:uid="{00000000-0005-0000-0000-00001A130000}"/>
    <cellStyle name="20% - Accent3 2 4 2 2 2 3 3" xfId="7512" xr:uid="{00000000-0005-0000-0000-00001B130000}"/>
    <cellStyle name="20% - Accent3 2 4 2 2 2 4" xfId="7515" xr:uid="{00000000-0005-0000-0000-00001C130000}"/>
    <cellStyle name="20% - Accent3 2 4 2 2 2 4 2" xfId="617" xr:uid="{00000000-0005-0000-0000-00001D130000}"/>
    <cellStyle name="20% - Accent3 2 4 2 2 2 5" xfId="7520" xr:uid="{00000000-0005-0000-0000-00001E130000}"/>
    <cellStyle name="20% - Accent3 2 4 2 2 3" xfId="1567" xr:uid="{00000000-0005-0000-0000-00001F130000}"/>
    <cellStyle name="20% - Accent3 2 4 2 2 3 2" xfId="7524" xr:uid="{00000000-0005-0000-0000-000020130000}"/>
    <cellStyle name="20% - Accent3 2 4 2 2 3 2 2" xfId="7529" xr:uid="{00000000-0005-0000-0000-000021130000}"/>
    <cellStyle name="20% - Accent3 2 4 2 2 3 2 2 2" xfId="7532" xr:uid="{00000000-0005-0000-0000-000022130000}"/>
    <cellStyle name="20% - Accent3 2 4 2 2 3 2 3" xfId="13145" xr:uid="{00000000-0005-0000-0000-000023130000}"/>
    <cellStyle name="20% - Accent3 2 4 2 2 3 3" xfId="7533" xr:uid="{00000000-0005-0000-0000-000024130000}"/>
    <cellStyle name="20% - Accent3 2 4 2 2 3 3 2" xfId="7535" xr:uid="{00000000-0005-0000-0000-000025130000}"/>
    <cellStyle name="20% - Accent3 2 4 2 2 3 4" xfId="7536" xr:uid="{00000000-0005-0000-0000-000026130000}"/>
    <cellStyle name="20% - Accent3 2 4 2 2 4" xfId="7539" xr:uid="{00000000-0005-0000-0000-000027130000}"/>
    <cellStyle name="20% - Accent3 2 4 2 2 4 2" xfId="10707" xr:uid="{00000000-0005-0000-0000-000028130000}"/>
    <cellStyle name="20% - Accent3 2 4 2 2 4 2 2" xfId="7556" xr:uid="{00000000-0005-0000-0000-000029130000}"/>
    <cellStyle name="20% - Accent3 2 4 2 2 4 3" xfId="7557" xr:uid="{00000000-0005-0000-0000-00002A130000}"/>
    <cellStyle name="20% - Accent3 2 4 2 2 5" xfId="7573" xr:uid="{00000000-0005-0000-0000-00002B130000}"/>
    <cellStyle name="20% - Accent3 2 4 2 2 5 2" xfId="22794" xr:uid="{00000000-0005-0000-0000-00002C130000}"/>
    <cellStyle name="20% - Accent3 2 4 2 2 6" xfId="5397" xr:uid="{00000000-0005-0000-0000-00002D130000}"/>
    <cellStyle name="20% - Accent3 2 4 2 3" xfId="29505" xr:uid="{00000000-0005-0000-0000-00002E130000}"/>
    <cellStyle name="20% - Accent3 2 4 2 3 2" xfId="1006" xr:uid="{00000000-0005-0000-0000-00002F130000}"/>
    <cellStyle name="20% - Accent3 2 4 2 3 2 2" xfId="5623" xr:uid="{00000000-0005-0000-0000-000030130000}"/>
    <cellStyle name="20% - Accent3 2 4 2 3 2 2 2" xfId="7590" xr:uid="{00000000-0005-0000-0000-000031130000}"/>
    <cellStyle name="20% - Accent3 2 4 2 3 2 2 2 2" xfId="2191" xr:uid="{00000000-0005-0000-0000-000032130000}"/>
    <cellStyle name="20% - Accent3 2 4 2 3 2 2 3" xfId="19610" xr:uid="{00000000-0005-0000-0000-000033130000}"/>
    <cellStyle name="20% - Accent3 2 4 2 3 2 3" xfId="13629" xr:uid="{00000000-0005-0000-0000-000034130000}"/>
    <cellStyle name="20% - Accent3 2 4 2 3 2 3 2" xfId="7593" xr:uid="{00000000-0005-0000-0000-000035130000}"/>
    <cellStyle name="20% - Accent3 2 4 2 3 2 4" xfId="27568" xr:uid="{00000000-0005-0000-0000-000036130000}"/>
    <cellStyle name="20% - Accent3 2 4 2 3 3" xfId="7597" xr:uid="{00000000-0005-0000-0000-000037130000}"/>
    <cellStyle name="20% - Accent3 2 4 2 3 3 2" xfId="5642" xr:uid="{00000000-0005-0000-0000-000038130000}"/>
    <cellStyle name="20% - Accent3 2 4 2 3 3 2 2" xfId="7599" xr:uid="{00000000-0005-0000-0000-000039130000}"/>
    <cellStyle name="20% - Accent3 2 4 2 3 3 3" xfId="7600" xr:uid="{00000000-0005-0000-0000-00003A130000}"/>
    <cellStyle name="20% - Accent3 2 4 2 3 4" xfId="7602" xr:uid="{00000000-0005-0000-0000-00003B130000}"/>
    <cellStyle name="20% - Accent3 2 4 2 3 4 2" xfId="9050" xr:uid="{00000000-0005-0000-0000-00003C130000}"/>
    <cellStyle name="20% - Accent3 2 4 2 3 5" xfId="7613" xr:uid="{00000000-0005-0000-0000-00003D130000}"/>
    <cellStyle name="20% - Accent3 2 4 2 4" xfId="3527" xr:uid="{00000000-0005-0000-0000-00003E130000}"/>
    <cellStyle name="20% - Accent3 2 4 2 4 2" xfId="7618" xr:uid="{00000000-0005-0000-0000-00003F130000}"/>
    <cellStyle name="20% - Accent3 2 4 2 4 2 2" xfId="800" xr:uid="{00000000-0005-0000-0000-000040130000}"/>
    <cellStyle name="20% - Accent3 2 4 2 4 2 2 2" xfId="7625" xr:uid="{00000000-0005-0000-0000-000041130000}"/>
    <cellStyle name="20% - Accent3 2 4 2 4 2 3" xfId="357" xr:uid="{00000000-0005-0000-0000-000042130000}"/>
    <cellStyle name="20% - Accent3 2 4 2 4 3" xfId="7835" xr:uid="{00000000-0005-0000-0000-000043130000}"/>
    <cellStyle name="20% - Accent3 2 4 2 4 3 2" xfId="539" xr:uid="{00000000-0005-0000-0000-000044130000}"/>
    <cellStyle name="20% - Accent3 2 4 2 4 4" xfId="5422" xr:uid="{00000000-0005-0000-0000-000045130000}"/>
    <cellStyle name="20% - Accent3 2 4 2 5" xfId="7627" xr:uid="{00000000-0005-0000-0000-000046130000}"/>
    <cellStyle name="20% - Accent3 2 4 2 5 2" xfId="6207" xr:uid="{00000000-0005-0000-0000-000047130000}"/>
    <cellStyle name="20% - Accent3 2 4 2 5 2 2" xfId="1540" xr:uid="{00000000-0005-0000-0000-000048130000}"/>
    <cellStyle name="20% - Accent3 2 4 2 5 3" xfId="4218" xr:uid="{00000000-0005-0000-0000-000049130000}"/>
    <cellStyle name="20% - Accent3 2 4 2 6" xfId="7628" xr:uid="{00000000-0005-0000-0000-00004A130000}"/>
    <cellStyle name="20% - Accent3 2 4 2 6 2" xfId="7632" xr:uid="{00000000-0005-0000-0000-00004B130000}"/>
    <cellStyle name="20% - Accent3 2 4 2 7" xfId="7641" xr:uid="{00000000-0005-0000-0000-00004C130000}"/>
    <cellStyle name="20% - Accent3 2 4 3" xfId="5480" xr:uid="{00000000-0005-0000-0000-00004D130000}"/>
    <cellStyle name="20% - Accent3 2 4 3 2" xfId="7643" xr:uid="{00000000-0005-0000-0000-00004E130000}"/>
    <cellStyle name="20% - Accent3 2 4 3 2 2" xfId="4876" xr:uid="{00000000-0005-0000-0000-00004F130000}"/>
    <cellStyle name="20% - Accent3 2 4 3 2 2 2" xfId="19710" xr:uid="{00000000-0005-0000-0000-000050130000}"/>
    <cellStyle name="20% - Accent3 2 4 3 2 2 2 2" xfId="5375" xr:uid="{00000000-0005-0000-0000-000051130000}"/>
    <cellStyle name="20% - Accent3 2 4 3 2 2 2 2 2" xfId="7420" xr:uid="{00000000-0005-0000-0000-000052130000}"/>
    <cellStyle name="20% - Accent3 2 4 3 2 2 2 3" xfId="11868" xr:uid="{00000000-0005-0000-0000-000053130000}"/>
    <cellStyle name="20% - Accent3 2 4 3 2 2 3" xfId="7646" xr:uid="{00000000-0005-0000-0000-000054130000}"/>
    <cellStyle name="20% - Accent3 2 4 3 2 2 3 2" xfId="1893" xr:uid="{00000000-0005-0000-0000-000055130000}"/>
    <cellStyle name="20% - Accent3 2 4 3 2 2 4" xfId="12309" xr:uid="{00000000-0005-0000-0000-000056130000}"/>
    <cellStyle name="20% - Accent3 2 4 3 2 3" xfId="18819" xr:uid="{00000000-0005-0000-0000-000057130000}"/>
    <cellStyle name="20% - Accent3 2 4 3 2 3 2" xfId="17442" xr:uid="{00000000-0005-0000-0000-000058130000}"/>
    <cellStyle name="20% - Accent3 2 4 3 2 3 2 2" xfId="4189" xr:uid="{00000000-0005-0000-0000-000059130000}"/>
    <cellStyle name="20% - Accent3 2 4 3 2 3 3" xfId="12319" xr:uid="{00000000-0005-0000-0000-00005A130000}"/>
    <cellStyle name="20% - Accent3 2 4 3 2 4" xfId="9435" xr:uid="{00000000-0005-0000-0000-00005B130000}"/>
    <cellStyle name="20% - Accent3 2 4 3 2 4 2" xfId="13568" xr:uid="{00000000-0005-0000-0000-00005C130000}"/>
    <cellStyle name="20% - Accent3 2 4 3 2 5" xfId="7668" xr:uid="{00000000-0005-0000-0000-00005D130000}"/>
    <cellStyle name="20% - Accent3 2 4 3 3" xfId="7680" xr:uid="{00000000-0005-0000-0000-00005E130000}"/>
    <cellStyle name="20% - Accent3 2 4 3 3 2" xfId="23184" xr:uid="{00000000-0005-0000-0000-00005F130000}"/>
    <cellStyle name="20% - Accent3 2 4 3 3 2 2" xfId="12067" xr:uid="{00000000-0005-0000-0000-000060130000}"/>
    <cellStyle name="20% - Accent3 2 4 3 3 2 2 2" xfId="2815" xr:uid="{00000000-0005-0000-0000-000061130000}"/>
    <cellStyle name="20% - Accent3 2 4 3 3 2 3" xfId="12076" xr:uid="{00000000-0005-0000-0000-000062130000}"/>
    <cellStyle name="20% - Accent3 2 4 3 3 3" xfId="12981" xr:uid="{00000000-0005-0000-0000-000063130000}"/>
    <cellStyle name="20% - Accent3 2 4 3 3 3 2" xfId="7281" xr:uid="{00000000-0005-0000-0000-000064130000}"/>
    <cellStyle name="20% - Accent3 2 4 3 3 4" xfId="7694" xr:uid="{00000000-0005-0000-0000-000065130000}"/>
    <cellStyle name="20% - Accent3 2 4 3 4" xfId="7705" xr:uid="{00000000-0005-0000-0000-000066130000}"/>
    <cellStyle name="20% - Accent3 2 4 3 4 2" xfId="7708" xr:uid="{00000000-0005-0000-0000-000067130000}"/>
    <cellStyle name="20% - Accent3 2 4 3 4 2 2" xfId="12079" xr:uid="{00000000-0005-0000-0000-000068130000}"/>
    <cellStyle name="20% - Accent3 2 4 3 4 3" xfId="295" xr:uid="{00000000-0005-0000-0000-000069130000}"/>
    <cellStyle name="20% - Accent3 2 4 3 5" xfId="7716" xr:uid="{00000000-0005-0000-0000-00006A130000}"/>
    <cellStyle name="20% - Accent3 2 4 3 5 2" xfId="7717" xr:uid="{00000000-0005-0000-0000-00006B130000}"/>
    <cellStyle name="20% - Accent3 2 4 3 6" xfId="7725" xr:uid="{00000000-0005-0000-0000-00006C130000}"/>
    <cellStyle name="20% - Accent3 2 4 4" xfId="7727" xr:uid="{00000000-0005-0000-0000-00006D130000}"/>
    <cellStyle name="20% - Accent3 2 4 4 2" xfId="5467" xr:uid="{00000000-0005-0000-0000-00006E130000}"/>
    <cellStyle name="20% - Accent3 2 4 4 2 2" xfId="28700" xr:uid="{00000000-0005-0000-0000-00006F130000}"/>
    <cellStyle name="20% - Accent3 2 4 4 2 2 2" xfId="13730" xr:uid="{00000000-0005-0000-0000-000070130000}"/>
    <cellStyle name="20% - Accent3 2 4 4 2 2 2 2" xfId="5685" xr:uid="{00000000-0005-0000-0000-000071130000}"/>
    <cellStyle name="20% - Accent3 2 4 4 2 2 3" xfId="9293" xr:uid="{00000000-0005-0000-0000-000072130000}"/>
    <cellStyle name="20% - Accent3 2 4 4 2 3" xfId="9472" xr:uid="{00000000-0005-0000-0000-000073130000}"/>
    <cellStyle name="20% - Accent3 2 4 4 2 3 2" xfId="13740" xr:uid="{00000000-0005-0000-0000-000074130000}"/>
    <cellStyle name="20% - Accent3 2 4 4 2 4" xfId="5527" xr:uid="{00000000-0005-0000-0000-000075130000}"/>
    <cellStyle name="20% - Accent3 2 4 4 3" xfId="7745" xr:uid="{00000000-0005-0000-0000-000076130000}"/>
    <cellStyle name="20% - Accent3 2 4 4 3 2" xfId="7747" xr:uid="{00000000-0005-0000-0000-000077130000}"/>
    <cellStyle name="20% - Accent3 2 4 4 3 2 2" xfId="12088" xr:uid="{00000000-0005-0000-0000-000078130000}"/>
    <cellStyle name="20% - Accent3 2 4 4 3 3" xfId="3721" xr:uid="{00000000-0005-0000-0000-000079130000}"/>
    <cellStyle name="20% - Accent3 2 4 4 4" xfId="7760" xr:uid="{00000000-0005-0000-0000-00007A130000}"/>
    <cellStyle name="20% - Accent3 2 4 4 4 2" xfId="7766" xr:uid="{00000000-0005-0000-0000-00007B130000}"/>
    <cellStyle name="20% - Accent3 2 4 4 5" xfId="2792" xr:uid="{00000000-0005-0000-0000-00007C130000}"/>
    <cellStyle name="20% - Accent3 2 4 5" xfId="14254" xr:uid="{00000000-0005-0000-0000-00007D130000}"/>
    <cellStyle name="20% - Accent3 2 4 5 2" xfId="14263" xr:uid="{00000000-0005-0000-0000-00007E130000}"/>
    <cellStyle name="20% - Accent3 2 4 5 2 2" xfId="31342" xr:uid="{00000000-0005-0000-0000-00007F130000}"/>
    <cellStyle name="20% - Accent3 2 4 5 2 2 2" xfId="13791" xr:uid="{00000000-0005-0000-0000-000080130000}"/>
    <cellStyle name="20% - Accent3 2 4 5 2 3" xfId="3732" xr:uid="{00000000-0005-0000-0000-000081130000}"/>
    <cellStyle name="20% - Accent3 2 4 5 3" xfId="18794" xr:uid="{00000000-0005-0000-0000-000082130000}"/>
    <cellStyle name="20% - Accent3 2 4 5 3 2" xfId="7787" xr:uid="{00000000-0005-0000-0000-000083130000}"/>
    <cellStyle name="20% - Accent3 2 4 5 4" xfId="29354" xr:uid="{00000000-0005-0000-0000-000084130000}"/>
    <cellStyle name="20% - Accent3 2 4 6" xfId="14273" xr:uid="{00000000-0005-0000-0000-000085130000}"/>
    <cellStyle name="20% - Accent3 2 4 6 2" xfId="14276" xr:uid="{00000000-0005-0000-0000-000086130000}"/>
    <cellStyle name="20% - Accent3 2 4 6 2 2" xfId="7801" xr:uid="{00000000-0005-0000-0000-000087130000}"/>
    <cellStyle name="20% - Accent3 2 4 6 3" xfId="8537" xr:uid="{00000000-0005-0000-0000-000088130000}"/>
    <cellStyle name="20% - Accent3 2 4 7" xfId="7805" xr:uid="{00000000-0005-0000-0000-000089130000}"/>
    <cellStyle name="20% - Accent3 2 4 7 2" xfId="7812" xr:uid="{00000000-0005-0000-0000-00008A130000}"/>
    <cellStyle name="20% - Accent3 2 4 8" xfId="4260" xr:uid="{00000000-0005-0000-0000-00008B130000}"/>
    <cellStyle name="20% - Accent3 2 5" xfId="4211" xr:uid="{00000000-0005-0000-0000-00008C130000}"/>
    <cellStyle name="20% - Accent3 2 5 2" xfId="7817" xr:uid="{00000000-0005-0000-0000-00008D130000}"/>
    <cellStyle name="20% - Accent3 2 5 2 2" xfId="19975" xr:uid="{00000000-0005-0000-0000-00008E130000}"/>
    <cellStyle name="20% - Accent3 2 5 2 2 2" xfId="10779" xr:uid="{00000000-0005-0000-0000-00008F130000}"/>
    <cellStyle name="20% - Accent3 2 5 2 2 2 2" xfId="7819" xr:uid="{00000000-0005-0000-0000-000090130000}"/>
    <cellStyle name="20% - Accent3 2 5 2 2 2 2 2" xfId="5585" xr:uid="{00000000-0005-0000-0000-000091130000}"/>
    <cellStyle name="20% - Accent3 2 5 2 2 2 2 2 2" xfId="5552" xr:uid="{00000000-0005-0000-0000-000092130000}"/>
    <cellStyle name="20% - Accent3 2 5 2 2 2 2 3" xfId="5380" xr:uid="{00000000-0005-0000-0000-000093130000}"/>
    <cellStyle name="20% - Accent3 2 5 2 2 2 3" xfId="7822" xr:uid="{00000000-0005-0000-0000-000094130000}"/>
    <cellStyle name="20% - Accent3 2 5 2 2 2 3 2" xfId="5390" xr:uid="{00000000-0005-0000-0000-000095130000}"/>
    <cellStyle name="20% - Accent3 2 5 2 2 2 4" xfId="17634" xr:uid="{00000000-0005-0000-0000-000096130000}"/>
    <cellStyle name="20% - Accent3 2 5 2 2 3" xfId="5394" xr:uid="{00000000-0005-0000-0000-000097130000}"/>
    <cellStyle name="20% - Accent3 2 5 2 2 3 2" xfId="7825" xr:uid="{00000000-0005-0000-0000-000098130000}"/>
    <cellStyle name="20% - Accent3 2 5 2 2 3 2 2" xfId="2806" xr:uid="{00000000-0005-0000-0000-000099130000}"/>
    <cellStyle name="20% - Accent3 2 5 2 2 3 3" xfId="7829" xr:uid="{00000000-0005-0000-0000-00009A130000}"/>
    <cellStyle name="20% - Accent3 2 5 2 2 4" xfId="5693" xr:uid="{00000000-0005-0000-0000-00009B130000}"/>
    <cellStyle name="20% - Accent3 2 5 2 2 4 2" xfId="7831" xr:uid="{00000000-0005-0000-0000-00009C130000}"/>
    <cellStyle name="20% - Accent3 2 5 2 2 5" xfId="5699" xr:uid="{00000000-0005-0000-0000-00009D130000}"/>
    <cellStyle name="20% - Accent3 2 5 2 3" xfId="5227" xr:uid="{00000000-0005-0000-0000-00009E130000}"/>
    <cellStyle name="20% - Accent3 2 5 2 3 2" xfId="5408" xr:uid="{00000000-0005-0000-0000-00009F130000}"/>
    <cellStyle name="20% - Accent3 2 5 2 3 2 2" xfId="6177" xr:uid="{00000000-0005-0000-0000-0000A0130000}"/>
    <cellStyle name="20% - Accent3 2 5 2 3 2 2 2" xfId="5409" xr:uid="{00000000-0005-0000-0000-0000A1130000}"/>
    <cellStyle name="20% - Accent3 2 5 2 3 2 3" xfId="7843" xr:uid="{00000000-0005-0000-0000-0000A2130000}"/>
    <cellStyle name="20% - Accent3 2 5 2 3 3" xfId="5410" xr:uid="{00000000-0005-0000-0000-0000A3130000}"/>
    <cellStyle name="20% - Accent3 2 5 2 3 3 2" xfId="7845" xr:uid="{00000000-0005-0000-0000-0000A4130000}"/>
    <cellStyle name="20% - Accent3 2 5 2 3 4" xfId="7846" xr:uid="{00000000-0005-0000-0000-0000A5130000}"/>
    <cellStyle name="20% - Accent3 2 5 2 4" xfId="5223" xr:uid="{00000000-0005-0000-0000-0000A6130000}"/>
    <cellStyle name="20% - Accent3 2 5 2 4 2" xfId="10562" xr:uid="{00000000-0005-0000-0000-0000A7130000}"/>
    <cellStyle name="20% - Accent3 2 5 2 4 2 2" xfId="2929" xr:uid="{00000000-0005-0000-0000-0000A8130000}"/>
    <cellStyle name="20% - Accent3 2 5 2 4 3" xfId="5420" xr:uid="{00000000-0005-0000-0000-0000A9130000}"/>
    <cellStyle name="20% - Accent3 2 5 2 5" xfId="3421" xr:uid="{00000000-0005-0000-0000-0000AA130000}"/>
    <cellStyle name="20% - Accent3 2 5 2 5 2" xfId="5432" xr:uid="{00000000-0005-0000-0000-0000AB130000}"/>
    <cellStyle name="20% - Accent3 2 5 2 6" xfId="7850" xr:uid="{00000000-0005-0000-0000-0000AC130000}"/>
    <cellStyle name="20% - Accent3 2 5 3" xfId="2436" xr:uid="{00000000-0005-0000-0000-0000AD130000}"/>
    <cellStyle name="20% - Accent3 2 5 3 2" xfId="5257" xr:uid="{00000000-0005-0000-0000-0000AE130000}"/>
    <cellStyle name="20% - Accent3 2 5 3 2 2" xfId="16428" xr:uid="{00000000-0005-0000-0000-0000AF130000}"/>
    <cellStyle name="20% - Accent3 2 5 3 2 2 2" xfId="13906" xr:uid="{00000000-0005-0000-0000-0000B0130000}"/>
    <cellStyle name="20% - Accent3 2 5 3 2 2 2 2" xfId="5479" xr:uid="{00000000-0005-0000-0000-0000B1130000}"/>
    <cellStyle name="20% - Accent3 2 5 3 2 2 3" xfId="16435" xr:uid="{00000000-0005-0000-0000-0000B2130000}"/>
    <cellStyle name="20% - Accent3 2 5 3 2 3" xfId="16436" xr:uid="{00000000-0005-0000-0000-0000B3130000}"/>
    <cellStyle name="20% - Accent3 2 5 3 2 3 2" xfId="13910" xr:uid="{00000000-0005-0000-0000-0000B4130000}"/>
    <cellStyle name="20% - Accent3 2 5 3 2 4" xfId="7863" xr:uid="{00000000-0005-0000-0000-0000B5130000}"/>
    <cellStyle name="20% - Accent3 2 5 3 3" xfId="5264" xr:uid="{00000000-0005-0000-0000-0000B6130000}"/>
    <cellStyle name="20% - Accent3 2 5 3 3 2" xfId="16508" xr:uid="{00000000-0005-0000-0000-0000B7130000}"/>
    <cellStyle name="20% - Accent3 2 5 3 3 2 2" xfId="16511" xr:uid="{00000000-0005-0000-0000-0000B8130000}"/>
    <cellStyle name="20% - Accent3 2 5 3 3 3" xfId="16514" xr:uid="{00000000-0005-0000-0000-0000B9130000}"/>
    <cellStyle name="20% - Accent3 2 5 3 4" xfId="29556" xr:uid="{00000000-0005-0000-0000-0000BA130000}"/>
    <cellStyle name="20% - Accent3 2 5 3 4 2" xfId="16551" xr:uid="{00000000-0005-0000-0000-0000BB130000}"/>
    <cellStyle name="20% - Accent3 2 5 3 5" xfId="7873" xr:uid="{00000000-0005-0000-0000-0000BC130000}"/>
    <cellStyle name="20% - Accent3 2 5 4" xfId="7875" xr:uid="{00000000-0005-0000-0000-0000BD130000}"/>
    <cellStyle name="20% - Accent3 2 5 4 2" xfId="14764" xr:uid="{00000000-0005-0000-0000-0000BE130000}"/>
    <cellStyle name="20% - Accent3 2 5 4 2 2" xfId="12232" xr:uid="{00000000-0005-0000-0000-0000BF130000}"/>
    <cellStyle name="20% - Accent3 2 5 4 2 2 2" xfId="20794" xr:uid="{00000000-0005-0000-0000-0000C0130000}"/>
    <cellStyle name="20% - Accent3 2 5 4 2 3" xfId="13438" xr:uid="{00000000-0005-0000-0000-0000C1130000}"/>
    <cellStyle name="20% - Accent3 2 5 4 3" xfId="13032" xr:uid="{00000000-0005-0000-0000-0000C2130000}"/>
    <cellStyle name="20% - Accent3 2 5 4 3 2" xfId="13442" xr:uid="{00000000-0005-0000-0000-0000C3130000}"/>
    <cellStyle name="20% - Accent3 2 5 4 4" xfId="15999" xr:uid="{00000000-0005-0000-0000-0000C4130000}"/>
    <cellStyle name="20% - Accent3 2 5 5" xfId="7883" xr:uid="{00000000-0005-0000-0000-0000C5130000}"/>
    <cellStyle name="20% - Accent3 2 5 5 2" xfId="5312" xr:uid="{00000000-0005-0000-0000-0000C6130000}"/>
    <cellStyle name="20% - Accent3 2 5 5 2 2" xfId="13448" xr:uid="{00000000-0005-0000-0000-0000C7130000}"/>
    <cellStyle name="20% - Accent3 2 5 5 3" xfId="16013" xr:uid="{00000000-0005-0000-0000-0000C8130000}"/>
    <cellStyle name="20% - Accent3 2 5 6" xfId="7896" xr:uid="{00000000-0005-0000-0000-0000C9130000}"/>
    <cellStyle name="20% - Accent3 2 5 6 2" xfId="16018" xr:uid="{00000000-0005-0000-0000-0000CA130000}"/>
    <cellStyle name="20% - Accent3 2 5 7" xfId="2088" xr:uid="{00000000-0005-0000-0000-0000CB130000}"/>
    <cellStyle name="20% - Accent3 2 6" xfId="7903" xr:uid="{00000000-0005-0000-0000-0000CC130000}"/>
    <cellStyle name="20% - Accent3 2 6 2" xfId="13553" xr:uid="{00000000-0005-0000-0000-0000CD130000}"/>
    <cellStyle name="20% - Accent3 2 6 2 2" xfId="7540" xr:uid="{00000000-0005-0000-0000-0000CE130000}"/>
    <cellStyle name="20% - Accent3 2 6 2 2 2" xfId="12478" xr:uid="{00000000-0005-0000-0000-0000CF130000}"/>
    <cellStyle name="20% - Accent3 2 6 2 2 2 2" xfId="5766" xr:uid="{00000000-0005-0000-0000-0000D0130000}"/>
    <cellStyle name="20% - Accent3 2 6 2 2 2 2 2" xfId="18615" xr:uid="{00000000-0005-0000-0000-0000D1130000}"/>
    <cellStyle name="20% - Accent3 2 6 2 2 2 3" xfId="7905" xr:uid="{00000000-0005-0000-0000-0000D2130000}"/>
    <cellStyle name="20% - Accent3 2 6 2 2 3" xfId="7562" xr:uid="{00000000-0005-0000-0000-0000D3130000}"/>
    <cellStyle name="20% - Accent3 2 6 2 2 3 2" xfId="7910" xr:uid="{00000000-0005-0000-0000-0000D4130000}"/>
    <cellStyle name="20% - Accent3 2 6 2 2 4" xfId="7916" xr:uid="{00000000-0005-0000-0000-0000D5130000}"/>
    <cellStyle name="20% - Accent3 2 6 2 3" xfId="7574" xr:uid="{00000000-0005-0000-0000-0000D6130000}"/>
    <cellStyle name="20% - Accent3 2 6 2 3 2" xfId="7584" xr:uid="{00000000-0005-0000-0000-0000D7130000}"/>
    <cellStyle name="20% - Accent3 2 6 2 3 2 2" xfId="7923" xr:uid="{00000000-0005-0000-0000-0000D8130000}"/>
    <cellStyle name="20% - Accent3 2 6 2 3 3" xfId="7925" xr:uid="{00000000-0005-0000-0000-0000D9130000}"/>
    <cellStyle name="20% - Accent3 2 6 2 4" xfId="5395" xr:uid="{00000000-0005-0000-0000-0000DA130000}"/>
    <cellStyle name="20% - Accent3 2 6 2 4 2" xfId="7931" xr:uid="{00000000-0005-0000-0000-0000DB130000}"/>
    <cellStyle name="20% - Accent3 2 6 2 5" xfId="7934" xr:uid="{00000000-0005-0000-0000-0000DC130000}"/>
    <cellStyle name="20% - Accent3 2 6 3" xfId="14342" xr:uid="{00000000-0005-0000-0000-0000DD130000}"/>
    <cellStyle name="20% - Accent3 2 6 3 2" xfId="7603" xr:uid="{00000000-0005-0000-0000-0000DE130000}"/>
    <cellStyle name="20% - Accent3 2 6 3 2 2" xfId="9521" xr:uid="{00000000-0005-0000-0000-0000DF130000}"/>
    <cellStyle name="20% - Accent3 2 6 3 2 2 2" xfId="14051" xr:uid="{00000000-0005-0000-0000-0000E0130000}"/>
    <cellStyle name="20% - Accent3 2 6 3 2 3" xfId="9067" xr:uid="{00000000-0005-0000-0000-0000E1130000}"/>
    <cellStyle name="20% - Accent3 2 6 3 3" xfId="7615" xr:uid="{00000000-0005-0000-0000-0000E2130000}"/>
    <cellStyle name="20% - Accent3 2 6 3 3 2" xfId="9102" xr:uid="{00000000-0005-0000-0000-0000E3130000}"/>
    <cellStyle name="20% - Accent3 2 6 3 4" xfId="6062" xr:uid="{00000000-0005-0000-0000-0000E4130000}"/>
    <cellStyle name="20% - Accent3 2 6 4" xfId="9934" xr:uid="{00000000-0005-0000-0000-0000E5130000}"/>
    <cellStyle name="20% - Accent3 2 6 4 2" xfId="13045" xr:uid="{00000000-0005-0000-0000-0000E6130000}"/>
    <cellStyle name="20% - Accent3 2 6 4 2 2" xfId="12206" xr:uid="{00000000-0005-0000-0000-0000E7130000}"/>
    <cellStyle name="20% - Accent3 2 6 4 3" xfId="15454" xr:uid="{00000000-0005-0000-0000-0000E8130000}"/>
    <cellStyle name="20% - Accent3 2 6 5" xfId="7938" xr:uid="{00000000-0005-0000-0000-0000E9130000}"/>
    <cellStyle name="20% - Accent3 2 6 5 2" xfId="16049" xr:uid="{00000000-0005-0000-0000-0000EA130000}"/>
    <cellStyle name="20% - Accent3 2 6 6" xfId="7945" xr:uid="{00000000-0005-0000-0000-0000EB130000}"/>
    <cellStyle name="20% - Accent3 2 7" xfId="8984" xr:uid="{00000000-0005-0000-0000-0000EC130000}"/>
    <cellStyle name="20% - Accent3 2 7 2" xfId="14346" xr:uid="{00000000-0005-0000-0000-0000ED130000}"/>
    <cellStyle name="20% - Accent3 2 7 2 2" xfId="5486" xr:uid="{00000000-0005-0000-0000-0000EE130000}"/>
    <cellStyle name="20% - Accent3 2 7 2 2 2" xfId="14175" xr:uid="{00000000-0005-0000-0000-0000EF130000}"/>
    <cellStyle name="20% - Accent3 2 7 2 2 2 2" xfId="7950" xr:uid="{00000000-0005-0000-0000-0000F0130000}"/>
    <cellStyle name="20% - Accent3 2 7 2 2 3" xfId="5834" xr:uid="{00000000-0005-0000-0000-0000F1130000}"/>
    <cellStyle name="20% - Accent3 2 7 2 3" xfId="7672" xr:uid="{00000000-0005-0000-0000-0000F2130000}"/>
    <cellStyle name="20% - Accent3 2 7 2 3 2" xfId="14541" xr:uid="{00000000-0005-0000-0000-0000F3130000}"/>
    <cellStyle name="20% - Accent3 2 7 2 4" xfId="7957" xr:uid="{00000000-0005-0000-0000-0000F4130000}"/>
    <cellStyle name="20% - Accent3 2 7 3" xfId="7958" xr:uid="{00000000-0005-0000-0000-0000F5130000}"/>
    <cellStyle name="20% - Accent3 2 7 3 2" xfId="7696" xr:uid="{00000000-0005-0000-0000-0000F6130000}"/>
    <cellStyle name="20% - Accent3 2 7 3 2 2" xfId="7960" xr:uid="{00000000-0005-0000-0000-0000F7130000}"/>
    <cellStyle name="20% - Accent3 2 7 3 3" xfId="7964" xr:uid="{00000000-0005-0000-0000-0000F8130000}"/>
    <cellStyle name="20% - Accent3 2 7 4" xfId="7965" xr:uid="{00000000-0005-0000-0000-0000F9130000}"/>
    <cellStyle name="20% - Accent3 2 7 4 2" xfId="7968" xr:uid="{00000000-0005-0000-0000-0000FA130000}"/>
    <cellStyle name="20% - Accent3 2 7 5" xfId="21069" xr:uid="{00000000-0005-0000-0000-0000FB130000}"/>
    <cellStyle name="20% - Accent3 2 8" xfId="4589" xr:uid="{00000000-0005-0000-0000-0000FC130000}"/>
    <cellStyle name="20% - Accent3 2 8 2" xfId="7978" xr:uid="{00000000-0005-0000-0000-0000FD130000}"/>
    <cellStyle name="20% - Accent3 2 8 2 2" xfId="5525" xr:uid="{00000000-0005-0000-0000-0000FE130000}"/>
    <cellStyle name="20% - Accent3 2 8 2 2 2" xfId="7980" xr:uid="{00000000-0005-0000-0000-0000FF130000}"/>
    <cellStyle name="20% - Accent3 2 8 2 3" xfId="4007" xr:uid="{00000000-0005-0000-0000-000000140000}"/>
    <cellStyle name="20% - Accent3 2 8 3" xfId="7987" xr:uid="{00000000-0005-0000-0000-000001140000}"/>
    <cellStyle name="20% - Accent3 2 8 3 2" xfId="7989" xr:uid="{00000000-0005-0000-0000-000002140000}"/>
    <cellStyle name="20% - Accent3 2 8 4" xfId="7990" xr:uid="{00000000-0005-0000-0000-000003140000}"/>
    <cellStyle name="20% - Accent3 2 9" xfId="7991" xr:uid="{00000000-0005-0000-0000-000004140000}"/>
    <cellStyle name="20% - Accent3 2 9 2" xfId="10468" xr:uid="{00000000-0005-0000-0000-000005140000}"/>
    <cellStyle name="20% - Accent3 2 9 2 2" xfId="4813" xr:uid="{00000000-0005-0000-0000-000006140000}"/>
    <cellStyle name="20% - Accent3 2 9 3" xfId="28006" xr:uid="{00000000-0005-0000-0000-000007140000}"/>
    <cellStyle name="20% - Accent3 3" xfId="7554" xr:uid="{00000000-0005-0000-0000-000008140000}"/>
    <cellStyle name="20% - Accent3 3 10" xfId="5917" xr:uid="{00000000-0005-0000-0000-000009140000}"/>
    <cellStyle name="20% - Accent3 3 2" xfId="1412" xr:uid="{00000000-0005-0000-0000-00000A140000}"/>
    <cellStyle name="20% - Accent3 3 2 2" xfId="1416" xr:uid="{00000000-0005-0000-0000-00000B140000}"/>
    <cellStyle name="20% - Accent3 3 2 2 2" xfId="2212" xr:uid="{00000000-0005-0000-0000-00000C140000}"/>
    <cellStyle name="20% - Accent3 3 2 2 2 2" xfId="15120" xr:uid="{00000000-0005-0000-0000-00000D140000}"/>
    <cellStyle name="20% - Accent3 3 2 2 2 2 2" xfId="14651" xr:uid="{00000000-0005-0000-0000-00000E140000}"/>
    <cellStyle name="20% - Accent3 3 2 2 2 2 2 2" xfId="7996" xr:uid="{00000000-0005-0000-0000-00000F140000}"/>
    <cellStyle name="20% - Accent3 3 2 2 2 2 2 2 2" xfId="4945" xr:uid="{00000000-0005-0000-0000-000010140000}"/>
    <cellStyle name="20% - Accent3 3 2 2 2 2 2 2 2 2" xfId="7997" xr:uid="{00000000-0005-0000-0000-000011140000}"/>
    <cellStyle name="20% - Accent3 3 2 2 2 2 2 2 2 2 2" xfId="8001" xr:uid="{00000000-0005-0000-0000-000012140000}"/>
    <cellStyle name="20% - Accent3 3 2 2 2 2 2 2 2 3" xfId="8002" xr:uid="{00000000-0005-0000-0000-000013140000}"/>
    <cellStyle name="20% - Accent3 3 2 2 2 2 2 2 3" xfId="39" xr:uid="{00000000-0005-0000-0000-000014140000}"/>
    <cellStyle name="20% - Accent3 3 2 2 2 2 2 2 3 2" xfId="8005" xr:uid="{00000000-0005-0000-0000-000015140000}"/>
    <cellStyle name="20% - Accent3 3 2 2 2 2 2 2 4" xfId="3826" xr:uid="{00000000-0005-0000-0000-000016140000}"/>
    <cellStyle name="20% - Accent3 3 2 2 2 2 2 3" xfId="601" xr:uid="{00000000-0005-0000-0000-000017140000}"/>
    <cellStyle name="20% - Accent3 3 2 2 2 2 2 3 2" xfId="15464" xr:uid="{00000000-0005-0000-0000-000018140000}"/>
    <cellStyle name="20% - Accent3 3 2 2 2 2 2 3 2 2" xfId="29480" xr:uid="{00000000-0005-0000-0000-000019140000}"/>
    <cellStyle name="20% - Accent3 3 2 2 2 2 2 3 3" xfId="18775" xr:uid="{00000000-0005-0000-0000-00001A140000}"/>
    <cellStyle name="20% - Accent3 3 2 2 2 2 2 4" xfId="4245" xr:uid="{00000000-0005-0000-0000-00001B140000}"/>
    <cellStyle name="20% - Accent3 3 2 2 2 2 2 4 2" xfId="18783" xr:uid="{00000000-0005-0000-0000-00001C140000}"/>
    <cellStyle name="20% - Accent3 3 2 2 2 2 2 5" xfId="8011" xr:uid="{00000000-0005-0000-0000-00001D140000}"/>
    <cellStyle name="20% - Accent3 3 2 2 2 2 3" xfId="13603" xr:uid="{00000000-0005-0000-0000-00001E140000}"/>
    <cellStyle name="20% - Accent3 3 2 2 2 2 3 2" xfId="340" xr:uid="{00000000-0005-0000-0000-00001F140000}"/>
    <cellStyle name="20% - Accent3 3 2 2 2 2 3 2 2" xfId="25013" xr:uid="{00000000-0005-0000-0000-000020140000}"/>
    <cellStyle name="20% - Accent3 3 2 2 2 2 3 2 2 2" xfId="8014" xr:uid="{00000000-0005-0000-0000-000021140000}"/>
    <cellStyle name="20% - Accent3 3 2 2 2 2 3 2 3" xfId="4702" xr:uid="{00000000-0005-0000-0000-000022140000}"/>
    <cellStyle name="20% - Accent3 3 2 2 2 2 3 3" xfId="983" xr:uid="{00000000-0005-0000-0000-000023140000}"/>
    <cellStyle name="20% - Accent3 3 2 2 2 2 3 3 2" xfId="18803" xr:uid="{00000000-0005-0000-0000-000024140000}"/>
    <cellStyle name="20% - Accent3 3 2 2 2 2 3 4" xfId="75" xr:uid="{00000000-0005-0000-0000-000025140000}"/>
    <cellStyle name="20% - Accent3 3 2 2 2 2 4" xfId="8016" xr:uid="{00000000-0005-0000-0000-000026140000}"/>
    <cellStyle name="20% - Accent3 3 2 2 2 2 4 2" xfId="9742" xr:uid="{00000000-0005-0000-0000-000027140000}"/>
    <cellStyle name="20% - Accent3 3 2 2 2 2 4 2 2" xfId="10474" xr:uid="{00000000-0005-0000-0000-000028140000}"/>
    <cellStyle name="20% - Accent3 3 2 2 2 2 4 3" xfId="8092" xr:uid="{00000000-0005-0000-0000-000029140000}"/>
    <cellStyle name="20% - Accent3 3 2 2 2 2 5" xfId="12054" xr:uid="{00000000-0005-0000-0000-00002A140000}"/>
    <cellStyle name="20% - Accent3 3 2 2 2 2 5 2" xfId="10698" xr:uid="{00000000-0005-0000-0000-00002B140000}"/>
    <cellStyle name="20% - Accent3 3 2 2 2 2 6" xfId="9747" xr:uid="{00000000-0005-0000-0000-00002C140000}"/>
    <cellStyle name="20% - Accent3 3 2 2 2 3" xfId="3973" xr:uid="{00000000-0005-0000-0000-00002D140000}"/>
    <cellStyle name="20% - Accent3 3 2 2 2 3 2" xfId="14665" xr:uid="{00000000-0005-0000-0000-00002E140000}"/>
    <cellStyle name="20% - Accent3 3 2 2 2 3 2 2" xfId="1984" xr:uid="{00000000-0005-0000-0000-00002F140000}"/>
    <cellStyle name="20% - Accent3 3 2 2 2 3 2 2 2" xfId="454" xr:uid="{00000000-0005-0000-0000-000030140000}"/>
    <cellStyle name="20% - Accent3 3 2 2 2 3 2 2 2 2" xfId="6266" xr:uid="{00000000-0005-0000-0000-000031140000}"/>
    <cellStyle name="20% - Accent3 3 2 2 2 3 2 2 3" xfId="1267" xr:uid="{00000000-0005-0000-0000-000032140000}"/>
    <cellStyle name="20% - Accent3 3 2 2 2 3 2 3" xfId="7872" xr:uid="{00000000-0005-0000-0000-000033140000}"/>
    <cellStyle name="20% - Accent3 3 2 2 2 3 2 3 2" xfId="18834" xr:uid="{00000000-0005-0000-0000-000034140000}"/>
    <cellStyle name="20% - Accent3 3 2 2 2 3 2 4" xfId="8019" xr:uid="{00000000-0005-0000-0000-000035140000}"/>
    <cellStyle name="20% - Accent3 3 2 2 2 3 3" xfId="4691" xr:uid="{00000000-0005-0000-0000-000036140000}"/>
    <cellStyle name="20% - Accent3 3 2 2 2 3 3 2" xfId="568" xr:uid="{00000000-0005-0000-0000-000037140000}"/>
    <cellStyle name="20% - Accent3 3 2 2 2 3 3 2 2" xfId="4771" xr:uid="{00000000-0005-0000-0000-000038140000}"/>
    <cellStyle name="20% - Accent3 3 2 2 2 3 3 3" xfId="8021" xr:uid="{00000000-0005-0000-0000-000039140000}"/>
    <cellStyle name="20% - Accent3 3 2 2 2 3 4" xfId="9756" xr:uid="{00000000-0005-0000-0000-00003A140000}"/>
    <cellStyle name="20% - Accent3 3 2 2 2 3 4 2" xfId="30183" xr:uid="{00000000-0005-0000-0000-00003B140000}"/>
    <cellStyle name="20% - Accent3 3 2 2 2 3 5" xfId="7485" xr:uid="{00000000-0005-0000-0000-00003C140000}"/>
    <cellStyle name="20% - Accent3 3 2 2 2 4" xfId="25880" xr:uid="{00000000-0005-0000-0000-00003D140000}"/>
    <cellStyle name="20% - Accent3 3 2 2 2 4 2" xfId="29249" xr:uid="{00000000-0005-0000-0000-00003E140000}"/>
    <cellStyle name="20% - Accent3 3 2 2 2 4 2 2" xfId="8027" xr:uid="{00000000-0005-0000-0000-00003F140000}"/>
    <cellStyle name="20% - Accent3 3 2 2 2 4 2 2 2" xfId="838" xr:uid="{00000000-0005-0000-0000-000040140000}"/>
    <cellStyle name="20% - Accent3 3 2 2 2 4 2 3" xfId="8030" xr:uid="{00000000-0005-0000-0000-000041140000}"/>
    <cellStyle name="20% - Accent3 3 2 2 2 4 3" xfId="11741" xr:uid="{00000000-0005-0000-0000-000042140000}"/>
    <cellStyle name="20% - Accent3 3 2 2 2 4 3 2" xfId="8031" xr:uid="{00000000-0005-0000-0000-000043140000}"/>
    <cellStyle name="20% - Accent3 3 2 2 2 4 4" xfId="29253" xr:uid="{00000000-0005-0000-0000-000044140000}"/>
    <cellStyle name="20% - Accent3 3 2 2 2 5" xfId="12358" xr:uid="{00000000-0005-0000-0000-000045140000}"/>
    <cellStyle name="20% - Accent3 3 2 2 2 5 2" xfId="24197" xr:uid="{00000000-0005-0000-0000-000046140000}"/>
    <cellStyle name="20% - Accent3 3 2 2 2 5 2 2" xfId="6152" xr:uid="{00000000-0005-0000-0000-000047140000}"/>
    <cellStyle name="20% - Accent3 3 2 2 2 5 3" xfId="28484" xr:uid="{00000000-0005-0000-0000-000048140000}"/>
    <cellStyle name="20% - Accent3 3 2 2 2 6" xfId="13772" xr:uid="{00000000-0005-0000-0000-000049140000}"/>
    <cellStyle name="20% - Accent3 3 2 2 2 6 2" xfId="24214" xr:uid="{00000000-0005-0000-0000-00004A140000}"/>
    <cellStyle name="20% - Accent3 3 2 2 2 7" xfId="31459" xr:uid="{00000000-0005-0000-0000-00004B140000}"/>
    <cellStyle name="20% - Accent3 3 2 2 3" xfId="2227" xr:uid="{00000000-0005-0000-0000-00004C140000}"/>
    <cellStyle name="20% - Accent3 3 2 2 3 2" xfId="31762" xr:uid="{00000000-0005-0000-0000-00004D140000}"/>
    <cellStyle name="20% - Accent3 3 2 2 3 2 2" xfId="14687" xr:uid="{00000000-0005-0000-0000-00004E140000}"/>
    <cellStyle name="20% - Accent3 3 2 2 3 2 2 2" xfId="2718" xr:uid="{00000000-0005-0000-0000-00004F140000}"/>
    <cellStyle name="20% - Accent3 3 2 2 3 2 2 2 2" xfId="508" xr:uid="{00000000-0005-0000-0000-000050140000}"/>
    <cellStyle name="20% - Accent3 3 2 2 3 2 2 2 2 2" xfId="8043" xr:uid="{00000000-0005-0000-0000-000051140000}"/>
    <cellStyle name="20% - Accent3 3 2 2 3 2 2 2 3" xfId="2205" xr:uid="{00000000-0005-0000-0000-000052140000}"/>
    <cellStyle name="20% - Accent3 3 2 2 3 2 2 3" xfId="7933" xr:uid="{00000000-0005-0000-0000-000053140000}"/>
    <cellStyle name="20% - Accent3 3 2 2 3 2 2 3 2" xfId="18892" xr:uid="{00000000-0005-0000-0000-000054140000}"/>
    <cellStyle name="20% - Accent3 3 2 2 3 2 2 4" xfId="8045" xr:uid="{00000000-0005-0000-0000-000055140000}"/>
    <cellStyle name="20% - Accent3 3 2 2 3 2 3" xfId="7167" xr:uid="{00000000-0005-0000-0000-000056140000}"/>
    <cellStyle name="20% - Accent3 3 2 2 3 2 3 2" xfId="8047" xr:uid="{00000000-0005-0000-0000-000057140000}"/>
    <cellStyle name="20% - Accent3 3 2 2 3 2 3 2 2" xfId="5150" xr:uid="{00000000-0005-0000-0000-000058140000}"/>
    <cellStyle name="20% - Accent3 3 2 2 3 2 3 3" xfId="8049" xr:uid="{00000000-0005-0000-0000-000059140000}"/>
    <cellStyle name="20% - Accent3 3 2 2 3 2 4" xfId="28941" xr:uid="{00000000-0005-0000-0000-00005A140000}"/>
    <cellStyle name="20% - Accent3 3 2 2 3 2 4 2" xfId="8050" xr:uid="{00000000-0005-0000-0000-00005B140000}"/>
    <cellStyle name="20% - Accent3 3 2 2 3 2 5" xfId="29170" xr:uid="{00000000-0005-0000-0000-00005C140000}"/>
    <cellStyle name="20% - Accent3 3 2 2 3 3" xfId="3517" xr:uid="{00000000-0005-0000-0000-00005D140000}"/>
    <cellStyle name="20% - Accent3 3 2 2 3 3 2" xfId="7175" xr:uid="{00000000-0005-0000-0000-00005E140000}"/>
    <cellStyle name="20% - Accent3 3 2 2 3 3 2 2" xfId="8052" xr:uid="{00000000-0005-0000-0000-00005F140000}"/>
    <cellStyle name="20% - Accent3 3 2 2 3 3 2 2 2" xfId="1627" xr:uid="{00000000-0005-0000-0000-000060140000}"/>
    <cellStyle name="20% - Accent3 3 2 2 3 3 2 3" xfId="8055" xr:uid="{00000000-0005-0000-0000-000061140000}"/>
    <cellStyle name="20% - Accent3 3 2 2 3 3 3" xfId="7184" xr:uid="{00000000-0005-0000-0000-000062140000}"/>
    <cellStyle name="20% - Accent3 3 2 2 3 3 3 2" xfId="8056" xr:uid="{00000000-0005-0000-0000-000063140000}"/>
    <cellStyle name="20% - Accent3 3 2 2 3 3 4" xfId="14470" xr:uid="{00000000-0005-0000-0000-000064140000}"/>
    <cellStyle name="20% - Accent3 3 2 2 3 4" xfId="25884" xr:uid="{00000000-0005-0000-0000-000065140000}"/>
    <cellStyle name="20% - Accent3 3 2 2 3 4 2" xfId="8481" xr:uid="{00000000-0005-0000-0000-000066140000}"/>
    <cellStyle name="20% - Accent3 3 2 2 3 4 2 2" xfId="8062" xr:uid="{00000000-0005-0000-0000-000067140000}"/>
    <cellStyle name="20% - Accent3 3 2 2 3 4 3" xfId="8063" xr:uid="{00000000-0005-0000-0000-000068140000}"/>
    <cellStyle name="20% - Accent3 3 2 2 3 5" xfId="12458" xr:uid="{00000000-0005-0000-0000-000069140000}"/>
    <cellStyle name="20% - Accent3 3 2 2 3 5 2" xfId="24229" xr:uid="{00000000-0005-0000-0000-00006A140000}"/>
    <cellStyle name="20% - Accent3 3 2 2 3 6" xfId="33461" xr:uid="{00000000-0005-0000-0000-00006B140000}"/>
    <cellStyle name="20% - Accent3 3 2 2 4" xfId="3545" xr:uid="{00000000-0005-0000-0000-00006C140000}"/>
    <cellStyle name="20% - Accent3 3 2 2 4 2" xfId="9806" xr:uid="{00000000-0005-0000-0000-00006D140000}"/>
    <cellStyle name="20% - Accent3 3 2 2 4 2 2" xfId="8784" xr:uid="{00000000-0005-0000-0000-00006E140000}"/>
    <cellStyle name="20% - Accent3 3 2 2 4 2 2 2" xfId="8071" xr:uid="{00000000-0005-0000-0000-00006F140000}"/>
    <cellStyle name="20% - Accent3 3 2 2 4 2 2 2 2" xfId="805" xr:uid="{00000000-0005-0000-0000-000070140000}"/>
    <cellStyle name="20% - Accent3 3 2 2 4 2 2 3" xfId="8072" xr:uid="{00000000-0005-0000-0000-000071140000}"/>
    <cellStyle name="20% - Accent3 3 2 2 4 2 3" xfId="7189" xr:uid="{00000000-0005-0000-0000-000072140000}"/>
    <cellStyle name="20% - Accent3 3 2 2 4 2 3 2" xfId="19247" xr:uid="{00000000-0005-0000-0000-000073140000}"/>
    <cellStyle name="20% - Accent3 3 2 2 4 2 4" xfId="32007" xr:uid="{00000000-0005-0000-0000-000074140000}"/>
    <cellStyle name="20% - Accent3 3 2 2 4 3" xfId="729" xr:uid="{00000000-0005-0000-0000-000075140000}"/>
    <cellStyle name="20% - Accent3 3 2 2 4 3 2" xfId="8075" xr:uid="{00000000-0005-0000-0000-000076140000}"/>
    <cellStyle name="20% - Accent3 3 2 2 4 3 2 2" xfId="8076" xr:uid="{00000000-0005-0000-0000-000077140000}"/>
    <cellStyle name="20% - Accent3 3 2 2 4 3 3" xfId="5416" xr:uid="{00000000-0005-0000-0000-000078140000}"/>
    <cellStyle name="20% - Accent3 3 2 2 4 4" xfId="25891" xr:uid="{00000000-0005-0000-0000-000079140000}"/>
    <cellStyle name="20% - Accent3 3 2 2 4 4 2" xfId="8078" xr:uid="{00000000-0005-0000-0000-00007A140000}"/>
    <cellStyle name="20% - Accent3 3 2 2 4 5" xfId="8081" xr:uid="{00000000-0005-0000-0000-00007B140000}"/>
    <cellStyle name="20% - Accent3 3 2 2 5" xfId="149" xr:uid="{00000000-0005-0000-0000-00007C140000}"/>
    <cellStyle name="20% - Accent3 3 2 2 5 2" xfId="8088" xr:uid="{00000000-0005-0000-0000-00007D140000}"/>
    <cellStyle name="20% - Accent3 3 2 2 5 2 2" xfId="9681" xr:uid="{00000000-0005-0000-0000-00007E140000}"/>
    <cellStyle name="20% - Accent3 3 2 2 5 2 2 2" xfId="8089" xr:uid="{00000000-0005-0000-0000-00007F140000}"/>
    <cellStyle name="20% - Accent3 3 2 2 5 2 3" xfId="9377" xr:uid="{00000000-0005-0000-0000-000080140000}"/>
    <cellStyle name="20% - Accent3 3 2 2 5 3" xfId="8093" xr:uid="{00000000-0005-0000-0000-000081140000}"/>
    <cellStyle name="20% - Accent3 3 2 2 5 3 2" xfId="9380" xr:uid="{00000000-0005-0000-0000-000082140000}"/>
    <cellStyle name="20% - Accent3 3 2 2 5 4" xfId="10631" xr:uid="{00000000-0005-0000-0000-000083140000}"/>
    <cellStyle name="20% - Accent3 3 2 2 6" xfId="2380" xr:uid="{00000000-0005-0000-0000-000084140000}"/>
    <cellStyle name="20% - Accent3 3 2 2 6 2" xfId="2197" xr:uid="{00000000-0005-0000-0000-000085140000}"/>
    <cellStyle name="20% - Accent3 3 2 2 6 2 2" xfId="13837" xr:uid="{00000000-0005-0000-0000-000086140000}"/>
    <cellStyle name="20% - Accent3 3 2 2 6 3" xfId="2409" xr:uid="{00000000-0005-0000-0000-000087140000}"/>
    <cellStyle name="20% - Accent3 3 2 2 7" xfId="2490" xr:uid="{00000000-0005-0000-0000-000088140000}"/>
    <cellStyle name="20% - Accent3 3 2 2 7 2" xfId="2500" xr:uid="{00000000-0005-0000-0000-000089140000}"/>
    <cellStyle name="20% - Accent3 3 2 2 8" xfId="3197" xr:uid="{00000000-0005-0000-0000-00008A140000}"/>
    <cellStyle name="20% - Accent3 3 2 3" xfId="6338" xr:uid="{00000000-0005-0000-0000-00008B140000}"/>
    <cellStyle name="20% - Accent3 3 2 3 2" xfId="1354" xr:uid="{00000000-0005-0000-0000-00008C140000}"/>
    <cellStyle name="20% - Accent3 3 2 3 2 2" xfId="11240" xr:uid="{00000000-0005-0000-0000-00008D140000}"/>
    <cellStyle name="20% - Accent3 3 2 3 2 2 2" xfId="14723" xr:uid="{00000000-0005-0000-0000-00008E140000}"/>
    <cellStyle name="20% - Accent3 3 2 3 2 2 2 2" xfId="2837" xr:uid="{00000000-0005-0000-0000-00008F140000}"/>
    <cellStyle name="20% - Accent3 3 2 3 2 2 2 2 2" xfId="7866" xr:uid="{00000000-0005-0000-0000-000090140000}"/>
    <cellStyle name="20% - Accent3 3 2 3 2 2 2 2 2 2" xfId="8095" xr:uid="{00000000-0005-0000-0000-000091140000}"/>
    <cellStyle name="20% - Accent3 3 2 3 2 2 2 2 3" xfId="849" xr:uid="{00000000-0005-0000-0000-000092140000}"/>
    <cellStyle name="20% - Accent3 3 2 3 2 2 2 3" xfId="8097" xr:uid="{00000000-0005-0000-0000-000093140000}"/>
    <cellStyle name="20% - Accent3 3 2 3 2 2 2 3 2" xfId="10625" xr:uid="{00000000-0005-0000-0000-000094140000}"/>
    <cellStyle name="20% - Accent3 3 2 3 2 2 2 4" xfId="11986" xr:uid="{00000000-0005-0000-0000-000095140000}"/>
    <cellStyle name="20% - Accent3 3 2 3 2 2 3" xfId="8106" xr:uid="{00000000-0005-0000-0000-000096140000}"/>
    <cellStyle name="20% - Accent3 3 2 3 2 2 3 2" xfId="7039" xr:uid="{00000000-0005-0000-0000-000097140000}"/>
    <cellStyle name="20% - Accent3 3 2 3 2 2 3 2 2" xfId="7952" xr:uid="{00000000-0005-0000-0000-000098140000}"/>
    <cellStyle name="20% - Accent3 3 2 3 2 2 3 3" xfId="1226" xr:uid="{00000000-0005-0000-0000-000099140000}"/>
    <cellStyle name="20% - Accent3 3 2 3 2 2 4" xfId="9785" xr:uid="{00000000-0005-0000-0000-00009A140000}"/>
    <cellStyle name="20% - Accent3 3 2 3 2 2 4 2" xfId="9788" xr:uid="{00000000-0005-0000-0000-00009B140000}"/>
    <cellStyle name="20% - Accent3 3 2 3 2 2 5" xfId="9796" xr:uid="{00000000-0005-0000-0000-00009C140000}"/>
    <cellStyle name="20% - Accent3 3 2 3 2 3" xfId="4673" xr:uid="{00000000-0005-0000-0000-00009D140000}"/>
    <cellStyle name="20% - Accent3 3 2 3 2 3 2" xfId="4764" xr:uid="{00000000-0005-0000-0000-00009E140000}"/>
    <cellStyle name="20% - Accent3 3 2 3 2 3 2 2" xfId="8109" xr:uid="{00000000-0005-0000-0000-00009F140000}"/>
    <cellStyle name="20% - Accent3 3 2 3 2 3 2 2 2" xfId="13367" xr:uid="{00000000-0005-0000-0000-0000A0140000}"/>
    <cellStyle name="20% - Accent3 3 2 3 2 3 2 3" xfId="8112" xr:uid="{00000000-0005-0000-0000-0000A1140000}"/>
    <cellStyle name="20% - Accent3 3 2 3 2 3 3" xfId="8115" xr:uid="{00000000-0005-0000-0000-0000A2140000}"/>
    <cellStyle name="20% - Accent3 3 2 3 2 3 3 2" xfId="2134" xr:uid="{00000000-0005-0000-0000-0000A3140000}"/>
    <cellStyle name="20% - Accent3 3 2 3 2 3 4" xfId="30363" xr:uid="{00000000-0005-0000-0000-0000A4140000}"/>
    <cellStyle name="20% - Accent3 3 2 3 2 4" xfId="25894" xr:uid="{00000000-0005-0000-0000-0000A5140000}"/>
    <cellStyle name="20% - Accent3 3 2 3 2 4 2" xfId="8509" xr:uid="{00000000-0005-0000-0000-0000A6140000}"/>
    <cellStyle name="20% - Accent3 3 2 3 2 4 2 2" xfId="8116" xr:uid="{00000000-0005-0000-0000-0000A7140000}"/>
    <cellStyle name="20% - Accent3 3 2 3 2 4 3" xfId="8120" xr:uid="{00000000-0005-0000-0000-0000A8140000}"/>
    <cellStyle name="20% - Accent3 3 2 3 2 5" xfId="9558" xr:uid="{00000000-0005-0000-0000-0000A9140000}"/>
    <cellStyle name="20% - Accent3 3 2 3 2 5 2" xfId="13282" xr:uid="{00000000-0005-0000-0000-0000AA140000}"/>
    <cellStyle name="20% - Accent3 3 2 3 2 6" xfId="14085" xr:uid="{00000000-0005-0000-0000-0000AB140000}"/>
    <cellStyle name="20% - Accent3 3 2 3 3" xfId="2551" xr:uid="{00000000-0005-0000-0000-0000AC140000}"/>
    <cellStyle name="20% - Accent3 3 2 3 3 2" xfId="3529" xr:uid="{00000000-0005-0000-0000-0000AD140000}"/>
    <cellStyle name="20% - Accent3 3 2 3 3 2 2" xfId="8134" xr:uid="{00000000-0005-0000-0000-0000AE140000}"/>
    <cellStyle name="20% - Accent3 3 2 3 3 2 2 2" xfId="8135" xr:uid="{00000000-0005-0000-0000-0000AF140000}"/>
    <cellStyle name="20% - Accent3 3 2 3 3 2 2 2 2" xfId="599" xr:uid="{00000000-0005-0000-0000-0000B0140000}"/>
    <cellStyle name="20% - Accent3 3 2 3 3 2 2 3" xfId="8137" xr:uid="{00000000-0005-0000-0000-0000B1140000}"/>
    <cellStyle name="20% - Accent3 3 2 3 3 2 3" xfId="7198" xr:uid="{00000000-0005-0000-0000-0000B2140000}"/>
    <cellStyle name="20% - Accent3 3 2 3 3 2 3 2" xfId="7139" xr:uid="{00000000-0005-0000-0000-0000B3140000}"/>
    <cellStyle name="20% - Accent3 3 2 3 3 2 4" xfId="27802" xr:uid="{00000000-0005-0000-0000-0000B4140000}"/>
    <cellStyle name="20% - Accent3 3 2 3 3 3" xfId="19892" xr:uid="{00000000-0005-0000-0000-0000B5140000}"/>
    <cellStyle name="20% - Accent3 3 2 3 3 3 2" xfId="12282" xr:uid="{00000000-0005-0000-0000-0000B6140000}"/>
    <cellStyle name="20% - Accent3 3 2 3 3 3 2 2" xfId="8147" xr:uid="{00000000-0005-0000-0000-0000B7140000}"/>
    <cellStyle name="20% - Accent3 3 2 3 3 3 3" xfId="8149" xr:uid="{00000000-0005-0000-0000-0000B8140000}"/>
    <cellStyle name="20% - Accent3 3 2 3 3 4" xfId="21297" xr:uid="{00000000-0005-0000-0000-0000B9140000}"/>
    <cellStyle name="20% - Accent3 3 2 3 3 4 2" xfId="8150" xr:uid="{00000000-0005-0000-0000-0000BA140000}"/>
    <cellStyle name="20% - Accent3 3 2 3 3 5" xfId="14163" xr:uid="{00000000-0005-0000-0000-0000BB140000}"/>
    <cellStyle name="20% - Accent3 3 2 3 4" xfId="3553" xr:uid="{00000000-0005-0000-0000-0000BC140000}"/>
    <cellStyle name="20% - Accent3 3 2 3 4 2" xfId="22884" xr:uid="{00000000-0005-0000-0000-0000BD140000}"/>
    <cellStyle name="20% - Accent3 3 2 3 4 2 2" xfId="8155" xr:uid="{00000000-0005-0000-0000-0000BE140000}"/>
    <cellStyle name="20% - Accent3 3 2 3 4 2 2 2" xfId="8158" xr:uid="{00000000-0005-0000-0000-0000BF140000}"/>
    <cellStyle name="20% - Accent3 3 2 3 4 2 3" xfId="8162" xr:uid="{00000000-0005-0000-0000-0000C0140000}"/>
    <cellStyle name="20% - Accent3 3 2 3 4 3" xfId="25157" xr:uid="{00000000-0005-0000-0000-0000C1140000}"/>
    <cellStyle name="20% - Accent3 3 2 3 4 3 2" xfId="8168" xr:uid="{00000000-0005-0000-0000-0000C2140000}"/>
    <cellStyle name="20% - Accent3 3 2 3 4 4" xfId="8172" xr:uid="{00000000-0005-0000-0000-0000C3140000}"/>
    <cellStyle name="20% - Accent3 3 2 3 5" xfId="152" xr:uid="{00000000-0005-0000-0000-0000C4140000}"/>
    <cellStyle name="20% - Accent3 3 2 3 5 2" xfId="27495" xr:uid="{00000000-0005-0000-0000-0000C5140000}"/>
    <cellStyle name="20% - Accent3 3 2 3 5 2 2" xfId="30317" xr:uid="{00000000-0005-0000-0000-0000C6140000}"/>
    <cellStyle name="20% - Accent3 3 2 3 5 3" xfId="8177" xr:uid="{00000000-0005-0000-0000-0000C7140000}"/>
    <cellStyle name="20% - Accent3 3 2 3 6" xfId="2612" xr:uid="{00000000-0005-0000-0000-0000C8140000}"/>
    <cellStyle name="20% - Accent3 3 2 3 6 2" xfId="2618" xr:uid="{00000000-0005-0000-0000-0000C9140000}"/>
    <cellStyle name="20% - Accent3 3 2 3 7" xfId="2693" xr:uid="{00000000-0005-0000-0000-0000CA140000}"/>
    <cellStyle name="20% - Accent3 3 2 4" xfId="2556" xr:uid="{00000000-0005-0000-0000-0000CB140000}"/>
    <cellStyle name="20% - Accent3 3 2 4 2" xfId="4610" xr:uid="{00000000-0005-0000-0000-0000CC140000}"/>
    <cellStyle name="20% - Accent3 3 2 4 2 2" xfId="1970" xr:uid="{00000000-0005-0000-0000-0000CD140000}"/>
    <cellStyle name="20% - Accent3 3 2 4 2 2 2" xfId="8183" xr:uid="{00000000-0005-0000-0000-0000CE140000}"/>
    <cellStyle name="20% - Accent3 3 2 4 2 2 2 2" xfId="20709" xr:uid="{00000000-0005-0000-0000-0000CF140000}"/>
    <cellStyle name="20% - Accent3 3 2 4 2 2 2 2 2" xfId="8206" xr:uid="{00000000-0005-0000-0000-0000D0140000}"/>
    <cellStyle name="20% - Accent3 3 2 4 2 2 2 3" xfId="8184" xr:uid="{00000000-0005-0000-0000-0000D1140000}"/>
    <cellStyle name="20% - Accent3 3 2 4 2 2 3" xfId="8188" xr:uid="{00000000-0005-0000-0000-0000D2140000}"/>
    <cellStyle name="20% - Accent3 3 2 4 2 2 3 2" xfId="7402" xr:uid="{00000000-0005-0000-0000-0000D3140000}"/>
    <cellStyle name="20% - Accent3 3 2 4 2 2 4" xfId="8190" xr:uid="{00000000-0005-0000-0000-0000D4140000}"/>
    <cellStyle name="20% - Accent3 3 2 4 2 3" xfId="13245" xr:uid="{00000000-0005-0000-0000-0000D5140000}"/>
    <cellStyle name="20% - Accent3 3 2 4 2 3 2" xfId="8195" xr:uid="{00000000-0005-0000-0000-0000D6140000}"/>
    <cellStyle name="20% - Accent3 3 2 4 2 3 2 2" xfId="20834" xr:uid="{00000000-0005-0000-0000-0000D7140000}"/>
    <cellStyle name="20% - Accent3 3 2 4 2 3 3" xfId="6025" xr:uid="{00000000-0005-0000-0000-0000D8140000}"/>
    <cellStyle name="20% - Accent3 3 2 4 2 4" xfId="25907" xr:uid="{00000000-0005-0000-0000-0000D9140000}"/>
    <cellStyle name="20% - Accent3 3 2 4 2 4 2" xfId="11508" xr:uid="{00000000-0005-0000-0000-0000DA140000}"/>
    <cellStyle name="20% - Accent3 3 2 4 2 5" xfId="8205" xr:uid="{00000000-0005-0000-0000-0000DB140000}"/>
    <cellStyle name="20% - Accent3 3 2 4 3" xfId="8213" xr:uid="{00000000-0005-0000-0000-0000DC140000}"/>
    <cellStyle name="20% - Accent3 3 2 4 3 2" xfId="22912" xr:uid="{00000000-0005-0000-0000-0000DD140000}"/>
    <cellStyle name="20% - Accent3 3 2 4 3 2 2" xfId="8214" xr:uid="{00000000-0005-0000-0000-0000DE140000}"/>
    <cellStyle name="20% - Accent3 3 2 4 3 2 2 2" xfId="8216" xr:uid="{00000000-0005-0000-0000-0000DF140000}"/>
    <cellStyle name="20% - Accent3 3 2 4 3 2 3" xfId="8220" xr:uid="{00000000-0005-0000-0000-0000E0140000}"/>
    <cellStyle name="20% - Accent3 3 2 4 3 3" xfId="25165" xr:uid="{00000000-0005-0000-0000-0000E1140000}"/>
    <cellStyle name="20% - Accent3 3 2 4 3 3 2" xfId="8230" xr:uid="{00000000-0005-0000-0000-0000E2140000}"/>
    <cellStyle name="20% - Accent3 3 2 4 3 4" xfId="8235" xr:uid="{00000000-0005-0000-0000-0000E3140000}"/>
    <cellStyle name="20% - Accent3 3 2 4 4" xfId="8245" xr:uid="{00000000-0005-0000-0000-0000E4140000}"/>
    <cellStyle name="20% - Accent3 3 2 4 4 2" xfId="26869" xr:uid="{00000000-0005-0000-0000-0000E5140000}"/>
    <cellStyle name="20% - Accent3 3 2 4 4 2 2" xfId="18798" xr:uid="{00000000-0005-0000-0000-0000E6140000}"/>
    <cellStyle name="20% - Accent3 3 2 4 4 3" xfId="8247" xr:uid="{00000000-0005-0000-0000-0000E7140000}"/>
    <cellStyle name="20% - Accent3 3 2 4 5" xfId="8249" xr:uid="{00000000-0005-0000-0000-0000E8140000}"/>
    <cellStyle name="20% - Accent3 3 2 4 5 2" xfId="8251" xr:uid="{00000000-0005-0000-0000-0000E9140000}"/>
    <cellStyle name="20% - Accent3 3 2 4 6" xfId="2701" xr:uid="{00000000-0005-0000-0000-0000EA140000}"/>
    <cellStyle name="20% - Accent3 3 2 5" xfId="8" xr:uid="{00000000-0005-0000-0000-0000EB140000}"/>
    <cellStyle name="20% - Accent3 3 2 5 2" xfId="8254" xr:uid="{00000000-0005-0000-0000-0000EC140000}"/>
    <cellStyle name="20% - Accent3 3 2 5 2 2" xfId="9623" xr:uid="{00000000-0005-0000-0000-0000ED140000}"/>
    <cellStyle name="20% - Accent3 3 2 5 2 2 2" xfId="12423" xr:uid="{00000000-0005-0000-0000-0000EE140000}"/>
    <cellStyle name="20% - Accent3 3 2 5 2 2 2 2" xfId="16894" xr:uid="{00000000-0005-0000-0000-0000EF140000}"/>
    <cellStyle name="20% - Accent3 3 2 5 2 2 3" xfId="8308" xr:uid="{00000000-0005-0000-0000-0000F0140000}"/>
    <cellStyle name="20% - Accent3 3 2 5 2 3" xfId="9628" xr:uid="{00000000-0005-0000-0000-0000F1140000}"/>
    <cellStyle name="20% - Accent3 3 2 5 2 3 2" xfId="8260" xr:uid="{00000000-0005-0000-0000-0000F2140000}"/>
    <cellStyle name="20% - Accent3 3 2 5 2 4" xfId="9943" xr:uid="{00000000-0005-0000-0000-0000F3140000}"/>
    <cellStyle name="20% - Accent3 3 2 5 3" xfId="8269" xr:uid="{00000000-0005-0000-0000-0000F4140000}"/>
    <cellStyle name="20% - Accent3 3 2 5 3 2" xfId="19397" xr:uid="{00000000-0005-0000-0000-0000F5140000}"/>
    <cellStyle name="20% - Accent3 3 2 5 3 2 2" xfId="8270" xr:uid="{00000000-0005-0000-0000-0000F6140000}"/>
    <cellStyle name="20% - Accent3 3 2 5 3 3" xfId="4301" xr:uid="{00000000-0005-0000-0000-0000F7140000}"/>
    <cellStyle name="20% - Accent3 3 2 5 4" xfId="8275" xr:uid="{00000000-0005-0000-0000-0000F8140000}"/>
    <cellStyle name="20% - Accent3 3 2 5 4 2" xfId="8281" xr:uid="{00000000-0005-0000-0000-0000F9140000}"/>
    <cellStyle name="20% - Accent3 3 2 5 5" xfId="10112" xr:uid="{00000000-0005-0000-0000-0000FA140000}"/>
    <cellStyle name="20% - Accent3 3 2 6" xfId="8288" xr:uid="{00000000-0005-0000-0000-0000FB140000}"/>
    <cellStyle name="20% - Accent3 3 2 6 2" xfId="46" xr:uid="{00000000-0005-0000-0000-0000FC140000}"/>
    <cellStyle name="20% - Accent3 3 2 6 2 2" xfId="9645" xr:uid="{00000000-0005-0000-0000-0000FD140000}"/>
    <cellStyle name="20% - Accent3 3 2 6 2 2 2" xfId="12480" xr:uid="{00000000-0005-0000-0000-0000FE140000}"/>
    <cellStyle name="20% - Accent3 3 2 6 2 3" xfId="4329" xr:uid="{00000000-0005-0000-0000-0000FF140000}"/>
    <cellStyle name="20% - Accent3 3 2 6 3" xfId="8293" xr:uid="{00000000-0005-0000-0000-000000150000}"/>
    <cellStyle name="20% - Accent3 3 2 6 3 2" xfId="8298" xr:uid="{00000000-0005-0000-0000-000001150000}"/>
    <cellStyle name="20% - Accent3 3 2 6 4" xfId="27184" xr:uid="{00000000-0005-0000-0000-000002150000}"/>
    <cellStyle name="20% - Accent3 3 2 7" xfId="8306" xr:uid="{00000000-0005-0000-0000-000003150000}"/>
    <cellStyle name="20% - Accent3 3 2 7 2" xfId="8307" xr:uid="{00000000-0005-0000-0000-000004150000}"/>
    <cellStyle name="20% - Accent3 3 2 7 2 2" xfId="8313" xr:uid="{00000000-0005-0000-0000-000005150000}"/>
    <cellStyle name="20% - Accent3 3 2 7 3" xfId="8315" xr:uid="{00000000-0005-0000-0000-000006150000}"/>
    <cellStyle name="20% - Accent3 3 2 8" xfId="8320" xr:uid="{00000000-0005-0000-0000-000007150000}"/>
    <cellStyle name="20% - Accent3 3 2 8 2" xfId="5476" xr:uid="{00000000-0005-0000-0000-000008150000}"/>
    <cellStyle name="20% - Accent3 3 2 9" xfId="8322" xr:uid="{00000000-0005-0000-0000-000009150000}"/>
    <cellStyle name="20% - Accent3 3 3" xfId="14597" xr:uid="{00000000-0005-0000-0000-00000A150000}"/>
    <cellStyle name="20% - Accent3 3 3 2" xfId="8136" xr:uid="{00000000-0005-0000-0000-00000B150000}"/>
    <cellStyle name="20% - Accent3 3 3 2 2" xfId="9015" xr:uid="{00000000-0005-0000-0000-00000C150000}"/>
    <cellStyle name="20% - Accent3 3 3 2 2 2" xfId="11253" xr:uid="{00000000-0005-0000-0000-00000D150000}"/>
    <cellStyle name="20% - Accent3 3 3 2 2 2 2" xfId="14835" xr:uid="{00000000-0005-0000-0000-00000E150000}"/>
    <cellStyle name="20% - Accent3 3 3 2 2 2 2 2" xfId="8323" xr:uid="{00000000-0005-0000-0000-00000F150000}"/>
    <cellStyle name="20% - Accent3 3 3 2 2 2 2 2 2" xfId="1868" xr:uid="{00000000-0005-0000-0000-000010150000}"/>
    <cellStyle name="20% - Accent3 3 3 2 2 2 2 2 2 2" xfId="6109" xr:uid="{00000000-0005-0000-0000-000011150000}"/>
    <cellStyle name="20% - Accent3 3 3 2 2 2 2 2 3" xfId="1876" xr:uid="{00000000-0005-0000-0000-000012150000}"/>
    <cellStyle name="20% - Accent3 3 3 2 2 2 2 3" xfId="8326" xr:uid="{00000000-0005-0000-0000-000013150000}"/>
    <cellStyle name="20% - Accent3 3 3 2 2 2 2 3 2" xfId="15626" xr:uid="{00000000-0005-0000-0000-000014150000}"/>
    <cellStyle name="20% - Accent3 3 3 2 2 2 2 4" xfId="8328" xr:uid="{00000000-0005-0000-0000-000015150000}"/>
    <cellStyle name="20% - Accent3 3 3 2 2 2 3" xfId="12188" xr:uid="{00000000-0005-0000-0000-000016150000}"/>
    <cellStyle name="20% - Accent3 3 3 2 2 2 3 2" xfId="7133" xr:uid="{00000000-0005-0000-0000-000017150000}"/>
    <cellStyle name="20% - Accent3 3 3 2 2 2 3 2 2" xfId="11640" xr:uid="{00000000-0005-0000-0000-000018150000}"/>
    <cellStyle name="20% - Accent3 3 3 2 2 2 3 3" xfId="8330" xr:uid="{00000000-0005-0000-0000-000019150000}"/>
    <cellStyle name="20% - Accent3 3 3 2 2 2 4" xfId="22966" xr:uid="{00000000-0005-0000-0000-00001A150000}"/>
    <cellStyle name="20% - Accent3 3 3 2 2 2 4 2" xfId="8332" xr:uid="{00000000-0005-0000-0000-00001B150000}"/>
    <cellStyle name="20% - Accent3 3 3 2 2 2 5" xfId="8810" xr:uid="{00000000-0005-0000-0000-00001C150000}"/>
    <cellStyle name="20% - Accent3 3 3 2 2 3" xfId="5547" xr:uid="{00000000-0005-0000-0000-00001D150000}"/>
    <cellStyle name="20% - Accent3 3 3 2 2 3 2" xfId="14849" xr:uid="{00000000-0005-0000-0000-00001E150000}"/>
    <cellStyle name="20% - Accent3 3 3 2 2 3 2 2" xfId="8335" xr:uid="{00000000-0005-0000-0000-00001F150000}"/>
    <cellStyle name="20% - Accent3 3 3 2 2 3 2 2 2" xfId="30429" xr:uid="{00000000-0005-0000-0000-000020150000}"/>
    <cellStyle name="20% - Accent3 3 3 2 2 3 2 3" xfId="8338" xr:uid="{00000000-0005-0000-0000-000021150000}"/>
    <cellStyle name="20% - Accent3 3 3 2 2 3 3" xfId="5148" xr:uid="{00000000-0005-0000-0000-000022150000}"/>
    <cellStyle name="20% - Accent3 3 3 2 2 3 3 2" xfId="8340" xr:uid="{00000000-0005-0000-0000-000023150000}"/>
    <cellStyle name="20% - Accent3 3 3 2 2 3 4" xfId="8343" xr:uid="{00000000-0005-0000-0000-000024150000}"/>
    <cellStyle name="20% - Accent3 3 3 2 2 4" xfId="26021" xr:uid="{00000000-0005-0000-0000-000025150000}"/>
    <cellStyle name="20% - Accent3 3 3 2 2 4 2" xfId="6268" xr:uid="{00000000-0005-0000-0000-000026150000}"/>
    <cellStyle name="20% - Accent3 3 3 2 2 4 2 2" xfId="8350" xr:uid="{00000000-0005-0000-0000-000027150000}"/>
    <cellStyle name="20% - Accent3 3 3 2 2 4 3" xfId="25425" xr:uid="{00000000-0005-0000-0000-000028150000}"/>
    <cellStyle name="20% - Accent3 3 3 2 2 5" xfId="8161" xr:uid="{00000000-0005-0000-0000-000029150000}"/>
    <cellStyle name="20% - Accent3 3 3 2 2 5 2" xfId="10555" xr:uid="{00000000-0005-0000-0000-00002A150000}"/>
    <cellStyle name="20% - Accent3 3 3 2 2 6" xfId="8354" xr:uid="{00000000-0005-0000-0000-00002B150000}"/>
    <cellStyle name="20% - Accent3 3 3 2 3" xfId="2567" xr:uid="{00000000-0005-0000-0000-00002C150000}"/>
    <cellStyle name="20% - Accent3 3 3 2 3 2" xfId="5557" xr:uid="{00000000-0005-0000-0000-00002D150000}"/>
    <cellStyle name="20% - Accent3 3 3 2 3 2 2" xfId="14888" xr:uid="{00000000-0005-0000-0000-00002E150000}"/>
    <cellStyle name="20% - Accent3 3 3 2 3 2 2 2" xfId="6328" xr:uid="{00000000-0005-0000-0000-00002F150000}"/>
    <cellStyle name="20% - Accent3 3 3 2 3 2 2 2 2" xfId="1921" xr:uid="{00000000-0005-0000-0000-000030150000}"/>
    <cellStyle name="20% - Accent3 3 3 2 3 2 2 3" xfId="8358" xr:uid="{00000000-0005-0000-0000-000031150000}"/>
    <cellStyle name="20% - Accent3 3 3 2 3 2 3" xfId="18543" xr:uid="{00000000-0005-0000-0000-000032150000}"/>
    <cellStyle name="20% - Accent3 3 3 2 3 2 3 2" xfId="8359" xr:uid="{00000000-0005-0000-0000-000033150000}"/>
    <cellStyle name="20% - Accent3 3 3 2 3 2 4" xfId="25698" xr:uid="{00000000-0005-0000-0000-000034150000}"/>
    <cellStyle name="20% - Accent3 3 3 2 3 3" xfId="8360" xr:uid="{00000000-0005-0000-0000-000035150000}"/>
    <cellStyle name="20% - Accent3 3 3 2 3 3 2" xfId="5946" xr:uid="{00000000-0005-0000-0000-000036150000}"/>
    <cellStyle name="20% - Accent3 3 3 2 3 3 2 2" xfId="8362" xr:uid="{00000000-0005-0000-0000-000037150000}"/>
    <cellStyle name="20% - Accent3 3 3 2 3 3 3" xfId="18551" xr:uid="{00000000-0005-0000-0000-000038150000}"/>
    <cellStyle name="20% - Accent3 3 3 2 3 4" xfId="26026" xr:uid="{00000000-0005-0000-0000-000039150000}"/>
    <cellStyle name="20% - Accent3 3 3 2 3 4 2" xfId="7330" xr:uid="{00000000-0005-0000-0000-00003A150000}"/>
    <cellStyle name="20% - Accent3 3 3 2 3 5" xfId="8368" xr:uid="{00000000-0005-0000-0000-00003B150000}"/>
    <cellStyle name="20% - Accent3 3 3 2 4" xfId="3561" xr:uid="{00000000-0005-0000-0000-00003C150000}"/>
    <cellStyle name="20% - Accent3 3 3 2 4 2" xfId="6344" xr:uid="{00000000-0005-0000-0000-00003D150000}"/>
    <cellStyle name="20% - Accent3 3 3 2 4 2 2" xfId="18469" xr:uid="{00000000-0005-0000-0000-00003E150000}"/>
    <cellStyle name="20% - Accent3 3 3 2 4 2 2 2" xfId="8371" xr:uid="{00000000-0005-0000-0000-00003F150000}"/>
    <cellStyle name="20% - Accent3 3 3 2 4 2 3" xfId="18585" xr:uid="{00000000-0005-0000-0000-000040150000}"/>
    <cellStyle name="20% - Accent3 3 3 2 4 3" xfId="7289" xr:uid="{00000000-0005-0000-0000-000041150000}"/>
    <cellStyle name="20% - Accent3 3 3 2 4 3 2" xfId="7413" xr:uid="{00000000-0005-0000-0000-000042150000}"/>
    <cellStyle name="20% - Accent3 3 3 2 4 4" xfId="12560" xr:uid="{00000000-0005-0000-0000-000043150000}"/>
    <cellStyle name="20% - Accent3 3 3 2 5" xfId="8380" xr:uid="{00000000-0005-0000-0000-000044150000}"/>
    <cellStyle name="20% - Accent3 3 3 2 5 2" xfId="6362" xr:uid="{00000000-0005-0000-0000-000045150000}"/>
    <cellStyle name="20% - Accent3 3 3 2 5 2 2" xfId="9482" xr:uid="{00000000-0005-0000-0000-000046150000}"/>
    <cellStyle name="20% - Accent3 3 3 2 5 3" xfId="11591" xr:uid="{00000000-0005-0000-0000-000047150000}"/>
    <cellStyle name="20% - Accent3 3 3 2 6" xfId="1298" xr:uid="{00000000-0005-0000-0000-000048150000}"/>
    <cellStyle name="20% - Accent3 3 3 2 6 2" xfId="3155" xr:uid="{00000000-0005-0000-0000-000049150000}"/>
    <cellStyle name="20% - Accent3 3 3 2 7" xfId="2901" xr:uid="{00000000-0005-0000-0000-00004A150000}"/>
    <cellStyle name="20% - Accent3 3 3 3" xfId="8138" xr:uid="{00000000-0005-0000-0000-00004B150000}"/>
    <cellStyle name="20% - Accent3 3 3 3 2" xfId="2574" xr:uid="{00000000-0005-0000-0000-00004C150000}"/>
    <cellStyle name="20% - Accent3 3 3 3 2 2" xfId="5744" xr:uid="{00000000-0005-0000-0000-00004D150000}"/>
    <cellStyle name="20% - Accent3 3 3 3 2 2 2" xfId="22246" xr:uid="{00000000-0005-0000-0000-00004E150000}"/>
    <cellStyle name="20% - Accent3 3 3 3 2 2 2 2" xfId="8721" xr:uid="{00000000-0005-0000-0000-00004F150000}"/>
    <cellStyle name="20% - Accent3 3 3 3 2 2 2 2 2" xfId="2467" xr:uid="{00000000-0005-0000-0000-000050150000}"/>
    <cellStyle name="20% - Accent3 3 3 3 2 2 2 3" xfId="2464" xr:uid="{00000000-0005-0000-0000-000051150000}"/>
    <cellStyle name="20% - Accent3 3 3 3 2 2 3" xfId="7900" xr:uid="{00000000-0005-0000-0000-000052150000}"/>
    <cellStyle name="20% - Accent3 3 3 3 2 2 3 2" xfId="8139" xr:uid="{00000000-0005-0000-0000-000053150000}"/>
    <cellStyle name="20% - Accent3 3 3 3 2 2 4" xfId="8200" xr:uid="{00000000-0005-0000-0000-000054150000}"/>
    <cellStyle name="20% - Accent3 3 3 3 2 3" xfId="32240" xr:uid="{00000000-0005-0000-0000-000055150000}"/>
    <cellStyle name="20% - Accent3 3 3 3 2 3 2" xfId="7944" xr:uid="{00000000-0005-0000-0000-000056150000}"/>
    <cellStyle name="20% - Accent3 3 3 3 2 3 2 2" xfId="8382" xr:uid="{00000000-0005-0000-0000-000057150000}"/>
    <cellStyle name="20% - Accent3 3 3 3 2 3 3" xfId="7948" xr:uid="{00000000-0005-0000-0000-000058150000}"/>
    <cellStyle name="20% - Accent3 3 3 3 2 4" xfId="26031" xr:uid="{00000000-0005-0000-0000-000059150000}"/>
    <cellStyle name="20% - Accent3 3 3 3 2 4 2" xfId="7973" xr:uid="{00000000-0005-0000-0000-00005A150000}"/>
    <cellStyle name="20% - Accent3 3 3 3 2 5" xfId="13769" xr:uid="{00000000-0005-0000-0000-00005B150000}"/>
    <cellStyle name="20% - Accent3 3 3 3 3" xfId="8385" xr:uid="{00000000-0005-0000-0000-00005C150000}"/>
    <cellStyle name="20% - Accent3 3 3 3 3 2" xfId="22929" xr:uid="{00000000-0005-0000-0000-00005D150000}"/>
    <cellStyle name="20% - Accent3 3 3 3 3 2 2" xfId="7605" xr:uid="{00000000-0005-0000-0000-00005E150000}"/>
    <cellStyle name="20% - Accent3 3 3 3 3 2 2 2" xfId="32958" xr:uid="{00000000-0005-0000-0000-00005F150000}"/>
    <cellStyle name="20% - Accent3 3 3 3 3 2 3" xfId="18650" xr:uid="{00000000-0005-0000-0000-000060150000}"/>
    <cellStyle name="20% - Accent3 3 3 3 3 3" xfId="21441" xr:uid="{00000000-0005-0000-0000-000061150000}"/>
    <cellStyle name="20% - Accent3 3 3 3 3 3 2" xfId="4858" xr:uid="{00000000-0005-0000-0000-000062150000}"/>
    <cellStyle name="20% - Accent3 3 3 3 3 4" xfId="650" xr:uid="{00000000-0005-0000-0000-000063150000}"/>
    <cellStyle name="20% - Accent3 3 3 3 4" xfId="8388" xr:uid="{00000000-0005-0000-0000-000064150000}"/>
    <cellStyle name="20% - Accent3 3 3 3 4 2" xfId="26100" xr:uid="{00000000-0005-0000-0000-000065150000}"/>
    <cellStyle name="20% - Accent3 3 3 3 4 2 2" xfId="7698" xr:uid="{00000000-0005-0000-0000-000066150000}"/>
    <cellStyle name="20% - Accent3 3 3 3 4 3" xfId="11990" xr:uid="{00000000-0005-0000-0000-000067150000}"/>
    <cellStyle name="20% - Accent3 3 3 3 5" xfId="8392" xr:uid="{00000000-0005-0000-0000-000068150000}"/>
    <cellStyle name="20% - Accent3 3 3 3 5 2" xfId="8393" xr:uid="{00000000-0005-0000-0000-000069150000}"/>
    <cellStyle name="20% - Accent3 3 3 3 6" xfId="2970" xr:uid="{00000000-0005-0000-0000-00006A150000}"/>
    <cellStyle name="20% - Accent3 3 3 4" xfId="961" xr:uid="{00000000-0005-0000-0000-00006B150000}"/>
    <cellStyle name="20% - Accent3 3 3 4 2" xfId="33908" xr:uid="{00000000-0005-0000-0000-00006C150000}"/>
    <cellStyle name="20% - Accent3 3 3 4 2 2" xfId="9680" xr:uid="{00000000-0005-0000-0000-00006D150000}"/>
    <cellStyle name="20% - Accent3 3 3 4 2 2 2" xfId="8394" xr:uid="{00000000-0005-0000-0000-00006E150000}"/>
    <cellStyle name="20% - Accent3 3 3 4 2 2 2 2" xfId="23478" xr:uid="{00000000-0005-0000-0000-00006F150000}"/>
    <cellStyle name="20% - Accent3 3 3 4 2 2 3" xfId="9557" xr:uid="{00000000-0005-0000-0000-000070150000}"/>
    <cellStyle name="20% - Accent3 3 3 4 2 3" xfId="9685" xr:uid="{00000000-0005-0000-0000-000071150000}"/>
    <cellStyle name="20% - Accent3 3 3 4 2 3 2" xfId="8395" xr:uid="{00000000-0005-0000-0000-000072150000}"/>
    <cellStyle name="20% - Accent3 3 3 4 2 4" xfId="3619" xr:uid="{00000000-0005-0000-0000-000073150000}"/>
    <cellStyle name="20% - Accent3 3 3 4 3" xfId="8405" xr:uid="{00000000-0005-0000-0000-000074150000}"/>
    <cellStyle name="20% - Accent3 3 3 4 3 2" xfId="26320" xr:uid="{00000000-0005-0000-0000-000075150000}"/>
    <cellStyle name="20% - Accent3 3 3 4 3 2 2" xfId="7847" xr:uid="{00000000-0005-0000-0000-000076150000}"/>
    <cellStyle name="20% - Accent3 3 3 4 3 3" xfId="5425" xr:uid="{00000000-0005-0000-0000-000077150000}"/>
    <cellStyle name="20% - Accent3 3 3 4 4" xfId="8409" xr:uid="{00000000-0005-0000-0000-000078150000}"/>
    <cellStyle name="20% - Accent3 3 3 4 4 2" xfId="1490" xr:uid="{00000000-0005-0000-0000-000079150000}"/>
    <cellStyle name="20% - Accent3 3 3 4 5" xfId="2824" xr:uid="{00000000-0005-0000-0000-00007A150000}"/>
    <cellStyle name="20% - Accent3 3 3 5" xfId="18742" xr:uid="{00000000-0005-0000-0000-00007B150000}"/>
    <cellStyle name="20% - Accent3 3 3 5 2" xfId="8410" xr:uid="{00000000-0005-0000-0000-00007C150000}"/>
    <cellStyle name="20% - Accent3 3 3 5 2 2" xfId="31004" xr:uid="{00000000-0005-0000-0000-00007D150000}"/>
    <cellStyle name="20% - Accent3 3 3 5 2 2 2" xfId="14718" xr:uid="{00000000-0005-0000-0000-00007E150000}"/>
    <cellStyle name="20% - Accent3 3 3 5 2 3" xfId="19445" xr:uid="{00000000-0005-0000-0000-00007F150000}"/>
    <cellStyle name="20% - Accent3 3 3 5 3" xfId="25692" xr:uid="{00000000-0005-0000-0000-000080150000}"/>
    <cellStyle name="20% - Accent3 3 3 5 3 2" xfId="11255" xr:uid="{00000000-0005-0000-0000-000081150000}"/>
    <cellStyle name="20% - Accent3 3 3 5 4" xfId="31819" xr:uid="{00000000-0005-0000-0000-000082150000}"/>
    <cellStyle name="20% - Accent3 3 3 6" xfId="6985" xr:uid="{00000000-0005-0000-0000-000083150000}"/>
    <cellStyle name="20% - Accent3 3 3 6 2" xfId="21951" xr:uid="{00000000-0005-0000-0000-000084150000}"/>
    <cellStyle name="20% - Accent3 3 3 6 2 2" xfId="11265" xr:uid="{00000000-0005-0000-0000-000085150000}"/>
    <cellStyle name="20% - Accent3 3 3 6 3" xfId="9831" xr:uid="{00000000-0005-0000-0000-000086150000}"/>
    <cellStyle name="20% - Accent3 3 3 7" xfId="33866" xr:uid="{00000000-0005-0000-0000-000087150000}"/>
    <cellStyle name="20% - Accent3 3 3 7 2" xfId="14103" xr:uid="{00000000-0005-0000-0000-000088150000}"/>
    <cellStyle name="20% - Accent3 3 3 8" xfId="8431" xr:uid="{00000000-0005-0000-0000-000089150000}"/>
    <cellStyle name="20% - Accent3 3 4" xfId="2585" xr:uid="{00000000-0005-0000-0000-00008A150000}"/>
    <cellStyle name="20% - Accent3 3 4 2" xfId="7140" xr:uid="{00000000-0005-0000-0000-00008B150000}"/>
    <cellStyle name="20% - Accent3 3 4 2 2" xfId="2600" xr:uid="{00000000-0005-0000-0000-00008C150000}"/>
    <cellStyle name="20% - Accent3 3 4 2 2 2" xfId="609" xr:uid="{00000000-0005-0000-0000-00008D150000}"/>
    <cellStyle name="20% - Accent3 3 4 2 2 2 2" xfId="22945" xr:uid="{00000000-0005-0000-0000-00008E150000}"/>
    <cellStyle name="20% - Accent3 3 4 2 2 2 2 2" xfId="20896" xr:uid="{00000000-0005-0000-0000-00008F150000}"/>
    <cellStyle name="20% - Accent3 3 4 2 2 2 2 2 2" xfId="1530" xr:uid="{00000000-0005-0000-0000-000090150000}"/>
    <cellStyle name="20% - Accent3 3 4 2 2 2 2 3" xfId="20942" xr:uid="{00000000-0005-0000-0000-000091150000}"/>
    <cellStyle name="20% - Accent3 3 4 2 2 2 3" xfId="28924" xr:uid="{00000000-0005-0000-0000-000092150000}"/>
    <cellStyle name="20% - Accent3 3 4 2 2 2 3 2" xfId="21042" xr:uid="{00000000-0005-0000-0000-000093150000}"/>
    <cellStyle name="20% - Accent3 3 4 2 2 2 4" xfId="17978" xr:uid="{00000000-0005-0000-0000-000094150000}"/>
    <cellStyle name="20% - Accent3 3 4 2 2 3" xfId="8439" xr:uid="{00000000-0005-0000-0000-000095150000}"/>
    <cellStyle name="20% - Accent3 3 4 2 2 3 2" xfId="27860" xr:uid="{00000000-0005-0000-0000-000096150000}"/>
    <cellStyle name="20% - Accent3 3 4 2 2 3 2 2" xfId="21446" xr:uid="{00000000-0005-0000-0000-000097150000}"/>
    <cellStyle name="20% - Accent3 3 4 2 2 3 3" xfId="1109" xr:uid="{00000000-0005-0000-0000-000098150000}"/>
    <cellStyle name="20% - Accent3 3 4 2 2 4" xfId="22713" xr:uid="{00000000-0005-0000-0000-000099150000}"/>
    <cellStyle name="20% - Accent3 3 4 2 2 4 2" xfId="8447" xr:uid="{00000000-0005-0000-0000-00009A150000}"/>
    <cellStyle name="20% - Accent3 3 4 2 2 5" xfId="8449" xr:uid="{00000000-0005-0000-0000-00009B150000}"/>
    <cellStyle name="20% - Accent3 3 4 2 3" xfId="6850" xr:uid="{00000000-0005-0000-0000-00009C150000}"/>
    <cellStyle name="20% - Accent3 3 4 2 3 2" xfId="8454" xr:uid="{00000000-0005-0000-0000-00009D150000}"/>
    <cellStyle name="20% - Accent3 3 4 2 3 2 2" xfId="18618" xr:uid="{00000000-0005-0000-0000-00009E150000}"/>
    <cellStyle name="20% - Accent3 3 4 2 3 2 2 2" xfId="15724" xr:uid="{00000000-0005-0000-0000-00009F150000}"/>
    <cellStyle name="20% - Accent3 3 4 2 3 2 3" xfId="18789" xr:uid="{00000000-0005-0000-0000-0000A0150000}"/>
    <cellStyle name="20% - Accent3 3 4 2 3 3" xfId="8463" xr:uid="{00000000-0005-0000-0000-0000A1150000}"/>
    <cellStyle name="20% - Accent3 3 4 2 3 3 2" xfId="8372" xr:uid="{00000000-0005-0000-0000-0000A2150000}"/>
    <cellStyle name="20% - Accent3 3 4 2 3 4" xfId="8465" xr:uid="{00000000-0005-0000-0000-0000A3150000}"/>
    <cellStyle name="20% - Accent3 3 4 2 4" xfId="6853" xr:uid="{00000000-0005-0000-0000-0000A4150000}"/>
    <cellStyle name="20% - Accent3 3 4 2 4 2" xfId="7351" xr:uid="{00000000-0005-0000-0000-0000A5150000}"/>
    <cellStyle name="20% - Accent3 3 4 2 4 2 2" xfId="1358" xr:uid="{00000000-0005-0000-0000-0000A6150000}"/>
    <cellStyle name="20% - Accent3 3 4 2 4 3" xfId="6852" xr:uid="{00000000-0005-0000-0000-0000A7150000}"/>
    <cellStyle name="20% - Accent3 3 4 2 5" xfId="8468" xr:uid="{00000000-0005-0000-0000-0000A8150000}"/>
    <cellStyle name="20% - Accent3 3 4 2 5 2" xfId="6874" xr:uid="{00000000-0005-0000-0000-0000A9150000}"/>
    <cellStyle name="20% - Accent3 3 4 2 6" xfId="3084" xr:uid="{00000000-0005-0000-0000-0000AA150000}"/>
    <cellStyle name="20% - Accent3 3 4 3" xfId="987" xr:uid="{00000000-0005-0000-0000-0000AB150000}"/>
    <cellStyle name="20% - Accent3 3 4 3 2" xfId="7495" xr:uid="{00000000-0005-0000-0000-0000AC150000}"/>
    <cellStyle name="20% - Accent3 3 4 3 2 2" xfId="15885" xr:uid="{00000000-0005-0000-0000-0000AD150000}"/>
    <cellStyle name="20% - Accent3 3 4 3 2 2 2" xfId="19944" xr:uid="{00000000-0005-0000-0000-0000AE150000}"/>
    <cellStyle name="20% - Accent3 3 4 3 2 2 2 2" xfId="23778" xr:uid="{00000000-0005-0000-0000-0000AF150000}"/>
    <cellStyle name="20% - Accent3 3 4 3 2 2 3" xfId="21320" xr:uid="{00000000-0005-0000-0000-0000B0150000}"/>
    <cellStyle name="20% - Accent3 3 4 3 2 3" xfId="10053" xr:uid="{00000000-0005-0000-0000-0000B1150000}"/>
    <cellStyle name="20% - Accent3 3 4 3 2 3 2" xfId="19957" xr:uid="{00000000-0005-0000-0000-0000B2150000}"/>
    <cellStyle name="20% - Accent3 3 4 3 2 4" xfId="11655" xr:uid="{00000000-0005-0000-0000-0000B3150000}"/>
    <cellStyle name="20% - Accent3 3 4 3 3" xfId="6859" xr:uid="{00000000-0005-0000-0000-0000B4150000}"/>
    <cellStyle name="20% - Accent3 3 4 3 3 2" xfId="26656" xr:uid="{00000000-0005-0000-0000-0000B5150000}"/>
    <cellStyle name="20% - Accent3 3 4 3 3 2 2" xfId="21328" xr:uid="{00000000-0005-0000-0000-0000B6150000}"/>
    <cellStyle name="20% - Accent3 3 4 3 3 3" xfId="24110" xr:uid="{00000000-0005-0000-0000-0000B7150000}"/>
    <cellStyle name="20% - Accent3 3 4 3 4" xfId="7519" xr:uid="{00000000-0005-0000-0000-0000B8150000}"/>
    <cellStyle name="20% - Accent3 3 4 3 4 2" xfId="13939" xr:uid="{00000000-0005-0000-0000-0000B9150000}"/>
    <cellStyle name="20% - Accent3 3 4 3 5" xfId="7523" xr:uid="{00000000-0005-0000-0000-0000BA150000}"/>
    <cellStyle name="20% - Accent3 3 4 4" xfId="992" xr:uid="{00000000-0005-0000-0000-0000BB150000}"/>
    <cellStyle name="20% - Accent3 3 4 4 2" xfId="7526" xr:uid="{00000000-0005-0000-0000-0000BC150000}"/>
    <cellStyle name="20% - Accent3 3 4 4 2 2" xfId="31611" xr:uid="{00000000-0005-0000-0000-0000BD150000}"/>
    <cellStyle name="20% - Accent3 3 4 4 2 2 2" xfId="24009" xr:uid="{00000000-0005-0000-0000-0000BE150000}"/>
    <cellStyle name="20% - Accent3 3 4 4 2 3" xfId="10212" xr:uid="{00000000-0005-0000-0000-0000BF150000}"/>
    <cellStyle name="20% - Accent3 3 4 4 3" xfId="11941" xr:uid="{00000000-0005-0000-0000-0000C0150000}"/>
    <cellStyle name="20% - Accent3 3 4 4 3 2" xfId="24198" xr:uid="{00000000-0005-0000-0000-0000C1150000}"/>
    <cellStyle name="20% - Accent3 3 4 4 4" xfId="11864" xr:uid="{00000000-0005-0000-0000-0000C2150000}"/>
    <cellStyle name="20% - Accent3 3 4 5" xfId="7543" xr:uid="{00000000-0005-0000-0000-0000C3150000}"/>
    <cellStyle name="20% - Accent3 3 4 5 2" xfId="7548" xr:uid="{00000000-0005-0000-0000-0000C4150000}"/>
    <cellStyle name="20% - Accent3 3 4 5 2 2" xfId="8480" xr:uid="{00000000-0005-0000-0000-0000C5150000}"/>
    <cellStyle name="20% - Accent3 3 4 5 3" xfId="12732" xr:uid="{00000000-0005-0000-0000-0000C6150000}"/>
    <cellStyle name="20% - Accent3 3 4 6" xfId="9508" xr:uid="{00000000-0005-0000-0000-0000C7150000}"/>
    <cellStyle name="20% - Accent3 3 4 6 2" xfId="12092" xr:uid="{00000000-0005-0000-0000-0000C8150000}"/>
    <cellStyle name="20% - Accent3 3 4 7" xfId="24501" xr:uid="{00000000-0005-0000-0000-0000C9150000}"/>
    <cellStyle name="20% - Accent3 3 5" xfId="5357" xr:uid="{00000000-0005-0000-0000-0000CA150000}"/>
    <cellStyle name="20% - Accent3 3 5 2" xfId="6725" xr:uid="{00000000-0005-0000-0000-0000CB150000}"/>
    <cellStyle name="20% - Accent3 3 5 2 2" xfId="19806" xr:uid="{00000000-0005-0000-0000-0000CC150000}"/>
    <cellStyle name="20% - Accent3 3 5 2 2 2" xfId="6071" xr:uid="{00000000-0005-0000-0000-0000CD150000}"/>
    <cellStyle name="20% - Accent3 3 5 2 2 2 2" xfId="18817" xr:uid="{00000000-0005-0000-0000-0000CE150000}"/>
    <cellStyle name="20% - Accent3 3 5 2 2 2 2 2" xfId="8490" xr:uid="{00000000-0005-0000-0000-0000CF150000}"/>
    <cellStyle name="20% - Accent3 3 5 2 2 2 3" xfId="21792" xr:uid="{00000000-0005-0000-0000-0000D0150000}"/>
    <cellStyle name="20% - Accent3 3 5 2 2 3" xfId="6079" xr:uid="{00000000-0005-0000-0000-0000D1150000}"/>
    <cellStyle name="20% - Accent3 3 5 2 2 3 2" xfId="21805" xr:uid="{00000000-0005-0000-0000-0000D2150000}"/>
    <cellStyle name="20% - Accent3 3 5 2 2 4" xfId="8496" xr:uid="{00000000-0005-0000-0000-0000D3150000}"/>
    <cellStyle name="20% - Accent3 3 5 2 3" xfId="19808" xr:uid="{00000000-0005-0000-0000-0000D4150000}"/>
    <cellStyle name="20% - Accent3 3 5 2 3 2" xfId="6097" xr:uid="{00000000-0005-0000-0000-0000D5150000}"/>
    <cellStyle name="20% - Accent3 3 5 2 3 2 2" xfId="8499" xr:uid="{00000000-0005-0000-0000-0000D6150000}"/>
    <cellStyle name="20% - Accent3 3 5 2 3 3" xfId="8505" xr:uid="{00000000-0005-0000-0000-0000D7150000}"/>
    <cellStyle name="20% - Accent3 3 5 2 4" xfId="19810" xr:uid="{00000000-0005-0000-0000-0000D8150000}"/>
    <cellStyle name="20% - Accent3 3 5 2 4 2" xfId="8100" xr:uid="{00000000-0005-0000-0000-0000D9150000}"/>
    <cellStyle name="20% - Accent3 3 5 2 5" xfId="32582" xr:uid="{00000000-0005-0000-0000-0000DA150000}"/>
    <cellStyle name="20% - Accent3 3 5 3" xfId="1007" xr:uid="{00000000-0005-0000-0000-0000DB150000}"/>
    <cellStyle name="20% - Accent3 3 5 3 2" xfId="19813" xr:uid="{00000000-0005-0000-0000-0000DC150000}"/>
    <cellStyle name="20% - Accent3 3 5 3 2 2" xfId="25288" xr:uid="{00000000-0005-0000-0000-0000DD150000}"/>
    <cellStyle name="20% - Accent3 3 5 3 2 2 2" xfId="22627" xr:uid="{00000000-0005-0000-0000-0000DE150000}"/>
    <cellStyle name="20% - Accent3 3 5 3 2 3" xfId="10455" xr:uid="{00000000-0005-0000-0000-0000DF150000}"/>
    <cellStyle name="20% - Accent3 3 5 3 3" xfId="19815" xr:uid="{00000000-0005-0000-0000-0000E0150000}"/>
    <cellStyle name="20% - Accent3 3 5 3 3 2" xfId="24331" xr:uid="{00000000-0005-0000-0000-0000E1150000}"/>
    <cellStyle name="20% - Accent3 3 5 3 4" xfId="7594" xr:uid="{00000000-0005-0000-0000-0000E2150000}"/>
    <cellStyle name="20% - Accent3 3 5 4" xfId="7598" xr:uid="{00000000-0005-0000-0000-0000E3150000}"/>
    <cellStyle name="20% - Accent3 3 5 4 2" xfId="13065" xr:uid="{00000000-0005-0000-0000-0000E4150000}"/>
    <cellStyle name="20% - Accent3 3 5 4 2 2" xfId="33620" xr:uid="{00000000-0005-0000-0000-0000E5150000}"/>
    <cellStyle name="20% - Accent3 3 5 4 3" xfId="16085" xr:uid="{00000000-0005-0000-0000-0000E6150000}"/>
    <cellStyle name="20% - Accent3 3 5 5" xfId="7607" xr:uid="{00000000-0005-0000-0000-0000E7150000}"/>
    <cellStyle name="20% - Accent3 3 5 5 2" xfId="12097" xr:uid="{00000000-0005-0000-0000-0000E8150000}"/>
    <cellStyle name="20% - Accent3 3 5 6" xfId="24510" xr:uid="{00000000-0005-0000-0000-0000E9150000}"/>
    <cellStyle name="20% - Accent3 3 6" xfId="8550" xr:uid="{00000000-0005-0000-0000-0000EA150000}"/>
    <cellStyle name="20% - Accent3 3 6 2" xfId="2953" xr:uid="{00000000-0005-0000-0000-0000EB150000}"/>
    <cellStyle name="20% - Accent3 3 6 2 2" xfId="19823" xr:uid="{00000000-0005-0000-0000-0000EC150000}"/>
    <cellStyle name="20% - Accent3 3 6 2 2 2" xfId="7836" xr:uid="{00000000-0005-0000-0000-0000ED150000}"/>
    <cellStyle name="20% - Accent3 3 6 2 2 2 2" xfId="24423" xr:uid="{00000000-0005-0000-0000-0000EE150000}"/>
    <cellStyle name="20% - Accent3 3 6 2 2 3" xfId="8513" xr:uid="{00000000-0005-0000-0000-0000EF150000}"/>
    <cellStyle name="20% - Accent3 3 6 2 3" xfId="19833" xr:uid="{00000000-0005-0000-0000-0000F0150000}"/>
    <cellStyle name="20% - Accent3 3 6 2 3 2" xfId="8519" xr:uid="{00000000-0005-0000-0000-0000F1150000}"/>
    <cellStyle name="20% - Accent3 3 6 2 4" xfId="30276" xr:uid="{00000000-0005-0000-0000-0000F2150000}"/>
    <cellStyle name="20% - Accent3 3 6 3" xfId="7620" xr:uid="{00000000-0005-0000-0000-0000F3150000}"/>
    <cellStyle name="20% - Accent3 3 6 3 2" xfId="19836" xr:uid="{00000000-0005-0000-0000-0000F4150000}"/>
    <cellStyle name="20% - Accent3 3 6 3 2 2" xfId="27085" xr:uid="{00000000-0005-0000-0000-0000F5150000}"/>
    <cellStyle name="20% - Accent3 3 6 3 3" xfId="358" xr:uid="{00000000-0005-0000-0000-0000F6150000}"/>
    <cellStyle name="20% - Accent3 3 6 4" xfId="4525" xr:uid="{00000000-0005-0000-0000-0000F7150000}"/>
    <cellStyle name="20% - Accent3 3 6 4 2" xfId="13848" xr:uid="{00000000-0005-0000-0000-0000F8150000}"/>
    <cellStyle name="20% - Accent3 3 6 5" xfId="4541" xr:uid="{00000000-0005-0000-0000-0000F9150000}"/>
    <cellStyle name="20% - Accent3 3 7" xfId="24066" xr:uid="{00000000-0005-0000-0000-0000FA150000}"/>
    <cellStyle name="20% - Accent3 3 7 2" xfId="8522" xr:uid="{00000000-0005-0000-0000-0000FB150000}"/>
    <cellStyle name="20% - Accent3 3 7 2 2" xfId="12756" xr:uid="{00000000-0005-0000-0000-0000FC150000}"/>
    <cellStyle name="20% - Accent3 3 7 2 2 2" xfId="8524" xr:uid="{00000000-0005-0000-0000-0000FD150000}"/>
    <cellStyle name="20% - Accent3 3 7 2 3" xfId="8528" xr:uid="{00000000-0005-0000-0000-0000FE150000}"/>
    <cellStyle name="20% - Accent3 3 7 3" xfId="9168" xr:uid="{00000000-0005-0000-0000-0000FF150000}"/>
    <cellStyle name="20% - Accent3 3 7 3 2" xfId="11778" xr:uid="{00000000-0005-0000-0000-000000160000}"/>
    <cellStyle name="20% - Accent3 3 7 4" xfId="9197" xr:uid="{00000000-0005-0000-0000-000001160000}"/>
    <cellStyle name="20% - Accent3 3 8" xfId="10299" xr:uid="{00000000-0005-0000-0000-000002160000}"/>
    <cellStyle name="20% - Accent3 3 8 2" xfId="9205" xr:uid="{00000000-0005-0000-0000-000003160000}"/>
    <cellStyle name="20% - Accent3 3 8 2 2" xfId="8531" xr:uid="{00000000-0005-0000-0000-000004160000}"/>
    <cellStyle name="20% - Accent3 3 8 3" xfId="7635" xr:uid="{00000000-0005-0000-0000-000005160000}"/>
    <cellStyle name="20% - Accent3 3 9" xfId="25389" xr:uid="{00000000-0005-0000-0000-000006160000}"/>
    <cellStyle name="20% - Accent3 3 9 2" xfId="26183" xr:uid="{00000000-0005-0000-0000-000007160000}"/>
    <cellStyle name="20% - Accent3 4" xfId="26948" xr:uid="{00000000-0005-0000-0000-000008160000}"/>
    <cellStyle name="20% - Accent3 4 2" xfId="1443" xr:uid="{00000000-0005-0000-0000-000009160000}"/>
    <cellStyle name="20% - Accent3 4 2 2" xfId="2176" xr:uid="{00000000-0005-0000-0000-00000A160000}"/>
    <cellStyle name="20% - Accent3 4 2 2 2" xfId="2022" xr:uid="{00000000-0005-0000-0000-00000B160000}"/>
    <cellStyle name="20% - Accent3 4 2 2 2 2" xfId="33166" xr:uid="{00000000-0005-0000-0000-00000C160000}"/>
    <cellStyle name="20% - Accent3 4 2 2 2 2 2" xfId="15553" xr:uid="{00000000-0005-0000-0000-00000D160000}"/>
    <cellStyle name="20% - Accent3 4 2 2 2 2 2 2" xfId="22582" xr:uid="{00000000-0005-0000-0000-00000E160000}"/>
    <cellStyle name="20% - Accent3 4 2 2 2 2 2 2 2" xfId="3707" xr:uid="{00000000-0005-0000-0000-00000F160000}"/>
    <cellStyle name="20% - Accent3 4 2 2 2 2 2 2 2 2" xfId="7437" xr:uid="{00000000-0005-0000-0000-000010160000}"/>
    <cellStyle name="20% - Accent3 4 2 2 2 2 2 2 3" xfId="2169" xr:uid="{00000000-0005-0000-0000-000011160000}"/>
    <cellStyle name="20% - Accent3 4 2 2 2 2 2 3" xfId="8035" xr:uid="{00000000-0005-0000-0000-000012160000}"/>
    <cellStyle name="20% - Accent3 4 2 2 2 2 2 3 2" xfId="3715" xr:uid="{00000000-0005-0000-0000-000013160000}"/>
    <cellStyle name="20% - Accent3 4 2 2 2 2 2 4" xfId="8539" xr:uid="{00000000-0005-0000-0000-000014160000}"/>
    <cellStyle name="20% - Accent3 4 2 2 2 2 3" xfId="7241" xr:uid="{00000000-0005-0000-0000-000015160000}"/>
    <cellStyle name="20% - Accent3 4 2 2 2 2 3 2" xfId="8542" xr:uid="{00000000-0005-0000-0000-000016160000}"/>
    <cellStyle name="20% - Accent3 4 2 2 2 2 3 2 2" xfId="25162" xr:uid="{00000000-0005-0000-0000-000017160000}"/>
    <cellStyle name="20% - Accent3 4 2 2 2 2 3 3" xfId="9419" xr:uid="{00000000-0005-0000-0000-000018160000}"/>
    <cellStyle name="20% - Accent3 4 2 2 2 2 4" xfId="3417" xr:uid="{00000000-0005-0000-0000-000019160000}"/>
    <cellStyle name="20% - Accent3 4 2 2 2 2 4 2" xfId="10283" xr:uid="{00000000-0005-0000-0000-00001A160000}"/>
    <cellStyle name="20% - Accent3 4 2 2 2 2 5" xfId="11103" xr:uid="{00000000-0005-0000-0000-00001B160000}"/>
    <cellStyle name="20% - Accent3 4 2 2 2 3" xfId="7249" xr:uid="{00000000-0005-0000-0000-00001C160000}"/>
    <cellStyle name="20% - Accent3 4 2 2 2 3 2" xfId="24672" xr:uid="{00000000-0005-0000-0000-00001D160000}"/>
    <cellStyle name="20% - Accent3 4 2 2 2 3 2 2" xfId="8544" xr:uid="{00000000-0005-0000-0000-00001E160000}"/>
    <cellStyle name="20% - Accent3 4 2 2 2 3 2 2 2" xfId="10798" xr:uid="{00000000-0005-0000-0000-00001F160000}"/>
    <cellStyle name="20% - Accent3 4 2 2 2 3 2 3" xfId="8545" xr:uid="{00000000-0005-0000-0000-000020160000}"/>
    <cellStyle name="20% - Accent3 4 2 2 2 3 3" xfId="8986" xr:uid="{00000000-0005-0000-0000-000021160000}"/>
    <cellStyle name="20% - Accent3 4 2 2 2 3 3 2" xfId="8547" xr:uid="{00000000-0005-0000-0000-000022160000}"/>
    <cellStyle name="20% - Accent3 4 2 2 2 3 4" xfId="4594" xr:uid="{00000000-0005-0000-0000-000023160000}"/>
    <cellStyle name="20% - Accent3 4 2 2 2 4" xfId="11775" xr:uid="{00000000-0005-0000-0000-000024160000}"/>
    <cellStyle name="20% - Accent3 4 2 2 2 4 2" xfId="24681" xr:uid="{00000000-0005-0000-0000-000025160000}"/>
    <cellStyle name="20% - Accent3 4 2 2 2 4 2 2" xfId="8552" xr:uid="{00000000-0005-0000-0000-000026160000}"/>
    <cellStyle name="20% - Accent3 4 2 2 2 4 3" xfId="8554" xr:uid="{00000000-0005-0000-0000-000027160000}"/>
    <cellStyle name="20% - Accent3 4 2 2 2 5" xfId="8219" xr:uid="{00000000-0005-0000-0000-000028160000}"/>
    <cellStyle name="20% - Accent3 4 2 2 2 5 2" xfId="26332" xr:uid="{00000000-0005-0000-0000-000029160000}"/>
    <cellStyle name="20% - Accent3 4 2 2 2 6" xfId="8559" xr:uid="{00000000-0005-0000-0000-00002A160000}"/>
    <cellStyle name="20% - Accent3 4 2 2 3" xfId="6313" xr:uid="{00000000-0005-0000-0000-00002B160000}"/>
    <cellStyle name="20% - Accent3 4 2 2 3 2" xfId="7255" xr:uid="{00000000-0005-0000-0000-00002C160000}"/>
    <cellStyle name="20% - Accent3 4 2 2 3 2 2" xfId="7262" xr:uid="{00000000-0005-0000-0000-00002D160000}"/>
    <cellStyle name="20% - Accent3 4 2 2 3 2 2 2" xfId="31169" xr:uid="{00000000-0005-0000-0000-00002E160000}"/>
    <cellStyle name="20% - Accent3 4 2 2 3 2 2 2 2" xfId="3838" xr:uid="{00000000-0005-0000-0000-00002F160000}"/>
    <cellStyle name="20% - Accent3 4 2 2 3 2 2 3" xfId="333" xr:uid="{00000000-0005-0000-0000-000030160000}"/>
    <cellStyle name="20% - Accent3 4 2 2 3 2 3" xfId="2127" xr:uid="{00000000-0005-0000-0000-000031160000}"/>
    <cellStyle name="20% - Accent3 4 2 2 3 2 3 2" xfId="32456" xr:uid="{00000000-0005-0000-0000-000032160000}"/>
    <cellStyle name="20% - Accent3 4 2 2 3 2 4" xfId="10305" xr:uid="{00000000-0005-0000-0000-000033160000}"/>
    <cellStyle name="20% - Accent3 4 2 2 3 3" xfId="7269" xr:uid="{00000000-0005-0000-0000-000034160000}"/>
    <cellStyle name="20% - Accent3 4 2 2 3 3 2" xfId="24691" xr:uid="{00000000-0005-0000-0000-000035160000}"/>
    <cellStyle name="20% - Accent3 4 2 2 3 3 2 2" xfId="8562" xr:uid="{00000000-0005-0000-0000-000036160000}"/>
    <cellStyle name="20% - Accent3 4 2 2 3 3 3" xfId="9889" xr:uid="{00000000-0005-0000-0000-000037160000}"/>
    <cellStyle name="20% - Accent3 4 2 2 3 4" xfId="8566" xr:uid="{00000000-0005-0000-0000-000038160000}"/>
    <cellStyle name="20% - Accent3 4 2 2 3 4 2" xfId="10377" xr:uid="{00000000-0005-0000-0000-000039160000}"/>
    <cellStyle name="20% - Accent3 4 2 2 3 5" xfId="8570" xr:uid="{00000000-0005-0000-0000-00003A160000}"/>
    <cellStyle name="20% - Accent3 4 2 2 4" xfId="17528" xr:uid="{00000000-0005-0000-0000-00003B160000}"/>
    <cellStyle name="20% - Accent3 4 2 2 4 2" xfId="17368" xr:uid="{00000000-0005-0000-0000-00003C160000}"/>
    <cellStyle name="20% - Accent3 4 2 2 4 2 2" xfId="17372" xr:uid="{00000000-0005-0000-0000-00003D160000}"/>
    <cellStyle name="20% - Accent3 4 2 2 4 2 2 2" xfId="33812" xr:uid="{00000000-0005-0000-0000-00003E160000}"/>
    <cellStyle name="20% - Accent3 4 2 2 4 2 3" xfId="15948" xr:uid="{00000000-0005-0000-0000-00003F160000}"/>
    <cellStyle name="20% - Accent3 4 2 2 4 3" xfId="17374" xr:uid="{00000000-0005-0000-0000-000040160000}"/>
    <cellStyle name="20% - Accent3 4 2 2 4 3 2" xfId="8577" xr:uid="{00000000-0005-0000-0000-000041160000}"/>
    <cellStyle name="20% - Accent3 4 2 2 4 4" xfId="19611" xr:uid="{00000000-0005-0000-0000-000042160000}"/>
    <cellStyle name="20% - Accent3 4 2 2 5" xfId="8580" xr:uid="{00000000-0005-0000-0000-000043160000}"/>
    <cellStyle name="20% - Accent3 4 2 2 5 2" xfId="17392" xr:uid="{00000000-0005-0000-0000-000044160000}"/>
    <cellStyle name="20% - Accent3 4 2 2 5 2 2" xfId="28566" xr:uid="{00000000-0005-0000-0000-000045160000}"/>
    <cellStyle name="20% - Accent3 4 2 2 5 3" xfId="11593" xr:uid="{00000000-0005-0000-0000-000046160000}"/>
    <cellStyle name="20% - Accent3 4 2 2 6" xfId="9633" xr:uid="{00000000-0005-0000-0000-000047160000}"/>
    <cellStyle name="20% - Accent3 4 2 2 6 2" xfId="11598" xr:uid="{00000000-0005-0000-0000-000048160000}"/>
    <cellStyle name="20% - Accent3 4 2 2 7" xfId="11219" xr:uid="{00000000-0005-0000-0000-000049160000}"/>
    <cellStyle name="20% - Accent3 4 2 3" xfId="114" xr:uid="{00000000-0005-0000-0000-00004A160000}"/>
    <cellStyle name="20% - Accent3 4 2 3 2" xfId="1027" xr:uid="{00000000-0005-0000-0000-00004B160000}"/>
    <cellStyle name="20% - Accent3 4 2 3 2 2" xfId="7466" xr:uid="{00000000-0005-0000-0000-00004C160000}"/>
    <cellStyle name="20% - Accent3 4 2 3 2 2 2" xfId="7470" xr:uid="{00000000-0005-0000-0000-00004D160000}"/>
    <cellStyle name="20% - Accent3 4 2 3 2 2 2 2" xfId="8584" xr:uid="{00000000-0005-0000-0000-00004E160000}"/>
    <cellStyle name="20% - Accent3 4 2 3 2 2 2 2 2" xfId="4264" xr:uid="{00000000-0005-0000-0000-00004F160000}"/>
    <cellStyle name="20% - Accent3 4 2 3 2 2 2 3" xfId="25305" xr:uid="{00000000-0005-0000-0000-000050160000}"/>
    <cellStyle name="20% - Accent3 4 2 3 2 2 3" xfId="8585" xr:uid="{00000000-0005-0000-0000-000051160000}"/>
    <cellStyle name="20% - Accent3 4 2 3 2 2 3 2" xfId="8586" xr:uid="{00000000-0005-0000-0000-000052160000}"/>
    <cellStyle name="20% - Accent3 4 2 3 2 2 4" xfId="10323" xr:uid="{00000000-0005-0000-0000-000053160000}"/>
    <cellStyle name="20% - Accent3 4 2 3 2 3" xfId="32262" xr:uid="{00000000-0005-0000-0000-000054160000}"/>
    <cellStyle name="20% - Accent3 4 2 3 2 3 2" xfId="12412" xr:uid="{00000000-0005-0000-0000-000055160000}"/>
    <cellStyle name="20% - Accent3 4 2 3 2 3 2 2" xfId="8587" xr:uid="{00000000-0005-0000-0000-000056160000}"/>
    <cellStyle name="20% - Accent3 4 2 3 2 3 3" xfId="8588" xr:uid="{00000000-0005-0000-0000-000057160000}"/>
    <cellStyle name="20% - Accent3 4 2 3 2 4" xfId="9752" xr:uid="{00000000-0005-0000-0000-000058160000}"/>
    <cellStyle name="20% - Accent3 4 2 3 2 4 2" xfId="8593" xr:uid="{00000000-0005-0000-0000-000059160000}"/>
    <cellStyle name="20% - Accent3 4 2 3 2 5" xfId="8594" xr:uid="{00000000-0005-0000-0000-00005A160000}"/>
    <cellStyle name="20% - Accent3 4 2 3 3" xfId="8596" xr:uid="{00000000-0005-0000-0000-00005B160000}"/>
    <cellStyle name="20% - Accent3 4 2 3 3 2" xfId="22978" xr:uid="{00000000-0005-0000-0000-00005C160000}"/>
    <cellStyle name="20% - Accent3 4 2 3 3 2 2" xfId="8597" xr:uid="{00000000-0005-0000-0000-00005D160000}"/>
    <cellStyle name="20% - Accent3 4 2 3 3 2 2 2" xfId="11796" xr:uid="{00000000-0005-0000-0000-00005E160000}"/>
    <cellStyle name="20% - Accent3 4 2 3 3 2 3" xfId="8598" xr:uid="{00000000-0005-0000-0000-00005F160000}"/>
    <cellStyle name="20% - Accent3 4 2 3 3 3" xfId="23211" xr:uid="{00000000-0005-0000-0000-000060160000}"/>
    <cellStyle name="20% - Accent3 4 2 3 3 3 2" xfId="8601" xr:uid="{00000000-0005-0000-0000-000061160000}"/>
    <cellStyle name="20% - Accent3 4 2 3 3 4" xfId="8999" xr:uid="{00000000-0005-0000-0000-000062160000}"/>
    <cellStyle name="20% - Accent3 4 2 3 4" xfId="8603" xr:uid="{00000000-0005-0000-0000-000063160000}"/>
    <cellStyle name="20% - Accent3 4 2 3 4 2" xfId="27023" xr:uid="{00000000-0005-0000-0000-000064160000}"/>
    <cellStyle name="20% - Accent3 4 2 3 4 2 2" xfId="10153" xr:uid="{00000000-0005-0000-0000-000065160000}"/>
    <cellStyle name="20% - Accent3 4 2 3 4 3" xfId="29564" xr:uid="{00000000-0005-0000-0000-000066160000}"/>
    <cellStyle name="20% - Accent3 4 2 3 5" xfId="8607" xr:uid="{00000000-0005-0000-0000-000067160000}"/>
    <cellStyle name="20% - Accent3 4 2 3 5 2" xfId="15606" xr:uid="{00000000-0005-0000-0000-000068160000}"/>
    <cellStyle name="20% - Accent3 4 2 3 6" xfId="625" xr:uid="{00000000-0005-0000-0000-000069160000}"/>
    <cellStyle name="20% - Accent3 4 2 4" xfId="24282" xr:uid="{00000000-0005-0000-0000-00006A160000}"/>
    <cellStyle name="20% - Accent3 4 2 4 2" xfId="1571" xr:uid="{00000000-0005-0000-0000-00006B160000}"/>
    <cellStyle name="20% - Accent3 4 2 4 2 2" xfId="29536" xr:uid="{00000000-0005-0000-0000-00006C160000}"/>
    <cellStyle name="20% - Accent3 4 2 4 2 2 2" xfId="30343" xr:uid="{00000000-0005-0000-0000-00006D160000}"/>
    <cellStyle name="20% - Accent3 4 2 4 2 2 2 2" xfId="8329" xr:uid="{00000000-0005-0000-0000-00006E160000}"/>
    <cellStyle name="20% - Accent3 4 2 4 2 2 3" xfId="9036" xr:uid="{00000000-0005-0000-0000-00006F160000}"/>
    <cellStyle name="20% - Accent3 4 2 4 2 3" xfId="30348" xr:uid="{00000000-0005-0000-0000-000070160000}"/>
    <cellStyle name="20% - Accent3 4 2 4 2 3 2" xfId="14080" xr:uid="{00000000-0005-0000-0000-000071160000}"/>
    <cellStyle name="20% - Accent3 4 2 4 2 4" xfId="8618" xr:uid="{00000000-0005-0000-0000-000072160000}"/>
    <cellStyle name="20% - Accent3 4 2 4 3" xfId="1575" xr:uid="{00000000-0005-0000-0000-000073160000}"/>
    <cellStyle name="20% - Accent3 4 2 4 3 2" xfId="26881" xr:uid="{00000000-0005-0000-0000-000074160000}"/>
    <cellStyle name="20% - Accent3 4 2 4 3 2 2" xfId="8624" xr:uid="{00000000-0005-0000-0000-000075160000}"/>
    <cellStyle name="20% - Accent3 4 2 4 3 3" xfId="8628" xr:uid="{00000000-0005-0000-0000-000076160000}"/>
    <cellStyle name="20% - Accent3 4 2 4 4" xfId="8635" xr:uid="{00000000-0005-0000-0000-000077160000}"/>
    <cellStyle name="20% - Accent3 4 2 4 4 2" xfId="693" xr:uid="{00000000-0005-0000-0000-000078160000}"/>
    <cellStyle name="20% - Accent3 4 2 4 5" xfId="8636" xr:uid="{00000000-0005-0000-0000-000079160000}"/>
    <cellStyle name="20% - Accent3 4 2 5" xfId="11471" xr:uid="{00000000-0005-0000-0000-00007A160000}"/>
    <cellStyle name="20% - Accent3 4 2 5 2" xfId="1844" xr:uid="{00000000-0005-0000-0000-00007B160000}"/>
    <cellStyle name="20% - Accent3 4 2 5 2 2" xfId="30357" xr:uid="{00000000-0005-0000-0000-00007C160000}"/>
    <cellStyle name="20% - Accent3 4 2 5 2 2 2" xfId="8637" xr:uid="{00000000-0005-0000-0000-00007D160000}"/>
    <cellStyle name="20% - Accent3 4 2 5 2 3" xfId="2553" xr:uid="{00000000-0005-0000-0000-00007E160000}"/>
    <cellStyle name="20% - Accent3 4 2 5 3" xfId="116" xr:uid="{00000000-0005-0000-0000-00007F160000}"/>
    <cellStyle name="20% - Accent3 4 2 5 3 2" xfId="8640" xr:uid="{00000000-0005-0000-0000-000080160000}"/>
    <cellStyle name="20% - Accent3 4 2 5 4" xfId="10048" xr:uid="{00000000-0005-0000-0000-000081160000}"/>
    <cellStyle name="20% - Accent3 4 2 6" xfId="11480" xr:uid="{00000000-0005-0000-0000-000082160000}"/>
    <cellStyle name="20% - Accent3 4 2 6 2" xfId="1468" xr:uid="{00000000-0005-0000-0000-000083160000}"/>
    <cellStyle name="20% - Accent3 4 2 6 2 2" xfId="8643" xr:uid="{00000000-0005-0000-0000-000084160000}"/>
    <cellStyle name="20% - Accent3 4 2 6 3" xfId="8648" xr:uid="{00000000-0005-0000-0000-000085160000}"/>
    <cellStyle name="20% - Accent3 4 2 7" xfId="22162" xr:uid="{00000000-0005-0000-0000-000086160000}"/>
    <cellStyle name="20% - Accent3 4 2 7 2" xfId="6775" xr:uid="{00000000-0005-0000-0000-000087160000}"/>
    <cellStyle name="20% - Accent3 4 2 8" xfId="11484" xr:uid="{00000000-0005-0000-0000-000088160000}"/>
    <cellStyle name="20% - Accent3 4 3" xfId="13213" xr:uid="{00000000-0005-0000-0000-000089160000}"/>
    <cellStyle name="20% - Accent3 4 3 2" xfId="8148" xr:uid="{00000000-0005-0000-0000-00008A160000}"/>
    <cellStyle name="20% - Accent3 4 3 2 2" xfId="228" xr:uid="{00000000-0005-0000-0000-00008B160000}"/>
    <cellStyle name="20% - Accent3 4 3 2 2 2" xfId="8297" xr:uid="{00000000-0005-0000-0000-00008C160000}"/>
    <cellStyle name="20% - Accent3 4 3 2 2 2 2" xfId="12693" xr:uid="{00000000-0005-0000-0000-00008D160000}"/>
    <cellStyle name="20% - Accent3 4 3 2 2 2 2 2" xfId="12167" xr:uid="{00000000-0005-0000-0000-00008E160000}"/>
    <cellStyle name="20% - Accent3 4 3 2 2 2 2 2 2" xfId="6033" xr:uid="{00000000-0005-0000-0000-00008F160000}"/>
    <cellStyle name="20% - Accent3 4 3 2 2 2 2 3" xfId="7999" xr:uid="{00000000-0005-0000-0000-000090160000}"/>
    <cellStyle name="20% - Accent3 4 3 2 2 2 3" xfId="1754" xr:uid="{00000000-0005-0000-0000-000091160000}"/>
    <cellStyle name="20% - Accent3 4 3 2 2 2 3 2" xfId="8650" xr:uid="{00000000-0005-0000-0000-000092160000}"/>
    <cellStyle name="20% - Accent3 4 3 2 2 2 4" xfId="32224" xr:uid="{00000000-0005-0000-0000-000093160000}"/>
    <cellStyle name="20% - Accent3 4 3 2 2 3" xfId="8305" xr:uid="{00000000-0005-0000-0000-000094160000}"/>
    <cellStyle name="20% - Accent3 4 3 2 2 3 2" xfId="24727" xr:uid="{00000000-0005-0000-0000-000095160000}"/>
    <cellStyle name="20% - Accent3 4 3 2 2 3 2 2" xfId="8653" xr:uid="{00000000-0005-0000-0000-000096160000}"/>
    <cellStyle name="20% - Accent3 4 3 2 2 3 3" xfId="8658" xr:uid="{00000000-0005-0000-0000-000097160000}"/>
    <cellStyle name="20% - Accent3 4 3 2 2 4" xfId="8659" xr:uid="{00000000-0005-0000-0000-000098160000}"/>
    <cellStyle name="20% - Accent3 4 3 2 2 4 2" xfId="8662" xr:uid="{00000000-0005-0000-0000-000099160000}"/>
    <cellStyle name="20% - Accent3 4 3 2 2 5" xfId="2858" xr:uid="{00000000-0005-0000-0000-00009A160000}"/>
    <cellStyle name="20% - Accent3 4 3 2 3" xfId="8666" xr:uid="{00000000-0005-0000-0000-00009B160000}"/>
    <cellStyle name="20% - Accent3 4 3 2 3 2" xfId="8317" xr:uid="{00000000-0005-0000-0000-00009C160000}"/>
    <cellStyle name="20% - Accent3 4 3 2 3 2 2" xfId="8667" xr:uid="{00000000-0005-0000-0000-00009D160000}"/>
    <cellStyle name="20% - Accent3 4 3 2 3 2 2 2" xfId="14065" xr:uid="{00000000-0005-0000-0000-00009E160000}"/>
    <cellStyle name="20% - Accent3 4 3 2 3 2 3" xfId="18979" xr:uid="{00000000-0005-0000-0000-00009F160000}"/>
    <cellStyle name="20% - Accent3 4 3 2 3 3" xfId="8671" xr:uid="{00000000-0005-0000-0000-0000A0160000}"/>
    <cellStyle name="20% - Accent3 4 3 2 3 3 2" xfId="8673" xr:uid="{00000000-0005-0000-0000-0000A1160000}"/>
    <cellStyle name="20% - Accent3 4 3 2 3 4" xfId="14837" xr:uid="{00000000-0005-0000-0000-0000A2160000}"/>
    <cellStyle name="20% - Accent3 4 3 2 4" xfId="8674" xr:uid="{00000000-0005-0000-0000-0000A3160000}"/>
    <cellStyle name="20% - Accent3 4 3 2 4 2" xfId="7521" xr:uid="{00000000-0005-0000-0000-0000A4160000}"/>
    <cellStyle name="20% - Accent3 4 3 2 4 2 2" xfId="8312" xr:uid="{00000000-0005-0000-0000-0000A5160000}"/>
    <cellStyle name="20% - Accent3 4 3 2 4 3" xfId="4935" xr:uid="{00000000-0005-0000-0000-0000A6160000}"/>
    <cellStyle name="20% - Accent3 4 3 2 5" xfId="8679" xr:uid="{00000000-0005-0000-0000-0000A7160000}"/>
    <cellStyle name="20% - Accent3 4 3 2 5 2" xfId="4989" xr:uid="{00000000-0005-0000-0000-0000A8160000}"/>
    <cellStyle name="20% - Accent3 4 3 2 6" xfId="9649" xr:uid="{00000000-0005-0000-0000-0000A9160000}"/>
    <cellStyle name="20% - Accent3 4 3 3" xfId="1031" xr:uid="{00000000-0005-0000-0000-0000AA160000}"/>
    <cellStyle name="20% - Accent3 4 3 3 2" xfId="8680" xr:uid="{00000000-0005-0000-0000-0000AB160000}"/>
    <cellStyle name="20% - Accent3 4 3 3 2 2" xfId="9794" xr:uid="{00000000-0005-0000-0000-0000AC160000}"/>
    <cellStyle name="20% - Accent3 4 3 3 2 2 2" xfId="8737" xr:uid="{00000000-0005-0000-0000-0000AD160000}"/>
    <cellStyle name="20% - Accent3 4 3 3 2 2 2 2" xfId="10766" xr:uid="{00000000-0005-0000-0000-0000AE160000}"/>
    <cellStyle name="20% - Accent3 4 3 3 2 2 3" xfId="8743" xr:uid="{00000000-0005-0000-0000-0000AF160000}"/>
    <cellStyle name="20% - Accent3 4 3 3 2 3" xfId="9798" xr:uid="{00000000-0005-0000-0000-0000B0160000}"/>
    <cellStyle name="20% - Accent3 4 3 3 2 3 2" xfId="8747" xr:uid="{00000000-0005-0000-0000-0000B1160000}"/>
    <cellStyle name="20% - Accent3 4 3 3 2 4" xfId="8687" xr:uid="{00000000-0005-0000-0000-0000B2160000}"/>
    <cellStyle name="20% - Accent3 4 3 3 3" xfId="8690" xr:uid="{00000000-0005-0000-0000-0000B3160000}"/>
    <cellStyle name="20% - Accent3 4 3 3 3 2" xfId="18994" xr:uid="{00000000-0005-0000-0000-0000B4160000}"/>
    <cellStyle name="20% - Accent3 4 3 3 3 2 2" xfId="8696" xr:uid="{00000000-0005-0000-0000-0000B5160000}"/>
    <cellStyle name="20% - Accent3 4 3 3 3 3" xfId="8697" xr:uid="{00000000-0005-0000-0000-0000B6160000}"/>
    <cellStyle name="20% - Accent3 4 3 3 4" xfId="8702" xr:uid="{00000000-0005-0000-0000-0000B7160000}"/>
    <cellStyle name="20% - Accent3 4 3 3 4 2" xfId="5092" xr:uid="{00000000-0005-0000-0000-0000B8160000}"/>
    <cellStyle name="20% - Accent3 4 3 3 5" xfId="8705" xr:uid="{00000000-0005-0000-0000-0000B9160000}"/>
    <cellStyle name="20% - Accent3 4 3 4" xfId="1035" xr:uid="{00000000-0005-0000-0000-0000BA160000}"/>
    <cellStyle name="20% - Accent3 4 3 4 2" xfId="1851" xr:uid="{00000000-0005-0000-0000-0000BB160000}"/>
    <cellStyle name="20% - Accent3 4 3 4 2 2" xfId="31090" xr:uid="{00000000-0005-0000-0000-0000BC160000}"/>
    <cellStyle name="20% - Accent3 4 3 4 2 2 2" xfId="6712" xr:uid="{00000000-0005-0000-0000-0000BD160000}"/>
    <cellStyle name="20% - Accent3 4 3 4 2 3" xfId="7287" xr:uid="{00000000-0005-0000-0000-0000BE160000}"/>
    <cellStyle name="20% - Accent3 4 3 4 3" xfId="8706" xr:uid="{00000000-0005-0000-0000-0000BF160000}"/>
    <cellStyle name="20% - Accent3 4 3 4 3 2" xfId="946" xr:uid="{00000000-0005-0000-0000-0000C0160000}"/>
    <cellStyle name="20% - Accent3 4 3 4 4" xfId="8709" xr:uid="{00000000-0005-0000-0000-0000C1160000}"/>
    <cellStyle name="20% - Accent3 4 3 5" xfId="11477" xr:uid="{00000000-0005-0000-0000-0000C2160000}"/>
    <cellStyle name="20% - Accent3 4 3 5 2" xfId="65" xr:uid="{00000000-0005-0000-0000-0000C3160000}"/>
    <cellStyle name="20% - Accent3 4 3 5 2 2" xfId="10754" xr:uid="{00000000-0005-0000-0000-0000C4160000}"/>
    <cellStyle name="20% - Accent3 4 3 5 3" xfId="25727" xr:uid="{00000000-0005-0000-0000-0000C5160000}"/>
    <cellStyle name="20% - Accent3 4 3 6" xfId="11489" xr:uid="{00000000-0005-0000-0000-0000C6160000}"/>
    <cellStyle name="20% - Accent3 4 3 6 2" xfId="8714" xr:uid="{00000000-0005-0000-0000-0000C7160000}"/>
    <cellStyle name="20% - Accent3 4 3 7" xfId="11492" xr:uid="{00000000-0005-0000-0000-0000C8160000}"/>
    <cellStyle name="20% - Accent3 4 4" xfId="4668" xr:uid="{00000000-0005-0000-0000-0000C9160000}"/>
    <cellStyle name="20% - Accent3 4 4 2" xfId="817" xr:uid="{00000000-0005-0000-0000-0000CA160000}"/>
    <cellStyle name="20% - Accent3 4 4 2 2" xfId="8717" xr:uid="{00000000-0005-0000-0000-0000CB160000}"/>
    <cellStyle name="20% - Accent3 4 4 2 2 2" xfId="9405" xr:uid="{00000000-0005-0000-0000-0000CC160000}"/>
    <cellStyle name="20% - Accent3 4 4 2 2 2 2" xfId="28254" xr:uid="{00000000-0005-0000-0000-0000CD160000}"/>
    <cellStyle name="20% - Accent3 4 4 2 2 2 2 2" xfId="27683" xr:uid="{00000000-0005-0000-0000-0000CE160000}"/>
    <cellStyle name="20% - Accent3 4 4 2 2 2 3" xfId="674" xr:uid="{00000000-0005-0000-0000-0000CF160000}"/>
    <cellStyle name="20% - Accent3 4 4 2 2 3" xfId="8722" xr:uid="{00000000-0005-0000-0000-0000D0160000}"/>
    <cellStyle name="20% - Accent3 4 4 2 2 3 2" xfId="33715" xr:uid="{00000000-0005-0000-0000-0000D1160000}"/>
    <cellStyle name="20% - Accent3 4 4 2 2 4" xfId="652" xr:uid="{00000000-0005-0000-0000-0000D2160000}"/>
    <cellStyle name="20% - Accent3 4 4 2 3" xfId="6887" xr:uid="{00000000-0005-0000-0000-0000D3160000}"/>
    <cellStyle name="20% - Accent3 4 4 2 3 2" xfId="6783" xr:uid="{00000000-0005-0000-0000-0000D4160000}"/>
    <cellStyle name="20% - Accent3 4 4 2 3 2 2" xfId="6359" xr:uid="{00000000-0005-0000-0000-0000D5160000}"/>
    <cellStyle name="20% - Accent3 4 4 2 3 3" xfId="29531" xr:uid="{00000000-0005-0000-0000-0000D6160000}"/>
    <cellStyle name="20% - Accent3 4 4 2 4" xfId="8730" xr:uid="{00000000-0005-0000-0000-0000D7160000}"/>
    <cellStyle name="20% - Accent3 4 4 2 4 2" xfId="824" xr:uid="{00000000-0005-0000-0000-0000D8160000}"/>
    <cellStyle name="20% - Accent3 4 4 2 5" xfId="8731" xr:uid="{00000000-0005-0000-0000-0000D9160000}"/>
    <cellStyle name="20% - Accent3 4 4 3" xfId="1584" xr:uid="{00000000-0005-0000-0000-0000DA160000}"/>
    <cellStyle name="20% - Accent3 4 4 3 2" xfId="25047" xr:uid="{00000000-0005-0000-0000-0000DB160000}"/>
    <cellStyle name="20% - Accent3 4 4 3 2 2" xfId="28456" xr:uid="{00000000-0005-0000-0000-0000DC160000}"/>
    <cellStyle name="20% - Accent3 4 4 3 2 2 2" xfId="12996" xr:uid="{00000000-0005-0000-0000-0000DD160000}"/>
    <cellStyle name="20% - Accent3 4 4 3 2 3" xfId="28753" xr:uid="{00000000-0005-0000-0000-0000DE160000}"/>
    <cellStyle name="20% - Accent3 4 4 3 3" xfId="7648" xr:uid="{00000000-0005-0000-0000-0000DF160000}"/>
    <cellStyle name="20% - Accent3 4 4 3 3 2" xfId="11568" xr:uid="{00000000-0005-0000-0000-0000E0160000}"/>
    <cellStyle name="20% - Accent3 4 4 3 4" xfId="7650" xr:uid="{00000000-0005-0000-0000-0000E1160000}"/>
    <cellStyle name="20% - Accent3 4 4 4" xfId="7653" xr:uid="{00000000-0005-0000-0000-0000E2160000}"/>
    <cellStyle name="20% - Accent3 4 4 4 2" xfId="7656" xr:uid="{00000000-0005-0000-0000-0000E3160000}"/>
    <cellStyle name="20% - Accent3 4 4 4 2 2" xfId="1209" xr:uid="{00000000-0005-0000-0000-0000E4160000}"/>
    <cellStyle name="20% - Accent3 4 4 4 3" xfId="12002" xr:uid="{00000000-0005-0000-0000-0000E5160000}"/>
    <cellStyle name="20% - Accent3 4 4 5" xfId="4093" xr:uid="{00000000-0005-0000-0000-0000E6160000}"/>
    <cellStyle name="20% - Accent3 4 4 5 2" xfId="7663" xr:uid="{00000000-0005-0000-0000-0000E7160000}"/>
    <cellStyle name="20% - Accent3 4 4 6" xfId="24533" xr:uid="{00000000-0005-0000-0000-0000E8160000}"/>
    <cellStyle name="20% - Accent3 4 5" xfId="2084" xr:uid="{00000000-0005-0000-0000-0000E9160000}"/>
    <cellStyle name="20% - Accent3 4 5 2" xfId="1045" xr:uid="{00000000-0005-0000-0000-0000EA160000}"/>
    <cellStyle name="20% - Accent3 4 5 2 2" xfId="19845" xr:uid="{00000000-0005-0000-0000-0000EB160000}"/>
    <cellStyle name="20% - Accent3 4 5 2 2 2" xfId="6101" xr:uid="{00000000-0005-0000-0000-0000EC160000}"/>
    <cellStyle name="20% - Accent3 4 5 2 2 2 2" xfId="6353" xr:uid="{00000000-0005-0000-0000-0000ED160000}"/>
    <cellStyle name="20% - Accent3 4 5 2 2 3" xfId="18406" xr:uid="{00000000-0005-0000-0000-0000EE160000}"/>
    <cellStyle name="20% - Accent3 4 5 2 3" xfId="19853" xr:uid="{00000000-0005-0000-0000-0000EF160000}"/>
    <cellStyle name="20% - Accent3 4 5 2 3 2" xfId="30797" xr:uid="{00000000-0005-0000-0000-0000F0160000}"/>
    <cellStyle name="20% - Accent3 4 5 2 4" xfId="433" xr:uid="{00000000-0005-0000-0000-0000F1160000}"/>
    <cellStyle name="20% - Accent3 4 5 3" xfId="7682" xr:uid="{00000000-0005-0000-0000-0000F2160000}"/>
    <cellStyle name="20% - Accent3 4 5 3 2" xfId="19854" xr:uid="{00000000-0005-0000-0000-0000F3160000}"/>
    <cellStyle name="20% - Accent3 4 5 3 2 2" xfId="30150" xr:uid="{00000000-0005-0000-0000-0000F4160000}"/>
    <cellStyle name="20% - Accent3 4 5 3 3" xfId="7685" xr:uid="{00000000-0005-0000-0000-0000F5160000}"/>
    <cellStyle name="20% - Accent3 4 5 4" xfId="7692" xr:uid="{00000000-0005-0000-0000-0000F6160000}"/>
    <cellStyle name="20% - Accent3 4 5 4 2" xfId="16119" xr:uid="{00000000-0005-0000-0000-0000F7160000}"/>
    <cellStyle name="20% - Accent3 4 5 5" xfId="7700" xr:uid="{00000000-0005-0000-0000-0000F8160000}"/>
    <cellStyle name="20% - Accent3 4 6" xfId="24075" xr:uid="{00000000-0005-0000-0000-0000F9160000}"/>
    <cellStyle name="20% - Accent3 4 6 2" xfId="8757" xr:uid="{00000000-0005-0000-0000-0000FA160000}"/>
    <cellStyle name="20% - Accent3 4 6 2 2" xfId="19862" xr:uid="{00000000-0005-0000-0000-0000FB160000}"/>
    <cellStyle name="20% - Accent3 4 6 2 2 2" xfId="10043" xr:uid="{00000000-0005-0000-0000-0000FC160000}"/>
    <cellStyle name="20% - Accent3 4 6 2 3" xfId="10046" xr:uid="{00000000-0005-0000-0000-0000FD160000}"/>
    <cellStyle name="20% - Accent3 4 6 3" xfId="7710" xr:uid="{00000000-0005-0000-0000-0000FE160000}"/>
    <cellStyle name="20% - Accent3 4 6 3 2" xfId="29796" xr:uid="{00000000-0005-0000-0000-0000FF160000}"/>
    <cellStyle name="20% - Accent3 4 6 4" xfId="5724" xr:uid="{00000000-0005-0000-0000-000000170000}"/>
    <cellStyle name="20% - Accent3 4 7" xfId="25030" xr:uid="{00000000-0005-0000-0000-000001170000}"/>
    <cellStyle name="20% - Accent3 4 7 2" xfId="28642" xr:uid="{00000000-0005-0000-0000-000002170000}"/>
    <cellStyle name="20% - Accent3 4 7 2 2" xfId="10129" xr:uid="{00000000-0005-0000-0000-000003170000}"/>
    <cellStyle name="20% - Accent3 4 7 3" xfId="7720" xr:uid="{00000000-0005-0000-0000-000004170000}"/>
    <cellStyle name="20% - Accent3 4 8" xfId="15014" xr:uid="{00000000-0005-0000-0000-000005170000}"/>
    <cellStyle name="20% - Accent3 4 8 2" xfId="29268" xr:uid="{00000000-0005-0000-0000-000006170000}"/>
    <cellStyle name="20% - Accent3 4 9" xfId="25056" xr:uid="{00000000-0005-0000-0000-000007170000}"/>
    <cellStyle name="20% - Accent3 5" xfId="30508" xr:uid="{00000000-0005-0000-0000-000008170000}"/>
    <cellStyle name="20% - Accent3 5 2" xfId="13216" xr:uid="{00000000-0005-0000-0000-000009170000}"/>
    <cellStyle name="20% - Accent3 5 2 2" xfId="314" xr:uid="{00000000-0005-0000-0000-00000A170000}"/>
    <cellStyle name="20% - Accent3 5 2 2 2" xfId="776" xr:uid="{00000000-0005-0000-0000-00000B170000}"/>
    <cellStyle name="20% - Accent3 5 2 2 2 2" xfId="8759" xr:uid="{00000000-0005-0000-0000-00000C170000}"/>
    <cellStyle name="20% - Accent3 5 2 2 2 2 2" xfId="5522" xr:uid="{00000000-0005-0000-0000-00000D170000}"/>
    <cellStyle name="20% - Accent3 5 2 2 2 2 2 2" xfId="13051" xr:uid="{00000000-0005-0000-0000-00000E170000}"/>
    <cellStyle name="20% - Accent3 5 2 2 2 2 2 2 2" xfId="7020" xr:uid="{00000000-0005-0000-0000-00000F170000}"/>
    <cellStyle name="20% - Accent3 5 2 2 2 2 2 3" xfId="1212" xr:uid="{00000000-0005-0000-0000-000010170000}"/>
    <cellStyle name="20% - Accent3 5 2 2 2 2 3" xfId="8761" xr:uid="{00000000-0005-0000-0000-000011170000}"/>
    <cellStyle name="20% - Accent3 5 2 2 2 2 3 2" xfId="144" xr:uid="{00000000-0005-0000-0000-000012170000}"/>
    <cellStyle name="20% - Accent3 5 2 2 2 2 4" xfId="10539" xr:uid="{00000000-0005-0000-0000-000013170000}"/>
    <cellStyle name="20% - Accent3 5 2 2 2 3" xfId="6358" xr:uid="{00000000-0005-0000-0000-000014170000}"/>
    <cellStyle name="20% - Accent3 5 2 2 2 3 2" xfId="28847" xr:uid="{00000000-0005-0000-0000-000015170000}"/>
    <cellStyle name="20% - Accent3 5 2 2 2 3 2 2" xfId="26424" xr:uid="{00000000-0005-0000-0000-000016170000}"/>
    <cellStyle name="20% - Accent3 5 2 2 2 3 3" xfId="8774" xr:uid="{00000000-0005-0000-0000-000017170000}"/>
    <cellStyle name="20% - Accent3 5 2 2 2 4" xfId="8777" xr:uid="{00000000-0005-0000-0000-000018170000}"/>
    <cellStyle name="20% - Accent3 5 2 2 2 4 2" xfId="25974" xr:uid="{00000000-0005-0000-0000-000019170000}"/>
    <cellStyle name="20% - Accent3 5 2 2 2 5" xfId="10982" xr:uid="{00000000-0005-0000-0000-00001A170000}"/>
    <cellStyle name="20% - Accent3 5 2 2 3" xfId="8780" xr:uid="{00000000-0005-0000-0000-00001B170000}"/>
    <cellStyle name="20% - Accent3 5 2 2 3 2" xfId="8782" xr:uid="{00000000-0005-0000-0000-00001C170000}"/>
    <cellStyle name="20% - Accent3 5 2 2 3 2 2" xfId="12623" xr:uid="{00000000-0005-0000-0000-00001D170000}"/>
    <cellStyle name="20% - Accent3 5 2 2 3 2 2 2" xfId="27979" xr:uid="{00000000-0005-0000-0000-00001E170000}"/>
    <cellStyle name="20% - Accent3 5 2 2 3 2 3" xfId="8788" xr:uid="{00000000-0005-0000-0000-00001F170000}"/>
    <cellStyle name="20% - Accent3 5 2 2 3 3" xfId="8789" xr:uid="{00000000-0005-0000-0000-000020170000}"/>
    <cellStyle name="20% - Accent3 5 2 2 3 3 2" xfId="8794" xr:uid="{00000000-0005-0000-0000-000021170000}"/>
    <cellStyle name="20% - Accent3 5 2 2 3 4" xfId="691" xr:uid="{00000000-0005-0000-0000-000022170000}"/>
    <cellStyle name="20% - Accent3 5 2 2 4" xfId="8796" xr:uid="{00000000-0005-0000-0000-000023170000}"/>
    <cellStyle name="20% - Accent3 5 2 2 4 2" xfId="17576" xr:uid="{00000000-0005-0000-0000-000024170000}"/>
    <cellStyle name="20% - Accent3 5 2 2 4 2 2" xfId="5097" xr:uid="{00000000-0005-0000-0000-000025170000}"/>
    <cellStyle name="20% - Accent3 5 2 2 4 3" xfId="8801" xr:uid="{00000000-0005-0000-0000-000026170000}"/>
    <cellStyle name="20% - Accent3 5 2 2 5" xfId="8804" xr:uid="{00000000-0005-0000-0000-000027170000}"/>
    <cellStyle name="20% - Accent3 5 2 2 5 2" xfId="8460" xr:uid="{00000000-0005-0000-0000-000028170000}"/>
    <cellStyle name="20% - Accent3 5 2 2 6" xfId="9695" xr:uid="{00000000-0005-0000-0000-000029170000}"/>
    <cellStyle name="20% - Accent3 5 2 3" xfId="231" xr:uid="{00000000-0005-0000-0000-00002A170000}"/>
    <cellStyle name="20% - Accent3 5 2 3 2" xfId="8805" xr:uid="{00000000-0005-0000-0000-00002B170000}"/>
    <cellStyle name="20% - Accent3 5 2 3 2 2" xfId="8806" xr:uid="{00000000-0005-0000-0000-00002C170000}"/>
    <cellStyle name="20% - Accent3 5 2 3 2 2 2" xfId="8811" xr:uid="{00000000-0005-0000-0000-00002D170000}"/>
    <cellStyle name="20% - Accent3 5 2 3 2 2 2 2" xfId="8814" xr:uid="{00000000-0005-0000-0000-00002E170000}"/>
    <cellStyle name="20% - Accent3 5 2 3 2 2 3" xfId="8816" xr:uid="{00000000-0005-0000-0000-00002F170000}"/>
    <cellStyle name="20% - Accent3 5 2 3 2 3" xfId="9817" xr:uid="{00000000-0005-0000-0000-000030170000}"/>
    <cellStyle name="20% - Accent3 5 2 3 2 3 2" xfId="8819" xr:uid="{00000000-0005-0000-0000-000031170000}"/>
    <cellStyle name="20% - Accent3 5 2 3 2 4" xfId="8822" xr:uid="{00000000-0005-0000-0000-000032170000}"/>
    <cellStyle name="20% - Accent3 5 2 3 3" xfId="8823" xr:uid="{00000000-0005-0000-0000-000033170000}"/>
    <cellStyle name="20% - Accent3 5 2 3 3 2" xfId="27594" xr:uid="{00000000-0005-0000-0000-000034170000}"/>
    <cellStyle name="20% - Accent3 5 2 3 3 2 2" xfId="8828" xr:uid="{00000000-0005-0000-0000-000035170000}"/>
    <cellStyle name="20% - Accent3 5 2 3 3 3" xfId="8829" xr:uid="{00000000-0005-0000-0000-000036170000}"/>
    <cellStyle name="20% - Accent3 5 2 3 4" xfId="8831" xr:uid="{00000000-0005-0000-0000-000037170000}"/>
    <cellStyle name="20% - Accent3 5 2 3 4 2" xfId="8832" xr:uid="{00000000-0005-0000-0000-000038170000}"/>
    <cellStyle name="20% - Accent3 5 2 3 5" xfId="8835" xr:uid="{00000000-0005-0000-0000-000039170000}"/>
    <cellStyle name="20% - Accent3 5 2 4" xfId="26076" xr:uid="{00000000-0005-0000-0000-00003A170000}"/>
    <cellStyle name="20% - Accent3 5 2 4 2" xfId="4034" xr:uid="{00000000-0005-0000-0000-00003B170000}"/>
    <cellStyle name="20% - Accent3 5 2 4 2 2" xfId="9837" xr:uid="{00000000-0005-0000-0000-00003C170000}"/>
    <cellStyle name="20% - Accent3 5 2 4 2 2 2" xfId="8837" xr:uid="{00000000-0005-0000-0000-00003D170000}"/>
    <cellStyle name="20% - Accent3 5 2 4 2 3" xfId="30210" xr:uid="{00000000-0005-0000-0000-00003E170000}"/>
    <cellStyle name="20% - Accent3 5 2 4 3" xfId="5759" xr:uid="{00000000-0005-0000-0000-00003F170000}"/>
    <cellStyle name="20% - Accent3 5 2 4 3 2" xfId="8849" xr:uid="{00000000-0005-0000-0000-000040170000}"/>
    <cellStyle name="20% - Accent3 5 2 4 4" xfId="5764" xr:uid="{00000000-0005-0000-0000-000041170000}"/>
    <cellStyle name="20% - Accent3 5 2 5" xfId="15494" xr:uid="{00000000-0005-0000-0000-000042170000}"/>
    <cellStyle name="20% - Accent3 5 2 5 2" xfId="1504" xr:uid="{00000000-0005-0000-0000-000043170000}"/>
    <cellStyle name="20% - Accent3 5 2 5 2 2" xfId="8850" xr:uid="{00000000-0005-0000-0000-000044170000}"/>
    <cellStyle name="20% - Accent3 5 2 5 3" xfId="5773" xr:uid="{00000000-0005-0000-0000-000045170000}"/>
    <cellStyle name="20% - Accent3 5 2 6" xfId="12651" xr:uid="{00000000-0005-0000-0000-000046170000}"/>
    <cellStyle name="20% - Accent3 5 2 6 2" xfId="8853" xr:uid="{00000000-0005-0000-0000-000047170000}"/>
    <cellStyle name="20% - Accent3 5 2 7" xfId="14225" xr:uid="{00000000-0005-0000-0000-000048170000}"/>
    <cellStyle name="20% - Accent3 5 3" xfId="13218" xr:uid="{00000000-0005-0000-0000-000049170000}"/>
    <cellStyle name="20% - Accent3 5 3 2" xfId="915" xr:uid="{00000000-0005-0000-0000-00004A170000}"/>
    <cellStyle name="20% - Accent3 5 3 2 2" xfId="8860" xr:uid="{00000000-0005-0000-0000-00004B170000}"/>
    <cellStyle name="20% - Accent3 5 3 2 2 2" xfId="8861" xr:uid="{00000000-0005-0000-0000-00004C170000}"/>
    <cellStyle name="20% - Accent3 5 3 2 2 2 2" xfId="30822" xr:uid="{00000000-0005-0000-0000-00004D170000}"/>
    <cellStyle name="20% - Accent3 5 3 2 2 2 2 2" xfId="1374" xr:uid="{00000000-0005-0000-0000-00004E170000}"/>
    <cellStyle name="20% - Accent3 5 3 2 2 2 3" xfId="25734" xr:uid="{00000000-0005-0000-0000-00004F170000}"/>
    <cellStyle name="20% - Accent3 5 3 2 2 3" xfId="8867" xr:uid="{00000000-0005-0000-0000-000050170000}"/>
    <cellStyle name="20% - Accent3 5 3 2 2 3 2" xfId="11462" xr:uid="{00000000-0005-0000-0000-000051170000}"/>
    <cellStyle name="20% - Accent3 5 3 2 2 4" xfId="29407" xr:uid="{00000000-0005-0000-0000-000052170000}"/>
    <cellStyle name="20% - Accent3 5 3 2 3" xfId="8869" xr:uid="{00000000-0005-0000-0000-000053170000}"/>
    <cellStyle name="20% - Accent3 5 3 2 3 2" xfId="8870" xr:uid="{00000000-0005-0000-0000-000054170000}"/>
    <cellStyle name="20% - Accent3 5 3 2 3 2 2" xfId="33788" xr:uid="{00000000-0005-0000-0000-000055170000}"/>
    <cellStyle name="20% - Accent3 5 3 2 3 3" xfId="8881" xr:uid="{00000000-0005-0000-0000-000056170000}"/>
    <cellStyle name="20% - Accent3 5 3 2 4" xfId="8882" xr:uid="{00000000-0005-0000-0000-000057170000}"/>
    <cellStyle name="20% - Accent3 5 3 2 4 2" xfId="3422" xr:uid="{00000000-0005-0000-0000-000058170000}"/>
    <cellStyle name="20% - Accent3 5 3 2 5" xfId="8886" xr:uid="{00000000-0005-0000-0000-000059170000}"/>
    <cellStyle name="20% - Accent3 5 3 3" xfId="936" xr:uid="{00000000-0005-0000-0000-00005A170000}"/>
    <cellStyle name="20% - Accent3 5 3 3 2" xfId="8887" xr:uid="{00000000-0005-0000-0000-00005B170000}"/>
    <cellStyle name="20% - Accent3 5 3 3 2 2" xfId="8889" xr:uid="{00000000-0005-0000-0000-00005C170000}"/>
    <cellStyle name="20% - Accent3 5 3 3 2 2 2" xfId="33128" xr:uid="{00000000-0005-0000-0000-00005D170000}"/>
    <cellStyle name="20% - Accent3 5 3 3 2 3" xfId="8893" xr:uid="{00000000-0005-0000-0000-00005E170000}"/>
    <cellStyle name="20% - Accent3 5 3 3 3" xfId="8898" xr:uid="{00000000-0005-0000-0000-00005F170000}"/>
    <cellStyle name="20% - Accent3 5 3 3 3 2" xfId="8900" xr:uid="{00000000-0005-0000-0000-000060170000}"/>
    <cellStyle name="20% - Accent3 5 3 3 4" xfId="8901" xr:uid="{00000000-0005-0000-0000-000061170000}"/>
    <cellStyle name="20% - Accent3 5 3 4" xfId="3711" xr:uid="{00000000-0005-0000-0000-000062170000}"/>
    <cellStyle name="20% - Accent3 5 3 4 2" xfId="8906" xr:uid="{00000000-0005-0000-0000-000063170000}"/>
    <cellStyle name="20% - Accent3 5 3 4 2 2" xfId="2946" xr:uid="{00000000-0005-0000-0000-000064170000}"/>
    <cellStyle name="20% - Accent3 5 3 4 3" xfId="5795" xr:uid="{00000000-0005-0000-0000-000065170000}"/>
    <cellStyle name="20% - Accent3 5 3 5" xfId="15507" xr:uid="{00000000-0005-0000-0000-000066170000}"/>
    <cellStyle name="20% - Accent3 5 3 5 2" xfId="8908" xr:uid="{00000000-0005-0000-0000-000067170000}"/>
    <cellStyle name="20% - Accent3 5 3 6" xfId="11514" xr:uid="{00000000-0005-0000-0000-000068170000}"/>
    <cellStyle name="20% - Accent3 5 4" xfId="1071" xr:uid="{00000000-0005-0000-0000-000069170000}"/>
    <cellStyle name="20% - Accent3 5 4 2" xfId="1073" xr:uid="{00000000-0005-0000-0000-00006A170000}"/>
    <cellStyle name="20% - Accent3 5 4 2 2" xfId="10776" xr:uid="{00000000-0005-0000-0000-00006B170000}"/>
    <cellStyle name="20% - Accent3 5 4 2 2 2" xfId="16407" xr:uid="{00000000-0005-0000-0000-00006C170000}"/>
    <cellStyle name="20% - Accent3 5 4 2 2 2 2" xfId="3485" xr:uid="{00000000-0005-0000-0000-00006D170000}"/>
    <cellStyle name="20% - Accent3 5 4 2 2 3" xfId="509" xr:uid="{00000000-0005-0000-0000-00006E170000}"/>
    <cellStyle name="20% - Accent3 5 4 2 3" xfId="8915" xr:uid="{00000000-0005-0000-0000-00006F170000}"/>
    <cellStyle name="20% - Accent3 5 4 2 3 2" xfId="8916" xr:uid="{00000000-0005-0000-0000-000070170000}"/>
    <cellStyle name="20% - Accent3 5 4 2 4" xfId="8919" xr:uid="{00000000-0005-0000-0000-000071170000}"/>
    <cellStyle name="20% - Accent3 5 4 3" xfId="7002" xr:uid="{00000000-0005-0000-0000-000072170000}"/>
    <cellStyle name="20% - Accent3 5 4 3 2" xfId="7734" xr:uid="{00000000-0005-0000-0000-000073170000}"/>
    <cellStyle name="20% - Accent3 5 4 3 2 2" xfId="29991" xr:uid="{00000000-0005-0000-0000-000074170000}"/>
    <cellStyle name="20% - Accent3 5 4 3 3" xfId="7737" xr:uid="{00000000-0005-0000-0000-000075170000}"/>
    <cellStyle name="20% - Accent3 5 4 4" xfId="3718" xr:uid="{00000000-0005-0000-0000-000076170000}"/>
    <cellStyle name="20% - Accent3 5 4 4 2" xfId="7742" xr:uid="{00000000-0005-0000-0000-000077170000}"/>
    <cellStyle name="20% - Accent3 5 4 5" xfId="15516" xr:uid="{00000000-0005-0000-0000-000078170000}"/>
    <cellStyle name="20% - Accent3 5 5" xfId="24082" xr:uid="{00000000-0005-0000-0000-000079170000}"/>
    <cellStyle name="20% - Accent3 5 5 2" xfId="7004" xr:uid="{00000000-0005-0000-0000-00007A170000}"/>
    <cellStyle name="20% - Accent3 5 5 2 2" xfId="5788" xr:uid="{00000000-0005-0000-0000-00007B170000}"/>
    <cellStyle name="20% - Accent3 5 5 2 2 2" xfId="24838" xr:uid="{00000000-0005-0000-0000-00007C170000}"/>
    <cellStyle name="20% - Accent3 5 5 2 3" xfId="8922" xr:uid="{00000000-0005-0000-0000-00007D170000}"/>
    <cellStyle name="20% - Accent3 5 5 3" xfId="7749" xr:uid="{00000000-0005-0000-0000-00007E170000}"/>
    <cellStyle name="20% - Accent3 5 5 3 2" xfId="7758" xr:uid="{00000000-0005-0000-0000-00007F170000}"/>
    <cellStyle name="20% - Accent3 5 5 4" xfId="6056" xr:uid="{00000000-0005-0000-0000-000080170000}"/>
    <cellStyle name="20% - Accent3 5 6" xfId="7008" xr:uid="{00000000-0005-0000-0000-000081170000}"/>
    <cellStyle name="20% - Accent3 5 6 2" xfId="8925" xr:uid="{00000000-0005-0000-0000-000082170000}"/>
    <cellStyle name="20% - Accent3 5 6 2 2" xfId="10230" xr:uid="{00000000-0005-0000-0000-000083170000}"/>
    <cellStyle name="20% - Accent3 5 6 3" xfId="7768" xr:uid="{00000000-0005-0000-0000-000084170000}"/>
    <cellStyle name="20% - Accent3 5 7" xfId="2576" xr:uid="{00000000-0005-0000-0000-000085170000}"/>
    <cellStyle name="20% - Accent3 5 7 2" xfId="25110" xr:uid="{00000000-0005-0000-0000-000086170000}"/>
    <cellStyle name="20% - Accent3 5 8" xfId="5205" xr:uid="{00000000-0005-0000-0000-000087170000}"/>
    <cellStyle name="20% - Accent3 6" xfId="13222" xr:uid="{00000000-0005-0000-0000-000088170000}"/>
    <cellStyle name="20% - Accent3 6 2" xfId="13225" xr:uid="{00000000-0005-0000-0000-000089170000}"/>
    <cellStyle name="20% - Accent3 6 2 2" xfId="16603" xr:uid="{00000000-0005-0000-0000-00008A170000}"/>
    <cellStyle name="20% - Accent3 6 2 2 2" xfId="14876" xr:uid="{00000000-0005-0000-0000-00008B170000}"/>
    <cellStyle name="20% - Accent3 6 2 2 2 2" xfId="11722" xr:uid="{00000000-0005-0000-0000-00008C170000}"/>
    <cellStyle name="20% - Accent3 6 2 2 2 2 2" xfId="29999" xr:uid="{00000000-0005-0000-0000-00008D170000}"/>
    <cellStyle name="20% - Accent3 6 2 2 2 2 2 2" xfId="28326" xr:uid="{00000000-0005-0000-0000-00008E170000}"/>
    <cellStyle name="20% - Accent3 6 2 2 2 2 3" xfId="25124" xr:uid="{00000000-0005-0000-0000-00008F170000}"/>
    <cellStyle name="20% - Accent3 6 2 2 2 3" xfId="10963" xr:uid="{00000000-0005-0000-0000-000090170000}"/>
    <cellStyle name="20% - Accent3 6 2 2 2 3 2" xfId="6718" xr:uid="{00000000-0005-0000-0000-000091170000}"/>
    <cellStyle name="20% - Accent3 6 2 2 2 4" xfId="8931" xr:uid="{00000000-0005-0000-0000-000092170000}"/>
    <cellStyle name="20% - Accent3 6 2 2 3" xfId="11727" xr:uid="{00000000-0005-0000-0000-000093170000}"/>
    <cellStyle name="20% - Accent3 6 2 2 3 2" xfId="1497" xr:uid="{00000000-0005-0000-0000-000094170000}"/>
    <cellStyle name="20% - Accent3 6 2 2 3 2 2" xfId="32771" xr:uid="{00000000-0005-0000-0000-000095170000}"/>
    <cellStyle name="20% - Accent3 6 2 2 3 3" xfId="8934" xr:uid="{00000000-0005-0000-0000-000096170000}"/>
    <cellStyle name="20% - Accent3 6 2 2 4" xfId="3245" xr:uid="{00000000-0005-0000-0000-000097170000}"/>
    <cellStyle name="20% - Accent3 6 2 2 4 2" xfId="7226" xr:uid="{00000000-0005-0000-0000-000098170000}"/>
    <cellStyle name="20% - Accent3 6 2 2 5" xfId="7230" xr:uid="{00000000-0005-0000-0000-000099170000}"/>
    <cellStyle name="20% - Accent3 6 2 3" xfId="7046" xr:uid="{00000000-0005-0000-0000-00009A170000}"/>
    <cellStyle name="20% - Accent3 6 2 3 2" xfId="11735" xr:uid="{00000000-0005-0000-0000-00009B170000}"/>
    <cellStyle name="20% - Accent3 6 2 3 2 2" xfId="7949" xr:uid="{00000000-0005-0000-0000-00009C170000}"/>
    <cellStyle name="20% - Accent3 6 2 3 2 2 2" xfId="14451" xr:uid="{00000000-0005-0000-0000-00009D170000}"/>
    <cellStyle name="20% - Accent3 6 2 3 2 3" xfId="8942" xr:uid="{00000000-0005-0000-0000-00009E170000}"/>
    <cellStyle name="20% - Accent3 6 2 3 3" xfId="3077" xr:uid="{00000000-0005-0000-0000-00009F170000}"/>
    <cellStyle name="20% - Accent3 6 2 3 3 2" xfId="8948" xr:uid="{00000000-0005-0000-0000-0000A0170000}"/>
    <cellStyle name="20% - Accent3 6 2 3 4" xfId="7236" xr:uid="{00000000-0005-0000-0000-0000A1170000}"/>
    <cellStyle name="20% - Accent3 6 2 4" xfId="7052" xr:uid="{00000000-0005-0000-0000-0000A2170000}"/>
    <cellStyle name="20% - Accent3 6 2 4 2" xfId="27390" xr:uid="{00000000-0005-0000-0000-0000A3170000}"/>
    <cellStyle name="20% - Accent3 6 2 4 2 2" xfId="10249" xr:uid="{00000000-0005-0000-0000-0000A4170000}"/>
    <cellStyle name="20% - Accent3 6 2 4 3" xfId="5825" xr:uid="{00000000-0005-0000-0000-0000A5170000}"/>
    <cellStyle name="20% - Accent3 6 2 5" xfId="12267" xr:uid="{00000000-0005-0000-0000-0000A6170000}"/>
    <cellStyle name="20% - Accent3 6 2 5 2" xfId="1095" xr:uid="{00000000-0005-0000-0000-0000A7170000}"/>
    <cellStyle name="20% - Accent3 6 2 6" xfId="11525" xr:uid="{00000000-0005-0000-0000-0000A8170000}"/>
    <cellStyle name="20% - Accent3 6 3" xfId="16604" xr:uid="{00000000-0005-0000-0000-0000A9170000}"/>
    <cellStyle name="20% - Accent3 6 3 2" xfId="1098" xr:uid="{00000000-0005-0000-0000-0000AA170000}"/>
    <cellStyle name="20% - Accent3 6 3 2 2" xfId="14534" xr:uid="{00000000-0005-0000-0000-0000AB170000}"/>
    <cellStyle name="20% - Accent3 6 3 2 2 2" xfId="31825" xr:uid="{00000000-0005-0000-0000-0000AC170000}"/>
    <cellStyle name="20% - Accent3 6 3 2 2 2 2" xfId="6946" xr:uid="{00000000-0005-0000-0000-0000AD170000}"/>
    <cellStyle name="20% - Accent3 6 3 2 2 3" xfId="8950" xr:uid="{00000000-0005-0000-0000-0000AE170000}"/>
    <cellStyle name="20% - Accent3 6 3 2 3" xfId="4099" xr:uid="{00000000-0005-0000-0000-0000AF170000}"/>
    <cellStyle name="20% - Accent3 6 3 2 3 2" xfId="8951" xr:uid="{00000000-0005-0000-0000-0000B0170000}"/>
    <cellStyle name="20% - Accent3 6 3 2 4" xfId="7253" xr:uid="{00000000-0005-0000-0000-0000B1170000}"/>
    <cellStyle name="20% - Accent3 6 3 3" xfId="7058" xr:uid="{00000000-0005-0000-0000-0000B2170000}"/>
    <cellStyle name="20% - Accent3 6 3 3 2" xfId="27758" xr:uid="{00000000-0005-0000-0000-0000B3170000}"/>
    <cellStyle name="20% - Accent3 6 3 3 2 2" xfId="7510" xr:uid="{00000000-0005-0000-0000-0000B4170000}"/>
    <cellStyle name="20% - Accent3 6 3 3 3" xfId="8954" xr:uid="{00000000-0005-0000-0000-0000B5170000}"/>
    <cellStyle name="20% - Accent3 6 3 4" xfId="3726" xr:uid="{00000000-0005-0000-0000-0000B6170000}"/>
    <cellStyle name="20% - Accent3 6 3 4 2" xfId="8958" xr:uid="{00000000-0005-0000-0000-0000B7170000}"/>
    <cellStyle name="20% - Accent3 6 3 5" xfId="15529" xr:uid="{00000000-0005-0000-0000-0000B8170000}"/>
    <cellStyle name="20% - Accent3 6 4" xfId="16609" xr:uid="{00000000-0005-0000-0000-0000B9170000}"/>
    <cellStyle name="20% - Accent3 6 4 2" xfId="7061" xr:uid="{00000000-0005-0000-0000-0000BA170000}"/>
    <cellStyle name="20% - Accent3 6 4 2 2" xfId="28732" xr:uid="{00000000-0005-0000-0000-0000BB170000}"/>
    <cellStyle name="20% - Accent3 6 4 2 2 2" xfId="309" xr:uid="{00000000-0005-0000-0000-0000BC170000}"/>
    <cellStyle name="20% - Accent3 6 4 2 3" xfId="17404" xr:uid="{00000000-0005-0000-0000-0000BD170000}"/>
    <cellStyle name="20% - Accent3 6 4 3" xfId="7774" xr:uid="{00000000-0005-0000-0000-0000BE170000}"/>
    <cellStyle name="20% - Accent3 6 4 3 2" xfId="7777" xr:uid="{00000000-0005-0000-0000-0000BF170000}"/>
    <cellStyle name="20% - Accent3 6 4 4" xfId="3736" xr:uid="{00000000-0005-0000-0000-0000C0170000}"/>
    <cellStyle name="20% - Accent3 6 5" xfId="6144" xr:uid="{00000000-0005-0000-0000-0000C1170000}"/>
    <cellStyle name="20% - Accent3 6 5 2" xfId="8972" xr:uid="{00000000-0005-0000-0000-0000C2170000}"/>
    <cellStyle name="20% - Accent3 6 5 2 2" xfId="32724" xr:uid="{00000000-0005-0000-0000-0000C3170000}"/>
    <cellStyle name="20% - Accent3 6 5 3" xfId="7795" xr:uid="{00000000-0005-0000-0000-0000C4170000}"/>
    <cellStyle name="20% - Accent3 6 6" xfId="6156" xr:uid="{00000000-0005-0000-0000-0000C5170000}"/>
    <cellStyle name="20% - Accent3 6 6 2" xfId="8974" xr:uid="{00000000-0005-0000-0000-0000C6170000}"/>
    <cellStyle name="20% - Accent3 6 7" xfId="25175" xr:uid="{00000000-0005-0000-0000-0000C7170000}"/>
    <cellStyle name="20% - Accent3 7" xfId="12546" xr:uid="{00000000-0005-0000-0000-0000C8170000}"/>
    <cellStyle name="20% - Accent3 7 2" xfId="12771" xr:uid="{00000000-0005-0000-0000-0000C9170000}"/>
    <cellStyle name="20% - Accent3 7 2 2" xfId="7070" xr:uid="{00000000-0005-0000-0000-0000CA170000}"/>
    <cellStyle name="20% - Accent3 7 2 2 2" xfId="20420" xr:uid="{00000000-0005-0000-0000-0000CB170000}"/>
    <cellStyle name="20% - Accent3 7 2 2 2 2" xfId="1703" xr:uid="{00000000-0005-0000-0000-0000CC170000}"/>
    <cellStyle name="20% - Accent3 7 2 2 2 2 2" xfId="10158" xr:uid="{00000000-0005-0000-0000-0000CD170000}"/>
    <cellStyle name="20% - Accent3 7 2 2 2 3" xfId="1152" xr:uid="{00000000-0005-0000-0000-0000CE170000}"/>
    <cellStyle name="20% - Accent3 7 2 2 3" xfId="6637" xr:uid="{00000000-0005-0000-0000-0000CF170000}"/>
    <cellStyle name="20% - Accent3 7 2 2 3 2" xfId="8066" xr:uid="{00000000-0005-0000-0000-0000D0170000}"/>
    <cellStyle name="20% - Accent3 7 2 2 4" xfId="6642" xr:uid="{00000000-0005-0000-0000-0000D1170000}"/>
    <cellStyle name="20% - Accent3 7 2 3" xfId="7074" xr:uid="{00000000-0005-0000-0000-0000D2170000}"/>
    <cellStyle name="20% - Accent3 7 2 3 2" xfId="8975" xr:uid="{00000000-0005-0000-0000-0000D3170000}"/>
    <cellStyle name="20% - Accent3 7 2 3 2 2" xfId="1778" xr:uid="{00000000-0005-0000-0000-0000D4170000}"/>
    <cellStyle name="20% - Accent3 7 2 3 3" xfId="6643" xr:uid="{00000000-0005-0000-0000-0000D5170000}"/>
    <cellStyle name="20% - Accent3 7 2 4" xfId="8976" xr:uid="{00000000-0005-0000-0000-0000D6170000}"/>
    <cellStyle name="20% - Accent3 7 2 4 2" xfId="21115" xr:uid="{00000000-0005-0000-0000-0000D7170000}"/>
    <cellStyle name="20% - Accent3 7 2 5" xfId="11538" xr:uid="{00000000-0005-0000-0000-0000D8170000}"/>
    <cellStyle name="20% - Accent3 7 3" xfId="6185" xr:uid="{00000000-0005-0000-0000-0000D9170000}"/>
    <cellStyle name="20% - Accent3 7 3 2" xfId="7078" xr:uid="{00000000-0005-0000-0000-0000DA170000}"/>
    <cellStyle name="20% - Accent3 7 3 2 2" xfId="2001" xr:uid="{00000000-0005-0000-0000-0000DB170000}"/>
    <cellStyle name="20% - Accent3 7 3 2 2 2" xfId="1880" xr:uid="{00000000-0005-0000-0000-0000DC170000}"/>
    <cellStyle name="20% - Accent3 7 3 2 3" xfId="1367" xr:uid="{00000000-0005-0000-0000-0000DD170000}"/>
    <cellStyle name="20% - Accent3 7 3 3" xfId="8978" xr:uid="{00000000-0005-0000-0000-0000DE170000}"/>
    <cellStyle name="20% - Accent3 7 3 3 2" xfId="393" xr:uid="{00000000-0005-0000-0000-0000DF170000}"/>
    <cellStyle name="20% - Accent3 7 3 4" xfId="11000" xr:uid="{00000000-0005-0000-0000-0000E0170000}"/>
    <cellStyle name="20% - Accent3 7 4" xfId="6191" xr:uid="{00000000-0005-0000-0000-0000E1170000}"/>
    <cellStyle name="20% - Accent3 7 4 2" xfId="29901" xr:uid="{00000000-0005-0000-0000-0000E2170000}"/>
    <cellStyle name="20% - Accent3 7 4 2 2" xfId="14559" xr:uid="{00000000-0005-0000-0000-0000E3170000}"/>
    <cellStyle name="20% - Accent3 7 4 3" xfId="7803" xr:uid="{00000000-0005-0000-0000-0000E4170000}"/>
    <cellStyle name="20% - Accent3 7 5" xfId="6159" xr:uid="{00000000-0005-0000-0000-0000E5170000}"/>
    <cellStyle name="20% - Accent3 7 5 2" xfId="28649" xr:uid="{00000000-0005-0000-0000-0000E6170000}"/>
    <cellStyle name="20% - Accent3 7 6" xfId="5873" xr:uid="{00000000-0005-0000-0000-0000E7170000}"/>
    <cellStyle name="20% - Accent3 8" xfId="4909" xr:uid="{00000000-0005-0000-0000-0000E8170000}"/>
    <cellStyle name="20% - Accent3 8 2" xfId="7090" xr:uid="{00000000-0005-0000-0000-0000E9170000}"/>
    <cellStyle name="20% - Accent3 8 2 2" xfId="9306" xr:uid="{00000000-0005-0000-0000-0000EA170000}"/>
    <cellStyle name="20% - Accent3 8 2 2 2" xfId="32837" xr:uid="{00000000-0005-0000-0000-0000EB170000}"/>
    <cellStyle name="20% - Accent3 8 2 2 2 2" xfId="27988" xr:uid="{00000000-0005-0000-0000-0000EC170000}"/>
    <cellStyle name="20% - Accent3 8 2 2 3" xfId="8979" xr:uid="{00000000-0005-0000-0000-0000ED170000}"/>
    <cellStyle name="20% - Accent3 8 2 3" xfId="8982" xr:uid="{00000000-0005-0000-0000-0000EE170000}"/>
    <cellStyle name="20% - Accent3 8 2 3 2" xfId="8987" xr:uid="{00000000-0005-0000-0000-0000EF170000}"/>
    <cellStyle name="20% - Accent3 8 2 4" xfId="10319" xr:uid="{00000000-0005-0000-0000-0000F0170000}"/>
    <cellStyle name="20% - Accent3 8 3" xfId="7096" xr:uid="{00000000-0005-0000-0000-0000F1170000}"/>
    <cellStyle name="20% - Accent3 8 3 2" xfId="1418" xr:uid="{00000000-0005-0000-0000-0000F2170000}"/>
    <cellStyle name="20% - Accent3 8 3 2 2" xfId="3062" xr:uid="{00000000-0005-0000-0000-0000F3170000}"/>
    <cellStyle name="20% - Accent3 8 3 3" xfId="8990" xr:uid="{00000000-0005-0000-0000-0000F4170000}"/>
    <cellStyle name="20% - Accent3 8 4" xfId="8991" xr:uid="{00000000-0005-0000-0000-0000F5170000}"/>
    <cellStyle name="20% - Accent3 8 4 2" xfId="8992" xr:uid="{00000000-0005-0000-0000-0000F6170000}"/>
    <cellStyle name="20% - Accent3 8 5" xfId="7173" xr:uid="{00000000-0005-0000-0000-0000F7170000}"/>
    <cellStyle name="20% - Accent3 9" xfId="15513" xr:uid="{00000000-0005-0000-0000-0000F8170000}"/>
    <cellStyle name="20% - Accent3 9 2" xfId="7106" xr:uid="{00000000-0005-0000-0000-0000F9170000}"/>
    <cellStyle name="20% - Accent3 9 2 2" xfId="8994" xr:uid="{00000000-0005-0000-0000-0000FA170000}"/>
    <cellStyle name="20% - Accent3 9 2 2 2" xfId="8998" xr:uid="{00000000-0005-0000-0000-0000FB170000}"/>
    <cellStyle name="20% - Accent3 9 2 3" xfId="9002" xr:uid="{00000000-0005-0000-0000-0000FC170000}"/>
    <cellStyle name="20% - Accent3 9 3" xfId="18554" xr:uid="{00000000-0005-0000-0000-0000FD170000}"/>
    <cellStyle name="20% - Accent3 9 3 2" xfId="9003" xr:uid="{00000000-0005-0000-0000-0000FE170000}"/>
    <cellStyle name="20% - Accent3 9 4" xfId="13768" xr:uid="{00000000-0005-0000-0000-0000FF170000}"/>
    <cellStyle name="20% - Accent4 10" xfId="8734" xr:uid="{00000000-0005-0000-0000-000000180000}"/>
    <cellStyle name="20% - Accent4 10 2" xfId="7303" xr:uid="{00000000-0005-0000-0000-000001180000}"/>
    <cellStyle name="20% - Accent4 10 2 2" xfId="965" xr:uid="{00000000-0005-0000-0000-000002180000}"/>
    <cellStyle name="20% - Accent4 10 3" xfId="9005" xr:uid="{00000000-0005-0000-0000-000003180000}"/>
    <cellStyle name="20% - Accent4 11" xfId="2386" xr:uid="{00000000-0005-0000-0000-000004180000}"/>
    <cellStyle name="20% - Accent4 11 2" xfId="87" xr:uid="{00000000-0005-0000-0000-000005180000}"/>
    <cellStyle name="20% - Accent4 12" xfId="683" xr:uid="{00000000-0005-0000-0000-000006180000}"/>
    <cellStyle name="20% - Accent4 13" xfId="6504" xr:uid="{00000000-0005-0000-0000-000007180000}"/>
    <cellStyle name="20% - Accent4 2" xfId="6222" xr:uid="{00000000-0005-0000-0000-000008180000}"/>
    <cellStyle name="20% - Accent4 2 10" xfId="10183" xr:uid="{00000000-0005-0000-0000-000009180000}"/>
    <cellStyle name="20% - Accent4 2 10 2" xfId="9115" xr:uid="{00000000-0005-0000-0000-00000A180000}"/>
    <cellStyle name="20% - Accent4 2 11" xfId="9011" xr:uid="{00000000-0005-0000-0000-00000B180000}"/>
    <cellStyle name="20% - Accent4 2 2" xfId="1171" xr:uid="{00000000-0005-0000-0000-00000C180000}"/>
    <cellStyle name="20% - Accent4 2 2 10" xfId="9019" xr:uid="{00000000-0005-0000-0000-00000D180000}"/>
    <cellStyle name="20% - Accent4 2 2 2" xfId="1179" xr:uid="{00000000-0005-0000-0000-00000E180000}"/>
    <cellStyle name="20% - Accent4 2 2 2 2" xfId="1187" xr:uid="{00000000-0005-0000-0000-00000F180000}"/>
    <cellStyle name="20% - Accent4 2 2 2 2 2" xfId="30292" xr:uid="{00000000-0005-0000-0000-000010180000}"/>
    <cellStyle name="20% - Accent4 2 2 2 2 2 2" xfId="27723" xr:uid="{00000000-0005-0000-0000-000011180000}"/>
    <cellStyle name="20% - Accent4 2 2 2 2 2 2 2" xfId="30344" xr:uid="{00000000-0005-0000-0000-000012180000}"/>
    <cellStyle name="20% - Accent4 2 2 2 2 2 2 2 2" xfId="127" xr:uid="{00000000-0005-0000-0000-000013180000}"/>
    <cellStyle name="20% - Accent4 2 2 2 2 2 2 2 2 2" xfId="30003" xr:uid="{00000000-0005-0000-0000-000014180000}"/>
    <cellStyle name="20% - Accent4 2 2 2 2 2 2 2 2 2 2" xfId="3242" xr:uid="{00000000-0005-0000-0000-000015180000}"/>
    <cellStyle name="20% - Accent4 2 2 2 2 2 2 2 2 2 2 2" xfId="9032" xr:uid="{00000000-0005-0000-0000-000016180000}"/>
    <cellStyle name="20% - Accent4 2 2 2 2 2 2 2 2 2 3" xfId="29797" xr:uid="{00000000-0005-0000-0000-000017180000}"/>
    <cellStyle name="20% - Accent4 2 2 2 2 2 2 2 2 3" xfId="23465" xr:uid="{00000000-0005-0000-0000-000018180000}"/>
    <cellStyle name="20% - Accent4 2 2 2 2 2 2 2 2 3 2" xfId="12370" xr:uid="{00000000-0005-0000-0000-000019180000}"/>
    <cellStyle name="20% - Accent4 2 2 2 2 2 2 2 2 4" xfId="7391" xr:uid="{00000000-0005-0000-0000-00001A180000}"/>
    <cellStyle name="20% - Accent4 2 2 2 2 2 2 2 3" xfId="9033" xr:uid="{00000000-0005-0000-0000-00001B180000}"/>
    <cellStyle name="20% - Accent4 2 2 2 2 2 2 2 3 2" xfId="11961" xr:uid="{00000000-0005-0000-0000-00001C180000}"/>
    <cellStyle name="20% - Accent4 2 2 2 2 2 2 2 3 2 2" xfId="18602" xr:uid="{00000000-0005-0000-0000-00001D180000}"/>
    <cellStyle name="20% - Accent4 2 2 2 2 2 2 2 3 3" xfId="3572" xr:uid="{00000000-0005-0000-0000-00001E180000}"/>
    <cellStyle name="20% - Accent4 2 2 2 2 2 2 2 4" xfId="4098" xr:uid="{00000000-0005-0000-0000-00001F180000}"/>
    <cellStyle name="20% - Accent4 2 2 2 2 2 2 2 4 2" xfId="14569" xr:uid="{00000000-0005-0000-0000-000020180000}"/>
    <cellStyle name="20% - Accent4 2 2 2 2 2 2 2 5" xfId="8399" xr:uid="{00000000-0005-0000-0000-000021180000}"/>
    <cellStyle name="20% - Accent4 2 2 2 2 2 2 3" xfId="9035" xr:uid="{00000000-0005-0000-0000-000022180000}"/>
    <cellStyle name="20% - Accent4 2 2 2 2 2 2 3 2" xfId="9037" xr:uid="{00000000-0005-0000-0000-000023180000}"/>
    <cellStyle name="20% - Accent4 2 2 2 2 2 2 3 2 2" xfId="23484" xr:uid="{00000000-0005-0000-0000-000024180000}"/>
    <cellStyle name="20% - Accent4 2 2 2 2 2 2 3 2 2 2" xfId="6640" xr:uid="{00000000-0005-0000-0000-000025180000}"/>
    <cellStyle name="20% - Accent4 2 2 2 2 2 2 3 2 3" xfId="2071" xr:uid="{00000000-0005-0000-0000-000026180000}"/>
    <cellStyle name="20% - Accent4 2 2 2 2 2 2 3 3" xfId="32159" xr:uid="{00000000-0005-0000-0000-000027180000}"/>
    <cellStyle name="20% - Accent4 2 2 2 2 2 2 3 3 2" xfId="2310" xr:uid="{00000000-0005-0000-0000-000028180000}"/>
    <cellStyle name="20% - Accent4 2 2 2 2 2 2 3 4" xfId="5478" xr:uid="{00000000-0005-0000-0000-000029180000}"/>
    <cellStyle name="20% - Accent4 2 2 2 2 2 2 4" xfId="5379" xr:uid="{00000000-0005-0000-0000-00002A180000}"/>
    <cellStyle name="20% - Accent4 2 2 2 2 2 2 4 2" xfId="9038" xr:uid="{00000000-0005-0000-0000-00002B180000}"/>
    <cellStyle name="20% - Accent4 2 2 2 2 2 2 4 2 2" xfId="26044" xr:uid="{00000000-0005-0000-0000-00002C180000}"/>
    <cellStyle name="20% - Accent4 2 2 2 2 2 2 4 3" xfId="9039" xr:uid="{00000000-0005-0000-0000-00002D180000}"/>
    <cellStyle name="20% - Accent4 2 2 2 2 2 2 5" xfId="9040" xr:uid="{00000000-0005-0000-0000-00002E180000}"/>
    <cellStyle name="20% - Accent4 2 2 2 2 2 2 5 2" xfId="6996" xr:uid="{00000000-0005-0000-0000-00002F180000}"/>
    <cellStyle name="20% - Accent4 2 2 2 2 2 2 6" xfId="9042" xr:uid="{00000000-0005-0000-0000-000030180000}"/>
    <cellStyle name="20% - Accent4 2 2 2 2 2 3" xfId="18365" xr:uid="{00000000-0005-0000-0000-000031180000}"/>
    <cellStyle name="20% - Accent4 2 2 2 2 2 3 2" xfId="14082" xr:uid="{00000000-0005-0000-0000-000032180000}"/>
    <cellStyle name="20% - Accent4 2 2 2 2 2 3 2 2" xfId="9044" xr:uid="{00000000-0005-0000-0000-000033180000}"/>
    <cellStyle name="20% - Accent4 2 2 2 2 2 3 2 2 2" xfId="23553" xr:uid="{00000000-0005-0000-0000-000034180000}"/>
    <cellStyle name="20% - Accent4 2 2 2 2 2 3 2 2 2 2" xfId="18680" xr:uid="{00000000-0005-0000-0000-000035180000}"/>
    <cellStyle name="20% - Accent4 2 2 2 2 2 3 2 2 3" xfId="641" xr:uid="{00000000-0005-0000-0000-000036180000}"/>
    <cellStyle name="20% - Accent4 2 2 2 2 2 3 2 3" xfId="29772" xr:uid="{00000000-0005-0000-0000-000037180000}"/>
    <cellStyle name="20% - Accent4 2 2 2 2 2 3 2 3 2" xfId="9149" xr:uid="{00000000-0005-0000-0000-000038180000}"/>
    <cellStyle name="20% - Accent4 2 2 2 2 2 3 2 4" xfId="621" xr:uid="{00000000-0005-0000-0000-000039180000}"/>
    <cellStyle name="20% - Accent4 2 2 2 2 2 3 3" xfId="9045" xr:uid="{00000000-0005-0000-0000-00003A180000}"/>
    <cellStyle name="20% - Accent4 2 2 2 2 2 3 3 2" xfId="32510" xr:uid="{00000000-0005-0000-0000-00003B180000}"/>
    <cellStyle name="20% - Accent4 2 2 2 2 2 3 3 2 2" xfId="328" xr:uid="{00000000-0005-0000-0000-00003C180000}"/>
    <cellStyle name="20% - Accent4 2 2 2 2 2 3 3 3" xfId="5517" xr:uid="{00000000-0005-0000-0000-00003D180000}"/>
    <cellStyle name="20% - Accent4 2 2 2 2 2 3 4" xfId="9046" xr:uid="{00000000-0005-0000-0000-00003E180000}"/>
    <cellStyle name="20% - Accent4 2 2 2 2 2 3 4 2" xfId="9047" xr:uid="{00000000-0005-0000-0000-00003F180000}"/>
    <cellStyle name="20% - Accent4 2 2 2 2 2 3 5" xfId="9048" xr:uid="{00000000-0005-0000-0000-000040180000}"/>
    <cellStyle name="20% - Accent4 2 2 2 2 2 4" xfId="26771" xr:uid="{00000000-0005-0000-0000-000041180000}"/>
    <cellStyle name="20% - Accent4 2 2 2 2 2 4 2" xfId="9053" xr:uid="{00000000-0005-0000-0000-000042180000}"/>
    <cellStyle name="20% - Accent4 2 2 2 2 2 4 2 2" xfId="9055" xr:uid="{00000000-0005-0000-0000-000043180000}"/>
    <cellStyle name="20% - Accent4 2 2 2 2 2 4 2 2 2" xfId="451" xr:uid="{00000000-0005-0000-0000-000044180000}"/>
    <cellStyle name="20% - Accent4 2 2 2 2 2 4 2 3" xfId="9056" xr:uid="{00000000-0005-0000-0000-000045180000}"/>
    <cellStyle name="20% - Accent4 2 2 2 2 2 4 3" xfId="9058" xr:uid="{00000000-0005-0000-0000-000046180000}"/>
    <cellStyle name="20% - Accent4 2 2 2 2 2 4 3 2" xfId="9061" xr:uid="{00000000-0005-0000-0000-000047180000}"/>
    <cellStyle name="20% - Accent4 2 2 2 2 2 4 4" xfId="18998" xr:uid="{00000000-0005-0000-0000-000048180000}"/>
    <cellStyle name="20% - Accent4 2 2 2 2 2 5" xfId="9065" xr:uid="{00000000-0005-0000-0000-000049180000}"/>
    <cellStyle name="20% - Accent4 2 2 2 2 2 5 2" xfId="9070" xr:uid="{00000000-0005-0000-0000-00004A180000}"/>
    <cellStyle name="20% - Accent4 2 2 2 2 2 5 2 2" xfId="9043" xr:uid="{00000000-0005-0000-0000-00004B180000}"/>
    <cellStyle name="20% - Accent4 2 2 2 2 2 5 3" xfId="24546" xr:uid="{00000000-0005-0000-0000-00004C180000}"/>
    <cellStyle name="20% - Accent4 2 2 2 2 2 6" xfId="9075" xr:uid="{00000000-0005-0000-0000-00004D180000}"/>
    <cellStyle name="20% - Accent4 2 2 2 2 2 6 2" xfId="6828" xr:uid="{00000000-0005-0000-0000-00004E180000}"/>
    <cellStyle name="20% - Accent4 2 2 2 2 2 7" xfId="6943" xr:uid="{00000000-0005-0000-0000-00004F180000}"/>
    <cellStyle name="20% - Accent4 2 2 2 2 3" xfId="9077" xr:uid="{00000000-0005-0000-0000-000050180000}"/>
    <cellStyle name="20% - Accent4 2 2 2 2 3 2" xfId="29793" xr:uid="{00000000-0005-0000-0000-000051180000}"/>
    <cellStyle name="20% - Accent4 2 2 2 2 3 2 2" xfId="8625" xr:uid="{00000000-0005-0000-0000-000052180000}"/>
    <cellStyle name="20% - Accent4 2 2 2 2 3 2 2 2" xfId="9078" xr:uid="{00000000-0005-0000-0000-000053180000}"/>
    <cellStyle name="20% - Accent4 2 2 2 2 3 2 2 2 2" xfId="23728" xr:uid="{00000000-0005-0000-0000-000054180000}"/>
    <cellStyle name="20% - Accent4 2 2 2 2 3 2 2 2 2 2" xfId="18807" xr:uid="{00000000-0005-0000-0000-000055180000}"/>
    <cellStyle name="20% - Accent4 2 2 2 2 3 2 2 2 3" xfId="21944" xr:uid="{00000000-0005-0000-0000-000056180000}"/>
    <cellStyle name="20% - Accent4 2 2 2 2 3 2 2 3" xfId="29836" xr:uid="{00000000-0005-0000-0000-000057180000}"/>
    <cellStyle name="20% - Accent4 2 2 2 2 3 2 2 3 2" xfId="4299" xr:uid="{00000000-0005-0000-0000-000058180000}"/>
    <cellStyle name="20% - Accent4 2 2 2 2 3 2 2 4" xfId="5644" xr:uid="{00000000-0005-0000-0000-000059180000}"/>
    <cellStyle name="20% - Accent4 2 2 2 2 3 2 3" xfId="2037" xr:uid="{00000000-0005-0000-0000-00005A180000}"/>
    <cellStyle name="20% - Accent4 2 2 2 2 3 2 3 2" xfId="9029" xr:uid="{00000000-0005-0000-0000-00005B180000}"/>
    <cellStyle name="20% - Accent4 2 2 2 2 3 2 3 2 2" xfId="561" xr:uid="{00000000-0005-0000-0000-00005C180000}"/>
    <cellStyle name="20% - Accent4 2 2 2 2 3 2 3 3" xfId="9079" xr:uid="{00000000-0005-0000-0000-00005D180000}"/>
    <cellStyle name="20% - Accent4 2 2 2 2 3 2 4" xfId="2038" xr:uid="{00000000-0005-0000-0000-00005E180000}"/>
    <cellStyle name="20% - Accent4 2 2 2 2 3 2 4 2" xfId="19491" xr:uid="{00000000-0005-0000-0000-00005F180000}"/>
    <cellStyle name="20% - Accent4 2 2 2 2 3 2 5" xfId="9085" xr:uid="{00000000-0005-0000-0000-000060180000}"/>
    <cellStyle name="20% - Accent4 2 2 2 2 3 3" xfId="18384" xr:uid="{00000000-0005-0000-0000-000061180000}"/>
    <cellStyle name="20% - Accent4 2 2 2 2 3 3 2" xfId="2046" xr:uid="{00000000-0005-0000-0000-000062180000}"/>
    <cellStyle name="20% - Accent4 2 2 2 2 3 3 2 2" xfId="9090" xr:uid="{00000000-0005-0000-0000-000063180000}"/>
    <cellStyle name="20% - Accent4 2 2 2 2 3 3 2 2 2" xfId="2749" xr:uid="{00000000-0005-0000-0000-000064180000}"/>
    <cellStyle name="20% - Accent4 2 2 2 2 3 3 2 3" xfId="9091" xr:uid="{00000000-0005-0000-0000-000065180000}"/>
    <cellStyle name="20% - Accent4 2 2 2 2 3 3 3" xfId="2048" xr:uid="{00000000-0005-0000-0000-000066180000}"/>
    <cellStyle name="20% - Accent4 2 2 2 2 3 3 3 2" xfId="9092" xr:uid="{00000000-0005-0000-0000-000067180000}"/>
    <cellStyle name="20% - Accent4 2 2 2 2 3 3 4" xfId="9094" xr:uid="{00000000-0005-0000-0000-000068180000}"/>
    <cellStyle name="20% - Accent4 2 2 2 2 3 4" xfId="9100" xr:uid="{00000000-0005-0000-0000-000069180000}"/>
    <cellStyle name="20% - Accent4 2 2 2 2 3 4 2" xfId="7440" xr:uid="{00000000-0005-0000-0000-00006A180000}"/>
    <cellStyle name="20% - Accent4 2 2 2 2 3 4 2 2" xfId="9104" xr:uid="{00000000-0005-0000-0000-00006B180000}"/>
    <cellStyle name="20% - Accent4 2 2 2 2 3 4 3" xfId="5291" xr:uid="{00000000-0005-0000-0000-00006C180000}"/>
    <cellStyle name="20% - Accent4 2 2 2 2 3 5" xfId="9106" xr:uid="{00000000-0005-0000-0000-00006D180000}"/>
    <cellStyle name="20% - Accent4 2 2 2 2 3 5 2" xfId="612" xr:uid="{00000000-0005-0000-0000-00006E180000}"/>
    <cellStyle name="20% - Accent4 2 2 2 2 3 6" xfId="13689" xr:uid="{00000000-0005-0000-0000-00006F180000}"/>
    <cellStyle name="20% - Accent4 2 2 2 2 4" xfId="9109" xr:uid="{00000000-0005-0000-0000-000070180000}"/>
    <cellStyle name="20% - Accent4 2 2 2 2 4 2" xfId="8037" xr:uid="{00000000-0005-0000-0000-000071180000}"/>
    <cellStyle name="20% - Accent4 2 2 2 2 4 2 2" xfId="7806" xr:uid="{00000000-0005-0000-0000-000072180000}"/>
    <cellStyle name="20% - Accent4 2 2 2 2 4 2 2 2" xfId="6123" xr:uid="{00000000-0005-0000-0000-000073180000}"/>
    <cellStyle name="20% - Accent4 2 2 2 2 4 2 2 2 2" xfId="13092" xr:uid="{00000000-0005-0000-0000-000074180000}"/>
    <cellStyle name="20% - Accent4 2 2 2 2 4 2 2 3" xfId="6125" xr:uid="{00000000-0005-0000-0000-000075180000}"/>
    <cellStyle name="20% - Accent4 2 2 2 2 4 2 3" xfId="4261" xr:uid="{00000000-0005-0000-0000-000076180000}"/>
    <cellStyle name="20% - Accent4 2 2 2 2 4 2 3 2" xfId="4940" xr:uid="{00000000-0005-0000-0000-000077180000}"/>
    <cellStyle name="20% - Accent4 2 2 2 2 4 2 4" xfId="9493" xr:uid="{00000000-0005-0000-0000-000078180000}"/>
    <cellStyle name="20% - Accent4 2 2 2 2 4 3" xfId="18391" xr:uid="{00000000-0005-0000-0000-000079180000}"/>
    <cellStyle name="20% - Accent4 2 2 2 2 4 3 2" xfId="2087" xr:uid="{00000000-0005-0000-0000-00007A180000}"/>
    <cellStyle name="20% - Accent4 2 2 2 2 4 3 2 2" xfId="6131" xr:uid="{00000000-0005-0000-0000-00007B180000}"/>
    <cellStyle name="20% - Accent4 2 2 2 2 4 3 3" xfId="28112" xr:uid="{00000000-0005-0000-0000-00007C180000}"/>
    <cellStyle name="20% - Accent4 2 2 2 2 4 4" xfId="5349" xr:uid="{00000000-0005-0000-0000-00007D180000}"/>
    <cellStyle name="20% - Accent4 2 2 2 2 4 4 2" xfId="31915" xr:uid="{00000000-0005-0000-0000-00007E180000}"/>
    <cellStyle name="20% - Accent4 2 2 2 2 4 5" xfId="5364" xr:uid="{00000000-0005-0000-0000-00007F180000}"/>
    <cellStyle name="20% - Accent4 2 2 2 2 5" xfId="162" xr:uid="{00000000-0005-0000-0000-000080180000}"/>
    <cellStyle name="20% - Accent4 2 2 2 2 5 2" xfId="9147" xr:uid="{00000000-0005-0000-0000-000081180000}"/>
    <cellStyle name="20% - Accent4 2 2 2 2 5 2 2" xfId="5355" xr:uid="{00000000-0005-0000-0000-000082180000}"/>
    <cellStyle name="20% - Accent4 2 2 2 2 5 2 2 2" xfId="7581" xr:uid="{00000000-0005-0000-0000-000083180000}"/>
    <cellStyle name="20% - Accent4 2 2 2 2 5 2 3" xfId="5075" xr:uid="{00000000-0005-0000-0000-000084180000}"/>
    <cellStyle name="20% - Accent4 2 2 2 2 5 3" xfId="18395" xr:uid="{00000000-0005-0000-0000-000085180000}"/>
    <cellStyle name="20% - Accent4 2 2 2 2 5 3 2" xfId="2082" xr:uid="{00000000-0005-0000-0000-000086180000}"/>
    <cellStyle name="20% - Accent4 2 2 2 2 5 4" xfId="7086" xr:uid="{00000000-0005-0000-0000-000087180000}"/>
    <cellStyle name="20% - Accent4 2 2 2 2 6" xfId="1679" xr:uid="{00000000-0005-0000-0000-000088180000}"/>
    <cellStyle name="20% - Accent4 2 2 2 2 6 2" xfId="3258" xr:uid="{00000000-0005-0000-0000-000089180000}"/>
    <cellStyle name="20% - Accent4 2 2 2 2 6 2 2" xfId="2119" xr:uid="{00000000-0005-0000-0000-00008A180000}"/>
    <cellStyle name="20% - Accent4 2 2 2 2 6 3" xfId="7102" xr:uid="{00000000-0005-0000-0000-00008B180000}"/>
    <cellStyle name="20% - Accent4 2 2 2 2 7" xfId="6272" xr:uid="{00000000-0005-0000-0000-00008C180000}"/>
    <cellStyle name="20% - Accent4 2 2 2 2 7 2" xfId="3618" xr:uid="{00000000-0005-0000-0000-00008D180000}"/>
    <cellStyle name="20% - Accent4 2 2 2 2 8" xfId="7366" xr:uid="{00000000-0005-0000-0000-00008E180000}"/>
    <cellStyle name="20% - Accent4 2 2 2 3" xfId="5285" xr:uid="{00000000-0005-0000-0000-00008F180000}"/>
    <cellStyle name="20% - Accent4 2 2 2 3 2" xfId="2631" xr:uid="{00000000-0005-0000-0000-000090180000}"/>
    <cellStyle name="20% - Accent4 2 2 2 3 2 2" xfId="29175" xr:uid="{00000000-0005-0000-0000-000091180000}"/>
    <cellStyle name="20% - Accent4 2 2 2 3 2 2 2" xfId="9158" xr:uid="{00000000-0005-0000-0000-000092180000}"/>
    <cellStyle name="20% - Accent4 2 2 2 3 2 2 2 2" xfId="8130" xr:uid="{00000000-0005-0000-0000-000093180000}"/>
    <cellStyle name="20% - Accent4 2 2 2 3 2 2 2 2 2" xfId="24049" xr:uid="{00000000-0005-0000-0000-000094180000}"/>
    <cellStyle name="20% - Accent4 2 2 2 3 2 2 2 2 2 2" xfId="10773" xr:uid="{00000000-0005-0000-0000-000095180000}"/>
    <cellStyle name="20% - Accent4 2 2 2 3 2 2 2 2 3" xfId="5604" xr:uid="{00000000-0005-0000-0000-000096180000}"/>
    <cellStyle name="20% - Accent4 2 2 2 3 2 2 2 3" xfId="10822" xr:uid="{00000000-0005-0000-0000-000097180000}"/>
    <cellStyle name="20% - Accent4 2 2 2 3 2 2 2 3 2" xfId="11403" xr:uid="{00000000-0005-0000-0000-000098180000}"/>
    <cellStyle name="20% - Accent4 2 2 2 3 2 2 2 4" xfId="5262" xr:uid="{00000000-0005-0000-0000-000099180000}"/>
    <cellStyle name="20% - Accent4 2 2 2 3 2 2 3" xfId="9164" xr:uid="{00000000-0005-0000-0000-00009A180000}"/>
    <cellStyle name="20% - Accent4 2 2 2 3 2 2 3 2" xfId="26226" xr:uid="{00000000-0005-0000-0000-00009B180000}"/>
    <cellStyle name="20% - Accent4 2 2 2 3 2 2 3 2 2" xfId="9296" xr:uid="{00000000-0005-0000-0000-00009C180000}"/>
    <cellStyle name="20% - Accent4 2 2 2 3 2 2 3 3" xfId="6112" xr:uid="{00000000-0005-0000-0000-00009D180000}"/>
    <cellStyle name="20% - Accent4 2 2 2 3 2 2 4" xfId="6752" xr:uid="{00000000-0005-0000-0000-00009E180000}"/>
    <cellStyle name="20% - Accent4 2 2 2 3 2 2 4 2" xfId="9151" xr:uid="{00000000-0005-0000-0000-00009F180000}"/>
    <cellStyle name="20% - Accent4 2 2 2 3 2 2 5" xfId="13696" xr:uid="{00000000-0005-0000-0000-0000A0180000}"/>
    <cellStyle name="20% - Accent4 2 2 2 3 2 3" xfId="26751" xr:uid="{00000000-0005-0000-0000-0000A1180000}"/>
    <cellStyle name="20% - Accent4 2 2 2 3 2 3 2" xfId="8059" xr:uid="{00000000-0005-0000-0000-0000A2180000}"/>
    <cellStyle name="20% - Accent4 2 2 2 3 2 3 2 2" xfId="9152" xr:uid="{00000000-0005-0000-0000-0000A3180000}"/>
    <cellStyle name="20% - Accent4 2 2 2 3 2 3 2 2 2" xfId="5783" xr:uid="{00000000-0005-0000-0000-0000A4180000}"/>
    <cellStyle name="20% - Accent4 2 2 2 3 2 3 2 3" xfId="9153" xr:uid="{00000000-0005-0000-0000-0000A5180000}"/>
    <cellStyle name="20% - Accent4 2 2 2 3 2 3 3" xfId="9186" xr:uid="{00000000-0005-0000-0000-0000A6180000}"/>
    <cellStyle name="20% - Accent4 2 2 2 3 2 3 3 2" xfId="14025" xr:uid="{00000000-0005-0000-0000-0000A7180000}"/>
    <cellStyle name="20% - Accent4 2 2 2 3 2 3 4" xfId="8069" xr:uid="{00000000-0005-0000-0000-0000A8180000}"/>
    <cellStyle name="20% - Accent4 2 2 2 3 2 4" xfId="9157" xr:uid="{00000000-0005-0000-0000-0000A9180000}"/>
    <cellStyle name="20% - Accent4 2 2 2 3 2 4 2" xfId="12581" xr:uid="{00000000-0005-0000-0000-0000AA180000}"/>
    <cellStyle name="20% - Accent4 2 2 2 3 2 4 2 2" xfId="13641" xr:uid="{00000000-0005-0000-0000-0000AB180000}"/>
    <cellStyle name="20% - Accent4 2 2 2 3 2 4 3" xfId="8085" xr:uid="{00000000-0005-0000-0000-0000AC180000}"/>
    <cellStyle name="20% - Accent4 2 2 2 3 2 5" xfId="9163" xr:uid="{00000000-0005-0000-0000-0000AD180000}"/>
    <cellStyle name="20% - Accent4 2 2 2 3 2 5 2" xfId="8094" xr:uid="{00000000-0005-0000-0000-0000AE180000}"/>
    <cellStyle name="20% - Accent4 2 2 2 3 2 6" xfId="6753" xr:uid="{00000000-0005-0000-0000-0000AF180000}"/>
    <cellStyle name="20% - Accent4 2 2 2 3 3" xfId="29451" xr:uid="{00000000-0005-0000-0000-0000B0180000}"/>
    <cellStyle name="20% - Accent4 2 2 2 3 3 2" xfId="2621" xr:uid="{00000000-0005-0000-0000-0000B1180000}"/>
    <cellStyle name="20% - Accent4 2 2 2 3 3 2 2" xfId="9213" xr:uid="{00000000-0005-0000-0000-0000B2180000}"/>
    <cellStyle name="20% - Accent4 2 2 2 3 3 2 2 2" xfId="9170" xr:uid="{00000000-0005-0000-0000-0000B3180000}"/>
    <cellStyle name="20% - Accent4 2 2 2 3 3 2 2 2 2" xfId="6164" xr:uid="{00000000-0005-0000-0000-0000B4180000}"/>
    <cellStyle name="20% - Accent4 2 2 2 3 3 2 2 3" xfId="9171" xr:uid="{00000000-0005-0000-0000-0000B5180000}"/>
    <cellStyle name="20% - Accent4 2 2 2 3 3 2 3" xfId="9217" xr:uid="{00000000-0005-0000-0000-0000B6180000}"/>
    <cellStyle name="20% - Accent4 2 2 2 3 3 2 3 2" xfId="9173" xr:uid="{00000000-0005-0000-0000-0000B7180000}"/>
    <cellStyle name="20% - Accent4 2 2 2 3 3 2 4" xfId="8133" xr:uid="{00000000-0005-0000-0000-0000B8180000}"/>
    <cellStyle name="20% - Accent4 2 2 2 3 3 3" xfId="18430" xr:uid="{00000000-0005-0000-0000-0000B9180000}"/>
    <cellStyle name="20% - Accent4 2 2 2 3 3 3 2" xfId="9224" xr:uid="{00000000-0005-0000-0000-0000BA180000}"/>
    <cellStyle name="20% - Accent4 2 2 2 3 3 3 2 2" xfId="9185" xr:uid="{00000000-0005-0000-0000-0000BB180000}"/>
    <cellStyle name="20% - Accent4 2 2 2 3 3 3 3" xfId="8153" xr:uid="{00000000-0005-0000-0000-0000BC180000}"/>
    <cellStyle name="20% - Accent4 2 2 2 3 3 4" xfId="8061" xr:uid="{00000000-0005-0000-0000-0000BD180000}"/>
    <cellStyle name="20% - Accent4 2 2 2 3 3 4 2" xfId="8176" xr:uid="{00000000-0005-0000-0000-0000BE180000}"/>
    <cellStyle name="20% - Accent4 2 2 2 3 3 5" xfId="9187" xr:uid="{00000000-0005-0000-0000-0000BF180000}"/>
    <cellStyle name="20% - Accent4 2 2 2 3 4" xfId="27058" xr:uid="{00000000-0005-0000-0000-0000C0180000}"/>
    <cellStyle name="20% - Accent4 2 2 2 3 4 2" xfId="11488" xr:uid="{00000000-0005-0000-0000-0000C1180000}"/>
    <cellStyle name="20% - Accent4 2 2 2 3 4 2 2" xfId="15057" xr:uid="{00000000-0005-0000-0000-0000C2180000}"/>
    <cellStyle name="20% - Accent4 2 2 2 3 4 2 2 2" xfId="6369" xr:uid="{00000000-0005-0000-0000-0000C3180000}"/>
    <cellStyle name="20% - Accent4 2 2 2 3 4 2 3" xfId="15061" xr:uid="{00000000-0005-0000-0000-0000C4180000}"/>
    <cellStyle name="20% - Accent4 2 2 2 3 4 3" xfId="18434" xr:uid="{00000000-0005-0000-0000-0000C5180000}"/>
    <cellStyle name="20% - Accent4 2 2 2 3 4 3 2" xfId="15187" xr:uid="{00000000-0005-0000-0000-0000C6180000}"/>
    <cellStyle name="20% - Accent4 2 2 2 3 4 4" xfId="12582" xr:uid="{00000000-0005-0000-0000-0000C7180000}"/>
    <cellStyle name="20% - Accent4 2 2 2 3 5" xfId="4452" xr:uid="{00000000-0005-0000-0000-0000C8180000}"/>
    <cellStyle name="20% - Accent4 2 2 2 3 5 2" xfId="9200" xr:uid="{00000000-0005-0000-0000-0000C9180000}"/>
    <cellStyle name="20% - Accent4 2 2 2 3 5 2 2" xfId="15094" xr:uid="{00000000-0005-0000-0000-0000CA180000}"/>
    <cellStyle name="20% - Accent4 2 2 2 3 5 3" xfId="9201" xr:uid="{00000000-0005-0000-0000-0000CB180000}"/>
    <cellStyle name="20% - Accent4 2 2 2 3 6" xfId="4483" xr:uid="{00000000-0005-0000-0000-0000CC180000}"/>
    <cellStyle name="20% - Accent4 2 2 2 3 6 2" xfId="277" xr:uid="{00000000-0005-0000-0000-0000CD180000}"/>
    <cellStyle name="20% - Accent4 2 2 2 3 7" xfId="7376" xr:uid="{00000000-0005-0000-0000-0000CE180000}"/>
    <cellStyle name="20% - Accent4 2 2 2 4" xfId="6496" xr:uid="{00000000-0005-0000-0000-0000CF180000}"/>
    <cellStyle name="20% - Accent4 2 2 2 4 2" xfId="24004" xr:uid="{00000000-0005-0000-0000-0000D0180000}"/>
    <cellStyle name="20% - Accent4 2 2 2 4 2 2" xfId="29126" xr:uid="{00000000-0005-0000-0000-0000D1180000}"/>
    <cellStyle name="20% - Accent4 2 2 2 4 2 2 2" xfId="9354" xr:uid="{00000000-0005-0000-0000-0000D2180000}"/>
    <cellStyle name="20% - Accent4 2 2 2 4 2 2 2 2" xfId="33862" xr:uid="{00000000-0005-0000-0000-0000D3180000}"/>
    <cellStyle name="20% - Accent4 2 2 2 4 2 2 2 2 2" xfId="8348" xr:uid="{00000000-0005-0000-0000-0000D4180000}"/>
    <cellStyle name="20% - Accent4 2 2 2 4 2 2 2 3" xfId="19079" xr:uid="{00000000-0005-0000-0000-0000D5180000}"/>
    <cellStyle name="20% - Accent4 2 2 2 4 2 2 3" xfId="20370" xr:uid="{00000000-0005-0000-0000-0000D6180000}"/>
    <cellStyle name="20% - Accent4 2 2 2 4 2 2 3 2" xfId="3328" xr:uid="{00000000-0005-0000-0000-0000D7180000}"/>
    <cellStyle name="20% - Accent4 2 2 2 4 2 2 4" xfId="8356" xr:uid="{00000000-0005-0000-0000-0000D8180000}"/>
    <cellStyle name="20% - Accent4 2 2 2 4 2 3" xfId="18451" xr:uid="{00000000-0005-0000-0000-0000D9180000}"/>
    <cellStyle name="20% - Accent4 2 2 2 4 2 3 2" xfId="20375" xr:uid="{00000000-0005-0000-0000-0000DA180000}"/>
    <cellStyle name="20% - Accent4 2 2 2 4 2 3 2 2" xfId="9210" xr:uid="{00000000-0005-0000-0000-0000DB180000}"/>
    <cellStyle name="20% - Accent4 2 2 2 4 2 3 3" xfId="8370" xr:uid="{00000000-0005-0000-0000-0000DC180000}"/>
    <cellStyle name="20% - Accent4 2 2 2 4 2 4" xfId="9211" xr:uid="{00000000-0005-0000-0000-0000DD180000}"/>
    <cellStyle name="20% - Accent4 2 2 2 4 2 4 2" xfId="8373" xr:uid="{00000000-0005-0000-0000-0000DE180000}"/>
    <cellStyle name="20% - Accent4 2 2 2 4 2 5" xfId="9218" xr:uid="{00000000-0005-0000-0000-0000DF180000}"/>
    <cellStyle name="20% - Accent4 2 2 2 4 3" xfId="5925" xr:uid="{00000000-0005-0000-0000-0000E0180000}"/>
    <cellStyle name="20% - Accent4 2 2 2 4 3 2" xfId="28907" xr:uid="{00000000-0005-0000-0000-0000E1180000}"/>
    <cellStyle name="20% - Accent4 2 2 2 4 3 2 2" xfId="20390" xr:uid="{00000000-0005-0000-0000-0000E2180000}"/>
    <cellStyle name="20% - Accent4 2 2 2 4 3 2 2 2" xfId="9222" xr:uid="{00000000-0005-0000-0000-0000E3180000}"/>
    <cellStyle name="20% - Accent4 2 2 2 4 3 2 3" xfId="11047" xr:uid="{00000000-0005-0000-0000-0000E4180000}"/>
    <cellStyle name="20% - Accent4 2 2 2 4 3 3" xfId="18455" xr:uid="{00000000-0005-0000-0000-0000E5180000}"/>
    <cellStyle name="20% - Accent4 2 2 2 4 3 3 2" xfId="2770" xr:uid="{00000000-0005-0000-0000-0000E6180000}"/>
    <cellStyle name="20% - Accent4 2 2 2 4 3 4" xfId="9225" xr:uid="{00000000-0005-0000-0000-0000E7180000}"/>
    <cellStyle name="20% - Accent4 2 2 2 4 4" xfId="4714" xr:uid="{00000000-0005-0000-0000-0000E8180000}"/>
    <cellStyle name="20% - Accent4 2 2 2 4 4 2" xfId="9228" xr:uid="{00000000-0005-0000-0000-0000E9180000}"/>
    <cellStyle name="20% - Accent4 2 2 2 4 4 2 2" xfId="15146" xr:uid="{00000000-0005-0000-0000-0000EA180000}"/>
    <cellStyle name="20% - Accent4 2 2 2 4 4 3" xfId="9232" xr:uid="{00000000-0005-0000-0000-0000EB180000}"/>
    <cellStyle name="20% - Accent4 2 2 2 4 5" xfId="23591" xr:uid="{00000000-0005-0000-0000-0000EC180000}"/>
    <cellStyle name="20% - Accent4 2 2 2 4 5 2" xfId="9234" xr:uid="{00000000-0005-0000-0000-0000ED180000}"/>
    <cellStyle name="20% - Accent4 2 2 2 4 6" xfId="9237" xr:uid="{00000000-0005-0000-0000-0000EE180000}"/>
    <cellStyle name="20% - Accent4 2 2 2 5" xfId="697" xr:uid="{00000000-0005-0000-0000-0000EF180000}"/>
    <cellStyle name="20% - Accent4 2 2 2 5 2" xfId="3552" xr:uid="{00000000-0005-0000-0000-0000F0180000}"/>
    <cellStyle name="20% - Accent4 2 2 2 5 2 2" xfId="9439" xr:uid="{00000000-0005-0000-0000-0000F1180000}"/>
    <cellStyle name="20% - Accent4 2 2 2 5 2 2 2" xfId="19083" xr:uid="{00000000-0005-0000-0000-0000F2180000}"/>
    <cellStyle name="20% - Accent4 2 2 2 5 2 2 2 2" xfId="12217" xr:uid="{00000000-0005-0000-0000-0000F3180000}"/>
    <cellStyle name="20% - Accent4 2 2 2 5 2 2 3" xfId="19097" xr:uid="{00000000-0005-0000-0000-0000F4180000}"/>
    <cellStyle name="20% - Accent4 2 2 2 5 2 3" xfId="18460" xr:uid="{00000000-0005-0000-0000-0000F5180000}"/>
    <cellStyle name="20% - Accent4 2 2 2 5 2 3 2" xfId="19122" xr:uid="{00000000-0005-0000-0000-0000F6180000}"/>
    <cellStyle name="20% - Accent4 2 2 2 5 2 4" xfId="15058" xr:uid="{00000000-0005-0000-0000-0000F7180000}"/>
    <cellStyle name="20% - Accent4 2 2 2 5 3" xfId="1628" xr:uid="{00000000-0005-0000-0000-0000F8180000}"/>
    <cellStyle name="20% - Accent4 2 2 2 5 3 2" xfId="9242" xr:uid="{00000000-0005-0000-0000-0000F9180000}"/>
    <cellStyle name="20% - Accent4 2 2 2 5 3 2 2" xfId="17447" xr:uid="{00000000-0005-0000-0000-0000FA180000}"/>
    <cellStyle name="20% - Accent4 2 2 2 5 3 3" xfId="9247" xr:uid="{00000000-0005-0000-0000-0000FB180000}"/>
    <cellStyle name="20% - Accent4 2 2 2 5 4" xfId="20429" xr:uid="{00000000-0005-0000-0000-0000FC180000}"/>
    <cellStyle name="20% - Accent4 2 2 2 5 4 2" xfId="8897" xr:uid="{00000000-0005-0000-0000-0000FD180000}"/>
    <cellStyle name="20% - Accent4 2 2 2 5 5" xfId="29186" xr:uid="{00000000-0005-0000-0000-0000FE180000}"/>
    <cellStyle name="20% - Accent4 2 2 2 6" xfId="721" xr:uid="{00000000-0005-0000-0000-0000FF180000}"/>
    <cellStyle name="20% - Accent4 2 2 2 6 2" xfId="1894" xr:uid="{00000000-0005-0000-0000-000000190000}"/>
    <cellStyle name="20% - Accent4 2 2 2 6 2 2" xfId="16811" xr:uid="{00000000-0005-0000-0000-000001190000}"/>
    <cellStyle name="20% - Accent4 2 2 2 6 2 2 2" xfId="15215" xr:uid="{00000000-0005-0000-0000-000002190000}"/>
    <cellStyle name="20% - Accent4 2 2 2 6 2 3" xfId="9251" xr:uid="{00000000-0005-0000-0000-000003190000}"/>
    <cellStyle name="20% - Accent4 2 2 2 6 3" xfId="159" xr:uid="{00000000-0005-0000-0000-000004190000}"/>
    <cellStyle name="20% - Accent4 2 2 2 6 3 2" xfId="9254" xr:uid="{00000000-0005-0000-0000-000005190000}"/>
    <cellStyle name="20% - Accent4 2 2 2 6 4" xfId="24191" xr:uid="{00000000-0005-0000-0000-000006190000}"/>
    <cellStyle name="20% - Accent4 2 2 2 7" xfId="1496" xr:uid="{00000000-0005-0000-0000-000007190000}"/>
    <cellStyle name="20% - Accent4 2 2 2 7 2" xfId="24788" xr:uid="{00000000-0005-0000-0000-000008190000}"/>
    <cellStyle name="20% - Accent4 2 2 2 7 2 2" xfId="9256" xr:uid="{00000000-0005-0000-0000-000009190000}"/>
    <cellStyle name="20% - Accent4 2 2 2 7 3" xfId="9259" xr:uid="{00000000-0005-0000-0000-00000A190000}"/>
    <cellStyle name="20% - Accent4 2 2 2 8" xfId="237" xr:uid="{00000000-0005-0000-0000-00000B190000}"/>
    <cellStyle name="20% - Accent4 2 2 2 8 2" xfId="1684" xr:uid="{00000000-0005-0000-0000-00000C190000}"/>
    <cellStyle name="20% - Accent4 2 2 2 9" xfId="20963" xr:uid="{00000000-0005-0000-0000-00000D190000}"/>
    <cellStyle name="20% - Accent4 2 2 3" xfId="14710" xr:uid="{00000000-0005-0000-0000-00000E190000}"/>
    <cellStyle name="20% - Accent4 2 2 3 2" xfId="533" xr:uid="{00000000-0005-0000-0000-00000F190000}"/>
    <cellStyle name="20% - Accent4 2 2 3 2 2" xfId="9264" xr:uid="{00000000-0005-0000-0000-000010190000}"/>
    <cellStyle name="20% - Accent4 2 2 3 2 2 2" xfId="4942" xr:uid="{00000000-0005-0000-0000-000011190000}"/>
    <cellStyle name="20% - Accent4 2 2 3 2 2 2 2" xfId="25271" xr:uid="{00000000-0005-0000-0000-000012190000}"/>
    <cellStyle name="20% - Accent4 2 2 3 2 2 2 2 2" xfId="9267" xr:uid="{00000000-0005-0000-0000-000013190000}"/>
    <cellStyle name="20% - Accent4 2 2 3 2 2 2 2 2 2" xfId="24731" xr:uid="{00000000-0005-0000-0000-000014190000}"/>
    <cellStyle name="20% - Accent4 2 2 3 2 2 2 2 2 2 2" xfId="19374" xr:uid="{00000000-0005-0000-0000-000015190000}"/>
    <cellStyle name="20% - Accent4 2 2 3 2 2 2 2 2 3" xfId="9269" xr:uid="{00000000-0005-0000-0000-000016190000}"/>
    <cellStyle name="20% - Accent4 2 2 3 2 2 2 2 3" xfId="9270" xr:uid="{00000000-0005-0000-0000-000017190000}"/>
    <cellStyle name="20% - Accent4 2 2 3 2 2 2 2 3 2" xfId="9273" xr:uid="{00000000-0005-0000-0000-000018190000}"/>
    <cellStyle name="20% - Accent4 2 2 3 2 2 2 2 4" xfId="23235" xr:uid="{00000000-0005-0000-0000-000019190000}"/>
    <cellStyle name="20% - Accent4 2 2 3 2 2 2 3" xfId="25275" xr:uid="{00000000-0005-0000-0000-00001A190000}"/>
    <cellStyle name="20% - Accent4 2 2 3 2 2 2 3 2" xfId="9276" xr:uid="{00000000-0005-0000-0000-00001B190000}"/>
    <cellStyle name="20% - Accent4 2 2 3 2 2 2 3 2 2" xfId="14412" xr:uid="{00000000-0005-0000-0000-00001C190000}"/>
    <cellStyle name="20% - Accent4 2 2 3 2 2 2 3 3" xfId="4891" xr:uid="{00000000-0005-0000-0000-00001D190000}"/>
    <cellStyle name="20% - Accent4 2 2 3 2 2 2 4" xfId="9278" xr:uid="{00000000-0005-0000-0000-00001E190000}"/>
    <cellStyle name="20% - Accent4 2 2 3 2 2 2 4 2" xfId="9280" xr:uid="{00000000-0005-0000-0000-00001F190000}"/>
    <cellStyle name="20% - Accent4 2 2 3 2 2 2 5" xfId="9282" xr:uid="{00000000-0005-0000-0000-000020190000}"/>
    <cellStyle name="20% - Accent4 2 2 3 2 2 3" xfId="20318" xr:uid="{00000000-0005-0000-0000-000021190000}"/>
    <cellStyle name="20% - Accent4 2 2 3 2 2 3 2" xfId="25280" xr:uid="{00000000-0005-0000-0000-000022190000}"/>
    <cellStyle name="20% - Accent4 2 2 3 2 2 3 2 2" xfId="4232" xr:uid="{00000000-0005-0000-0000-000023190000}"/>
    <cellStyle name="20% - Accent4 2 2 3 2 2 3 2 2 2" xfId="17768" xr:uid="{00000000-0005-0000-0000-000024190000}"/>
    <cellStyle name="20% - Accent4 2 2 3 2 2 3 2 3" xfId="14515" xr:uid="{00000000-0005-0000-0000-000025190000}"/>
    <cellStyle name="20% - Accent4 2 2 3 2 2 3 3" xfId="9287" xr:uid="{00000000-0005-0000-0000-000026190000}"/>
    <cellStyle name="20% - Accent4 2 2 3 2 2 3 3 2" xfId="1521" xr:uid="{00000000-0005-0000-0000-000027190000}"/>
    <cellStyle name="20% - Accent4 2 2 3 2 2 3 4" xfId="9289" xr:uid="{00000000-0005-0000-0000-000028190000}"/>
    <cellStyle name="20% - Accent4 2 2 3 2 2 4" xfId="7961" xr:uid="{00000000-0005-0000-0000-000029190000}"/>
    <cellStyle name="20% - Accent4 2 2 3 2 2 4 2" xfId="9291" xr:uid="{00000000-0005-0000-0000-00002A190000}"/>
    <cellStyle name="20% - Accent4 2 2 3 2 2 4 2 2" xfId="1543" xr:uid="{00000000-0005-0000-0000-00002B190000}"/>
    <cellStyle name="20% - Accent4 2 2 3 2 2 4 3" xfId="9295" xr:uid="{00000000-0005-0000-0000-00002C190000}"/>
    <cellStyle name="20% - Accent4 2 2 3 2 2 5" xfId="9301" xr:uid="{00000000-0005-0000-0000-00002D190000}"/>
    <cellStyle name="20% - Accent4 2 2 3 2 2 5 2" xfId="9305" xr:uid="{00000000-0005-0000-0000-00002E190000}"/>
    <cellStyle name="20% - Accent4 2 2 3 2 2 6" xfId="20326" xr:uid="{00000000-0005-0000-0000-00002F190000}"/>
    <cellStyle name="20% - Accent4 2 2 3 2 3" xfId="11644" xr:uid="{00000000-0005-0000-0000-000030190000}"/>
    <cellStyle name="20% - Accent4 2 2 3 2 3 2" xfId="5094" xr:uid="{00000000-0005-0000-0000-000031190000}"/>
    <cellStyle name="20% - Accent4 2 2 3 2 3 2 2" xfId="25289" xr:uid="{00000000-0005-0000-0000-000032190000}"/>
    <cellStyle name="20% - Accent4 2 2 3 2 3 2 2 2" xfId="9309" xr:uid="{00000000-0005-0000-0000-000033190000}"/>
    <cellStyle name="20% - Accent4 2 2 3 2 3 2 2 2 2" xfId="24899" xr:uid="{00000000-0005-0000-0000-000034190000}"/>
    <cellStyle name="20% - Accent4 2 2 3 2 3 2 2 3" xfId="9311" xr:uid="{00000000-0005-0000-0000-000035190000}"/>
    <cellStyle name="20% - Accent4 2 2 3 2 3 2 3" xfId="9315" xr:uid="{00000000-0005-0000-0000-000036190000}"/>
    <cellStyle name="20% - Accent4 2 2 3 2 3 2 3 2" xfId="743" xr:uid="{00000000-0005-0000-0000-000037190000}"/>
    <cellStyle name="20% - Accent4 2 2 3 2 3 2 4" xfId="13477" xr:uid="{00000000-0005-0000-0000-000038190000}"/>
    <cellStyle name="20% - Accent4 2 2 3 2 3 3" xfId="20332" xr:uid="{00000000-0005-0000-0000-000039190000}"/>
    <cellStyle name="20% - Accent4 2 2 3 2 3 3 2" xfId="9318" xr:uid="{00000000-0005-0000-0000-00003A190000}"/>
    <cellStyle name="20% - Accent4 2 2 3 2 3 3 2 2" xfId="3984" xr:uid="{00000000-0005-0000-0000-00003B190000}"/>
    <cellStyle name="20% - Accent4 2 2 3 2 3 3 3" xfId="9409" xr:uid="{00000000-0005-0000-0000-00003C190000}"/>
    <cellStyle name="20% - Accent4 2 2 3 2 3 4" xfId="9323" xr:uid="{00000000-0005-0000-0000-00003D190000}"/>
    <cellStyle name="20% - Accent4 2 2 3 2 3 4 2" xfId="26659" xr:uid="{00000000-0005-0000-0000-00003E190000}"/>
    <cellStyle name="20% - Accent4 2 2 3 2 3 5" xfId="20341" xr:uid="{00000000-0005-0000-0000-00003F190000}"/>
    <cellStyle name="20% - Accent4 2 2 3 2 4" xfId="9327" xr:uid="{00000000-0005-0000-0000-000040190000}"/>
    <cellStyle name="20% - Accent4 2 2 3 2 4 2" xfId="10890" xr:uid="{00000000-0005-0000-0000-000041190000}"/>
    <cellStyle name="20% - Accent4 2 2 3 2 4 2 2" xfId="11" xr:uid="{00000000-0005-0000-0000-000042190000}"/>
    <cellStyle name="20% - Accent4 2 2 3 2 4 2 2 2" xfId="9330" xr:uid="{00000000-0005-0000-0000-000043190000}"/>
    <cellStyle name="20% - Accent4 2 2 3 2 4 2 3" xfId="14452" xr:uid="{00000000-0005-0000-0000-000044190000}"/>
    <cellStyle name="20% - Accent4 2 2 3 2 4 3" xfId="20348" xr:uid="{00000000-0005-0000-0000-000045190000}"/>
    <cellStyle name="20% - Accent4 2 2 3 2 4 3 2" xfId="519" xr:uid="{00000000-0005-0000-0000-000046190000}"/>
    <cellStyle name="20% - Accent4 2 2 3 2 4 4" xfId="19796" xr:uid="{00000000-0005-0000-0000-000047190000}"/>
    <cellStyle name="20% - Accent4 2 2 3 2 5" xfId="33874" xr:uid="{00000000-0005-0000-0000-000048190000}"/>
    <cellStyle name="20% - Accent4 2 2 3 2 5 2" xfId="33664" xr:uid="{00000000-0005-0000-0000-000049190000}"/>
    <cellStyle name="20% - Accent4 2 2 3 2 5 2 2" xfId="201" xr:uid="{00000000-0005-0000-0000-00004A190000}"/>
    <cellStyle name="20% - Accent4 2 2 3 2 5 3" xfId="9336" xr:uid="{00000000-0005-0000-0000-00004B190000}"/>
    <cellStyle name="20% - Accent4 2 2 3 2 6" xfId="9341" xr:uid="{00000000-0005-0000-0000-00004C190000}"/>
    <cellStyle name="20% - Accent4 2 2 3 2 6 2" xfId="3844" xr:uid="{00000000-0005-0000-0000-00004D190000}"/>
    <cellStyle name="20% - Accent4 2 2 3 2 7" xfId="9343" xr:uid="{00000000-0005-0000-0000-00004E190000}"/>
    <cellStyle name="20% - Accent4 2 2 3 3" xfId="727" xr:uid="{00000000-0005-0000-0000-00004F190000}"/>
    <cellStyle name="20% - Accent4 2 2 3 3 2" xfId="24015" xr:uid="{00000000-0005-0000-0000-000050190000}"/>
    <cellStyle name="20% - Accent4 2 2 3 3 2 2" xfId="28659" xr:uid="{00000000-0005-0000-0000-000051190000}"/>
    <cellStyle name="20% - Accent4 2 2 3 3 2 2 2" xfId="9593" xr:uid="{00000000-0005-0000-0000-000052190000}"/>
    <cellStyle name="20% - Accent4 2 2 3 3 2 2 2 2" xfId="26856" xr:uid="{00000000-0005-0000-0000-000053190000}"/>
    <cellStyle name="20% - Accent4 2 2 3 3 2 2 2 2 2" xfId="8302" xr:uid="{00000000-0005-0000-0000-000054190000}"/>
    <cellStyle name="20% - Accent4 2 2 3 3 2 2 2 3" xfId="29130" xr:uid="{00000000-0005-0000-0000-000055190000}"/>
    <cellStyle name="20% - Accent4 2 2 3 3 2 2 3" xfId="9598" xr:uid="{00000000-0005-0000-0000-000056190000}"/>
    <cellStyle name="20% - Accent4 2 2 3 3 2 2 3 2" xfId="9346" xr:uid="{00000000-0005-0000-0000-000057190000}"/>
    <cellStyle name="20% - Accent4 2 2 3 3 2 2 4" xfId="9348" xr:uid="{00000000-0005-0000-0000-000058190000}"/>
    <cellStyle name="20% - Accent4 2 2 3 3 2 3" xfId="21927" xr:uid="{00000000-0005-0000-0000-000059190000}"/>
    <cellStyle name="20% - Accent4 2 2 3 3 2 3 2" xfId="9606" xr:uid="{00000000-0005-0000-0000-00005A190000}"/>
    <cellStyle name="20% - Accent4 2 2 3 3 2 3 2 2" xfId="7841" xr:uid="{00000000-0005-0000-0000-00005B190000}"/>
    <cellStyle name="20% - Accent4 2 2 3 3 2 3 3" xfId="9351" xr:uid="{00000000-0005-0000-0000-00005C190000}"/>
    <cellStyle name="20% - Accent4 2 2 3 3 2 4" xfId="9352" xr:uid="{00000000-0005-0000-0000-00005D190000}"/>
    <cellStyle name="20% - Accent4 2 2 3 3 2 4 2" xfId="9355" xr:uid="{00000000-0005-0000-0000-00005E190000}"/>
    <cellStyle name="20% - Accent4 2 2 3 3 2 5" xfId="20371" xr:uid="{00000000-0005-0000-0000-00005F190000}"/>
    <cellStyle name="20% - Accent4 2 2 3 3 3" xfId="28668" xr:uid="{00000000-0005-0000-0000-000060190000}"/>
    <cellStyle name="20% - Accent4 2 2 3 3 3 2" xfId="14381" xr:uid="{00000000-0005-0000-0000-000061190000}"/>
    <cellStyle name="20% - Accent4 2 2 3 3 3 2 2" xfId="9626" xr:uid="{00000000-0005-0000-0000-000062190000}"/>
    <cellStyle name="20% - Accent4 2 2 3 3 3 2 2 2" xfId="9358" xr:uid="{00000000-0005-0000-0000-000063190000}"/>
    <cellStyle name="20% - Accent4 2 2 3 3 3 2 3" xfId="11108" xr:uid="{00000000-0005-0000-0000-000064190000}"/>
    <cellStyle name="20% - Accent4 2 2 3 3 3 3" xfId="20372" xr:uid="{00000000-0005-0000-0000-000065190000}"/>
    <cellStyle name="20% - Accent4 2 2 3 3 3 3 2" xfId="9360" xr:uid="{00000000-0005-0000-0000-000066190000}"/>
    <cellStyle name="20% - Accent4 2 2 3 3 3 4" xfId="20374" xr:uid="{00000000-0005-0000-0000-000067190000}"/>
    <cellStyle name="20% - Accent4 2 2 3 3 4" xfId="26506" xr:uid="{00000000-0005-0000-0000-000068190000}"/>
    <cellStyle name="20% - Accent4 2 2 3 3 4 2" xfId="9365" xr:uid="{00000000-0005-0000-0000-000069190000}"/>
    <cellStyle name="20% - Accent4 2 2 3 3 4 2 2" xfId="7155" xr:uid="{00000000-0005-0000-0000-00006A190000}"/>
    <cellStyle name="20% - Accent4 2 2 3 3 4 3" xfId="11467" xr:uid="{00000000-0005-0000-0000-00006B190000}"/>
    <cellStyle name="20% - Accent4 2 2 3 3 5" xfId="11667" xr:uid="{00000000-0005-0000-0000-00006C190000}"/>
    <cellStyle name="20% - Accent4 2 2 3 3 5 2" xfId="11413" xr:uid="{00000000-0005-0000-0000-00006D190000}"/>
    <cellStyle name="20% - Accent4 2 2 3 3 6" xfId="31911" xr:uid="{00000000-0005-0000-0000-00006E190000}"/>
    <cellStyle name="20% - Accent4 2 2 3 4" xfId="741" xr:uid="{00000000-0005-0000-0000-00006F190000}"/>
    <cellStyle name="20% - Accent4 2 2 3 4 2" xfId="3560" xr:uid="{00000000-0005-0000-0000-000070190000}"/>
    <cellStyle name="20% - Accent4 2 2 3 4 2 2" xfId="28681" xr:uid="{00000000-0005-0000-0000-000071190000}"/>
    <cellStyle name="20% - Accent4 2 2 3 4 2 2 2" xfId="9683" xr:uid="{00000000-0005-0000-0000-000072190000}"/>
    <cellStyle name="20% - Accent4 2 2 3 4 2 2 2 2" xfId="33911" xr:uid="{00000000-0005-0000-0000-000073190000}"/>
    <cellStyle name="20% - Accent4 2 2 3 4 2 2 3" xfId="9376" xr:uid="{00000000-0005-0000-0000-000074190000}"/>
    <cellStyle name="20% - Accent4 2 2 3 4 2 3" xfId="20387" xr:uid="{00000000-0005-0000-0000-000075190000}"/>
    <cellStyle name="20% - Accent4 2 2 3 4 2 3 2" xfId="9379" xr:uid="{00000000-0005-0000-0000-000076190000}"/>
    <cellStyle name="20% - Accent4 2 2 3 4 2 4" xfId="20389" xr:uid="{00000000-0005-0000-0000-000077190000}"/>
    <cellStyle name="20% - Accent4 2 2 3 4 3" xfId="28686" xr:uid="{00000000-0005-0000-0000-000078190000}"/>
    <cellStyle name="20% - Accent4 2 2 3 4 3 2" xfId="14391" xr:uid="{00000000-0005-0000-0000-000079190000}"/>
    <cellStyle name="20% - Accent4 2 2 3 4 3 2 2" xfId="13836" xr:uid="{00000000-0005-0000-0000-00007A190000}"/>
    <cellStyle name="20% - Accent4 2 2 3 4 3 3" xfId="20392" xr:uid="{00000000-0005-0000-0000-00007B190000}"/>
    <cellStyle name="20% - Accent4 2 2 3 4 4" xfId="27575" xr:uid="{00000000-0005-0000-0000-00007C190000}"/>
    <cellStyle name="20% - Accent4 2 2 3 4 4 2" xfId="9382" xr:uid="{00000000-0005-0000-0000-00007D190000}"/>
    <cellStyle name="20% - Accent4 2 2 3 4 5" xfId="9383" xr:uid="{00000000-0005-0000-0000-00007E190000}"/>
    <cellStyle name="20% - Accent4 2 2 3 5" xfId="787" xr:uid="{00000000-0005-0000-0000-00007F190000}"/>
    <cellStyle name="20% - Accent4 2 2 3 5 2" xfId="9997" xr:uid="{00000000-0005-0000-0000-000080190000}"/>
    <cellStyle name="20% - Accent4 2 2 3 5 2 2" xfId="9387" xr:uid="{00000000-0005-0000-0000-000081190000}"/>
    <cellStyle name="20% - Accent4 2 2 3 5 2 2 2" xfId="21346" xr:uid="{00000000-0005-0000-0000-000082190000}"/>
    <cellStyle name="20% - Accent4 2 2 3 5 2 3" xfId="20397" xr:uid="{00000000-0005-0000-0000-000083190000}"/>
    <cellStyle name="20% - Accent4 2 2 3 5 3" xfId="10132" xr:uid="{00000000-0005-0000-0000-000084190000}"/>
    <cellStyle name="20% - Accent4 2 2 3 5 3 2" xfId="23108" xr:uid="{00000000-0005-0000-0000-000085190000}"/>
    <cellStyle name="20% - Accent4 2 2 3 5 4" xfId="24202" xr:uid="{00000000-0005-0000-0000-000086190000}"/>
    <cellStyle name="20% - Accent4 2 2 3 6" xfId="7981" xr:uid="{00000000-0005-0000-0000-000087190000}"/>
    <cellStyle name="20% - Accent4 2 2 3 6 2" xfId="3817" xr:uid="{00000000-0005-0000-0000-000088190000}"/>
    <cellStyle name="20% - Accent4 2 2 3 6 2 2" xfId="11708" xr:uid="{00000000-0005-0000-0000-000089190000}"/>
    <cellStyle name="20% - Accent4 2 2 3 6 3" xfId="18624" xr:uid="{00000000-0005-0000-0000-00008A190000}"/>
    <cellStyle name="20% - Accent4 2 2 3 7" xfId="139" xr:uid="{00000000-0005-0000-0000-00008B190000}"/>
    <cellStyle name="20% - Accent4 2 2 3 7 2" xfId="28689" xr:uid="{00000000-0005-0000-0000-00008C190000}"/>
    <cellStyle name="20% - Accent4 2 2 3 8" xfId="33288" xr:uid="{00000000-0005-0000-0000-00008D190000}"/>
    <cellStyle name="20% - Accent4 2 2 4" xfId="9390" xr:uid="{00000000-0005-0000-0000-00008E190000}"/>
    <cellStyle name="20% - Accent4 2 2 4 2" xfId="1424" xr:uid="{00000000-0005-0000-0000-00008F190000}"/>
    <cellStyle name="20% - Accent4 2 2 4 2 2" xfId="8416" xr:uid="{00000000-0005-0000-0000-000090190000}"/>
    <cellStyle name="20% - Accent4 2 2 4 2 2 2" xfId="4872" xr:uid="{00000000-0005-0000-0000-000091190000}"/>
    <cellStyle name="20% - Accent4 2 2 4 2 2 2 2" xfId="9395" xr:uid="{00000000-0005-0000-0000-000092190000}"/>
    <cellStyle name="20% - Accent4 2 2 4 2 2 2 2 2" xfId="9398" xr:uid="{00000000-0005-0000-0000-000093190000}"/>
    <cellStyle name="20% - Accent4 2 2 4 2 2 2 2 2 2" xfId="5826" xr:uid="{00000000-0005-0000-0000-000094190000}"/>
    <cellStyle name="20% - Accent4 2 2 4 2 2 2 2 3" xfId="3141" xr:uid="{00000000-0005-0000-0000-000095190000}"/>
    <cellStyle name="20% - Accent4 2 2 4 2 2 2 3" xfId="9406" xr:uid="{00000000-0005-0000-0000-000096190000}"/>
    <cellStyle name="20% - Accent4 2 2 4 2 2 2 3 2" xfId="9413" xr:uid="{00000000-0005-0000-0000-000097190000}"/>
    <cellStyle name="20% - Accent4 2 2 4 2 2 2 4" xfId="7263" xr:uid="{00000000-0005-0000-0000-000098190000}"/>
    <cellStyle name="20% - Accent4 2 2 4 2 2 3" xfId="23158" xr:uid="{00000000-0005-0000-0000-000099190000}"/>
    <cellStyle name="20% - Accent4 2 2 4 2 2 3 2" xfId="27643" xr:uid="{00000000-0005-0000-0000-00009A190000}"/>
    <cellStyle name="20% - Accent4 2 2 4 2 2 3 2 2" xfId="9420" xr:uid="{00000000-0005-0000-0000-00009B190000}"/>
    <cellStyle name="20% - Accent4 2 2 4 2 2 3 3" xfId="9424" xr:uid="{00000000-0005-0000-0000-00009C190000}"/>
    <cellStyle name="20% - Accent4 2 2 4 2 2 4" xfId="18822" xr:uid="{00000000-0005-0000-0000-00009D190000}"/>
    <cellStyle name="20% - Accent4 2 2 4 2 2 4 2" xfId="9427" xr:uid="{00000000-0005-0000-0000-00009E190000}"/>
    <cellStyle name="20% - Accent4 2 2 4 2 2 5" xfId="9434" xr:uid="{00000000-0005-0000-0000-00009F190000}"/>
    <cellStyle name="20% - Accent4 2 2 4 2 3" xfId="15713" xr:uid="{00000000-0005-0000-0000-0000A0190000}"/>
    <cellStyle name="20% - Accent4 2 2 4 2 3 2" xfId="2573" xr:uid="{00000000-0005-0000-0000-0000A1190000}"/>
    <cellStyle name="20% - Accent4 2 2 4 2 3 2 2" xfId="11976" xr:uid="{00000000-0005-0000-0000-0000A2190000}"/>
    <cellStyle name="20% - Accent4 2 2 4 2 3 2 2 2" xfId="9443" xr:uid="{00000000-0005-0000-0000-0000A3190000}"/>
    <cellStyle name="20% - Accent4 2 2 4 2 3 2 3" xfId="14293" xr:uid="{00000000-0005-0000-0000-0000A4190000}"/>
    <cellStyle name="20% - Accent4 2 2 4 2 3 3" xfId="23182" xr:uid="{00000000-0005-0000-0000-0000A5190000}"/>
    <cellStyle name="20% - Accent4 2 2 4 2 3 3 2" xfId="9447" xr:uid="{00000000-0005-0000-0000-0000A6190000}"/>
    <cellStyle name="20% - Accent4 2 2 4 2 3 4" xfId="12985" xr:uid="{00000000-0005-0000-0000-0000A7190000}"/>
    <cellStyle name="20% - Accent4 2 2 4 2 4" xfId="15723" xr:uid="{00000000-0005-0000-0000-0000A8190000}"/>
    <cellStyle name="20% - Accent4 2 2 4 2 4 2" xfId="9456" xr:uid="{00000000-0005-0000-0000-0000A9190000}"/>
    <cellStyle name="20% - Accent4 2 2 4 2 4 2 2" xfId="2997" xr:uid="{00000000-0005-0000-0000-0000AA190000}"/>
    <cellStyle name="20% - Accent4 2 2 4 2 4 3" xfId="23201" xr:uid="{00000000-0005-0000-0000-0000AB190000}"/>
    <cellStyle name="20% - Accent4 2 2 4 2 5" xfId="15734" xr:uid="{00000000-0005-0000-0000-0000AC190000}"/>
    <cellStyle name="20% - Accent4 2 2 4 2 5 2" xfId="9668" xr:uid="{00000000-0005-0000-0000-0000AD190000}"/>
    <cellStyle name="20% - Accent4 2 2 4 2 6" xfId="9462" xr:uid="{00000000-0005-0000-0000-0000AE190000}"/>
    <cellStyle name="20% - Accent4 2 2 4 3" xfId="4515" xr:uid="{00000000-0005-0000-0000-0000AF190000}"/>
    <cellStyle name="20% - Accent4 2 2 4 3 2" xfId="25948" xr:uid="{00000000-0005-0000-0000-0000B0190000}"/>
    <cellStyle name="20% - Accent4 2 2 4 3 2 2" xfId="4890" xr:uid="{00000000-0005-0000-0000-0000B1190000}"/>
    <cellStyle name="20% - Accent4 2 2 4 3 2 2 2" xfId="9771" xr:uid="{00000000-0005-0000-0000-0000B2190000}"/>
    <cellStyle name="20% - Accent4 2 2 4 3 2 2 2 2" xfId="9463" xr:uid="{00000000-0005-0000-0000-0000B3190000}"/>
    <cellStyle name="20% - Accent4 2 2 4 3 2 2 3" xfId="9468" xr:uid="{00000000-0005-0000-0000-0000B4190000}"/>
    <cellStyle name="20% - Accent4 2 2 4 3 2 3" xfId="23245" xr:uid="{00000000-0005-0000-0000-0000B5190000}"/>
    <cellStyle name="20% - Accent4 2 2 4 3 2 3 2" xfId="9470" xr:uid="{00000000-0005-0000-0000-0000B6190000}"/>
    <cellStyle name="20% - Accent4 2 2 4 3 2 4" xfId="19082" xr:uid="{00000000-0005-0000-0000-0000B7190000}"/>
    <cellStyle name="20% - Accent4 2 2 4 3 3" xfId="26615" xr:uid="{00000000-0005-0000-0000-0000B8190000}"/>
    <cellStyle name="20% - Accent4 2 2 4 3 3 2" xfId="3635" xr:uid="{00000000-0005-0000-0000-0000B9190000}"/>
    <cellStyle name="20% - Accent4 2 2 4 3 3 2 2" xfId="9474" xr:uid="{00000000-0005-0000-0000-0000BA190000}"/>
    <cellStyle name="20% - Accent4 2 2 4 3 3 3" xfId="19113" xr:uid="{00000000-0005-0000-0000-0000BB190000}"/>
    <cellStyle name="20% - Accent4 2 2 4 3 4" xfId="26628" xr:uid="{00000000-0005-0000-0000-0000BC190000}"/>
    <cellStyle name="20% - Accent4 2 2 4 3 4 2" xfId="3639" xr:uid="{00000000-0005-0000-0000-0000BD190000}"/>
    <cellStyle name="20% - Accent4 2 2 4 3 5" xfId="931" xr:uid="{00000000-0005-0000-0000-0000BE190000}"/>
    <cellStyle name="20% - Accent4 2 2 4 4" xfId="2058" xr:uid="{00000000-0005-0000-0000-0000BF190000}"/>
    <cellStyle name="20% - Accent4 2 2 4 4 2" xfId="26637" xr:uid="{00000000-0005-0000-0000-0000C0190000}"/>
    <cellStyle name="20% - Accent4 2 2 4 4 2 2" xfId="28709" xr:uid="{00000000-0005-0000-0000-0000C1190000}"/>
    <cellStyle name="20% - Accent4 2 2 4 4 2 2 2" xfId="9481" xr:uid="{00000000-0005-0000-0000-0000C2190000}"/>
    <cellStyle name="20% - Accent4 2 2 4 4 2 3" xfId="22088" xr:uid="{00000000-0005-0000-0000-0000C3190000}"/>
    <cellStyle name="20% - Accent4 2 2 4 4 3" xfId="30040" xr:uid="{00000000-0005-0000-0000-0000C4190000}"/>
    <cellStyle name="20% - Accent4 2 2 4 4 3 2" xfId="3593" xr:uid="{00000000-0005-0000-0000-0000C5190000}"/>
    <cellStyle name="20% - Accent4 2 2 4 4 4" xfId="551" xr:uid="{00000000-0005-0000-0000-0000C6190000}"/>
    <cellStyle name="20% - Accent4 2 2 4 5" xfId="2603" xr:uid="{00000000-0005-0000-0000-0000C7190000}"/>
    <cellStyle name="20% - Accent4 2 2 4 5 2" xfId="210" xr:uid="{00000000-0005-0000-0000-0000C8190000}"/>
    <cellStyle name="20% - Accent4 2 2 4 5 2 2" xfId="9484" xr:uid="{00000000-0005-0000-0000-0000C9190000}"/>
    <cellStyle name="20% - Accent4 2 2 4 5 3" xfId="23162" xr:uid="{00000000-0005-0000-0000-0000CA190000}"/>
    <cellStyle name="20% - Accent4 2 2 4 6" xfId="784" xr:uid="{00000000-0005-0000-0000-0000CB190000}"/>
    <cellStyle name="20% - Accent4 2 2 4 6 2" xfId="6441" xr:uid="{00000000-0005-0000-0000-0000CC190000}"/>
    <cellStyle name="20% - Accent4 2 2 4 7" xfId="28714" xr:uid="{00000000-0005-0000-0000-0000CD190000}"/>
    <cellStyle name="20% - Accent4 2 2 5" xfId="9488" xr:uid="{00000000-0005-0000-0000-0000CE190000}"/>
    <cellStyle name="20% - Accent4 2 2 5 2" xfId="4032" xr:uid="{00000000-0005-0000-0000-0000CF190000}"/>
    <cellStyle name="20% - Accent4 2 2 5 2 2" xfId="8428" xr:uid="{00000000-0005-0000-0000-0000D0190000}"/>
    <cellStyle name="20% - Accent4 2 2 5 2 2 2" xfId="10909" xr:uid="{00000000-0005-0000-0000-0000D1190000}"/>
    <cellStyle name="20% - Accent4 2 2 5 2 2 2 2" xfId="9718" xr:uid="{00000000-0005-0000-0000-0000D2190000}"/>
    <cellStyle name="20% - Accent4 2 2 5 2 2 2 2 2" xfId="12476" xr:uid="{00000000-0005-0000-0000-0000D3190000}"/>
    <cellStyle name="20% - Accent4 2 2 5 2 2 2 3" xfId="2903" xr:uid="{00000000-0005-0000-0000-0000D4190000}"/>
    <cellStyle name="20% - Accent4 2 2 5 2 2 3" xfId="25521" xr:uid="{00000000-0005-0000-0000-0000D5190000}"/>
    <cellStyle name="20% - Accent4 2 2 5 2 2 3 2" xfId="9497" xr:uid="{00000000-0005-0000-0000-0000D6190000}"/>
    <cellStyle name="20% - Accent4 2 2 5 2 2 4" xfId="19495" xr:uid="{00000000-0005-0000-0000-0000D7190000}"/>
    <cellStyle name="20% - Accent4 2 2 5 2 3" xfId="30164" xr:uid="{00000000-0005-0000-0000-0000D8190000}"/>
    <cellStyle name="20% - Accent4 2 2 5 2 3 2" xfId="9500" xr:uid="{00000000-0005-0000-0000-0000D9190000}"/>
    <cellStyle name="20% - Accent4 2 2 5 2 3 2 2" xfId="9504" xr:uid="{00000000-0005-0000-0000-0000DA190000}"/>
    <cellStyle name="20% - Accent4 2 2 5 2 3 3" xfId="19545" xr:uid="{00000000-0005-0000-0000-0000DB190000}"/>
    <cellStyle name="20% - Accent4 2 2 5 2 4" xfId="11693" xr:uid="{00000000-0005-0000-0000-0000DC190000}"/>
    <cellStyle name="20% - Accent4 2 2 5 2 4 2" xfId="9509" xr:uid="{00000000-0005-0000-0000-0000DD190000}"/>
    <cellStyle name="20% - Accent4 2 2 5 2 5" xfId="9510" xr:uid="{00000000-0005-0000-0000-0000DE190000}"/>
    <cellStyle name="20% - Accent4 2 2 5 3" xfId="9548" xr:uid="{00000000-0005-0000-0000-0000DF190000}"/>
    <cellStyle name="20% - Accent4 2 2 5 3 2" xfId="25185" xr:uid="{00000000-0005-0000-0000-0000E0190000}"/>
    <cellStyle name="20% - Accent4 2 2 5 3 2 2" xfId="9513" xr:uid="{00000000-0005-0000-0000-0000E1190000}"/>
    <cellStyle name="20% - Accent4 2 2 5 3 2 2 2" xfId="9244" xr:uid="{00000000-0005-0000-0000-0000E2190000}"/>
    <cellStyle name="20% - Accent4 2 2 5 3 2 3" xfId="19660" xr:uid="{00000000-0005-0000-0000-0000E3190000}"/>
    <cellStyle name="20% - Accent4 2 2 5 3 3" xfId="33484" xr:uid="{00000000-0005-0000-0000-0000E4190000}"/>
    <cellStyle name="20% - Accent4 2 2 5 3 3 2" xfId="3668" xr:uid="{00000000-0005-0000-0000-0000E5190000}"/>
    <cellStyle name="20% - Accent4 2 2 5 3 4" xfId="562" xr:uid="{00000000-0005-0000-0000-0000E6190000}"/>
    <cellStyle name="20% - Accent4 2 2 5 4" xfId="11045" xr:uid="{00000000-0005-0000-0000-0000E7190000}"/>
    <cellStyle name="20% - Accent4 2 2 5 4 2" xfId="215" xr:uid="{00000000-0005-0000-0000-0000E8190000}"/>
    <cellStyle name="20% - Accent4 2 2 5 4 2 2" xfId="9515" xr:uid="{00000000-0005-0000-0000-0000E9190000}"/>
    <cellStyle name="20% - Accent4 2 2 5 4 3" xfId="29822" xr:uid="{00000000-0005-0000-0000-0000EA190000}"/>
    <cellStyle name="20% - Accent4 2 2 5 5" xfId="15638" xr:uid="{00000000-0005-0000-0000-0000EB190000}"/>
    <cellStyle name="20% - Accent4 2 2 5 5 2" xfId="28738" xr:uid="{00000000-0005-0000-0000-0000EC190000}"/>
    <cellStyle name="20% - Accent4 2 2 5 6" xfId="8314" xr:uid="{00000000-0005-0000-0000-0000ED190000}"/>
    <cellStyle name="20% - Accent4 2 2 6" xfId="955" xr:uid="{00000000-0005-0000-0000-0000EE190000}"/>
    <cellStyle name="20% - Accent4 2 2 6 2" xfId="18909" xr:uid="{00000000-0005-0000-0000-0000EF190000}"/>
    <cellStyle name="20% - Accent4 2 2 6 2 2" xfId="10057" xr:uid="{00000000-0005-0000-0000-0000F0190000}"/>
    <cellStyle name="20% - Accent4 2 2 6 2 2 2" xfId="12517" xr:uid="{00000000-0005-0000-0000-0000F1190000}"/>
    <cellStyle name="20% - Accent4 2 2 6 2 2 2 2" xfId="9518" xr:uid="{00000000-0005-0000-0000-0000F2190000}"/>
    <cellStyle name="20% - Accent4 2 2 6 2 2 3" xfId="27027" xr:uid="{00000000-0005-0000-0000-0000F3190000}"/>
    <cellStyle name="20% - Accent4 2 2 6 2 3" xfId="9523" xr:uid="{00000000-0005-0000-0000-0000F4190000}"/>
    <cellStyle name="20% - Accent4 2 2 6 2 3 2" xfId="9528" xr:uid="{00000000-0005-0000-0000-0000F5190000}"/>
    <cellStyle name="20% - Accent4 2 2 6 2 4" xfId="9529" xr:uid="{00000000-0005-0000-0000-0000F6190000}"/>
    <cellStyle name="20% - Accent4 2 2 6 3" xfId="9554" xr:uid="{00000000-0005-0000-0000-0000F7190000}"/>
    <cellStyle name="20% - Accent4 2 2 6 3 2" xfId="792" xr:uid="{00000000-0005-0000-0000-0000F8190000}"/>
    <cellStyle name="20% - Accent4 2 2 6 3 2 2" xfId="9532" xr:uid="{00000000-0005-0000-0000-0000F9190000}"/>
    <cellStyle name="20% - Accent4 2 2 6 3 3" xfId="27760" xr:uid="{00000000-0005-0000-0000-0000FA190000}"/>
    <cellStyle name="20% - Accent4 2 2 6 4" xfId="15649" xr:uid="{00000000-0005-0000-0000-0000FB190000}"/>
    <cellStyle name="20% - Accent4 2 2 6 4 2" xfId="27689" xr:uid="{00000000-0005-0000-0000-0000FC190000}"/>
    <cellStyle name="20% - Accent4 2 2 6 5" xfId="9535" xr:uid="{00000000-0005-0000-0000-0000FD190000}"/>
    <cellStyle name="20% - Accent4 2 2 7" xfId="9161" xr:uid="{00000000-0005-0000-0000-0000FE190000}"/>
    <cellStyle name="20% - Accent4 2 2 7 2" xfId="9556" xr:uid="{00000000-0005-0000-0000-0000FF190000}"/>
    <cellStyle name="20% - Accent4 2 2 7 2 2" xfId="13369" xr:uid="{00000000-0005-0000-0000-0000001A0000}"/>
    <cellStyle name="20% - Accent4 2 2 7 2 2 2" xfId="17538" xr:uid="{00000000-0005-0000-0000-0000011A0000}"/>
    <cellStyle name="20% - Accent4 2 2 7 2 3" xfId="9538" xr:uid="{00000000-0005-0000-0000-0000021A0000}"/>
    <cellStyle name="20% - Accent4 2 2 7 3" xfId="13497" xr:uid="{00000000-0005-0000-0000-0000031A0000}"/>
    <cellStyle name="20% - Accent4 2 2 7 3 2" xfId="33709" xr:uid="{00000000-0005-0000-0000-0000041A0000}"/>
    <cellStyle name="20% - Accent4 2 2 7 4" xfId="29990" xr:uid="{00000000-0005-0000-0000-0000051A0000}"/>
    <cellStyle name="20% - Accent4 2 2 8" xfId="9539" xr:uid="{00000000-0005-0000-0000-0000061A0000}"/>
    <cellStyle name="20% - Accent4 2 2 8 2" xfId="16033" xr:uid="{00000000-0005-0000-0000-0000071A0000}"/>
    <cellStyle name="20% - Accent4 2 2 8 2 2" xfId="9541" xr:uid="{00000000-0005-0000-0000-0000081A0000}"/>
    <cellStyle name="20% - Accent4 2 2 8 3" xfId="5692" xr:uid="{00000000-0005-0000-0000-0000091A0000}"/>
    <cellStyle name="20% - Accent4 2 2 9" xfId="9542" xr:uid="{00000000-0005-0000-0000-00000A1A0000}"/>
    <cellStyle name="20% - Accent4 2 2 9 2" xfId="7907" xr:uid="{00000000-0005-0000-0000-00000B1A0000}"/>
    <cellStyle name="20% - Accent4 2 3" xfId="25308" xr:uid="{00000000-0005-0000-0000-00000C1A0000}"/>
    <cellStyle name="20% - Accent4 2 3 2" xfId="2404" xr:uid="{00000000-0005-0000-0000-00000D1A0000}"/>
    <cellStyle name="20% - Accent4 2 3 2 2" xfId="23424" xr:uid="{00000000-0005-0000-0000-00000E1A0000}"/>
    <cellStyle name="20% - Accent4 2 3 2 2 2" xfId="18733" xr:uid="{00000000-0005-0000-0000-00000F1A0000}"/>
    <cellStyle name="20% - Accent4 2 3 2 2 2 2" xfId="9183" xr:uid="{00000000-0005-0000-0000-0000101A0000}"/>
    <cellStyle name="20% - Accent4 2 3 2 2 2 2 2" xfId="4031" xr:uid="{00000000-0005-0000-0000-0000111A0000}"/>
    <cellStyle name="20% - Accent4 2 3 2 2 2 2 2 2" xfId="22440" xr:uid="{00000000-0005-0000-0000-0000121A0000}"/>
    <cellStyle name="20% - Accent4 2 3 2 2 2 2 2 2 2" xfId="17611" xr:uid="{00000000-0005-0000-0000-0000131A0000}"/>
    <cellStyle name="20% - Accent4 2 3 2 2 2 2 2 2 2 2" xfId="9545" xr:uid="{00000000-0005-0000-0000-0000141A0000}"/>
    <cellStyle name="20% - Accent4 2 3 2 2 2 2 2 2 3" xfId="25839" xr:uid="{00000000-0005-0000-0000-0000151A0000}"/>
    <cellStyle name="20% - Accent4 2 3 2 2 2 2 2 3" xfId="21612" xr:uid="{00000000-0005-0000-0000-0000161A0000}"/>
    <cellStyle name="20% - Accent4 2 3 2 2 2 2 2 3 2" xfId="25840" xr:uid="{00000000-0005-0000-0000-0000171A0000}"/>
    <cellStyle name="20% - Accent4 2 3 2 2 2 2 2 4" xfId="21623" xr:uid="{00000000-0005-0000-0000-0000181A0000}"/>
    <cellStyle name="20% - Accent4 2 3 2 2 2 2 3" xfId="23244" xr:uid="{00000000-0005-0000-0000-0000191A0000}"/>
    <cellStyle name="20% - Accent4 2 3 2 2 2 2 3 2" xfId="21636" xr:uid="{00000000-0005-0000-0000-00001A1A0000}"/>
    <cellStyle name="20% - Accent4 2 3 2 2 2 2 3 2 2" xfId="25847" xr:uid="{00000000-0005-0000-0000-00001B1A0000}"/>
    <cellStyle name="20% - Accent4 2 3 2 2 2 2 3 3" xfId="21645" xr:uid="{00000000-0005-0000-0000-00001C1A0000}"/>
    <cellStyle name="20% - Accent4 2 3 2 2 2 2 4" xfId="11044" xr:uid="{00000000-0005-0000-0000-00001D1A0000}"/>
    <cellStyle name="20% - Accent4 2 3 2 2 2 2 4 2" xfId="21668" xr:uid="{00000000-0005-0000-0000-00001E1A0000}"/>
    <cellStyle name="20% - Accent4 2 3 2 2 2 2 5" xfId="15636" xr:uid="{00000000-0005-0000-0000-00001F1A0000}"/>
    <cellStyle name="20% - Accent4 2 3 2 2 2 3" xfId="11241" xr:uid="{00000000-0005-0000-0000-0000201A0000}"/>
    <cellStyle name="20% - Accent4 2 3 2 2 2 3 2" xfId="18910" xr:uid="{00000000-0005-0000-0000-0000211A0000}"/>
    <cellStyle name="20% - Accent4 2 3 2 2 2 3 2 2" xfId="23989" xr:uid="{00000000-0005-0000-0000-0000221A0000}"/>
    <cellStyle name="20% - Accent4 2 3 2 2 2 3 2 2 2" xfId="25870" xr:uid="{00000000-0005-0000-0000-0000231A0000}"/>
    <cellStyle name="20% - Accent4 2 3 2 2 2 3 2 3" xfId="21702" xr:uid="{00000000-0005-0000-0000-0000241A0000}"/>
    <cellStyle name="20% - Accent4 2 3 2 2 2 3 3" xfId="9552" xr:uid="{00000000-0005-0000-0000-0000251A0000}"/>
    <cellStyle name="20% - Accent4 2 3 2 2 2 3 3 2" xfId="21711" xr:uid="{00000000-0005-0000-0000-0000261A0000}"/>
    <cellStyle name="20% - Accent4 2 3 2 2 2 3 4" xfId="15648" xr:uid="{00000000-0005-0000-0000-0000271A0000}"/>
    <cellStyle name="20% - Accent4 2 3 2 2 2 4" xfId="4672" xr:uid="{00000000-0005-0000-0000-0000281A0000}"/>
    <cellStyle name="20% - Accent4 2 3 2 2 2 4 2" xfId="9555" xr:uid="{00000000-0005-0000-0000-0000291A0000}"/>
    <cellStyle name="20% - Accent4 2 3 2 2 2 4 2 2" xfId="21744" xr:uid="{00000000-0005-0000-0000-00002A1A0000}"/>
    <cellStyle name="20% - Accent4 2 3 2 2 2 4 3" xfId="13499" xr:uid="{00000000-0005-0000-0000-00002B1A0000}"/>
    <cellStyle name="20% - Accent4 2 3 2 2 2 5" xfId="25899" xr:uid="{00000000-0005-0000-0000-00002C1A0000}"/>
    <cellStyle name="20% - Accent4 2 3 2 2 2 5 2" xfId="16031" xr:uid="{00000000-0005-0000-0000-00002D1A0000}"/>
    <cellStyle name="20% - Accent4 2 3 2 2 2 6" xfId="14432" xr:uid="{00000000-0005-0000-0000-00002E1A0000}"/>
    <cellStyle name="20% - Accent4 2 3 2 2 3" xfId="18736" xr:uid="{00000000-0005-0000-0000-00002F1A0000}"/>
    <cellStyle name="20% - Accent4 2 3 2 2 3 2" xfId="1736" xr:uid="{00000000-0005-0000-0000-0000301A0000}"/>
    <cellStyle name="20% - Accent4 2 3 2 2 3 2 2" xfId="17192" xr:uid="{00000000-0005-0000-0000-0000311A0000}"/>
    <cellStyle name="20% - Accent4 2 3 2 2 3 2 2 2" xfId="21772" xr:uid="{00000000-0005-0000-0000-0000321A0000}"/>
    <cellStyle name="20% - Accent4 2 3 2 2 3 2 2 2 2" xfId="26005" xr:uid="{00000000-0005-0000-0000-0000331A0000}"/>
    <cellStyle name="20% - Accent4 2 3 2 2 3 2 2 3" xfId="21776" xr:uid="{00000000-0005-0000-0000-0000341A0000}"/>
    <cellStyle name="20% - Accent4 2 3 2 2 3 2 3" xfId="29227" xr:uid="{00000000-0005-0000-0000-0000351A0000}"/>
    <cellStyle name="20% - Accent4 2 3 2 2 3 2 3 2" xfId="21785" xr:uid="{00000000-0005-0000-0000-0000361A0000}"/>
    <cellStyle name="20% - Accent4 2 3 2 2 3 2 4" xfId="15682" xr:uid="{00000000-0005-0000-0000-0000371A0000}"/>
    <cellStyle name="20% - Accent4 2 3 2 2 3 3" xfId="3531" xr:uid="{00000000-0005-0000-0000-0000381A0000}"/>
    <cellStyle name="20% - Accent4 2 3 2 2 3 3 2" xfId="9562" xr:uid="{00000000-0005-0000-0000-0000391A0000}"/>
    <cellStyle name="20% - Accent4 2 3 2 2 3 3 2 2" xfId="23998" xr:uid="{00000000-0005-0000-0000-00003A1A0000}"/>
    <cellStyle name="20% - Accent4 2 3 2 2 3 3 3" xfId="9566" xr:uid="{00000000-0005-0000-0000-00003B1A0000}"/>
    <cellStyle name="20% - Accent4 2 3 2 2 3 4" xfId="32029" xr:uid="{00000000-0005-0000-0000-00003C1A0000}"/>
    <cellStyle name="20% - Accent4 2 3 2 2 3 4 2" xfId="9729" xr:uid="{00000000-0005-0000-0000-00003D1A0000}"/>
    <cellStyle name="20% - Accent4 2 3 2 2 3 5" xfId="21294" xr:uid="{00000000-0005-0000-0000-00003E1A0000}"/>
    <cellStyle name="20% - Accent4 2 3 2 2 4" xfId="9572" xr:uid="{00000000-0005-0000-0000-00003F1A0000}"/>
    <cellStyle name="20% - Accent4 2 3 2 2 4 2" xfId="11439" xr:uid="{00000000-0005-0000-0000-0000401A0000}"/>
    <cellStyle name="20% - Accent4 2 3 2 2 4 2 2" xfId="5628" xr:uid="{00000000-0005-0000-0000-0000411A0000}"/>
    <cellStyle name="20% - Accent4 2 3 2 2 4 2 2 2" xfId="21840" xr:uid="{00000000-0005-0000-0000-0000421A0000}"/>
    <cellStyle name="20% - Accent4 2 3 2 2 4 2 3" xfId="5637" xr:uid="{00000000-0005-0000-0000-0000431A0000}"/>
    <cellStyle name="20% - Accent4 2 3 2 2 4 3" xfId="22882" xr:uid="{00000000-0005-0000-0000-0000441A0000}"/>
    <cellStyle name="20% - Accent4 2 3 2 2 4 3 2" xfId="28291" xr:uid="{00000000-0005-0000-0000-0000451A0000}"/>
    <cellStyle name="20% - Accent4 2 3 2 2 4 4" xfId="25161" xr:uid="{00000000-0005-0000-0000-0000461A0000}"/>
    <cellStyle name="20% - Accent4 2 3 2 2 5" xfId="9578" xr:uid="{00000000-0005-0000-0000-0000471A0000}"/>
    <cellStyle name="20% - Accent4 2 3 2 2 5 2" xfId="9579" xr:uid="{00000000-0005-0000-0000-0000481A0000}"/>
    <cellStyle name="20% - Accent4 2 3 2 2 5 2 2" xfId="30083" xr:uid="{00000000-0005-0000-0000-0000491A0000}"/>
    <cellStyle name="20% - Accent4 2 3 2 2 5 3" xfId="27497" xr:uid="{00000000-0005-0000-0000-00004A1A0000}"/>
    <cellStyle name="20% - Accent4 2 3 2 2 6" xfId="9583" xr:uid="{00000000-0005-0000-0000-00004B1A0000}"/>
    <cellStyle name="20% - Accent4 2 3 2 2 6 2" xfId="529" xr:uid="{00000000-0005-0000-0000-00004C1A0000}"/>
    <cellStyle name="20% - Accent4 2 3 2 2 7" xfId="14937" xr:uid="{00000000-0005-0000-0000-00004D1A0000}"/>
    <cellStyle name="20% - Accent4 2 3 2 3" xfId="53" xr:uid="{00000000-0005-0000-0000-00004E1A0000}"/>
    <cellStyle name="20% - Accent4 2 3 2 3 2" xfId="3405" xr:uid="{00000000-0005-0000-0000-00004F1A0000}"/>
    <cellStyle name="20% - Accent4 2 3 2 3 2 2" xfId="3511" xr:uid="{00000000-0005-0000-0000-0000501A0000}"/>
    <cellStyle name="20% - Accent4 2 3 2 3 2 2 2" xfId="14489" xr:uid="{00000000-0005-0000-0000-0000511A0000}"/>
    <cellStyle name="20% - Accent4 2 3 2 3 2 2 2 2" xfId="9585" xr:uid="{00000000-0005-0000-0000-0000521A0000}"/>
    <cellStyle name="20% - Accent4 2 3 2 3 2 2 2 2 2" xfId="24856" xr:uid="{00000000-0005-0000-0000-0000531A0000}"/>
    <cellStyle name="20% - Accent4 2 3 2 3 2 2 2 3" xfId="11879" xr:uid="{00000000-0005-0000-0000-0000541A0000}"/>
    <cellStyle name="20% - Accent4 2 3 2 3 2 2 3" xfId="14499" xr:uid="{00000000-0005-0000-0000-0000551A0000}"/>
    <cellStyle name="20% - Accent4 2 3 2 3 2 2 3 2" xfId="9587" xr:uid="{00000000-0005-0000-0000-0000561A0000}"/>
    <cellStyle name="20% - Accent4 2 3 2 3 2 2 4" xfId="15729" xr:uid="{00000000-0005-0000-0000-0000571A0000}"/>
    <cellStyle name="20% - Accent4 2 3 2 3 2 3" xfId="1969" xr:uid="{00000000-0005-0000-0000-0000581A0000}"/>
    <cellStyle name="20% - Accent4 2 3 2 3 2 3 2" xfId="11682" xr:uid="{00000000-0005-0000-0000-0000591A0000}"/>
    <cellStyle name="20% - Accent4 2 3 2 3 2 3 2 2" xfId="9590" xr:uid="{00000000-0005-0000-0000-00005A1A0000}"/>
    <cellStyle name="20% - Accent4 2 3 2 3 2 3 3" xfId="14643" xr:uid="{00000000-0005-0000-0000-00005B1A0000}"/>
    <cellStyle name="20% - Accent4 2 3 2 3 2 4" xfId="9591" xr:uid="{00000000-0005-0000-0000-00005C1A0000}"/>
    <cellStyle name="20% - Accent4 2 3 2 3 2 4 2" xfId="28677" xr:uid="{00000000-0005-0000-0000-00005D1A0000}"/>
    <cellStyle name="20% - Accent4 2 3 2 3 2 5" xfId="9597" xr:uid="{00000000-0005-0000-0000-00005E1A0000}"/>
    <cellStyle name="20% - Accent4 2 3 2 3 3" xfId="3408" xr:uid="{00000000-0005-0000-0000-00005F1A0000}"/>
    <cellStyle name="20% - Accent4 2 3 2 3 3 2" xfId="14431" xr:uid="{00000000-0005-0000-0000-0000601A0000}"/>
    <cellStyle name="20% - Accent4 2 3 2 3 3 2 2" xfId="11692" xr:uid="{00000000-0005-0000-0000-0000611A0000}"/>
    <cellStyle name="20% - Accent4 2 3 2 3 3 2 2 2" xfId="9600" xr:uid="{00000000-0005-0000-0000-0000621A0000}"/>
    <cellStyle name="20% - Accent4 2 3 2 3 3 2 3" xfId="15124" xr:uid="{00000000-0005-0000-0000-0000631A0000}"/>
    <cellStyle name="20% - Accent4 2 3 2 3 3 3" xfId="22909" xr:uid="{00000000-0005-0000-0000-0000641A0000}"/>
    <cellStyle name="20% - Accent4 2 3 2 3 3 3 2" xfId="14241" xr:uid="{00000000-0005-0000-0000-0000651A0000}"/>
    <cellStyle name="20% - Accent4 2 3 2 3 3 4" xfId="9605" xr:uid="{00000000-0005-0000-0000-0000661A0000}"/>
    <cellStyle name="20% - Accent4 2 3 2 3 4" xfId="481" xr:uid="{00000000-0005-0000-0000-0000671A0000}"/>
    <cellStyle name="20% - Accent4 2 3 2 3 4 2" xfId="14928" xr:uid="{00000000-0005-0000-0000-0000681A0000}"/>
    <cellStyle name="20% - Accent4 2 3 2 3 4 2 2" xfId="26111" xr:uid="{00000000-0005-0000-0000-0000691A0000}"/>
    <cellStyle name="20% - Accent4 2 3 2 3 4 3" xfId="8246" xr:uid="{00000000-0005-0000-0000-00006A1A0000}"/>
    <cellStyle name="20% - Accent4 2 3 2 3 5" xfId="6973" xr:uid="{00000000-0005-0000-0000-00006B1A0000}"/>
    <cellStyle name="20% - Accent4 2 3 2 3 5 2" xfId="10807" xr:uid="{00000000-0005-0000-0000-00006C1A0000}"/>
    <cellStyle name="20% - Accent4 2 3 2 3 6" xfId="33257" xr:uid="{00000000-0005-0000-0000-00006D1A0000}"/>
    <cellStyle name="20% - Accent4 2 3 2 4" xfId="16269" xr:uid="{00000000-0005-0000-0000-00006E1A0000}"/>
    <cellStyle name="20% - Accent4 2 3 2 4 2" xfId="12055" xr:uid="{00000000-0005-0000-0000-00006F1A0000}"/>
    <cellStyle name="20% - Accent4 2 3 2 4 2 2" xfId="9618" xr:uid="{00000000-0005-0000-0000-0000701A0000}"/>
    <cellStyle name="20% - Accent4 2 3 2 4 2 2 2" xfId="10122" xr:uid="{00000000-0005-0000-0000-0000711A0000}"/>
    <cellStyle name="20% - Accent4 2 3 2 4 2 2 2 2" xfId="20972" xr:uid="{00000000-0005-0000-0000-0000721A0000}"/>
    <cellStyle name="20% - Accent4 2 3 2 4 2 2 3" xfId="9619" xr:uid="{00000000-0005-0000-0000-0000731A0000}"/>
    <cellStyle name="20% - Accent4 2 3 2 4 2 3" xfId="9622" xr:uid="{00000000-0005-0000-0000-0000741A0000}"/>
    <cellStyle name="20% - Accent4 2 3 2 4 2 3 2" xfId="11552" xr:uid="{00000000-0005-0000-0000-0000751A0000}"/>
    <cellStyle name="20% - Accent4 2 3 2 4 2 4" xfId="9627" xr:uid="{00000000-0005-0000-0000-0000761A0000}"/>
    <cellStyle name="20% - Accent4 2 3 2 4 3" xfId="9748" xr:uid="{00000000-0005-0000-0000-0000771A0000}"/>
    <cellStyle name="20% - Accent4 2 3 2 4 3 2" xfId="9631" xr:uid="{00000000-0005-0000-0000-0000781A0000}"/>
    <cellStyle name="20% - Accent4 2 3 2 4 3 2 2" xfId="10210" xr:uid="{00000000-0005-0000-0000-0000791A0000}"/>
    <cellStyle name="20% - Accent4 2 3 2 4 3 3" xfId="19400" xr:uid="{00000000-0005-0000-0000-00007A1A0000}"/>
    <cellStyle name="20% - Accent4 2 3 2 4 4" xfId="4949" xr:uid="{00000000-0005-0000-0000-00007B1A0000}"/>
    <cellStyle name="20% - Accent4 2 3 2 4 4 2" xfId="268" xr:uid="{00000000-0005-0000-0000-00007C1A0000}"/>
    <cellStyle name="20% - Accent4 2 3 2 4 5" xfId="9638" xr:uid="{00000000-0005-0000-0000-00007D1A0000}"/>
    <cellStyle name="20% - Accent4 2 3 2 5" xfId="16276" xr:uid="{00000000-0005-0000-0000-00007E1A0000}"/>
    <cellStyle name="20% - Accent4 2 3 2 5 2" xfId="7486" xr:uid="{00000000-0005-0000-0000-00007F1A0000}"/>
    <cellStyle name="20% - Accent4 2 3 2 5 2 2" xfId="8357" xr:uid="{00000000-0005-0000-0000-0000801A0000}"/>
    <cellStyle name="20% - Accent4 2 3 2 5 2 2 2" xfId="10551" xr:uid="{00000000-0005-0000-0000-0000811A0000}"/>
    <cellStyle name="20% - Accent4 2 3 2 5 2 3" xfId="9644" xr:uid="{00000000-0005-0000-0000-0000821A0000}"/>
    <cellStyle name="20% - Accent4 2 3 2 5 3" xfId="2118" xr:uid="{00000000-0005-0000-0000-0000831A0000}"/>
    <cellStyle name="20% - Accent4 2 3 2 5 3 2" xfId="9647" xr:uid="{00000000-0005-0000-0000-0000841A0000}"/>
    <cellStyle name="20% - Accent4 2 3 2 5 4" xfId="28098" xr:uid="{00000000-0005-0000-0000-0000851A0000}"/>
    <cellStyle name="20% - Accent4 2 3 2 6" xfId="829" xr:uid="{00000000-0005-0000-0000-0000861A0000}"/>
    <cellStyle name="20% - Accent4 2 3 2 6 2" xfId="276" xr:uid="{00000000-0005-0000-0000-0000871A0000}"/>
    <cellStyle name="20% - Accent4 2 3 2 6 2 2" xfId="9650" xr:uid="{00000000-0005-0000-0000-0000881A0000}"/>
    <cellStyle name="20% - Accent4 2 3 2 6 3" xfId="9656" xr:uid="{00000000-0005-0000-0000-0000891A0000}"/>
    <cellStyle name="20% - Accent4 2 3 2 7" xfId="834" xr:uid="{00000000-0005-0000-0000-00008A1A0000}"/>
    <cellStyle name="20% - Accent4 2 3 2 7 2" xfId="8349" xr:uid="{00000000-0005-0000-0000-00008B1A0000}"/>
    <cellStyle name="20% - Accent4 2 3 2 8" xfId="31437" xr:uid="{00000000-0005-0000-0000-00008C1A0000}"/>
    <cellStyle name="20% - Accent4 2 3 3" xfId="3303" xr:uid="{00000000-0005-0000-0000-00008D1A0000}"/>
    <cellStyle name="20% - Accent4 2 3 3 2" xfId="9660" xr:uid="{00000000-0005-0000-0000-00008E1A0000}"/>
    <cellStyle name="20% - Accent4 2 3 3 2 2" xfId="13129" xr:uid="{00000000-0005-0000-0000-00008F1A0000}"/>
    <cellStyle name="20% - Accent4 2 3 3 2 2 2" xfId="13591" xr:uid="{00000000-0005-0000-0000-0000901A0000}"/>
    <cellStyle name="20% - Accent4 2 3 3 2 2 2 2" xfId="24964" xr:uid="{00000000-0005-0000-0000-0000911A0000}"/>
    <cellStyle name="20% - Accent4 2 3 3 2 2 2 2 2" xfId="15897" xr:uid="{00000000-0005-0000-0000-0000921A0000}"/>
    <cellStyle name="20% - Accent4 2 3 3 2 2 2 2 2 2" xfId="27987" xr:uid="{00000000-0005-0000-0000-0000931A0000}"/>
    <cellStyle name="20% - Accent4 2 3 3 2 2 2 2 3" xfId="9299" xr:uid="{00000000-0005-0000-0000-0000941A0000}"/>
    <cellStyle name="20% - Accent4 2 3 3 2 2 2 3" xfId="7182" xr:uid="{00000000-0005-0000-0000-0000951A0000}"/>
    <cellStyle name="20% - Accent4 2 3 3 2 2 2 3 2" xfId="9308" xr:uid="{00000000-0005-0000-0000-0000961A0000}"/>
    <cellStyle name="20% - Accent4 2 3 3 2 2 2 4" xfId="29026" xr:uid="{00000000-0005-0000-0000-0000971A0000}"/>
    <cellStyle name="20% - Accent4 2 3 3 2 2 3" xfId="5745" xr:uid="{00000000-0005-0000-0000-0000981A0000}"/>
    <cellStyle name="20% - Accent4 2 3 3 2 2 3 2" xfId="31560" xr:uid="{00000000-0005-0000-0000-0000991A0000}"/>
    <cellStyle name="20% - Accent4 2 3 3 2 2 3 2 2" xfId="9326" xr:uid="{00000000-0005-0000-0000-00009A1A0000}"/>
    <cellStyle name="20% - Accent4 2 3 3 2 2 3 3" xfId="14826" xr:uid="{00000000-0005-0000-0000-00009B1A0000}"/>
    <cellStyle name="20% - Accent4 2 3 3 2 2 4" xfId="32239" xr:uid="{00000000-0005-0000-0000-00009C1A0000}"/>
    <cellStyle name="20% - Accent4 2 3 3 2 2 4 2" xfId="33974" xr:uid="{00000000-0005-0000-0000-00009D1A0000}"/>
    <cellStyle name="20% - Accent4 2 3 3 2 2 5" xfId="26033" xr:uid="{00000000-0005-0000-0000-00009E1A0000}"/>
    <cellStyle name="20% - Accent4 2 3 3 2 3" xfId="14966" xr:uid="{00000000-0005-0000-0000-00009F1A0000}"/>
    <cellStyle name="20% - Accent4 2 3 3 2 3 2" xfId="9661" xr:uid="{00000000-0005-0000-0000-0000A01A0000}"/>
    <cellStyle name="20% - Accent4 2 3 3 2 3 2 2" xfId="18013" xr:uid="{00000000-0005-0000-0000-0000A11A0000}"/>
    <cellStyle name="20% - Accent4 2 3 3 2 3 2 2 2" xfId="9357" xr:uid="{00000000-0005-0000-0000-0000A21A0000}"/>
    <cellStyle name="20% - Accent4 2 3 3 2 3 2 3" xfId="7047" xr:uid="{00000000-0005-0000-0000-0000A31A0000}"/>
    <cellStyle name="20% - Accent4 2 3 3 2 3 3" xfId="27316" xr:uid="{00000000-0005-0000-0000-0000A41A0000}"/>
    <cellStyle name="20% - Accent4 2 3 3 2 3 3 2" xfId="33094" xr:uid="{00000000-0005-0000-0000-0000A51A0000}"/>
    <cellStyle name="20% - Accent4 2 3 3 2 3 4" xfId="21439" xr:uid="{00000000-0005-0000-0000-0000A61A0000}"/>
    <cellStyle name="20% - Accent4 2 3 3 2 4" xfId="16942" xr:uid="{00000000-0005-0000-0000-0000A71A0000}"/>
    <cellStyle name="20% - Accent4 2 3 3 2 4 2" xfId="15235" xr:uid="{00000000-0005-0000-0000-0000A81A0000}"/>
    <cellStyle name="20% - Accent4 2 3 3 2 4 2 2" xfId="14870" xr:uid="{00000000-0005-0000-0000-0000A91A0000}"/>
    <cellStyle name="20% - Accent4 2 3 3 2 4 3" xfId="20157" xr:uid="{00000000-0005-0000-0000-0000AA1A0000}"/>
    <cellStyle name="20% - Accent4 2 3 3 2 5" xfId="9664" xr:uid="{00000000-0005-0000-0000-0000AB1A0000}"/>
    <cellStyle name="20% - Accent4 2 3 3 2 5 2" xfId="15243" xr:uid="{00000000-0005-0000-0000-0000AC1A0000}"/>
    <cellStyle name="20% - Accent4 2 3 3 2 6" xfId="9671" xr:uid="{00000000-0005-0000-0000-0000AD1A0000}"/>
    <cellStyle name="20% - Accent4 2 3 3 3" xfId="954" xr:uid="{00000000-0005-0000-0000-0000AE1A0000}"/>
    <cellStyle name="20% - Accent4 2 3 3 3 2" xfId="28767" xr:uid="{00000000-0005-0000-0000-0000AF1A0000}"/>
    <cellStyle name="20% - Accent4 2 3 3 3 2 2" xfId="29158" xr:uid="{00000000-0005-0000-0000-0000B01A0000}"/>
    <cellStyle name="20% - Accent4 2 3 3 3 2 2 2" xfId="19349" xr:uid="{00000000-0005-0000-0000-0000B11A0000}"/>
    <cellStyle name="20% - Accent4 2 3 3 3 2 2 2 2" xfId="9430" xr:uid="{00000000-0005-0000-0000-0000B21A0000}"/>
    <cellStyle name="20% - Accent4 2 3 3 3 2 2 3" xfId="33998" xr:uid="{00000000-0005-0000-0000-0000B31A0000}"/>
    <cellStyle name="20% - Accent4 2 3 3 3 2 3" xfId="9679" xr:uid="{00000000-0005-0000-0000-0000B41A0000}"/>
    <cellStyle name="20% - Accent4 2 3 3 3 2 3 2" xfId="12039" xr:uid="{00000000-0005-0000-0000-0000B51A0000}"/>
    <cellStyle name="20% - Accent4 2 3 3 3 2 4" xfId="9684" xr:uid="{00000000-0005-0000-0000-0000B61A0000}"/>
    <cellStyle name="20% - Accent4 2 3 3 3 3" xfId="28771" xr:uid="{00000000-0005-0000-0000-0000B71A0000}"/>
    <cellStyle name="20% - Accent4 2 3 3 3 3 2" xfId="14460" xr:uid="{00000000-0005-0000-0000-0000B81A0000}"/>
    <cellStyle name="20% - Accent4 2 3 3 3 3 2 2" xfId="33948" xr:uid="{00000000-0005-0000-0000-0000B91A0000}"/>
    <cellStyle name="20% - Accent4 2 3 3 3 3 3" xfId="26317" xr:uid="{00000000-0005-0000-0000-0000BA1A0000}"/>
    <cellStyle name="20% - Accent4 2 3 3 3 4" xfId="4429" xr:uid="{00000000-0005-0000-0000-0000BB1A0000}"/>
    <cellStyle name="20% - Accent4 2 3 3 3 4 2" xfId="17088" xr:uid="{00000000-0005-0000-0000-0000BC1A0000}"/>
    <cellStyle name="20% - Accent4 2 3 3 3 5" xfId="28778" xr:uid="{00000000-0005-0000-0000-0000BD1A0000}"/>
    <cellStyle name="20% - Accent4 2 3 3 4" xfId="16281" xr:uid="{00000000-0005-0000-0000-0000BE1A0000}"/>
    <cellStyle name="20% - Accent4 2 3 3 4 2" xfId="29171" xr:uid="{00000000-0005-0000-0000-0000BF1A0000}"/>
    <cellStyle name="20% - Accent4 2 3 3 4 2 2" xfId="33935" xr:uid="{00000000-0005-0000-0000-0000C01A0000}"/>
    <cellStyle name="20% - Accent4 2 3 3 4 2 2 2" xfId="9689" xr:uid="{00000000-0005-0000-0000-0000C11A0000}"/>
    <cellStyle name="20% - Accent4 2 3 3 4 2 3" xfId="31003" xr:uid="{00000000-0005-0000-0000-0000C21A0000}"/>
    <cellStyle name="20% - Accent4 2 3 3 4 3" xfId="11702" xr:uid="{00000000-0005-0000-0000-0000C31A0000}"/>
    <cellStyle name="20% - Accent4 2 3 3 4 3 2" xfId="9693" xr:uid="{00000000-0005-0000-0000-0000C41A0000}"/>
    <cellStyle name="20% - Accent4 2 3 3 4 4" xfId="11807" xr:uid="{00000000-0005-0000-0000-0000C51A0000}"/>
    <cellStyle name="20% - Accent4 2 3 3 5" xfId="878" xr:uid="{00000000-0005-0000-0000-0000C61A0000}"/>
    <cellStyle name="20% - Accent4 2 3 3 5 2" xfId="5187" xr:uid="{00000000-0005-0000-0000-0000C71A0000}"/>
    <cellStyle name="20% - Accent4 2 3 3 5 2 2" xfId="8333" xr:uid="{00000000-0005-0000-0000-0000C81A0000}"/>
    <cellStyle name="20% - Accent4 2 3 3 5 3" xfId="14641" xr:uid="{00000000-0005-0000-0000-0000C91A0000}"/>
    <cellStyle name="20% - Accent4 2 3 3 6" xfId="855" xr:uid="{00000000-0005-0000-0000-0000CA1A0000}"/>
    <cellStyle name="20% - Accent4 2 3 3 6 2" xfId="29173" xr:uid="{00000000-0005-0000-0000-0000CB1A0000}"/>
    <cellStyle name="20% - Accent4 2 3 3 7" xfId="29178" xr:uid="{00000000-0005-0000-0000-0000CC1A0000}"/>
    <cellStyle name="20% - Accent4 2 3 4" xfId="3371" xr:uid="{00000000-0005-0000-0000-0000CD1A0000}"/>
    <cellStyle name="20% - Accent4 2 3 4 2" xfId="2935" xr:uid="{00000000-0005-0000-0000-0000CE1A0000}"/>
    <cellStyle name="20% - Accent4 2 3 4 2 2" xfId="8487" xr:uid="{00000000-0005-0000-0000-0000CF1A0000}"/>
    <cellStyle name="20% - Accent4 2 3 4 2 2 2" xfId="10031" xr:uid="{00000000-0005-0000-0000-0000D01A0000}"/>
    <cellStyle name="20% - Accent4 2 3 4 2 2 2 2" xfId="12830" xr:uid="{00000000-0005-0000-0000-0000D11A0000}"/>
    <cellStyle name="20% - Accent4 2 3 4 2 2 2 2 2" xfId="17791" xr:uid="{00000000-0005-0000-0000-0000D21A0000}"/>
    <cellStyle name="20% - Accent4 2 3 4 2 2 2 3" xfId="11497" xr:uid="{00000000-0005-0000-0000-0000D31A0000}"/>
    <cellStyle name="20% - Accent4 2 3 4 2 2 3" xfId="12013" xr:uid="{00000000-0005-0000-0000-0000D41A0000}"/>
    <cellStyle name="20% - Accent4 2 3 4 2 2 3 2" xfId="13072" xr:uid="{00000000-0005-0000-0000-0000D51A0000}"/>
    <cellStyle name="20% - Accent4 2 3 4 2 2 4" xfId="20748" xr:uid="{00000000-0005-0000-0000-0000D61A0000}"/>
    <cellStyle name="20% - Accent4 2 3 4 2 3" xfId="16999" xr:uid="{00000000-0005-0000-0000-0000D71A0000}"/>
    <cellStyle name="20% - Accent4 2 3 4 2 3 2" xfId="15895" xr:uid="{00000000-0005-0000-0000-0000D81A0000}"/>
    <cellStyle name="20% - Accent4 2 3 4 2 3 2 2" xfId="13273" xr:uid="{00000000-0005-0000-0000-0000D91A0000}"/>
    <cellStyle name="20% - Accent4 2 3 4 2 3 3" xfId="20901" xr:uid="{00000000-0005-0000-0000-0000DA1A0000}"/>
    <cellStyle name="20% - Accent4 2 3 4 2 4" xfId="15786" xr:uid="{00000000-0005-0000-0000-0000DB1A0000}"/>
    <cellStyle name="20% - Accent4 2 3 4 2 4 2" xfId="13277" xr:uid="{00000000-0005-0000-0000-0000DC1A0000}"/>
    <cellStyle name="20% - Accent4 2 3 4 2 5" xfId="9702" xr:uid="{00000000-0005-0000-0000-0000DD1A0000}"/>
    <cellStyle name="20% - Accent4 2 3 4 3" xfId="7200" xr:uid="{00000000-0005-0000-0000-0000DE1A0000}"/>
    <cellStyle name="20% - Accent4 2 3 4 3 2" xfId="26662" xr:uid="{00000000-0005-0000-0000-0000DF1A0000}"/>
    <cellStyle name="20% - Accent4 2 3 4 3 2 2" xfId="12032" xr:uid="{00000000-0005-0000-0000-0000E01A0000}"/>
    <cellStyle name="20% - Accent4 2 3 4 3 2 2 2" xfId="15043" xr:uid="{00000000-0005-0000-0000-0000E11A0000}"/>
    <cellStyle name="20% - Accent4 2 3 4 3 2 3" xfId="20136" xr:uid="{00000000-0005-0000-0000-0000E21A0000}"/>
    <cellStyle name="20% - Accent4 2 3 4 3 3" xfId="26051" xr:uid="{00000000-0005-0000-0000-0000E31A0000}"/>
    <cellStyle name="20% - Accent4 2 3 4 3 3 2" xfId="2372" xr:uid="{00000000-0005-0000-0000-0000E41A0000}"/>
    <cellStyle name="20% - Accent4 2 3 4 3 4" xfId="611" xr:uid="{00000000-0005-0000-0000-0000E51A0000}"/>
    <cellStyle name="20% - Accent4 2 3 4 4" xfId="2963" xr:uid="{00000000-0005-0000-0000-0000E61A0000}"/>
    <cellStyle name="20% - Accent4 2 3 4 4 2" xfId="581" xr:uid="{00000000-0005-0000-0000-0000E71A0000}"/>
    <cellStyle name="20% - Accent4 2 3 4 4 2 2" xfId="9703" xr:uid="{00000000-0005-0000-0000-0000E81A0000}"/>
    <cellStyle name="20% - Accent4 2 3 4 4 3" xfId="9705" xr:uid="{00000000-0005-0000-0000-0000E91A0000}"/>
    <cellStyle name="20% - Accent4 2 3 4 5" xfId="861" xr:uid="{00000000-0005-0000-0000-0000EA1A0000}"/>
    <cellStyle name="20% - Accent4 2 3 4 5 2" xfId="29211" xr:uid="{00000000-0005-0000-0000-0000EB1A0000}"/>
    <cellStyle name="20% - Accent4 2 3 4 6" xfId="29214" xr:uid="{00000000-0005-0000-0000-0000EC1A0000}"/>
    <cellStyle name="20% - Accent4 2 3 5" xfId="17187" xr:uid="{00000000-0005-0000-0000-0000ED1A0000}"/>
    <cellStyle name="20% - Accent4 2 3 5 2" xfId="17193" xr:uid="{00000000-0005-0000-0000-0000EE1A0000}"/>
    <cellStyle name="20% - Accent4 2 3 5 2 2" xfId="10126" xr:uid="{00000000-0005-0000-0000-0000EF1A0000}"/>
    <cellStyle name="20% - Accent4 2 3 5 2 2 2" xfId="9713" xr:uid="{00000000-0005-0000-0000-0000F01A0000}"/>
    <cellStyle name="20% - Accent4 2 3 5 2 2 2 2" xfId="11614" xr:uid="{00000000-0005-0000-0000-0000F11A0000}"/>
    <cellStyle name="20% - Accent4 2 3 5 2 2 3" xfId="23145" xr:uid="{00000000-0005-0000-0000-0000F21A0000}"/>
    <cellStyle name="20% - Accent4 2 3 5 2 3" xfId="15793" xr:uid="{00000000-0005-0000-0000-0000F31A0000}"/>
    <cellStyle name="20% - Accent4 2 3 5 2 3 2" xfId="9715" xr:uid="{00000000-0005-0000-0000-0000F41A0000}"/>
    <cellStyle name="20% - Accent4 2 3 5 2 4" xfId="9716" xr:uid="{00000000-0005-0000-0000-0000F51A0000}"/>
    <cellStyle name="20% - Accent4 2 3 5 3" xfId="29228" xr:uid="{00000000-0005-0000-0000-0000F61A0000}"/>
    <cellStyle name="20% - Accent4 2 3 5 3 2" xfId="865" xr:uid="{00000000-0005-0000-0000-0000F71A0000}"/>
    <cellStyle name="20% - Accent4 2 3 5 3 2 2" xfId="28051" xr:uid="{00000000-0005-0000-0000-0000F81A0000}"/>
    <cellStyle name="20% - Accent4 2 3 5 3 3" xfId="9717" xr:uid="{00000000-0005-0000-0000-0000F91A0000}"/>
    <cellStyle name="20% - Accent4 2 3 5 4" xfId="15683" xr:uid="{00000000-0005-0000-0000-0000FA1A0000}"/>
    <cellStyle name="20% - Accent4 2 3 5 4 2" xfId="29244" xr:uid="{00000000-0005-0000-0000-0000FB1A0000}"/>
    <cellStyle name="20% - Accent4 2 3 5 5" xfId="27532" xr:uid="{00000000-0005-0000-0000-0000FC1A0000}"/>
    <cellStyle name="20% - Accent4 2 3 6" xfId="17196" xr:uid="{00000000-0005-0000-0000-0000FD1A0000}"/>
    <cellStyle name="20% - Accent4 2 3 6 2" xfId="9563" xr:uid="{00000000-0005-0000-0000-0000FE1A0000}"/>
    <cellStyle name="20% - Accent4 2 3 6 2 2" xfId="9721" xr:uid="{00000000-0005-0000-0000-0000FF1A0000}"/>
    <cellStyle name="20% - Accent4 2 3 6 2 2 2" xfId="27076" xr:uid="{00000000-0005-0000-0000-0000001B0000}"/>
    <cellStyle name="20% - Accent4 2 3 6 2 3" xfId="9723" xr:uid="{00000000-0005-0000-0000-0000011B0000}"/>
    <cellStyle name="20% - Accent4 2 3 6 3" xfId="9567" xr:uid="{00000000-0005-0000-0000-0000021B0000}"/>
    <cellStyle name="20% - Accent4 2 3 6 3 2" xfId="10716" xr:uid="{00000000-0005-0000-0000-0000031B0000}"/>
    <cellStyle name="20% - Accent4 2 3 6 4" xfId="9725" xr:uid="{00000000-0005-0000-0000-0000041B0000}"/>
    <cellStyle name="20% - Accent4 2 3 7" xfId="17485" xr:uid="{00000000-0005-0000-0000-0000051B0000}"/>
    <cellStyle name="20% - Accent4 2 3 7 2" xfId="9728" xr:uid="{00000000-0005-0000-0000-0000061B0000}"/>
    <cellStyle name="20% - Accent4 2 3 7 2 2" xfId="13888" xr:uid="{00000000-0005-0000-0000-0000071B0000}"/>
    <cellStyle name="20% - Accent4 2 3 7 3" xfId="28791" xr:uid="{00000000-0005-0000-0000-0000081B0000}"/>
    <cellStyle name="20% - Accent4 2 3 8" xfId="6134" xr:uid="{00000000-0005-0000-0000-0000091B0000}"/>
    <cellStyle name="20% - Accent4 2 3 8 2" xfId="381" xr:uid="{00000000-0005-0000-0000-00000A1B0000}"/>
    <cellStyle name="20% - Accent4 2 3 9" xfId="17161" xr:uid="{00000000-0005-0000-0000-00000B1B0000}"/>
    <cellStyle name="20% - Accent4 2 4" xfId="9733" xr:uid="{00000000-0005-0000-0000-00000C1B0000}"/>
    <cellStyle name="20% - Accent4 2 4 2" xfId="25766" xr:uid="{00000000-0005-0000-0000-00000D1B0000}"/>
    <cellStyle name="20% - Accent4 2 4 2 2" xfId="9735" xr:uid="{00000000-0005-0000-0000-00000E1B0000}"/>
    <cellStyle name="20% - Accent4 2 4 2 2 2" xfId="9736" xr:uid="{00000000-0005-0000-0000-00000F1B0000}"/>
    <cellStyle name="20% - Accent4 2 4 2 2 2 2" xfId="8017" xr:uid="{00000000-0005-0000-0000-0000101B0000}"/>
    <cellStyle name="20% - Accent4 2 4 2 2 2 2 2" xfId="9741" xr:uid="{00000000-0005-0000-0000-0000111B0000}"/>
    <cellStyle name="20% - Accent4 2 4 2 2 2 2 2 2" xfId="10476" xr:uid="{00000000-0005-0000-0000-0000121B0000}"/>
    <cellStyle name="20% - Accent4 2 4 2 2 2 2 2 2 2" xfId="33984" xr:uid="{00000000-0005-0000-0000-0000131B0000}"/>
    <cellStyle name="20% - Accent4 2 4 2 2 2 2 2 3" xfId="9743" xr:uid="{00000000-0005-0000-0000-0000141B0000}"/>
    <cellStyle name="20% - Accent4 2 4 2 2 2 2 3" xfId="8090" xr:uid="{00000000-0005-0000-0000-0000151B0000}"/>
    <cellStyle name="20% - Accent4 2 4 2 2 2 2 3 2" xfId="14892" xr:uid="{00000000-0005-0000-0000-0000161B0000}"/>
    <cellStyle name="20% - Accent4 2 4 2 2 2 2 4" xfId="13008" xr:uid="{00000000-0005-0000-0000-0000171B0000}"/>
    <cellStyle name="20% - Accent4 2 4 2 2 2 3" xfId="7467" xr:uid="{00000000-0005-0000-0000-0000181B0000}"/>
    <cellStyle name="20% - Accent4 2 4 2 2 2 3 2" xfId="9744" xr:uid="{00000000-0005-0000-0000-0000191B0000}"/>
    <cellStyle name="20% - Accent4 2 4 2 2 2 3 2 2" xfId="17259" xr:uid="{00000000-0005-0000-0000-00001A1B0000}"/>
    <cellStyle name="20% - Accent4 2 4 2 2 2 3 3" xfId="9746" xr:uid="{00000000-0005-0000-0000-00001B1B0000}"/>
    <cellStyle name="20% - Accent4 2 4 2 2 2 4" xfId="32261" xr:uid="{00000000-0005-0000-0000-00001C1B0000}"/>
    <cellStyle name="20% - Accent4 2 4 2 2 2 4 2" xfId="9749" xr:uid="{00000000-0005-0000-0000-00001D1B0000}"/>
    <cellStyle name="20% - Accent4 2 4 2 2 2 5" xfId="9750" xr:uid="{00000000-0005-0000-0000-00001E1B0000}"/>
    <cellStyle name="20% - Accent4 2 4 2 2 3" xfId="9903" xr:uid="{00000000-0005-0000-0000-00001F1B0000}"/>
    <cellStyle name="20% - Accent4 2 4 2 2 3 2" xfId="9755" xr:uid="{00000000-0005-0000-0000-0000201B0000}"/>
    <cellStyle name="20% - Accent4 2 4 2 2 3 2 2" xfId="9759" xr:uid="{00000000-0005-0000-0000-0000211B0000}"/>
    <cellStyle name="20% - Accent4 2 4 2 2 3 2 2 2" xfId="606" xr:uid="{00000000-0005-0000-0000-0000221B0000}"/>
    <cellStyle name="20% - Accent4 2 4 2 2 3 2 3" xfId="9762" xr:uid="{00000000-0005-0000-0000-0000231B0000}"/>
    <cellStyle name="20% - Accent4 2 4 2 2 3 3" xfId="7487" xr:uid="{00000000-0005-0000-0000-0000241B0000}"/>
    <cellStyle name="20% - Accent4 2 4 2 2 3 3 2" xfId="9765" xr:uid="{00000000-0005-0000-0000-0000251B0000}"/>
    <cellStyle name="20% - Accent4 2 4 2 2 3 4" xfId="23209" xr:uid="{00000000-0005-0000-0000-0000261B0000}"/>
    <cellStyle name="20% - Accent4 2 4 2 2 4" xfId="25449" xr:uid="{00000000-0005-0000-0000-0000271B0000}"/>
    <cellStyle name="20% - Accent4 2 4 2 2 4 2" xfId="29252" xr:uid="{00000000-0005-0000-0000-0000281B0000}"/>
    <cellStyle name="20% - Accent4 2 4 2 2 4 2 2" xfId="1329" xr:uid="{00000000-0005-0000-0000-0000291B0000}"/>
    <cellStyle name="20% - Accent4 2 4 2 2 4 3" xfId="32532" xr:uid="{00000000-0005-0000-0000-00002A1B0000}"/>
    <cellStyle name="20% - Accent4 2 4 2 2 5" xfId="22499" xr:uid="{00000000-0005-0000-0000-00002B1B0000}"/>
    <cellStyle name="20% - Accent4 2 4 2 2 5 2" xfId="12402" xr:uid="{00000000-0005-0000-0000-00002C1B0000}"/>
    <cellStyle name="20% - Accent4 2 4 2 2 6" xfId="1352" xr:uid="{00000000-0005-0000-0000-00002D1B0000}"/>
    <cellStyle name="20% - Accent4 2 4 2 3" xfId="2195" xr:uid="{00000000-0005-0000-0000-00002E1B0000}"/>
    <cellStyle name="20% - Accent4 2 4 2 3 2" xfId="1604" xr:uid="{00000000-0005-0000-0000-00002F1B0000}"/>
    <cellStyle name="20% - Accent4 2 4 2 3 2 2" xfId="28940" xr:uid="{00000000-0005-0000-0000-0000301B0000}"/>
    <cellStyle name="20% - Accent4 2 4 2 3 2 2 2" xfId="12146" xr:uid="{00000000-0005-0000-0000-0000311B0000}"/>
    <cellStyle name="20% - Accent4 2 4 2 3 2 2 2 2" xfId="1218" xr:uid="{00000000-0005-0000-0000-0000321B0000}"/>
    <cellStyle name="20% - Accent4 2 4 2 3 2 2 3" xfId="10689" xr:uid="{00000000-0005-0000-0000-0000331B0000}"/>
    <cellStyle name="20% - Accent4 2 4 2 3 2 3" xfId="29535" xr:uid="{00000000-0005-0000-0000-0000341B0000}"/>
    <cellStyle name="20% - Accent4 2 4 2 3 2 3 2" xfId="4324" xr:uid="{00000000-0005-0000-0000-0000351B0000}"/>
    <cellStyle name="20% - Accent4 2 4 2 3 2 4" xfId="9770" xr:uid="{00000000-0005-0000-0000-0000361B0000}"/>
    <cellStyle name="20% - Accent4 2 4 2 3 3" xfId="6700" xr:uid="{00000000-0005-0000-0000-0000371B0000}"/>
    <cellStyle name="20% - Accent4 2 4 2 3 3 2" xfId="14469" xr:uid="{00000000-0005-0000-0000-0000381B0000}"/>
    <cellStyle name="20% - Accent4 2 4 2 3 3 2 2" xfId="3229" xr:uid="{00000000-0005-0000-0000-0000391B0000}"/>
    <cellStyle name="20% - Accent4 2 4 2 3 3 3" xfId="29062" xr:uid="{00000000-0005-0000-0000-00003A1B0000}"/>
    <cellStyle name="20% - Accent4 2 4 2 3 4" xfId="1836" xr:uid="{00000000-0005-0000-0000-00003B1B0000}"/>
    <cellStyle name="20% - Accent4 2 4 2 3 4 2" xfId="29271" xr:uid="{00000000-0005-0000-0000-00003C1B0000}"/>
    <cellStyle name="20% - Accent4 2 4 2 3 5" xfId="30309" xr:uid="{00000000-0005-0000-0000-00003D1B0000}"/>
    <cellStyle name="20% - Accent4 2 4 2 4" xfId="16294" xr:uid="{00000000-0005-0000-0000-00003E1B0000}"/>
    <cellStyle name="20% - Accent4 2 4 2 4 2" xfId="9795" xr:uid="{00000000-0005-0000-0000-00003F1B0000}"/>
    <cellStyle name="20% - Accent4 2 4 2 4 2 2" xfId="32006" xr:uid="{00000000-0005-0000-0000-0000401B0000}"/>
    <cellStyle name="20% - Accent4 2 4 2 4 2 2 2" xfId="682" xr:uid="{00000000-0005-0000-0000-0000411B0000}"/>
    <cellStyle name="20% - Accent4 2 4 2 4 2 3" xfId="30356" xr:uid="{00000000-0005-0000-0000-0000421B0000}"/>
    <cellStyle name="20% - Accent4 2 4 2 4 3" xfId="1420" xr:uid="{00000000-0005-0000-0000-0000431B0000}"/>
    <cellStyle name="20% - Accent4 2 4 2 4 3 2" xfId="6274" xr:uid="{00000000-0005-0000-0000-0000441B0000}"/>
    <cellStyle name="20% - Accent4 2 4 2 4 4" xfId="30366" xr:uid="{00000000-0005-0000-0000-0000451B0000}"/>
    <cellStyle name="20% - Accent4 2 4 2 5" xfId="2422" xr:uid="{00000000-0005-0000-0000-0000461B0000}"/>
    <cellStyle name="20% - Accent4 2 4 2 5 2" xfId="1437" xr:uid="{00000000-0005-0000-0000-0000471B0000}"/>
    <cellStyle name="20% - Accent4 2 4 2 5 2 2" xfId="30373" xr:uid="{00000000-0005-0000-0000-0000481B0000}"/>
    <cellStyle name="20% - Accent4 2 4 2 5 3" xfId="30379" xr:uid="{00000000-0005-0000-0000-0000491B0000}"/>
    <cellStyle name="20% - Accent4 2 4 2 6" xfId="9895" xr:uid="{00000000-0005-0000-0000-00004A1B0000}"/>
    <cellStyle name="20% - Accent4 2 4 2 6 2" xfId="18521" xr:uid="{00000000-0005-0000-0000-00004B1B0000}"/>
    <cellStyle name="20% - Accent4 2 4 2 7" xfId="29315" xr:uid="{00000000-0005-0000-0000-00004C1B0000}"/>
    <cellStyle name="20% - Accent4 2 4 3" xfId="29678" xr:uid="{00000000-0005-0000-0000-00004D1B0000}"/>
    <cellStyle name="20% - Accent4 2 4 3 2" xfId="8096" xr:uid="{00000000-0005-0000-0000-00004E1B0000}"/>
    <cellStyle name="20% - Accent4 2 4 3 2 2" xfId="9780" xr:uid="{00000000-0005-0000-0000-00004F1B0000}"/>
    <cellStyle name="20% - Accent4 2 4 3 2 2 2" xfId="9784" xr:uid="{00000000-0005-0000-0000-0000501B0000}"/>
    <cellStyle name="20% - Accent4 2 4 3 2 2 2 2" xfId="9787" xr:uid="{00000000-0005-0000-0000-0000511B0000}"/>
    <cellStyle name="20% - Accent4 2 4 3 2 2 2 2 2" xfId="9971" xr:uid="{00000000-0005-0000-0000-0000521B0000}"/>
    <cellStyle name="20% - Accent4 2 4 3 2 2 2 3" xfId="9791" xr:uid="{00000000-0005-0000-0000-0000531B0000}"/>
    <cellStyle name="20% - Accent4 2 4 3 2 2 3" xfId="9793" xr:uid="{00000000-0005-0000-0000-0000541B0000}"/>
    <cellStyle name="20% - Accent4 2 4 3 2 2 3 2" xfId="1888" xr:uid="{00000000-0005-0000-0000-0000551B0000}"/>
    <cellStyle name="20% - Accent4 2 4 3 2 2 4" xfId="9797" xr:uid="{00000000-0005-0000-0000-0000561B0000}"/>
    <cellStyle name="20% - Accent4 2 4 3 2 3" xfId="17038" xr:uid="{00000000-0005-0000-0000-0000571B0000}"/>
    <cellStyle name="20% - Accent4 2 4 3 2 3 2" xfId="30362" xr:uid="{00000000-0005-0000-0000-0000581B0000}"/>
    <cellStyle name="20% - Accent4 2 4 3 2 3 2 2" xfId="19890" xr:uid="{00000000-0005-0000-0000-0000591B0000}"/>
    <cellStyle name="20% - Accent4 2 4 3 2 3 3" xfId="18996" xr:uid="{00000000-0005-0000-0000-00005A1B0000}"/>
    <cellStyle name="20% - Accent4 2 4 3 2 4" xfId="32938" xr:uid="{00000000-0005-0000-0000-00005B1B0000}"/>
    <cellStyle name="20% - Accent4 2 4 3 2 4 2" xfId="15928" xr:uid="{00000000-0005-0000-0000-00005C1B0000}"/>
    <cellStyle name="20% - Accent4 2 4 3 2 5" xfId="9799" xr:uid="{00000000-0005-0000-0000-00005D1B0000}"/>
    <cellStyle name="20% - Accent4 2 4 3 3" xfId="2496" xr:uid="{00000000-0005-0000-0000-00005E1B0000}"/>
    <cellStyle name="20% - Accent4 2 4 3 3 2" xfId="30016" xr:uid="{00000000-0005-0000-0000-00005F1B0000}"/>
    <cellStyle name="20% - Accent4 2 4 3 3 2 2" xfId="27801" xr:uid="{00000000-0005-0000-0000-0000601B0000}"/>
    <cellStyle name="20% - Accent4 2 4 3 3 2 2 2" xfId="9800" xr:uid="{00000000-0005-0000-0000-0000611B0000}"/>
    <cellStyle name="20% - Accent4 2 4 3 3 2 3" xfId="31089" xr:uid="{00000000-0005-0000-0000-0000621B0000}"/>
    <cellStyle name="20% - Accent4 2 4 3 3 3" xfId="30020" xr:uid="{00000000-0005-0000-0000-0000631B0000}"/>
    <cellStyle name="20% - Accent4 2 4 3 3 3 2" xfId="14479" xr:uid="{00000000-0005-0000-0000-0000641B0000}"/>
    <cellStyle name="20% - Accent4 2 4 3 3 4" xfId="33681" xr:uid="{00000000-0005-0000-0000-0000651B0000}"/>
    <cellStyle name="20% - Accent4 2 4 3 4" xfId="10109" xr:uid="{00000000-0005-0000-0000-0000661B0000}"/>
    <cellStyle name="20% - Accent4 2 4 3 4 2" xfId="1450" xr:uid="{00000000-0005-0000-0000-0000671B0000}"/>
    <cellStyle name="20% - Accent4 2 4 3 4 2 2" xfId="30388" xr:uid="{00000000-0005-0000-0000-0000681B0000}"/>
    <cellStyle name="20% - Accent4 2 4 3 4 3" xfId="14512" xr:uid="{00000000-0005-0000-0000-0000691B0000}"/>
    <cellStyle name="20% - Accent4 2 4 3 5" xfId="2508" xr:uid="{00000000-0005-0000-0000-00006A1B0000}"/>
    <cellStyle name="20% - Accent4 2 4 3 5 2" xfId="30391" xr:uid="{00000000-0005-0000-0000-00006B1B0000}"/>
    <cellStyle name="20% - Accent4 2 4 3 6" xfId="30395" xr:uid="{00000000-0005-0000-0000-00006C1B0000}"/>
    <cellStyle name="20% - Accent4 2 4 4" xfId="23326" xr:uid="{00000000-0005-0000-0000-00006D1B0000}"/>
    <cellStyle name="20% - Accent4 2 4 4 2" xfId="3151" xr:uid="{00000000-0005-0000-0000-00006E1B0000}"/>
    <cellStyle name="20% - Accent4 2 4 4 2 2" xfId="27779" xr:uid="{00000000-0005-0000-0000-00006F1B0000}"/>
    <cellStyle name="20% - Accent4 2 4 4 2 2 2" xfId="8191" xr:uid="{00000000-0005-0000-0000-0000701B0000}"/>
    <cellStyle name="20% - Accent4 2 4 4 2 2 2 2" xfId="16912" xr:uid="{00000000-0005-0000-0000-0000711B0000}"/>
    <cellStyle name="20% - Accent4 2 4 4 2 2 3" xfId="19341" xr:uid="{00000000-0005-0000-0000-0000721B0000}"/>
    <cellStyle name="20% - Accent4 2 4 4 2 3" xfId="29617" xr:uid="{00000000-0005-0000-0000-0000731B0000}"/>
    <cellStyle name="20% - Accent4 2 4 4 2 3 2" xfId="6695" xr:uid="{00000000-0005-0000-0000-0000741B0000}"/>
    <cellStyle name="20% - Accent4 2 4 4 2 4" xfId="9812" xr:uid="{00000000-0005-0000-0000-0000751B0000}"/>
    <cellStyle name="20% - Accent4 2 4 4 3" xfId="3165" xr:uid="{00000000-0005-0000-0000-0000761B0000}"/>
    <cellStyle name="20% - Accent4 2 4 4 3 2" xfId="8807" xr:uid="{00000000-0005-0000-0000-0000771B0000}"/>
    <cellStyle name="20% - Accent4 2 4 4 3 2 2" xfId="7483" xr:uid="{00000000-0005-0000-0000-0000781B0000}"/>
    <cellStyle name="20% - Accent4 2 4 4 3 3" xfId="9818" xr:uid="{00000000-0005-0000-0000-0000791B0000}"/>
    <cellStyle name="20% - Accent4 2 4 4 4" xfId="2536" xr:uid="{00000000-0005-0000-0000-00007A1B0000}"/>
    <cellStyle name="20% - Accent4 2 4 4 4 2" xfId="27597" xr:uid="{00000000-0005-0000-0000-00007B1B0000}"/>
    <cellStyle name="20% - Accent4 2 4 4 5" xfId="30428" xr:uid="{00000000-0005-0000-0000-00007C1B0000}"/>
    <cellStyle name="20% - Accent4 2 4 5" xfId="3213" xr:uid="{00000000-0005-0000-0000-00007D1B0000}"/>
    <cellStyle name="20% - Accent4 2 4 5 2" xfId="5629" xr:uid="{00000000-0005-0000-0000-00007E1B0000}"/>
    <cellStyle name="20% - Accent4 2 4 5 2 2" xfId="28282" xr:uid="{00000000-0005-0000-0000-00007F1B0000}"/>
    <cellStyle name="20% - Accent4 2 4 5 2 2 2" xfId="8316" xr:uid="{00000000-0005-0000-0000-0000801B0000}"/>
    <cellStyle name="20% - Accent4 2 4 5 2 3" xfId="32614" xr:uid="{00000000-0005-0000-0000-0000811B0000}"/>
    <cellStyle name="20% - Accent4 2 4 5 3" xfId="5638" xr:uid="{00000000-0005-0000-0000-0000821B0000}"/>
    <cellStyle name="20% - Accent4 2 4 5 3 2" xfId="9838" xr:uid="{00000000-0005-0000-0000-0000831B0000}"/>
    <cellStyle name="20% - Accent4 2 4 5 4" xfId="29776" xr:uid="{00000000-0005-0000-0000-0000841B0000}"/>
    <cellStyle name="20% - Accent4 2 4 6" xfId="26592" xr:uid="{00000000-0005-0000-0000-0000851B0000}"/>
    <cellStyle name="20% - Accent4 2 4 6 2" xfId="28290" xr:uid="{00000000-0005-0000-0000-0000861B0000}"/>
    <cellStyle name="20% - Accent4 2 4 6 2 2" xfId="9844" xr:uid="{00000000-0005-0000-0000-0000871B0000}"/>
    <cellStyle name="20% - Accent4 2 4 6 3" xfId="9848" xr:uid="{00000000-0005-0000-0000-0000881B0000}"/>
    <cellStyle name="20% - Accent4 2 4 7" xfId="28138" xr:uid="{00000000-0005-0000-0000-0000891B0000}"/>
    <cellStyle name="20% - Accent4 2 4 7 2" xfId="9851" xr:uid="{00000000-0005-0000-0000-00008A1B0000}"/>
    <cellStyle name="20% - Accent4 2 4 8" xfId="8209" xr:uid="{00000000-0005-0000-0000-00008B1B0000}"/>
    <cellStyle name="20% - Accent4 2 5" xfId="9854" xr:uid="{00000000-0005-0000-0000-00008C1B0000}"/>
    <cellStyle name="20% - Accent4 2 5 2" xfId="23329" xr:uid="{00000000-0005-0000-0000-00008D1B0000}"/>
    <cellStyle name="20% - Accent4 2 5 2 2" xfId="9856" xr:uid="{00000000-0005-0000-0000-00008E1B0000}"/>
    <cellStyle name="20% - Accent4 2 5 2 2 2" xfId="4480" xr:uid="{00000000-0005-0000-0000-00008F1B0000}"/>
    <cellStyle name="20% - Accent4 2 5 2 2 2 2" xfId="5019" xr:uid="{00000000-0005-0000-0000-0000901B0000}"/>
    <cellStyle name="20% - Accent4 2 5 2 2 2 2 2" xfId="23330" xr:uid="{00000000-0005-0000-0000-0000911B0000}"/>
    <cellStyle name="20% - Accent4 2 5 2 2 2 2 2 2" xfId="12704" xr:uid="{00000000-0005-0000-0000-0000921B0000}"/>
    <cellStyle name="20% - Accent4 2 5 2 2 2 2 3" xfId="23333" xr:uid="{00000000-0005-0000-0000-0000931B0000}"/>
    <cellStyle name="20% - Accent4 2 5 2 2 2 3" xfId="8808" xr:uid="{00000000-0005-0000-0000-0000941B0000}"/>
    <cellStyle name="20% - Accent4 2 5 2 2 2 3 2" xfId="14355" xr:uid="{00000000-0005-0000-0000-0000951B0000}"/>
    <cellStyle name="20% - Accent4 2 5 2 2 2 4" xfId="9819" xr:uid="{00000000-0005-0000-0000-0000961B0000}"/>
    <cellStyle name="20% - Accent4 2 5 2 2 3" xfId="7012" xr:uid="{00000000-0005-0000-0000-0000971B0000}"/>
    <cellStyle name="20% - Accent4 2 5 2 2 3 2" xfId="8344" xr:uid="{00000000-0005-0000-0000-0000981B0000}"/>
    <cellStyle name="20% - Accent4 2 5 2 2 3 2 2" xfId="21560" xr:uid="{00000000-0005-0000-0000-0000991B0000}"/>
    <cellStyle name="20% - Accent4 2 5 2 2 3 3" xfId="27598" xr:uid="{00000000-0005-0000-0000-00009A1B0000}"/>
    <cellStyle name="20% - Accent4 2 5 2 2 4" xfId="2204" xr:uid="{00000000-0005-0000-0000-00009B1B0000}"/>
    <cellStyle name="20% - Accent4 2 5 2 2 4 2" xfId="8125" xr:uid="{00000000-0005-0000-0000-00009C1B0000}"/>
    <cellStyle name="20% - Accent4 2 5 2 2 5" xfId="8132" xr:uid="{00000000-0005-0000-0000-00009D1B0000}"/>
    <cellStyle name="20% - Accent4 2 5 2 3" xfId="2617" xr:uid="{00000000-0005-0000-0000-00009E1B0000}"/>
    <cellStyle name="20% - Accent4 2 5 2 3 2" xfId="8143" xr:uid="{00000000-0005-0000-0000-00009F1B0000}"/>
    <cellStyle name="20% - Accent4 2 5 2 3 2 2" xfId="8146" xr:uid="{00000000-0005-0000-0000-0000A01B0000}"/>
    <cellStyle name="20% - Accent4 2 5 2 3 2 2 2" xfId="10877" xr:uid="{00000000-0005-0000-0000-0000A11B0000}"/>
    <cellStyle name="20% - Accent4 2 5 2 3 2 3" xfId="9839" xr:uid="{00000000-0005-0000-0000-0000A21B0000}"/>
    <cellStyle name="20% - Accent4 2 5 2 3 3" xfId="2475" xr:uid="{00000000-0005-0000-0000-0000A31B0000}"/>
    <cellStyle name="20% - Accent4 2 5 2 3 3 2" xfId="8151" xr:uid="{00000000-0005-0000-0000-0000A41B0000}"/>
    <cellStyle name="20% - Accent4 2 5 2 3 4" xfId="8152" xr:uid="{00000000-0005-0000-0000-0000A51B0000}"/>
    <cellStyle name="20% - Accent4 2 5 2 4" xfId="2653" xr:uid="{00000000-0005-0000-0000-0000A61B0000}"/>
    <cellStyle name="20% - Accent4 2 5 2 4 2" xfId="8167" xr:uid="{00000000-0005-0000-0000-0000A71B0000}"/>
    <cellStyle name="20% - Accent4 2 5 2 4 2 2" xfId="8169" xr:uid="{00000000-0005-0000-0000-0000A81B0000}"/>
    <cellStyle name="20% - Accent4 2 5 2 4 3" xfId="8173" xr:uid="{00000000-0005-0000-0000-0000A91B0000}"/>
    <cellStyle name="20% - Accent4 2 5 2 5" xfId="3343" xr:uid="{00000000-0005-0000-0000-0000AA1B0000}"/>
    <cellStyle name="20% - Accent4 2 5 2 5 2" xfId="8178" xr:uid="{00000000-0005-0000-0000-0000AB1B0000}"/>
    <cellStyle name="20% - Accent4 2 5 2 6" xfId="12662" xr:uid="{00000000-0005-0000-0000-0000AC1B0000}"/>
    <cellStyle name="20% - Accent4 2 5 3" xfId="23332" xr:uid="{00000000-0005-0000-0000-0000AD1B0000}"/>
    <cellStyle name="20% - Accent4 2 5 3 2" xfId="9860" xr:uid="{00000000-0005-0000-0000-0000AE1B0000}"/>
    <cellStyle name="20% - Accent4 2 5 3 2 2" xfId="13657" xr:uid="{00000000-0005-0000-0000-0000AF1B0000}"/>
    <cellStyle name="20% - Accent4 2 5 3 2 2 2" xfId="8198" xr:uid="{00000000-0005-0000-0000-0000B01B0000}"/>
    <cellStyle name="20% - Accent4 2 5 3 2 2 2 2" xfId="26717" xr:uid="{00000000-0005-0000-0000-0000B11B0000}"/>
    <cellStyle name="20% - Accent4 2 5 3 2 2 3" xfId="8891" xr:uid="{00000000-0005-0000-0000-0000B21B0000}"/>
    <cellStyle name="20% - Accent4 2 5 3 2 3" xfId="32192" xr:uid="{00000000-0005-0000-0000-0000B31B0000}"/>
    <cellStyle name="20% - Accent4 2 5 3 2 3 2" xfId="8204" xr:uid="{00000000-0005-0000-0000-0000B41B0000}"/>
    <cellStyle name="20% - Accent4 2 5 3 2 4" xfId="8208" xr:uid="{00000000-0005-0000-0000-0000B51B0000}"/>
    <cellStyle name="20% - Accent4 2 5 3 3" xfId="2152" xr:uid="{00000000-0005-0000-0000-0000B61B0000}"/>
    <cellStyle name="20% - Accent4 2 5 3 3 2" xfId="8226" xr:uid="{00000000-0005-0000-0000-0000B71B0000}"/>
    <cellStyle name="20% - Accent4 2 5 3 3 2 2" xfId="8234" xr:uid="{00000000-0005-0000-0000-0000B81B0000}"/>
    <cellStyle name="20% - Accent4 2 5 3 3 3" xfId="8239" xr:uid="{00000000-0005-0000-0000-0000B91B0000}"/>
    <cellStyle name="20% - Accent4 2 5 3 4" xfId="1508" xr:uid="{00000000-0005-0000-0000-0000BA1B0000}"/>
    <cellStyle name="20% - Accent4 2 5 3 4 2" xfId="30992" xr:uid="{00000000-0005-0000-0000-0000BB1B0000}"/>
    <cellStyle name="20% - Accent4 2 5 3 5" xfId="9861" xr:uid="{00000000-0005-0000-0000-0000BC1B0000}"/>
    <cellStyle name="20% - Accent4 2 5 4" xfId="23337" xr:uid="{00000000-0005-0000-0000-0000BD1B0000}"/>
    <cellStyle name="20% - Accent4 2 5 4 2" xfId="13228" xr:uid="{00000000-0005-0000-0000-0000BE1B0000}"/>
    <cellStyle name="20% - Accent4 2 5 4 2 2" xfId="1693" xr:uid="{00000000-0005-0000-0000-0000BF1B0000}"/>
    <cellStyle name="20% - Accent4 2 5 4 2 2 2" xfId="13496" xr:uid="{00000000-0005-0000-0000-0000C01B0000}"/>
    <cellStyle name="20% - Accent4 2 5 4 2 3" xfId="30000" xr:uid="{00000000-0005-0000-0000-0000C11B0000}"/>
    <cellStyle name="20% - Accent4 2 5 4 3" xfId="13010" xr:uid="{00000000-0005-0000-0000-0000C21B0000}"/>
    <cellStyle name="20% - Accent4 2 5 4 3 2" xfId="8890" xr:uid="{00000000-0005-0000-0000-0000C31B0000}"/>
    <cellStyle name="20% - Accent4 2 5 4 4" xfId="30045" xr:uid="{00000000-0005-0000-0000-0000C41B0000}"/>
    <cellStyle name="20% - Accent4 2 5 5" xfId="30322" xr:uid="{00000000-0005-0000-0000-0000C51B0000}"/>
    <cellStyle name="20% - Accent4 2 5 5 2" xfId="30082" xr:uid="{00000000-0005-0000-0000-0000C61B0000}"/>
    <cellStyle name="20% - Accent4 2 5 5 2 2" xfId="1737" xr:uid="{00000000-0005-0000-0000-0000C71B0000}"/>
    <cellStyle name="20% - Accent4 2 5 5 3" xfId="30096" xr:uid="{00000000-0005-0000-0000-0000C81B0000}"/>
    <cellStyle name="20% - Accent4 2 5 6" xfId="28300" xr:uid="{00000000-0005-0000-0000-0000C91B0000}"/>
    <cellStyle name="20% - Accent4 2 5 6 2" xfId="3541" xr:uid="{00000000-0005-0000-0000-0000CA1B0000}"/>
    <cellStyle name="20% - Accent4 2 5 7" xfId="33531" xr:uid="{00000000-0005-0000-0000-0000CB1B0000}"/>
    <cellStyle name="20% - Accent4 2 6" xfId="9869" xr:uid="{00000000-0005-0000-0000-0000CC1B0000}"/>
    <cellStyle name="20% - Accent4 2 6 2" xfId="14358" xr:uid="{00000000-0005-0000-0000-0000CD1B0000}"/>
    <cellStyle name="20% - Accent4 2 6 2 2" xfId="21653" xr:uid="{00000000-0005-0000-0000-0000CE1B0000}"/>
    <cellStyle name="20% - Accent4 2 6 2 2 2" xfId="21658" xr:uid="{00000000-0005-0000-0000-0000CF1B0000}"/>
    <cellStyle name="20% - Accent4 2 6 2 2 2 2" xfId="17977" xr:uid="{00000000-0005-0000-0000-0000D01B0000}"/>
    <cellStyle name="20% - Accent4 2 6 2 2 2 2 2" xfId="23605" xr:uid="{00000000-0005-0000-0000-0000D11B0000}"/>
    <cellStyle name="20% - Accent4 2 6 2 2 2 3" xfId="10345" xr:uid="{00000000-0005-0000-0000-0000D21B0000}"/>
    <cellStyle name="20% - Accent4 2 6 2 2 3" xfId="2889" xr:uid="{00000000-0005-0000-0000-0000D31B0000}"/>
    <cellStyle name="20% - Accent4 2 6 2 2 3 2" xfId="7975" xr:uid="{00000000-0005-0000-0000-0000D41B0000}"/>
    <cellStyle name="20% - Accent4 2 6 2 2 4" xfId="11903" xr:uid="{00000000-0005-0000-0000-0000D51B0000}"/>
    <cellStyle name="20% - Accent4 2 6 2 3" xfId="21667" xr:uid="{00000000-0005-0000-0000-0000D61B0000}"/>
    <cellStyle name="20% - Accent4 2 6 2 3 2" xfId="8386" xr:uid="{00000000-0005-0000-0000-0000D71B0000}"/>
    <cellStyle name="20% - Accent4 2 6 2 3 2 2" xfId="4192" xr:uid="{00000000-0005-0000-0000-0000D81B0000}"/>
    <cellStyle name="20% - Accent4 2 6 2 3 3" xfId="2899" xr:uid="{00000000-0005-0000-0000-0000D91B0000}"/>
    <cellStyle name="20% - Accent4 2 6 2 4" xfId="2753" xr:uid="{00000000-0005-0000-0000-0000DA1B0000}"/>
    <cellStyle name="20% - Accent4 2 6 2 4 2" xfId="17347" xr:uid="{00000000-0005-0000-0000-0000DB1B0000}"/>
    <cellStyle name="20% - Accent4 2 6 2 5" xfId="33963" xr:uid="{00000000-0005-0000-0000-0000DC1B0000}"/>
    <cellStyle name="20% - Accent4 2 6 3" xfId="23346" xr:uid="{00000000-0005-0000-0000-0000DD1B0000}"/>
    <cellStyle name="20% - Accent4 2 6 3 2" xfId="25703" xr:uid="{00000000-0005-0000-0000-0000DE1B0000}"/>
    <cellStyle name="20% - Accent4 2 6 3 2 2" xfId="3801" xr:uid="{00000000-0005-0000-0000-0000DF1B0000}"/>
    <cellStyle name="20% - Accent4 2 6 3 2 2 2" xfId="8403" xr:uid="{00000000-0005-0000-0000-0000E01B0000}"/>
    <cellStyle name="20% - Accent4 2 6 3 2 3" xfId="3622" xr:uid="{00000000-0005-0000-0000-0000E11B0000}"/>
    <cellStyle name="20% - Accent4 2 6 3 3" xfId="3438" xr:uid="{00000000-0005-0000-0000-0000E21B0000}"/>
    <cellStyle name="20% - Accent4 2 6 3 3 2" xfId="3808" xr:uid="{00000000-0005-0000-0000-0000E31B0000}"/>
    <cellStyle name="20% - Accent4 2 6 3 4" xfId="22412" xr:uid="{00000000-0005-0000-0000-0000E41B0000}"/>
    <cellStyle name="20% - Accent4 2 6 4" xfId="24477" xr:uid="{00000000-0005-0000-0000-0000E51B0000}"/>
    <cellStyle name="20% - Accent4 2 6 4 2" xfId="24063" xr:uid="{00000000-0005-0000-0000-0000E61B0000}"/>
    <cellStyle name="20% - Accent4 2 6 4 2 2" xfId="30161" xr:uid="{00000000-0005-0000-0000-0000E71B0000}"/>
    <cellStyle name="20% - Accent4 2 6 4 3" xfId="24516" xr:uid="{00000000-0005-0000-0000-0000E81B0000}"/>
    <cellStyle name="20% - Accent4 2 6 5" xfId="9881" xr:uid="{00000000-0005-0000-0000-0000E91B0000}"/>
    <cellStyle name="20% - Accent4 2 6 5 2" xfId="20235" xr:uid="{00000000-0005-0000-0000-0000EA1B0000}"/>
    <cellStyle name="20% - Accent4 2 6 6" xfId="20247" xr:uid="{00000000-0005-0000-0000-0000EB1B0000}"/>
    <cellStyle name="20% - Accent4 2 7" xfId="9888" xr:uid="{00000000-0005-0000-0000-0000EC1B0000}"/>
    <cellStyle name="20% - Accent4 2 7 2" xfId="23348" xr:uid="{00000000-0005-0000-0000-0000ED1B0000}"/>
    <cellStyle name="20% - Accent4 2 7 2 2" xfId="21718" xr:uid="{00000000-0005-0000-0000-0000EE1B0000}"/>
    <cellStyle name="20% - Accent4 2 7 2 2 2" xfId="376" xr:uid="{00000000-0005-0000-0000-0000EF1B0000}"/>
    <cellStyle name="20% - Accent4 2 7 2 2 2 2" xfId="8469" xr:uid="{00000000-0005-0000-0000-0000F01B0000}"/>
    <cellStyle name="20% - Accent4 2 7 2 2 3" xfId="8471" xr:uid="{00000000-0005-0000-0000-0000F11B0000}"/>
    <cellStyle name="20% - Accent4 2 7 2 3" xfId="2819" xr:uid="{00000000-0005-0000-0000-0000F21B0000}"/>
    <cellStyle name="20% - Accent4 2 7 2 3 2" xfId="8474" xr:uid="{00000000-0005-0000-0000-0000F31B0000}"/>
    <cellStyle name="20% - Accent4 2 7 2 4" xfId="9890" xr:uid="{00000000-0005-0000-0000-0000F41B0000}"/>
    <cellStyle name="20% - Accent4 2 7 3" xfId="1130" xr:uid="{00000000-0005-0000-0000-0000F51B0000}"/>
    <cellStyle name="20% - Accent4 2 7 3 2" xfId="9891" xr:uid="{00000000-0005-0000-0000-0000F61B0000}"/>
    <cellStyle name="20% - Accent4 2 7 3 2 2" xfId="3859" xr:uid="{00000000-0005-0000-0000-0000F71B0000}"/>
    <cellStyle name="20% - Accent4 2 7 3 3" xfId="15253" xr:uid="{00000000-0005-0000-0000-0000F81B0000}"/>
    <cellStyle name="20% - Accent4 2 7 4" xfId="2829" xr:uid="{00000000-0005-0000-0000-0000F91B0000}"/>
    <cellStyle name="20% - Accent4 2 7 4 2" xfId="24572" xr:uid="{00000000-0005-0000-0000-0000FA1B0000}"/>
    <cellStyle name="20% - Accent4 2 7 5" xfId="19984" xr:uid="{00000000-0005-0000-0000-0000FB1B0000}"/>
    <cellStyle name="20% - Accent4 2 8" xfId="10313" xr:uid="{00000000-0005-0000-0000-0000FC1B0000}"/>
    <cellStyle name="20% - Accent4 2 8 2" xfId="9896" xr:uid="{00000000-0005-0000-0000-0000FD1B0000}"/>
    <cellStyle name="20% - Accent4 2 8 2 2" xfId="9898" xr:uid="{00000000-0005-0000-0000-0000FE1B0000}"/>
    <cellStyle name="20% - Accent4 2 8 2 2 2" xfId="29570" xr:uid="{00000000-0005-0000-0000-0000FF1B0000}"/>
    <cellStyle name="20% - Accent4 2 8 2 3" xfId="33989" xr:uid="{00000000-0005-0000-0000-0000001C0000}"/>
    <cellStyle name="20% - Accent4 2 8 3" xfId="164" xr:uid="{00000000-0005-0000-0000-0000011C0000}"/>
    <cellStyle name="20% - Accent4 2 8 3 2" xfId="9902" xr:uid="{00000000-0005-0000-0000-0000021C0000}"/>
    <cellStyle name="20% - Accent4 2 8 4" xfId="28305" xr:uid="{00000000-0005-0000-0000-0000031C0000}"/>
    <cellStyle name="20% - Accent4 2 9" xfId="3171" xr:uid="{00000000-0005-0000-0000-0000041C0000}"/>
    <cellStyle name="20% - Accent4 2 9 2" xfId="8646" xr:uid="{00000000-0005-0000-0000-0000051C0000}"/>
    <cellStyle name="20% - Accent4 2 9 2 2" xfId="3183" xr:uid="{00000000-0005-0000-0000-0000061C0000}"/>
    <cellStyle name="20% - Accent4 2 9 3" xfId="5731" xr:uid="{00000000-0005-0000-0000-0000071C0000}"/>
    <cellStyle name="20% - Accent4 3" xfId="9907" xr:uid="{00000000-0005-0000-0000-0000081C0000}"/>
    <cellStyle name="20% - Accent4 3 10" xfId="31921" xr:uid="{00000000-0005-0000-0000-0000091C0000}"/>
    <cellStyle name="20% - Accent4 3 2" xfId="9908" xr:uid="{00000000-0005-0000-0000-00000A1C0000}"/>
    <cellStyle name="20% - Accent4 3 2 2" xfId="9909" xr:uid="{00000000-0005-0000-0000-00000B1C0000}"/>
    <cellStyle name="20% - Accent4 3 2 2 2" xfId="9912" xr:uid="{00000000-0005-0000-0000-00000C1C0000}"/>
    <cellStyle name="20% - Accent4 3 2 2 2 2" xfId="27561" xr:uid="{00000000-0005-0000-0000-00000D1C0000}"/>
    <cellStyle name="20% - Accent4 3 2 2 2 2 2" xfId="8936" xr:uid="{00000000-0005-0000-0000-00000E1C0000}"/>
    <cellStyle name="20% - Accent4 3 2 2 2 2 2 2" xfId="9915" xr:uid="{00000000-0005-0000-0000-00000F1C0000}"/>
    <cellStyle name="20% - Accent4 3 2 2 2 2 2 2 2" xfId="9918" xr:uid="{00000000-0005-0000-0000-0000101C0000}"/>
    <cellStyle name="20% - Accent4 3 2 2 2 2 2 2 2 2" xfId="11390" xr:uid="{00000000-0005-0000-0000-0000111C0000}"/>
    <cellStyle name="20% - Accent4 3 2 2 2 2 2 2 2 2 2" xfId="9921" xr:uid="{00000000-0005-0000-0000-0000121C0000}"/>
    <cellStyle name="20% - Accent4 3 2 2 2 2 2 2 2 3" xfId="31621" xr:uid="{00000000-0005-0000-0000-0000131C0000}"/>
    <cellStyle name="20% - Accent4 3 2 2 2 2 2 2 3" xfId="6450" xr:uid="{00000000-0005-0000-0000-0000141C0000}"/>
    <cellStyle name="20% - Accent4 3 2 2 2 2 2 2 3 2" xfId="12460" xr:uid="{00000000-0005-0000-0000-0000151C0000}"/>
    <cellStyle name="20% - Accent4 3 2 2 2 2 2 2 4" xfId="6463" xr:uid="{00000000-0005-0000-0000-0000161C0000}"/>
    <cellStyle name="20% - Accent4 3 2 2 2 2 2 3" xfId="9927" xr:uid="{00000000-0005-0000-0000-0000171C0000}"/>
    <cellStyle name="20% - Accent4 3 2 2 2 2 2 3 2" xfId="32648" xr:uid="{00000000-0005-0000-0000-0000181C0000}"/>
    <cellStyle name="20% - Accent4 3 2 2 2 2 2 3 2 2" xfId="9930" xr:uid="{00000000-0005-0000-0000-0000191C0000}"/>
    <cellStyle name="20% - Accent4 3 2 2 2 2 2 3 3" xfId="6568" xr:uid="{00000000-0005-0000-0000-00001A1C0000}"/>
    <cellStyle name="20% - Accent4 3 2 2 2 2 2 4" xfId="9935" xr:uid="{00000000-0005-0000-0000-00001B1C0000}"/>
    <cellStyle name="20% - Accent4 3 2 2 2 2 2 4 2" xfId="9937" xr:uid="{00000000-0005-0000-0000-00001C1C0000}"/>
    <cellStyle name="20% - Accent4 3 2 2 2 2 2 5" xfId="9939" xr:uid="{00000000-0005-0000-0000-00001D1C0000}"/>
    <cellStyle name="20% - Accent4 3 2 2 2 2 3" xfId="9266" xr:uid="{00000000-0005-0000-0000-00001E1C0000}"/>
    <cellStyle name="20% - Accent4 3 2 2 2 2 3 2" xfId="9945" xr:uid="{00000000-0005-0000-0000-00001F1C0000}"/>
    <cellStyle name="20% - Accent4 3 2 2 2 2 3 2 2" xfId="3122" xr:uid="{00000000-0005-0000-0000-0000201C0000}"/>
    <cellStyle name="20% - Accent4 3 2 2 2 2 3 2 2 2" xfId="9948" xr:uid="{00000000-0005-0000-0000-0000211C0000}"/>
    <cellStyle name="20% - Accent4 3 2 2 2 2 3 2 3" xfId="7010" xr:uid="{00000000-0005-0000-0000-0000221C0000}"/>
    <cellStyle name="20% - Accent4 3 2 2 2 2 3 3" xfId="10145" xr:uid="{00000000-0005-0000-0000-0000231C0000}"/>
    <cellStyle name="20% - Accent4 3 2 2 2 2 3 3 2" xfId="6145" xr:uid="{00000000-0005-0000-0000-0000241C0000}"/>
    <cellStyle name="20% - Accent4 3 2 2 2 2 3 4" xfId="9953" xr:uid="{00000000-0005-0000-0000-0000251C0000}"/>
    <cellStyle name="20% - Accent4 3 2 2 2 2 4" xfId="11645" xr:uid="{00000000-0005-0000-0000-0000261C0000}"/>
    <cellStyle name="20% - Accent4 3 2 2 2 2 4 2" xfId="15884" xr:uid="{00000000-0005-0000-0000-0000271C0000}"/>
    <cellStyle name="20% - Accent4 3 2 2 2 2 4 2 2" xfId="11649" xr:uid="{00000000-0005-0000-0000-0000281C0000}"/>
    <cellStyle name="20% - Accent4 3 2 2 2 2 4 3" xfId="29365" xr:uid="{00000000-0005-0000-0000-0000291C0000}"/>
    <cellStyle name="20% - Accent4 3 2 2 2 2 5" xfId="9329" xr:uid="{00000000-0005-0000-0000-00002A1C0000}"/>
    <cellStyle name="20% - Accent4 3 2 2 2 2 5 2" xfId="29795" xr:uid="{00000000-0005-0000-0000-00002B1C0000}"/>
    <cellStyle name="20% - Accent4 3 2 2 2 2 6" xfId="33875" xr:uid="{00000000-0005-0000-0000-00002C1C0000}"/>
    <cellStyle name="20% - Accent4 3 2 2 2 3" xfId="31529" xr:uid="{00000000-0005-0000-0000-00002D1C0000}"/>
    <cellStyle name="20% - Accent4 3 2 2 2 3 2" xfId="2623" xr:uid="{00000000-0005-0000-0000-00002E1C0000}"/>
    <cellStyle name="20% - Accent4 3 2 2 2 3 2 2" xfId="9959" xr:uid="{00000000-0005-0000-0000-00002F1C0000}"/>
    <cellStyle name="20% - Accent4 3 2 2 2 3 2 2 2" xfId="1686" xr:uid="{00000000-0005-0000-0000-0000301C0000}"/>
    <cellStyle name="20% - Accent4 3 2 2 2 3 2 2 2 2" xfId="12407" xr:uid="{00000000-0005-0000-0000-0000311C0000}"/>
    <cellStyle name="20% - Accent4 3 2 2 2 3 2 2 3" xfId="6540" xr:uid="{00000000-0005-0000-0000-0000321C0000}"/>
    <cellStyle name="20% - Accent4 3 2 2 2 3 2 3" xfId="9964" xr:uid="{00000000-0005-0000-0000-0000331C0000}"/>
    <cellStyle name="20% - Accent4 3 2 2 2 3 2 3 2" xfId="4000" xr:uid="{00000000-0005-0000-0000-0000341C0000}"/>
    <cellStyle name="20% - Accent4 3 2 2 2 3 2 4" xfId="9968" xr:uid="{00000000-0005-0000-0000-0000351C0000}"/>
    <cellStyle name="20% - Accent4 3 2 2 2 3 3" xfId="24014" xr:uid="{00000000-0005-0000-0000-0000361C0000}"/>
    <cellStyle name="20% - Accent4 3 2 2 2 3 3 2" xfId="4476" xr:uid="{00000000-0005-0000-0000-0000371C0000}"/>
    <cellStyle name="20% - Accent4 3 2 2 2 3 3 2 2" xfId="2934" xr:uid="{00000000-0005-0000-0000-0000381C0000}"/>
    <cellStyle name="20% - Accent4 3 2 2 2 3 3 3" xfId="31397" xr:uid="{00000000-0005-0000-0000-0000391C0000}"/>
    <cellStyle name="20% - Accent4 3 2 2 2 3 4" xfId="26237" xr:uid="{00000000-0005-0000-0000-00003A1C0000}"/>
    <cellStyle name="20% - Accent4 3 2 2 2 3 4 2" xfId="31610" xr:uid="{00000000-0005-0000-0000-00003B1C0000}"/>
    <cellStyle name="20% - Accent4 3 2 2 2 3 5" xfId="26504" xr:uid="{00000000-0005-0000-0000-00003C1C0000}"/>
    <cellStyle name="20% - Accent4 3 2 2 2 4" xfId="16818" xr:uid="{00000000-0005-0000-0000-00003D1C0000}"/>
    <cellStyle name="20% - Accent4 3 2 2 2 4 2" xfId="11606" xr:uid="{00000000-0005-0000-0000-00003E1C0000}"/>
    <cellStyle name="20% - Accent4 3 2 2 2 4 2 2" xfId="1646" xr:uid="{00000000-0005-0000-0000-00003F1C0000}"/>
    <cellStyle name="20% - Accent4 3 2 2 2 4 2 2 2" xfId="2004" xr:uid="{00000000-0005-0000-0000-0000401C0000}"/>
    <cellStyle name="20% - Accent4 3 2 2 2 4 2 3" xfId="2158" xr:uid="{00000000-0005-0000-0000-0000411C0000}"/>
    <cellStyle name="20% - Accent4 3 2 2 2 4 3" xfId="1492" xr:uid="{00000000-0005-0000-0000-0000421C0000}"/>
    <cellStyle name="20% - Accent4 3 2 2 2 4 3 2" xfId="31794" xr:uid="{00000000-0005-0000-0000-0000431C0000}"/>
    <cellStyle name="20% - Accent4 3 2 2 2 4 4" xfId="28685" xr:uid="{00000000-0005-0000-0000-0000441C0000}"/>
    <cellStyle name="20% - Accent4 3 2 2 2 5" xfId="9986" xr:uid="{00000000-0005-0000-0000-0000451C0000}"/>
    <cellStyle name="20% - Accent4 3 2 2 2 5 2" xfId="9987" xr:uid="{00000000-0005-0000-0000-0000461C0000}"/>
    <cellStyle name="20% - Accent4 3 2 2 2 5 2 2" xfId="9991" xr:uid="{00000000-0005-0000-0000-0000471C0000}"/>
    <cellStyle name="20% - Accent4 3 2 2 2 5 3" xfId="9996" xr:uid="{00000000-0005-0000-0000-0000481C0000}"/>
    <cellStyle name="20% - Accent4 3 2 2 2 6" xfId="9999" xr:uid="{00000000-0005-0000-0000-0000491C0000}"/>
    <cellStyle name="20% - Accent4 3 2 2 2 6 2" xfId="4321" xr:uid="{00000000-0005-0000-0000-00004A1C0000}"/>
    <cellStyle name="20% - Accent4 3 2 2 2 7" xfId="10001" xr:uid="{00000000-0005-0000-0000-00004B1C0000}"/>
    <cellStyle name="20% - Accent4 3 2 2 3" xfId="1428" xr:uid="{00000000-0005-0000-0000-00004C1C0000}"/>
    <cellStyle name="20% - Accent4 3 2 2 3 2" xfId="2563" xr:uid="{00000000-0005-0000-0000-00004D1C0000}"/>
    <cellStyle name="20% - Accent4 3 2 2 3 2 2" xfId="4491" xr:uid="{00000000-0005-0000-0000-00004E1C0000}"/>
    <cellStyle name="20% - Accent4 3 2 2 3 2 2 2" xfId="10003" xr:uid="{00000000-0005-0000-0000-00004F1C0000}"/>
    <cellStyle name="20% - Accent4 3 2 2 3 2 2 2 2" xfId="10009" xr:uid="{00000000-0005-0000-0000-0000501C0000}"/>
    <cellStyle name="20% - Accent4 3 2 2 3 2 2 2 2 2" xfId="10010" xr:uid="{00000000-0005-0000-0000-0000511C0000}"/>
    <cellStyle name="20% - Accent4 3 2 2 3 2 2 2 3" xfId="8911" xr:uid="{00000000-0005-0000-0000-0000521C0000}"/>
    <cellStyle name="20% - Accent4 3 2 2 3 2 2 3" xfId="11116" xr:uid="{00000000-0005-0000-0000-0000531C0000}"/>
    <cellStyle name="20% - Accent4 3 2 2 3 2 2 3 2" xfId="10014" xr:uid="{00000000-0005-0000-0000-0000541C0000}"/>
    <cellStyle name="20% - Accent4 3 2 2 3 2 2 4" xfId="11120" xr:uid="{00000000-0005-0000-0000-0000551C0000}"/>
    <cellStyle name="20% - Accent4 3 2 2 3 2 3" xfId="8415" xr:uid="{00000000-0005-0000-0000-0000561C0000}"/>
    <cellStyle name="20% - Accent4 3 2 2 3 2 3 2" xfId="11128" xr:uid="{00000000-0005-0000-0000-0000571C0000}"/>
    <cellStyle name="20% - Accent4 3 2 2 3 2 3 2 2" xfId="5779" xr:uid="{00000000-0005-0000-0000-0000581C0000}"/>
    <cellStyle name="20% - Accent4 3 2 2 3 2 3 3" xfId="11132" xr:uid="{00000000-0005-0000-0000-0000591C0000}"/>
    <cellStyle name="20% - Accent4 3 2 2 3 2 4" xfId="14488" xr:uid="{00000000-0005-0000-0000-00005A1C0000}"/>
    <cellStyle name="20% - Accent4 3 2 2 3 2 4 2" xfId="24551" xr:uid="{00000000-0005-0000-0000-00005B1C0000}"/>
    <cellStyle name="20% - Accent4 3 2 2 3 2 5" xfId="14498" xr:uid="{00000000-0005-0000-0000-00005C1C0000}"/>
    <cellStyle name="20% - Accent4 3 2 2 3 3" xfId="5079" xr:uid="{00000000-0005-0000-0000-00005D1C0000}"/>
    <cellStyle name="20% - Accent4 3 2 2 3 3 2" xfId="4817" xr:uid="{00000000-0005-0000-0000-00005E1C0000}"/>
    <cellStyle name="20% - Accent4 3 2 2 3 3 2 2" xfId="10019" xr:uid="{00000000-0005-0000-0000-00005F1C0000}"/>
    <cellStyle name="20% - Accent4 3 2 2 3 3 2 2 2" xfId="9182" xr:uid="{00000000-0005-0000-0000-0000601C0000}"/>
    <cellStyle name="20% - Accent4 3 2 2 3 3 2 3" xfId="10025" xr:uid="{00000000-0005-0000-0000-0000611C0000}"/>
    <cellStyle name="20% - Accent4 3 2 2 3 3 3" xfId="25947" xr:uid="{00000000-0005-0000-0000-0000621C0000}"/>
    <cellStyle name="20% - Accent4 3 2 2 3 3 3 2" xfId="10075" xr:uid="{00000000-0005-0000-0000-0000631C0000}"/>
    <cellStyle name="20% - Accent4 3 2 2 3 3 4" xfId="11681" xr:uid="{00000000-0005-0000-0000-0000641C0000}"/>
    <cellStyle name="20% - Accent4 3 2 2 3 4" xfId="28440" xr:uid="{00000000-0005-0000-0000-0000651C0000}"/>
    <cellStyle name="20% - Accent4 3 2 2 3 4 2" xfId="10027" xr:uid="{00000000-0005-0000-0000-0000661C0000}"/>
    <cellStyle name="20% - Accent4 3 2 2 3 4 2 2" xfId="12618" xr:uid="{00000000-0005-0000-0000-0000671C0000}"/>
    <cellStyle name="20% - Accent4 3 2 2 3 4 3" xfId="26636" xr:uid="{00000000-0005-0000-0000-0000681C0000}"/>
    <cellStyle name="20% - Accent4 3 2 2 3 5" xfId="7028" xr:uid="{00000000-0005-0000-0000-0000691C0000}"/>
    <cellStyle name="20% - Accent4 3 2 2 3 5 2" xfId="10032" xr:uid="{00000000-0005-0000-0000-00006A1C0000}"/>
    <cellStyle name="20% - Accent4 3 2 2 3 6" xfId="15250" xr:uid="{00000000-0005-0000-0000-00006B1C0000}"/>
    <cellStyle name="20% - Accent4 3 2 2 4" xfId="2584" xr:uid="{00000000-0005-0000-0000-00006C1C0000}"/>
    <cellStyle name="20% - Accent4 3 2 2 4 2" xfId="13704" xr:uid="{00000000-0005-0000-0000-00006D1C0000}"/>
    <cellStyle name="20% - Accent4 3 2 2 4 2 2" xfId="5753" xr:uid="{00000000-0005-0000-0000-00006E1C0000}"/>
    <cellStyle name="20% - Accent4 3 2 2 4 2 2 2" xfId="11295" xr:uid="{00000000-0005-0000-0000-00006F1C0000}"/>
    <cellStyle name="20% - Accent4 3 2 2 4 2 2 2 2" xfId="10037" xr:uid="{00000000-0005-0000-0000-0000701C0000}"/>
    <cellStyle name="20% - Accent4 3 2 2 4 2 2 3" xfId="10038" xr:uid="{00000000-0005-0000-0000-0000711C0000}"/>
    <cellStyle name="20% - Accent4 3 2 2 4 2 3" xfId="8427" xr:uid="{00000000-0005-0000-0000-0000721C0000}"/>
    <cellStyle name="20% - Accent4 3 2 2 4 2 3 2" xfId="11304" xr:uid="{00000000-0005-0000-0000-0000731C0000}"/>
    <cellStyle name="20% - Accent4 3 2 2 4 2 4" xfId="11691" xr:uid="{00000000-0005-0000-0000-0000741C0000}"/>
    <cellStyle name="20% - Accent4 3 2 2 4 3" xfId="978" xr:uid="{00000000-0005-0000-0000-0000751C0000}"/>
    <cellStyle name="20% - Accent4 3 2 2 4 3 2" xfId="10041" xr:uid="{00000000-0005-0000-0000-0000761C0000}"/>
    <cellStyle name="20% - Accent4 3 2 2 4 3 2 2" xfId="10395" xr:uid="{00000000-0005-0000-0000-0000771C0000}"/>
    <cellStyle name="20% - Accent4 3 2 2 4 3 3" xfId="25181" xr:uid="{00000000-0005-0000-0000-0000781C0000}"/>
    <cellStyle name="20% - Accent4 3 2 2 4 4" xfId="7919" xr:uid="{00000000-0005-0000-0000-0000791C0000}"/>
    <cellStyle name="20% - Accent4 3 2 2 4 4 2" xfId="10042" xr:uid="{00000000-0005-0000-0000-00007A1C0000}"/>
    <cellStyle name="20% - Accent4 3 2 2 4 5" xfId="10045" xr:uid="{00000000-0005-0000-0000-00007B1C0000}"/>
    <cellStyle name="20% - Accent4 3 2 2 5" xfId="993" xr:uid="{00000000-0005-0000-0000-00007C1C0000}"/>
    <cellStyle name="20% - Accent4 3 2 2 5 2" xfId="999" xr:uid="{00000000-0005-0000-0000-00007D1C0000}"/>
    <cellStyle name="20% - Accent4 3 2 2 5 2 2" xfId="15556" xr:uid="{00000000-0005-0000-0000-00007E1C0000}"/>
    <cellStyle name="20% - Accent4 3 2 2 5 2 2 2" xfId="13354" xr:uid="{00000000-0005-0000-0000-00007F1C0000}"/>
    <cellStyle name="20% - Accent4 3 2 2 5 2 3" xfId="10056" xr:uid="{00000000-0005-0000-0000-0000801C0000}"/>
    <cellStyle name="20% - Accent4 3 2 2 5 3" xfId="1004" xr:uid="{00000000-0005-0000-0000-0000811C0000}"/>
    <cellStyle name="20% - Accent4 3 2 2 5 3 2" xfId="10058" xr:uid="{00000000-0005-0000-0000-0000821C0000}"/>
    <cellStyle name="20% - Accent4 3 2 2 5 4" xfId="10059" xr:uid="{00000000-0005-0000-0000-0000831C0000}"/>
    <cellStyle name="20% - Accent4 3 2 2 6" xfId="3570" xr:uid="{00000000-0005-0000-0000-0000841C0000}"/>
    <cellStyle name="20% - Accent4 3 2 2 6 2" xfId="1012" xr:uid="{00000000-0005-0000-0000-0000851C0000}"/>
    <cellStyle name="20% - Accent4 3 2 2 6 2 2" xfId="12955" xr:uid="{00000000-0005-0000-0000-0000861C0000}"/>
    <cellStyle name="20% - Accent4 3 2 2 6 3" xfId="32983" xr:uid="{00000000-0005-0000-0000-0000871C0000}"/>
    <cellStyle name="20% - Accent4 3 2 2 7" xfId="7396" xr:uid="{00000000-0005-0000-0000-0000881C0000}"/>
    <cellStyle name="20% - Accent4 3 2 2 7 2" xfId="10063" xr:uid="{00000000-0005-0000-0000-0000891C0000}"/>
    <cellStyle name="20% - Accent4 3 2 2 8" xfId="15357" xr:uid="{00000000-0005-0000-0000-00008A1C0000}"/>
    <cellStyle name="20% - Accent4 3 2 3" xfId="10068" xr:uid="{00000000-0005-0000-0000-00008B1C0000}"/>
    <cellStyle name="20% - Accent4 3 2 3 2" xfId="10072" xr:uid="{00000000-0005-0000-0000-00008C1C0000}"/>
    <cellStyle name="20% - Accent4 3 2 3 2 2" xfId="10079" xr:uid="{00000000-0005-0000-0000-00008D1C0000}"/>
    <cellStyle name="20% - Accent4 3 2 3 2 2 2" xfId="2655" xr:uid="{00000000-0005-0000-0000-00008E1C0000}"/>
    <cellStyle name="20% - Accent4 3 2 3 2 2 2 2" xfId="15371" xr:uid="{00000000-0005-0000-0000-00008F1C0000}"/>
    <cellStyle name="20% - Accent4 3 2 3 2 2 2 2 2" xfId="5217" xr:uid="{00000000-0005-0000-0000-0000901C0000}"/>
    <cellStyle name="20% - Accent4 3 2 3 2 2 2 2 2 2" xfId="10081" xr:uid="{00000000-0005-0000-0000-0000911C0000}"/>
    <cellStyle name="20% - Accent4 3 2 3 2 2 2 2 3" xfId="5228" xr:uid="{00000000-0005-0000-0000-0000921C0000}"/>
    <cellStyle name="20% - Accent4 3 2 3 2 2 2 3" xfId="15382" xr:uid="{00000000-0005-0000-0000-0000931C0000}"/>
    <cellStyle name="20% - Accent4 3 2 3 2 2 2 3 2" xfId="5258" xr:uid="{00000000-0005-0000-0000-0000941C0000}"/>
    <cellStyle name="20% - Accent4 3 2 3 2 2 2 4" xfId="15385" xr:uid="{00000000-0005-0000-0000-0000951C0000}"/>
    <cellStyle name="20% - Accent4 3 2 3 2 2 3" xfId="13130" xr:uid="{00000000-0005-0000-0000-0000961C0000}"/>
    <cellStyle name="20% - Accent4 3 2 3 2 2 3 2" xfId="12614" xr:uid="{00000000-0005-0000-0000-0000971C0000}"/>
    <cellStyle name="20% - Accent4 3 2 3 2 2 3 2 2" xfId="7542" xr:uid="{00000000-0005-0000-0000-0000981C0000}"/>
    <cellStyle name="20% - Accent4 3 2 3 2 2 3 3" xfId="14210" xr:uid="{00000000-0005-0000-0000-0000991C0000}"/>
    <cellStyle name="20% - Accent4 3 2 3 2 2 4" xfId="14968" xr:uid="{00000000-0005-0000-0000-00009A1C0000}"/>
    <cellStyle name="20% - Accent4 3 2 3 2 2 4 2" xfId="17572" xr:uid="{00000000-0005-0000-0000-00009B1C0000}"/>
    <cellStyle name="20% - Accent4 3 2 3 2 2 5" xfId="16941" xr:uid="{00000000-0005-0000-0000-00009C1C0000}"/>
    <cellStyle name="20% - Accent4 3 2 3 2 3" xfId="32295" xr:uid="{00000000-0005-0000-0000-00009D1C0000}"/>
    <cellStyle name="20% - Accent4 3 2 3 2 3 2" xfId="28761" xr:uid="{00000000-0005-0000-0000-00009E1C0000}"/>
    <cellStyle name="20% - Accent4 3 2 3 2 3 2 2" xfId="10858" xr:uid="{00000000-0005-0000-0000-00009F1C0000}"/>
    <cellStyle name="20% - Accent4 3 2 3 2 3 2 2 2" xfId="5596" xr:uid="{00000000-0005-0000-0000-0000A01C0000}"/>
    <cellStyle name="20% - Accent4 3 2 3 2 3 2 3" xfId="15413" xr:uid="{00000000-0005-0000-0000-0000A11C0000}"/>
    <cellStyle name="20% - Accent4 3 2 3 2 3 3" xfId="28765" xr:uid="{00000000-0005-0000-0000-0000A21C0000}"/>
    <cellStyle name="20% - Accent4 3 2 3 2 3 3 2" xfId="10970" xr:uid="{00000000-0005-0000-0000-0000A31C0000}"/>
    <cellStyle name="20% - Accent4 3 2 3 2 3 4" xfId="28770" xr:uid="{00000000-0005-0000-0000-0000A41C0000}"/>
    <cellStyle name="20% - Accent4 3 2 3 2 4" xfId="10186" xr:uid="{00000000-0005-0000-0000-0000A51C0000}"/>
    <cellStyle name="20% - Accent4 3 2 3 2 4 2" xfId="10092" xr:uid="{00000000-0005-0000-0000-0000A61C0000}"/>
    <cellStyle name="20% - Accent4 3 2 3 2 4 2 2" xfId="12727" xr:uid="{00000000-0005-0000-0000-0000A71C0000}"/>
    <cellStyle name="20% - Accent4 3 2 3 2 4 3" xfId="29169" xr:uid="{00000000-0005-0000-0000-0000A81C0000}"/>
    <cellStyle name="20% - Accent4 3 2 3 2 5" xfId="10102" xr:uid="{00000000-0005-0000-0000-0000A91C0000}"/>
    <cellStyle name="20% - Accent4 3 2 3 2 5 2" xfId="10104" xr:uid="{00000000-0005-0000-0000-0000AA1C0000}"/>
    <cellStyle name="20% - Accent4 3 2 3 2 6" xfId="21148" xr:uid="{00000000-0005-0000-0000-0000AB1C0000}"/>
    <cellStyle name="20% - Accent4 3 2 3 3" xfId="923" xr:uid="{00000000-0005-0000-0000-0000AC1C0000}"/>
    <cellStyle name="20% - Accent4 3 2 3 3 2" xfId="23112" xr:uid="{00000000-0005-0000-0000-0000AD1C0000}"/>
    <cellStyle name="20% - Accent4 3 2 3 3 2 2" xfId="7490" xr:uid="{00000000-0005-0000-0000-0000AE1C0000}"/>
    <cellStyle name="20% - Accent4 3 2 3 3 2 2 2" xfId="15484" xr:uid="{00000000-0005-0000-0000-0000AF1C0000}"/>
    <cellStyle name="20% - Accent4 3 2 3 3 2 2 2 2" xfId="9857" xr:uid="{00000000-0005-0000-0000-0000B01C0000}"/>
    <cellStyle name="20% - Accent4 3 2 3 3 2 2 3" xfId="15489" xr:uid="{00000000-0005-0000-0000-0000B11C0000}"/>
    <cellStyle name="20% - Accent4 3 2 3 3 2 3" xfId="8485" xr:uid="{00000000-0005-0000-0000-0000B21C0000}"/>
    <cellStyle name="20% - Accent4 3 2 3 3 2 3 2" xfId="14223" xr:uid="{00000000-0005-0000-0000-0000B31C0000}"/>
    <cellStyle name="20% - Accent4 3 2 3 3 2 4" xfId="10121" xr:uid="{00000000-0005-0000-0000-0000B41C0000}"/>
    <cellStyle name="20% - Accent4 3 2 3 3 3" xfId="22368" xr:uid="{00000000-0005-0000-0000-0000B51C0000}"/>
    <cellStyle name="20% - Accent4 3 2 3 3 3 2" xfId="4262" xr:uid="{00000000-0005-0000-0000-0000B61C0000}"/>
    <cellStyle name="20% - Accent4 3 2 3 3 3 2 2" xfId="15524" xr:uid="{00000000-0005-0000-0000-0000B71C0000}"/>
    <cellStyle name="20% - Accent4 3 2 3 3 3 3" xfId="26661" xr:uid="{00000000-0005-0000-0000-0000B81C0000}"/>
    <cellStyle name="20% - Accent4 3 2 3 3 4" xfId="10101" xr:uid="{00000000-0005-0000-0000-0000B91C0000}"/>
    <cellStyle name="20% - Accent4 3 2 3 3 4 2" xfId="10124" xr:uid="{00000000-0005-0000-0000-0000BA1C0000}"/>
    <cellStyle name="20% - Accent4 3 2 3 3 5" xfId="10903" xr:uid="{00000000-0005-0000-0000-0000BB1C0000}"/>
    <cellStyle name="20% - Accent4 3 2 3 4" xfId="1037" xr:uid="{00000000-0005-0000-0000-0000BC1C0000}"/>
    <cellStyle name="20% - Accent4 3 2 3 4 2" xfId="23325" xr:uid="{00000000-0005-0000-0000-0000BD1C0000}"/>
    <cellStyle name="20% - Accent4 3 2 3 4 2 2" xfId="8433" xr:uid="{00000000-0005-0000-0000-0000BE1C0000}"/>
    <cellStyle name="20% - Accent4 3 2 3 4 2 2 2" xfId="15554" xr:uid="{00000000-0005-0000-0000-0000BF1C0000}"/>
    <cellStyle name="20% - Accent4 3 2 3 4 2 3" xfId="10125" xr:uid="{00000000-0005-0000-0000-0000C01C0000}"/>
    <cellStyle name="20% - Accent4 3 2 3 4 3" xfId="10106" xr:uid="{00000000-0005-0000-0000-0000C11C0000}"/>
    <cellStyle name="20% - Accent4 3 2 3 4 3 2" xfId="32451" xr:uid="{00000000-0005-0000-0000-0000C21C0000}"/>
    <cellStyle name="20% - Accent4 3 2 3 4 4" xfId="10128" xr:uid="{00000000-0005-0000-0000-0000C31C0000}"/>
    <cellStyle name="20% - Accent4 3 2 3 5" xfId="1042" xr:uid="{00000000-0005-0000-0000-0000C41C0000}"/>
    <cellStyle name="20% - Accent4 3 2 3 5 2" xfId="11816" xr:uid="{00000000-0005-0000-0000-0000C51C0000}"/>
    <cellStyle name="20% - Accent4 3 2 3 5 2 2" xfId="10130" xr:uid="{00000000-0005-0000-0000-0000C61C0000}"/>
    <cellStyle name="20% - Accent4 3 2 3 5 3" xfId="11825" xr:uid="{00000000-0005-0000-0000-0000C71C0000}"/>
    <cellStyle name="20% - Accent4 3 2 3 6" xfId="3580" xr:uid="{00000000-0005-0000-0000-0000C81C0000}"/>
    <cellStyle name="20% - Accent4 3 2 3 6 2" xfId="11828" xr:uid="{00000000-0005-0000-0000-0000C91C0000}"/>
    <cellStyle name="20% - Accent4 3 2 3 7" xfId="18479" xr:uid="{00000000-0005-0000-0000-0000CA1C0000}"/>
    <cellStyle name="20% - Accent4 3 2 4" xfId="26737" xr:uid="{00000000-0005-0000-0000-0000CB1C0000}"/>
    <cellStyle name="20% - Accent4 3 2 4 2" xfId="1200" xr:uid="{00000000-0005-0000-0000-0000CC1C0000}"/>
    <cellStyle name="20% - Accent4 3 2 4 2 2" xfId="1643" xr:uid="{00000000-0005-0000-0000-0000CD1C0000}"/>
    <cellStyle name="20% - Accent4 3 2 4 2 2 2" xfId="6127" xr:uid="{00000000-0005-0000-0000-0000CE1C0000}"/>
    <cellStyle name="20% - Accent4 3 2 4 2 2 2 2" xfId="11043" xr:uid="{00000000-0005-0000-0000-0000CF1C0000}"/>
    <cellStyle name="20% - Accent4 3 2 4 2 2 2 2 2" xfId="21664" xr:uid="{00000000-0005-0000-0000-0000D01C0000}"/>
    <cellStyle name="20% - Accent4 3 2 4 2 2 2 3" xfId="15640" xr:uid="{00000000-0005-0000-0000-0000D11C0000}"/>
    <cellStyle name="20% - Accent4 3 2 4 2 2 3" xfId="9781" xr:uid="{00000000-0005-0000-0000-0000D21C0000}"/>
    <cellStyle name="20% - Accent4 3 2 4 2 2 3 2" xfId="15651" xr:uid="{00000000-0005-0000-0000-0000D31C0000}"/>
    <cellStyle name="20% - Accent4 3 2 4 2 2 4" xfId="10133" xr:uid="{00000000-0005-0000-0000-0000D41C0000}"/>
    <cellStyle name="20% - Accent4 3 2 4 2 3" xfId="19353" xr:uid="{00000000-0005-0000-0000-0000D51C0000}"/>
    <cellStyle name="20% - Accent4 3 2 4 2 3 2" xfId="6506" xr:uid="{00000000-0005-0000-0000-0000D61C0000}"/>
    <cellStyle name="20% - Accent4 3 2 4 2 3 2 2" xfId="15690" xr:uid="{00000000-0005-0000-0000-0000D71C0000}"/>
    <cellStyle name="20% - Accent4 3 2 4 2 3 3" xfId="23462" xr:uid="{00000000-0005-0000-0000-0000D81C0000}"/>
    <cellStyle name="20% - Accent4 3 2 4 2 4" xfId="15848" xr:uid="{00000000-0005-0000-0000-0000D91C0000}"/>
    <cellStyle name="20% - Accent4 3 2 4 2 4 2" xfId="23417" xr:uid="{00000000-0005-0000-0000-0000DA1C0000}"/>
    <cellStyle name="20% - Accent4 3 2 4 2 5" xfId="10142" xr:uid="{00000000-0005-0000-0000-0000DB1C0000}"/>
    <cellStyle name="20% - Accent4 3 2 4 3" xfId="2848" xr:uid="{00000000-0005-0000-0000-0000DC1C0000}"/>
    <cellStyle name="20% - Accent4 3 2 4 3 2" xfId="26893" xr:uid="{00000000-0005-0000-0000-0000DD1C0000}"/>
    <cellStyle name="20% - Accent4 3 2 4 3 2 2" xfId="6136" xr:uid="{00000000-0005-0000-0000-0000DE1C0000}"/>
    <cellStyle name="20% - Accent4 3 2 4 3 2 2 2" xfId="15733" xr:uid="{00000000-0005-0000-0000-0000DF1C0000}"/>
    <cellStyle name="20% - Accent4 3 2 4 3 2 3" xfId="27778" xr:uid="{00000000-0005-0000-0000-0000E01C0000}"/>
    <cellStyle name="20% - Accent4 3 2 4 3 3" xfId="15853" xr:uid="{00000000-0005-0000-0000-0000E11C0000}"/>
    <cellStyle name="20% - Accent4 3 2 4 3 3 2" xfId="932" xr:uid="{00000000-0005-0000-0000-0000E21C0000}"/>
    <cellStyle name="20% - Accent4 3 2 4 3 4" xfId="4062" xr:uid="{00000000-0005-0000-0000-0000E31C0000}"/>
    <cellStyle name="20% - Accent4 3 2 4 4" xfId="1257" xr:uid="{00000000-0005-0000-0000-0000E41C0000}"/>
    <cellStyle name="20% - Accent4 3 2 4 4 2" xfId="1262" xr:uid="{00000000-0005-0000-0000-0000E51C0000}"/>
    <cellStyle name="20% - Accent4 3 2 4 4 2 2" xfId="10147" xr:uid="{00000000-0005-0000-0000-0000E61C0000}"/>
    <cellStyle name="20% - Accent4 3 2 4 4 3" xfId="4334" xr:uid="{00000000-0005-0000-0000-0000E71C0000}"/>
    <cellStyle name="20% - Accent4 3 2 4 5" xfId="1270" xr:uid="{00000000-0005-0000-0000-0000E81C0000}"/>
    <cellStyle name="20% - Accent4 3 2 4 5 2" xfId="11840" xr:uid="{00000000-0005-0000-0000-0000E91C0000}"/>
    <cellStyle name="20% - Accent4 3 2 4 6" xfId="10149" xr:uid="{00000000-0005-0000-0000-0000EA1C0000}"/>
    <cellStyle name="20% - Accent4 3 2 5" xfId="17869" xr:uid="{00000000-0005-0000-0000-0000EB1C0000}"/>
    <cellStyle name="20% - Accent4 3 2 5 2" xfId="14490" xr:uid="{00000000-0005-0000-0000-0000EC1C0000}"/>
    <cellStyle name="20% - Accent4 3 2 5 2 2" xfId="19371" xr:uid="{00000000-0005-0000-0000-0000ED1C0000}"/>
    <cellStyle name="20% - Accent4 3 2 5 2 2 2" xfId="10678" xr:uid="{00000000-0005-0000-0000-0000EE1C0000}"/>
    <cellStyle name="20% - Accent4 3 2 5 2 2 2 2" xfId="15823" xr:uid="{00000000-0005-0000-0000-0000EF1C0000}"/>
    <cellStyle name="20% - Accent4 3 2 5 2 2 3" xfId="13656" xr:uid="{00000000-0005-0000-0000-0000F01C0000}"/>
    <cellStyle name="20% - Accent4 3 2 5 2 3" xfId="14421" xr:uid="{00000000-0005-0000-0000-0000F11C0000}"/>
    <cellStyle name="20% - Accent4 3 2 5 2 3 2" xfId="18515" xr:uid="{00000000-0005-0000-0000-0000F21C0000}"/>
    <cellStyle name="20% - Accent4 3 2 5 2 4" xfId="10151" xr:uid="{00000000-0005-0000-0000-0000F31C0000}"/>
    <cellStyle name="20% - Accent4 3 2 5 3" xfId="14500" xr:uid="{00000000-0005-0000-0000-0000F41C0000}"/>
    <cellStyle name="20% - Accent4 3 2 5 3 2" xfId="14503" xr:uid="{00000000-0005-0000-0000-0000F51C0000}"/>
    <cellStyle name="20% - Accent4 3 2 5 3 2 2" xfId="18557" xr:uid="{00000000-0005-0000-0000-0000F61C0000}"/>
    <cellStyle name="20% - Accent4 3 2 5 3 3" xfId="10159" xr:uid="{00000000-0005-0000-0000-0000F71C0000}"/>
    <cellStyle name="20% - Accent4 3 2 5 4" xfId="14504" xr:uid="{00000000-0005-0000-0000-0000F81C0000}"/>
    <cellStyle name="20% - Accent4 3 2 5 4 2" xfId="33208" xr:uid="{00000000-0005-0000-0000-0000F91C0000}"/>
    <cellStyle name="20% - Accent4 3 2 5 5" xfId="10051" xr:uid="{00000000-0005-0000-0000-0000FA1C0000}"/>
    <cellStyle name="20% - Accent4 3 2 6" xfId="10163" xr:uid="{00000000-0005-0000-0000-0000FB1C0000}"/>
    <cellStyle name="20% - Accent4 3 2 6 2" xfId="11679" xr:uid="{00000000-0005-0000-0000-0000FC1C0000}"/>
    <cellStyle name="20% - Accent4 3 2 6 2 2" xfId="1292" xr:uid="{00000000-0005-0000-0000-0000FD1C0000}"/>
    <cellStyle name="20% - Accent4 3 2 6 2 2 2" xfId="11282" xr:uid="{00000000-0005-0000-0000-0000FE1C0000}"/>
    <cellStyle name="20% - Accent4 3 2 6 2 3" xfId="15403" xr:uid="{00000000-0005-0000-0000-0000FF1C0000}"/>
    <cellStyle name="20% - Accent4 3 2 6 3" xfId="14644" xr:uid="{00000000-0005-0000-0000-0000001D0000}"/>
    <cellStyle name="20% - Accent4 3 2 6 3 2" xfId="15408" xr:uid="{00000000-0005-0000-0000-0000011D0000}"/>
    <cellStyle name="20% - Accent4 3 2 6 4" xfId="10654" xr:uid="{00000000-0005-0000-0000-0000021D0000}"/>
    <cellStyle name="20% - Accent4 3 2 7" xfId="18119" xr:uid="{00000000-0005-0000-0000-0000031D0000}"/>
    <cellStyle name="20% - Accent4 3 2 7 2" xfId="28678" xr:uid="{00000000-0005-0000-0000-0000041D0000}"/>
    <cellStyle name="20% - Accent4 3 2 7 2 2" xfId="27797" xr:uid="{00000000-0005-0000-0000-0000051D0000}"/>
    <cellStyle name="20% - Accent4 3 2 7 3" xfId="30090" xr:uid="{00000000-0005-0000-0000-0000061D0000}"/>
    <cellStyle name="20% - Accent4 3 2 8" xfId="10164" xr:uid="{00000000-0005-0000-0000-0000071D0000}"/>
    <cellStyle name="20% - Accent4 3 2 8 2" xfId="28706" xr:uid="{00000000-0005-0000-0000-0000081D0000}"/>
    <cellStyle name="20% - Accent4 3 2 9" xfId="33927" xr:uid="{00000000-0005-0000-0000-0000091D0000}"/>
    <cellStyle name="20% - Accent4 3 3" xfId="20631" xr:uid="{00000000-0005-0000-0000-00000A1D0000}"/>
    <cellStyle name="20% - Accent4 3 3 2" xfId="8159" xr:uid="{00000000-0005-0000-0000-00000B1D0000}"/>
    <cellStyle name="20% - Accent4 3 3 2 2" xfId="10166" xr:uid="{00000000-0005-0000-0000-00000C1D0000}"/>
    <cellStyle name="20% - Accent4 3 3 2 2 2" xfId="3336" xr:uid="{00000000-0005-0000-0000-00000D1D0000}"/>
    <cellStyle name="20% - Accent4 3 3 2 2 2 2" xfId="6689" xr:uid="{00000000-0005-0000-0000-00000E1D0000}"/>
    <cellStyle name="20% - Accent4 3 3 2 2 2 2 2" xfId="10167" xr:uid="{00000000-0005-0000-0000-00000F1D0000}"/>
    <cellStyle name="20% - Accent4 3 3 2 2 2 2 2 2" xfId="240" xr:uid="{00000000-0005-0000-0000-0000101D0000}"/>
    <cellStyle name="20% - Accent4 3 3 2 2 2 2 2 2 2" xfId="12863" xr:uid="{00000000-0005-0000-0000-0000111D0000}"/>
    <cellStyle name="20% - Accent4 3 3 2 2 2 2 2 3" xfId="22139" xr:uid="{00000000-0005-0000-0000-0000121D0000}"/>
    <cellStyle name="20% - Accent4 3 3 2 2 2 2 3" xfId="10176" xr:uid="{00000000-0005-0000-0000-0000131D0000}"/>
    <cellStyle name="20% - Accent4 3 3 2 2 2 2 3 2" xfId="18629" xr:uid="{00000000-0005-0000-0000-0000141D0000}"/>
    <cellStyle name="20% - Accent4 3 3 2 2 2 2 4" xfId="2968" xr:uid="{00000000-0005-0000-0000-0000151D0000}"/>
    <cellStyle name="20% - Accent4 3 3 2 2 2 3" xfId="10080" xr:uid="{00000000-0005-0000-0000-0000161D0000}"/>
    <cellStyle name="20% - Accent4 3 3 2 2 2 3 2" xfId="10179" xr:uid="{00000000-0005-0000-0000-0000171D0000}"/>
    <cellStyle name="20% - Accent4 3 3 2 2 2 3 2 2" xfId="10181" xr:uid="{00000000-0005-0000-0000-0000181D0000}"/>
    <cellStyle name="20% - Accent4 3 3 2 2 2 3 3" xfId="11763" xr:uid="{00000000-0005-0000-0000-0000191D0000}"/>
    <cellStyle name="20% - Accent4 3 3 2 2 2 4" xfId="32296" xr:uid="{00000000-0005-0000-0000-00001A1D0000}"/>
    <cellStyle name="20% - Accent4 3 3 2 2 2 4 2" xfId="24665" xr:uid="{00000000-0005-0000-0000-00001B1D0000}"/>
    <cellStyle name="20% - Accent4 3 3 2 2 2 5" xfId="10188" xr:uid="{00000000-0005-0000-0000-00001C1D0000}"/>
    <cellStyle name="20% - Accent4 3 3 2 2 3" xfId="29905" xr:uid="{00000000-0005-0000-0000-00001D1D0000}"/>
    <cellStyle name="20% - Accent4 3 3 2 2 3 2" xfId="10190" xr:uid="{00000000-0005-0000-0000-00001E1D0000}"/>
    <cellStyle name="20% - Accent4 3 3 2 2 3 2 2" xfId="10194" xr:uid="{00000000-0005-0000-0000-00001F1D0000}"/>
    <cellStyle name="20% - Accent4 3 3 2 2 3 2 2 2" xfId="10198" xr:uid="{00000000-0005-0000-0000-0000201D0000}"/>
    <cellStyle name="20% - Accent4 3 3 2 2 3 2 3" xfId="10205" xr:uid="{00000000-0005-0000-0000-0000211D0000}"/>
    <cellStyle name="20% - Accent4 3 3 2 2 3 3" xfId="948" xr:uid="{00000000-0005-0000-0000-0000221D0000}"/>
    <cellStyle name="20% - Accent4 3 3 2 2 3 3 2" xfId="10207" xr:uid="{00000000-0005-0000-0000-0000231D0000}"/>
    <cellStyle name="20% - Accent4 3 3 2 2 3 4" xfId="22366" xr:uid="{00000000-0005-0000-0000-0000241D0000}"/>
    <cellStyle name="20% - Accent4 3 3 2 2 4" xfId="27249" xr:uid="{00000000-0005-0000-0000-0000251D0000}"/>
    <cellStyle name="20% - Accent4 3 3 2 2 4 2" xfId="16986" xr:uid="{00000000-0005-0000-0000-0000261D0000}"/>
    <cellStyle name="20% - Accent4 3 3 2 2 4 2 2" xfId="30859" xr:uid="{00000000-0005-0000-0000-0000271D0000}"/>
    <cellStyle name="20% - Accent4 3 3 2 2 4 3" xfId="23320" xr:uid="{00000000-0005-0000-0000-0000281D0000}"/>
    <cellStyle name="20% - Accent4 3 3 2 2 5" xfId="3949" xr:uid="{00000000-0005-0000-0000-0000291D0000}"/>
    <cellStyle name="20% - Accent4 3 3 2 2 5 2" xfId="2778" xr:uid="{00000000-0005-0000-0000-00002A1D0000}"/>
    <cellStyle name="20% - Accent4 3 3 2 2 6" xfId="404" xr:uid="{00000000-0005-0000-0000-00002B1D0000}"/>
    <cellStyle name="20% - Accent4 3 3 2 3" xfId="2937" xr:uid="{00000000-0005-0000-0000-00002C1D0000}"/>
    <cellStyle name="20% - Accent4 3 3 2 3 2" xfId="3205" xr:uid="{00000000-0005-0000-0000-00002D1D0000}"/>
    <cellStyle name="20% - Accent4 3 3 2 3 2 2" xfId="8070" xr:uid="{00000000-0005-0000-0000-00002E1D0000}"/>
    <cellStyle name="20% - Accent4 3 3 2 3 2 2 2" xfId="12059" xr:uid="{00000000-0005-0000-0000-00002F1D0000}"/>
    <cellStyle name="20% - Accent4 3 3 2 3 2 2 2 2" xfId="1589" xr:uid="{00000000-0005-0000-0000-0000301D0000}"/>
    <cellStyle name="20% - Accent4 3 3 2 3 2 2 3" xfId="27050" xr:uid="{00000000-0005-0000-0000-0000311D0000}"/>
    <cellStyle name="20% - Accent4 3 3 2 3 2 3" xfId="19345" xr:uid="{00000000-0005-0000-0000-0000321D0000}"/>
    <cellStyle name="20% - Accent4 3 3 2 3 2 3 2" xfId="12296" xr:uid="{00000000-0005-0000-0000-0000331D0000}"/>
    <cellStyle name="20% - Accent4 3 3 2 3 2 4" xfId="19350" xr:uid="{00000000-0005-0000-0000-0000341D0000}"/>
    <cellStyle name="20% - Accent4 3 3 2 3 3" xfId="2950" xr:uid="{00000000-0005-0000-0000-0000351D0000}"/>
    <cellStyle name="20% - Accent4 3 3 2 3 3 2" xfId="10218" xr:uid="{00000000-0005-0000-0000-0000361D0000}"/>
    <cellStyle name="20% - Accent4 3 3 2 3 3 2 2" xfId="13315" xr:uid="{00000000-0005-0000-0000-0000371D0000}"/>
    <cellStyle name="20% - Accent4 3 3 2 3 3 3" xfId="26898" xr:uid="{00000000-0005-0000-0000-0000381D0000}"/>
    <cellStyle name="20% - Accent4 3 3 2 3 4" xfId="4370" xr:uid="{00000000-0005-0000-0000-0000391D0000}"/>
    <cellStyle name="20% - Accent4 3 3 2 3 4 2" xfId="10219" xr:uid="{00000000-0005-0000-0000-00003A1D0000}"/>
    <cellStyle name="20% - Accent4 3 3 2 3 5" xfId="7043" xr:uid="{00000000-0005-0000-0000-00003B1D0000}"/>
    <cellStyle name="20% - Accent4 3 3 2 4" xfId="16413" xr:uid="{00000000-0005-0000-0000-00003C1D0000}"/>
    <cellStyle name="20% - Accent4 3 3 2 4 2" xfId="8809" xr:uid="{00000000-0005-0000-0000-00003D1D0000}"/>
    <cellStyle name="20% - Accent4 3 3 2 4 2 2" xfId="10222" xr:uid="{00000000-0005-0000-0000-00003E1D0000}"/>
    <cellStyle name="20% - Accent4 3 3 2 4 2 2 2" xfId="10225" xr:uid="{00000000-0005-0000-0000-00003F1D0000}"/>
    <cellStyle name="20% - Accent4 3 3 2 4 2 3" xfId="19369" xr:uid="{00000000-0005-0000-0000-0000401D0000}"/>
    <cellStyle name="20% - Accent4 3 3 2 4 3" xfId="4964" xr:uid="{00000000-0005-0000-0000-0000411D0000}"/>
    <cellStyle name="20% - Accent4 3 3 2 4 3 2" xfId="10227" xr:uid="{00000000-0005-0000-0000-0000421D0000}"/>
    <cellStyle name="20% - Accent4 3 3 2 4 4" xfId="10229" xr:uid="{00000000-0005-0000-0000-0000431D0000}"/>
    <cellStyle name="20% - Accent4 3 3 2 5" xfId="2966" xr:uid="{00000000-0005-0000-0000-0000441D0000}"/>
    <cellStyle name="20% - Accent4 3 3 2 5 2" xfId="1136" xr:uid="{00000000-0005-0000-0000-0000451D0000}"/>
    <cellStyle name="20% - Accent4 3 3 2 5 2 2" xfId="10231" xr:uid="{00000000-0005-0000-0000-0000461D0000}"/>
    <cellStyle name="20% - Accent4 3 3 2 5 3" xfId="10234" xr:uid="{00000000-0005-0000-0000-0000471D0000}"/>
    <cellStyle name="20% - Accent4 3 3 2 6" xfId="1183" xr:uid="{00000000-0005-0000-0000-0000481D0000}"/>
    <cellStyle name="20% - Accent4 3 3 2 6 2" xfId="21223" xr:uid="{00000000-0005-0000-0000-0000491D0000}"/>
    <cellStyle name="20% - Accent4 3 3 2 7" xfId="10237" xr:uid="{00000000-0005-0000-0000-00004A1D0000}"/>
    <cellStyle name="20% - Accent4 3 3 3" xfId="3401" xr:uid="{00000000-0005-0000-0000-00004B1D0000}"/>
    <cellStyle name="20% - Accent4 3 3 3 2" xfId="10239" xr:uid="{00000000-0005-0000-0000-00004C1D0000}"/>
    <cellStyle name="20% - Accent4 3 3 3 2 2" xfId="13669" xr:uid="{00000000-0005-0000-0000-00004D1D0000}"/>
    <cellStyle name="20% - Accent4 3 3 3 2 2 2" xfId="10240" xr:uid="{00000000-0005-0000-0000-00004E1D0000}"/>
    <cellStyle name="20% - Accent4 3 3 3 2 2 2 2" xfId="13031" xr:uid="{00000000-0005-0000-0000-00004F1D0000}"/>
    <cellStyle name="20% - Accent4 3 3 3 2 2 2 2 2" xfId="825" xr:uid="{00000000-0005-0000-0000-0000501D0000}"/>
    <cellStyle name="20% - Accent4 3 3 3 2 2 2 3" xfId="16000" xr:uid="{00000000-0005-0000-0000-0000511D0000}"/>
    <cellStyle name="20% - Accent4 3 3 3 2 2 3" xfId="13667" xr:uid="{00000000-0005-0000-0000-0000521D0000}"/>
    <cellStyle name="20% - Accent4 3 3 3 2 2 3 2" xfId="16014" xr:uid="{00000000-0005-0000-0000-0000531D0000}"/>
    <cellStyle name="20% - Accent4 3 3 3 2 2 4" xfId="17100" xr:uid="{00000000-0005-0000-0000-0000541D0000}"/>
    <cellStyle name="20% - Accent4 3 3 3 2 3" xfId="17102" xr:uid="{00000000-0005-0000-0000-0000551D0000}"/>
    <cellStyle name="20% - Accent4 3 3 3 2 3 2" xfId="10241" xr:uid="{00000000-0005-0000-0000-0000561D0000}"/>
    <cellStyle name="20% - Accent4 3 3 3 2 3 2 2" xfId="15452" xr:uid="{00000000-0005-0000-0000-0000571D0000}"/>
    <cellStyle name="20% - Accent4 3 3 3 2 3 3" xfId="11267" xr:uid="{00000000-0005-0000-0000-0000581D0000}"/>
    <cellStyle name="20% - Accent4 3 3 3 2 4" xfId="13674" xr:uid="{00000000-0005-0000-0000-0000591D0000}"/>
    <cellStyle name="20% - Accent4 3 3 3 2 4 2" xfId="3319" xr:uid="{00000000-0005-0000-0000-00005A1D0000}"/>
    <cellStyle name="20% - Accent4 3 3 3 2 5" xfId="3979" xr:uid="{00000000-0005-0000-0000-00005B1D0000}"/>
    <cellStyle name="20% - Accent4 3 3 3 3" xfId="1141" xr:uid="{00000000-0005-0000-0000-00005C1D0000}"/>
    <cellStyle name="20% - Accent4 3 3 3 3 2" xfId="11269" xr:uid="{00000000-0005-0000-0000-00005D1D0000}"/>
    <cellStyle name="20% - Accent4 3 3 3 3 2 2" xfId="10243" xr:uid="{00000000-0005-0000-0000-00005E1D0000}"/>
    <cellStyle name="20% - Accent4 3 3 3 3 2 2 2" xfId="16087" xr:uid="{00000000-0005-0000-0000-00005F1D0000}"/>
    <cellStyle name="20% - Accent4 3 3 3 3 2 3" xfId="19418" xr:uid="{00000000-0005-0000-0000-0000601D0000}"/>
    <cellStyle name="20% - Accent4 3 3 3 3 3" xfId="11319" xr:uid="{00000000-0005-0000-0000-0000611D0000}"/>
    <cellStyle name="20% - Accent4 3 3 3 3 3 2" xfId="10245" xr:uid="{00000000-0005-0000-0000-0000621D0000}"/>
    <cellStyle name="20% - Accent4 3 3 3 3 4" xfId="10246" xr:uid="{00000000-0005-0000-0000-0000631D0000}"/>
    <cellStyle name="20% - Accent4 3 3 3 4" xfId="1020" xr:uid="{00000000-0005-0000-0000-0000641D0000}"/>
    <cellStyle name="20% - Accent4 3 3 3 4 2" xfId="11310" xr:uid="{00000000-0005-0000-0000-0000651D0000}"/>
    <cellStyle name="20% - Accent4 3 3 3 4 2 2" xfId="10247" xr:uid="{00000000-0005-0000-0000-0000661D0000}"/>
    <cellStyle name="20% - Accent4 3 3 3 4 3" xfId="10248" xr:uid="{00000000-0005-0000-0000-0000671D0000}"/>
    <cellStyle name="20% - Accent4 3 3 3 5" xfId="1170" xr:uid="{00000000-0005-0000-0000-0000681D0000}"/>
    <cellStyle name="20% - Accent4 3 3 3 5 2" xfId="11856" xr:uid="{00000000-0005-0000-0000-0000691D0000}"/>
    <cellStyle name="20% - Accent4 3 3 3 6" xfId="10251" xr:uid="{00000000-0005-0000-0000-00006A1D0000}"/>
    <cellStyle name="20% - Accent4 3 3 4" xfId="1980" xr:uid="{00000000-0005-0000-0000-00006B1D0000}"/>
    <cellStyle name="20% - Accent4 3 3 4 2" xfId="1915" xr:uid="{00000000-0005-0000-0000-00006C1D0000}"/>
    <cellStyle name="20% - Accent4 3 3 4 2 2" xfId="32226" xr:uid="{00000000-0005-0000-0000-00006D1D0000}"/>
    <cellStyle name="20% - Accent4 3 3 4 2 2 2" xfId="6372" xr:uid="{00000000-0005-0000-0000-00006E1D0000}"/>
    <cellStyle name="20% - Accent4 3 3 4 2 2 2 2" xfId="13012" xr:uid="{00000000-0005-0000-0000-00006F1D0000}"/>
    <cellStyle name="20% - Accent4 3 3 4 2 2 3" xfId="24664" xr:uid="{00000000-0005-0000-0000-0000701D0000}"/>
    <cellStyle name="20% - Accent4 3 3 4 2 3" xfId="15880" xr:uid="{00000000-0005-0000-0000-0000711D0000}"/>
    <cellStyle name="20% - Accent4 3 3 4 2 3 2" xfId="10254" xr:uid="{00000000-0005-0000-0000-0000721D0000}"/>
    <cellStyle name="20% - Accent4 3 3 4 2 4" xfId="10255" xr:uid="{00000000-0005-0000-0000-0000731D0000}"/>
    <cellStyle name="20% - Accent4 3 3 4 3" xfId="1958" xr:uid="{00000000-0005-0000-0000-0000741D0000}"/>
    <cellStyle name="20% - Accent4 3 3 4 3 2" xfId="11382" xr:uid="{00000000-0005-0000-0000-0000751D0000}"/>
    <cellStyle name="20% - Accent4 3 3 4 3 2 2" xfId="10256" xr:uid="{00000000-0005-0000-0000-0000761D0000}"/>
    <cellStyle name="20% - Accent4 3 3 4 3 3" xfId="10257" xr:uid="{00000000-0005-0000-0000-0000771D0000}"/>
    <cellStyle name="20% - Accent4 3 3 4 4" xfId="1372" xr:uid="{00000000-0005-0000-0000-0000781D0000}"/>
    <cellStyle name="20% - Accent4 3 3 4 4 2" xfId="10258" xr:uid="{00000000-0005-0000-0000-0000791D0000}"/>
    <cellStyle name="20% - Accent4 3 3 4 5" xfId="33771" xr:uid="{00000000-0005-0000-0000-00007A1D0000}"/>
    <cellStyle name="20% - Accent4 3 3 5" xfId="17317" xr:uid="{00000000-0005-0000-0000-00007B1D0000}"/>
    <cellStyle name="20% - Accent4 3 3 5 2" xfId="11688" xr:uid="{00000000-0005-0000-0000-00007C1D0000}"/>
    <cellStyle name="20% - Accent4 3 3 5 2 2" xfId="14856" xr:uid="{00000000-0005-0000-0000-00007D1D0000}"/>
    <cellStyle name="20% - Accent4 3 3 5 2 2 2" xfId="23927" xr:uid="{00000000-0005-0000-0000-00007E1D0000}"/>
    <cellStyle name="20% - Accent4 3 3 5 2 3" xfId="4178" xr:uid="{00000000-0005-0000-0000-00007F1D0000}"/>
    <cellStyle name="20% - Accent4 3 3 5 3" xfId="15125" xr:uid="{00000000-0005-0000-0000-0000801D0000}"/>
    <cellStyle name="20% - Accent4 3 3 5 3 2" xfId="10265" xr:uid="{00000000-0005-0000-0000-0000811D0000}"/>
    <cellStyle name="20% - Accent4 3 3 5 4" xfId="10269" xr:uid="{00000000-0005-0000-0000-0000821D0000}"/>
    <cellStyle name="20% - Accent4 3 3 6" xfId="1899" xr:uid="{00000000-0005-0000-0000-0000831D0000}"/>
    <cellStyle name="20% - Accent4 3 3 6 2" xfId="14242" xr:uid="{00000000-0005-0000-0000-0000841D0000}"/>
    <cellStyle name="20% - Accent4 3 3 6 2 2" xfId="12380" xr:uid="{00000000-0005-0000-0000-0000851D0000}"/>
    <cellStyle name="20% - Accent4 3 3 6 3" xfId="11223" xr:uid="{00000000-0005-0000-0000-0000861D0000}"/>
    <cellStyle name="20% - Accent4 3 3 7" xfId="28155" xr:uid="{00000000-0005-0000-0000-0000871D0000}"/>
    <cellStyle name="20% - Accent4 3 3 7 2" xfId="10272" xr:uid="{00000000-0005-0000-0000-0000881D0000}"/>
    <cellStyle name="20% - Accent4 3 3 8" xfId="28159" xr:uid="{00000000-0005-0000-0000-0000891D0000}"/>
    <cellStyle name="20% - Accent4 3 4" xfId="10275" xr:uid="{00000000-0005-0000-0000-00008A1D0000}"/>
    <cellStyle name="20% - Accent4 3 4 2" xfId="12635" xr:uid="{00000000-0005-0000-0000-00008B1D0000}"/>
    <cellStyle name="20% - Accent4 3 4 2 2" xfId="10276" xr:uid="{00000000-0005-0000-0000-00008C1D0000}"/>
    <cellStyle name="20% - Accent4 3 4 2 2 2" xfId="10277" xr:uid="{00000000-0005-0000-0000-00008D1D0000}"/>
    <cellStyle name="20% - Accent4 3 4 2 2 2 2" xfId="3416" xr:uid="{00000000-0005-0000-0000-00008E1D0000}"/>
    <cellStyle name="20% - Accent4 3 4 2 2 2 2 2" xfId="10282" xr:uid="{00000000-0005-0000-0000-00008F1D0000}"/>
    <cellStyle name="20% - Accent4 3 4 2 2 2 2 2 2" xfId="3751" xr:uid="{00000000-0005-0000-0000-0000901D0000}"/>
    <cellStyle name="20% - Accent4 3 4 2 2 2 2 3" xfId="10284" xr:uid="{00000000-0005-0000-0000-0000911D0000}"/>
    <cellStyle name="20% - Accent4 3 4 2 2 2 3" xfId="11101" xr:uid="{00000000-0005-0000-0000-0000921D0000}"/>
    <cellStyle name="20% - Accent4 3 4 2 2 2 3 2" xfId="10287" xr:uid="{00000000-0005-0000-0000-0000931D0000}"/>
    <cellStyle name="20% - Accent4 3 4 2 2 2 4" xfId="12862" xr:uid="{00000000-0005-0000-0000-0000941D0000}"/>
    <cellStyle name="20% - Accent4 3 4 2 2 3" xfId="11761" xr:uid="{00000000-0005-0000-0000-0000951D0000}"/>
    <cellStyle name="20% - Accent4 3 4 2 2 3 2" xfId="4592" xr:uid="{00000000-0005-0000-0000-0000961D0000}"/>
    <cellStyle name="20% - Accent4 3 4 2 2 3 2 2" xfId="10290" xr:uid="{00000000-0005-0000-0000-0000971D0000}"/>
    <cellStyle name="20% - Accent4 3 4 2 2 3 3" xfId="7993" xr:uid="{00000000-0005-0000-0000-0000981D0000}"/>
    <cellStyle name="20% - Accent4 3 4 2 2 4" xfId="10292" xr:uid="{00000000-0005-0000-0000-0000991D0000}"/>
    <cellStyle name="20% - Accent4 3 4 2 2 4 2" xfId="10297" xr:uid="{00000000-0005-0000-0000-00009A1D0000}"/>
    <cellStyle name="20% - Accent4 3 4 2 2 5" xfId="4457" xr:uid="{00000000-0005-0000-0000-00009B1D0000}"/>
    <cellStyle name="20% - Accent4 3 4 2 3" xfId="13852" xr:uid="{00000000-0005-0000-0000-00009C1D0000}"/>
    <cellStyle name="20% - Accent4 3 4 2 3 2" xfId="3163" xr:uid="{00000000-0005-0000-0000-00009D1D0000}"/>
    <cellStyle name="20% - Accent4 3 4 2 3 2 2" xfId="10303" xr:uid="{00000000-0005-0000-0000-00009E1D0000}"/>
    <cellStyle name="20% - Accent4 3 4 2 3 2 2 2" xfId="23854" xr:uid="{00000000-0005-0000-0000-00009F1D0000}"/>
    <cellStyle name="20% - Accent4 3 4 2 3 2 3" xfId="10308" xr:uid="{00000000-0005-0000-0000-0000A01D0000}"/>
    <cellStyle name="20% - Accent4 3 4 2 3 3" xfId="2379" xr:uid="{00000000-0005-0000-0000-0000A11D0000}"/>
    <cellStyle name="20% - Accent4 3 4 2 3 3 2" xfId="10311" xr:uid="{00000000-0005-0000-0000-0000A21D0000}"/>
    <cellStyle name="20% - Accent4 3 4 2 3 4" xfId="10314" xr:uid="{00000000-0005-0000-0000-0000A31D0000}"/>
    <cellStyle name="20% - Accent4 3 4 2 4" xfId="31878" xr:uid="{00000000-0005-0000-0000-0000A41D0000}"/>
    <cellStyle name="20% - Accent4 3 4 2 4 2" xfId="2891" xr:uid="{00000000-0005-0000-0000-0000A51D0000}"/>
    <cellStyle name="20% - Accent4 3 4 2 4 2 2" xfId="18654" xr:uid="{00000000-0005-0000-0000-0000A61D0000}"/>
    <cellStyle name="20% - Accent4 3 4 2 4 3" xfId="14545" xr:uid="{00000000-0005-0000-0000-0000A71D0000}"/>
    <cellStyle name="20% - Accent4 3 4 2 5" xfId="2895" xr:uid="{00000000-0005-0000-0000-0000A81D0000}"/>
    <cellStyle name="20% - Accent4 3 4 2 5 2" xfId="10315" xr:uid="{00000000-0005-0000-0000-0000A91D0000}"/>
    <cellStyle name="20% - Accent4 3 4 2 6" xfId="12740" xr:uid="{00000000-0005-0000-0000-0000AA1D0000}"/>
    <cellStyle name="20% - Accent4 3 4 3" xfId="8375" xr:uid="{00000000-0005-0000-0000-0000AB1D0000}"/>
    <cellStyle name="20% - Accent4 3 4 3 2" xfId="10316" xr:uid="{00000000-0005-0000-0000-0000AC1D0000}"/>
    <cellStyle name="20% - Accent4 3 4 3 2 2" xfId="24663" xr:uid="{00000000-0005-0000-0000-0000AD1D0000}"/>
    <cellStyle name="20% - Accent4 3 4 3 2 2 2" xfId="10322" xr:uid="{00000000-0005-0000-0000-0000AE1D0000}"/>
    <cellStyle name="20% - Accent4 3 4 3 2 2 2 2" xfId="16309" xr:uid="{00000000-0005-0000-0000-0000AF1D0000}"/>
    <cellStyle name="20% - Accent4 3 4 3 2 2 3" xfId="13459" xr:uid="{00000000-0005-0000-0000-0000B01D0000}"/>
    <cellStyle name="20% - Accent4 3 4 3 2 3" xfId="15261" xr:uid="{00000000-0005-0000-0000-0000B11D0000}"/>
    <cellStyle name="20% - Accent4 3 4 3 2 3 2" xfId="10329" xr:uid="{00000000-0005-0000-0000-0000B21D0000}"/>
    <cellStyle name="20% - Accent4 3 4 3 2 4" xfId="10083" xr:uid="{00000000-0005-0000-0000-0000B31D0000}"/>
    <cellStyle name="20% - Accent4 3 4 3 3" xfId="13858" xr:uid="{00000000-0005-0000-0000-0000B41D0000}"/>
    <cellStyle name="20% - Accent4 3 4 3 3 2" xfId="17294" xr:uid="{00000000-0005-0000-0000-0000B51D0000}"/>
    <cellStyle name="20% - Accent4 3 4 3 3 2 2" xfId="10333" xr:uid="{00000000-0005-0000-0000-0000B61D0000}"/>
    <cellStyle name="20% - Accent4 3 4 3 3 3" xfId="24854" xr:uid="{00000000-0005-0000-0000-0000B71D0000}"/>
    <cellStyle name="20% - Accent4 3 4 3 4" xfId="1202" xr:uid="{00000000-0005-0000-0000-0000B81D0000}"/>
    <cellStyle name="20% - Accent4 3 4 3 4 2" xfId="10335" xr:uid="{00000000-0005-0000-0000-0000B91D0000}"/>
    <cellStyle name="20% - Accent4 3 4 3 5" xfId="30609" xr:uid="{00000000-0005-0000-0000-0000BA1D0000}"/>
    <cellStyle name="20% - Accent4 3 4 4" xfId="20527" xr:uid="{00000000-0005-0000-0000-0000BB1D0000}"/>
    <cellStyle name="20% - Accent4 3 4 4 2" xfId="11417" xr:uid="{00000000-0005-0000-0000-0000BC1D0000}"/>
    <cellStyle name="20% - Accent4 3 4 4 2 2" xfId="17384" xr:uid="{00000000-0005-0000-0000-0000BD1D0000}"/>
    <cellStyle name="20% - Accent4 3 4 4 2 2 2" xfId="10939" xr:uid="{00000000-0005-0000-0000-0000BE1D0000}"/>
    <cellStyle name="20% - Accent4 3 4 4 2 3" xfId="10509" xr:uid="{00000000-0005-0000-0000-0000BF1D0000}"/>
    <cellStyle name="20% - Accent4 3 4 4 3" xfId="28315" xr:uid="{00000000-0005-0000-0000-0000C01D0000}"/>
    <cellStyle name="20% - Accent4 3 4 4 3 2" xfId="10347" xr:uid="{00000000-0005-0000-0000-0000C11D0000}"/>
    <cellStyle name="20% - Accent4 3 4 4 4" xfId="10349" xr:uid="{00000000-0005-0000-0000-0000C21D0000}"/>
    <cellStyle name="20% - Accent4 3 4 5" xfId="28319" xr:uid="{00000000-0005-0000-0000-0000C31D0000}"/>
    <cellStyle name="20% - Accent4 3 4 5 2" xfId="9825" xr:uid="{00000000-0005-0000-0000-0000C41D0000}"/>
    <cellStyle name="20% - Accent4 3 4 5 2 2" xfId="10354" xr:uid="{00000000-0005-0000-0000-0000C51D0000}"/>
    <cellStyle name="20% - Accent4 3 4 5 3" xfId="11233" xr:uid="{00000000-0005-0000-0000-0000C61D0000}"/>
    <cellStyle name="20% - Accent4 3 4 6" xfId="15365" xr:uid="{00000000-0005-0000-0000-0000C71D0000}"/>
    <cellStyle name="20% - Accent4 3 4 6 2" xfId="10358" xr:uid="{00000000-0005-0000-0000-0000C81D0000}"/>
    <cellStyle name="20% - Accent4 3 4 7" xfId="31436" xr:uid="{00000000-0005-0000-0000-0000C91D0000}"/>
    <cellStyle name="20% - Accent4 3 5" xfId="10363" xr:uid="{00000000-0005-0000-0000-0000CA1D0000}"/>
    <cellStyle name="20% - Accent4 3 5 2" xfId="21559" xr:uid="{00000000-0005-0000-0000-0000CB1D0000}"/>
    <cellStyle name="20% - Accent4 3 5 2 2" xfId="19874" xr:uid="{00000000-0005-0000-0000-0000CC1D0000}"/>
    <cellStyle name="20% - Accent4 3 5 2 2 2" xfId="7475" xr:uid="{00000000-0005-0000-0000-0000CD1D0000}"/>
    <cellStyle name="20% - Accent4 3 5 2 2 2 2" xfId="32223" xr:uid="{00000000-0005-0000-0000-0000CE1D0000}"/>
    <cellStyle name="20% - Accent4 3 5 2 2 2 2 2" xfId="23937" xr:uid="{00000000-0005-0000-0000-0000CF1D0000}"/>
    <cellStyle name="20% - Accent4 3 5 2 2 2 3" xfId="8591" xr:uid="{00000000-0005-0000-0000-0000D01D0000}"/>
    <cellStyle name="20% - Accent4 3 5 2 2 3" xfId="2787" xr:uid="{00000000-0005-0000-0000-0000D11D0000}"/>
    <cellStyle name="20% - Accent4 3 5 2 2 3 2" xfId="13234" xr:uid="{00000000-0005-0000-0000-0000D21D0000}"/>
    <cellStyle name="20% - Accent4 3 5 2 2 4" xfId="13244" xr:uid="{00000000-0005-0000-0000-0000D31D0000}"/>
    <cellStyle name="20% - Accent4 3 5 2 3" xfId="26279" xr:uid="{00000000-0005-0000-0000-0000D41D0000}"/>
    <cellStyle name="20% - Accent4 3 5 2 3 2" xfId="31919" xr:uid="{00000000-0005-0000-0000-0000D51D0000}"/>
    <cellStyle name="20% - Accent4 3 5 2 3 2 2" xfId="8602" xr:uid="{00000000-0005-0000-0000-0000D61D0000}"/>
    <cellStyle name="20% - Accent4 3 5 2 3 3" xfId="13259" xr:uid="{00000000-0005-0000-0000-0000D71D0000}"/>
    <cellStyle name="20% - Accent4 3 5 2 4" xfId="2982" xr:uid="{00000000-0005-0000-0000-0000D81D0000}"/>
    <cellStyle name="20% - Accent4 3 5 2 4 2" xfId="8606" xr:uid="{00000000-0005-0000-0000-0000D91D0000}"/>
    <cellStyle name="20% - Accent4 3 5 2 5" xfId="826" xr:uid="{00000000-0005-0000-0000-0000DA1D0000}"/>
    <cellStyle name="20% - Accent4 3 5 3" xfId="23631" xr:uid="{00000000-0005-0000-0000-0000DB1D0000}"/>
    <cellStyle name="20% - Accent4 3 5 3 2" xfId="19877" xr:uid="{00000000-0005-0000-0000-0000DC1D0000}"/>
    <cellStyle name="20% - Accent4 3 5 3 2 2" xfId="8609" xr:uid="{00000000-0005-0000-0000-0000DD1D0000}"/>
    <cellStyle name="20% - Accent4 3 5 3 2 2 2" xfId="8616" xr:uid="{00000000-0005-0000-0000-0000DE1D0000}"/>
    <cellStyle name="20% - Accent4 3 5 3 2 3" xfId="12884" xr:uid="{00000000-0005-0000-0000-0000DF1D0000}"/>
    <cellStyle name="20% - Accent4 3 5 3 3" xfId="12384" xr:uid="{00000000-0005-0000-0000-0000E01D0000}"/>
    <cellStyle name="20% - Accent4 3 5 3 3 2" xfId="8630" xr:uid="{00000000-0005-0000-0000-0000E11D0000}"/>
    <cellStyle name="20% - Accent4 3 5 3 4" xfId="20677" xr:uid="{00000000-0005-0000-0000-0000E21D0000}"/>
    <cellStyle name="20% - Accent4 3 5 4" xfId="28834" xr:uid="{00000000-0005-0000-0000-0000E31D0000}"/>
    <cellStyle name="20% - Accent4 3 5 4 2" xfId="16182" xr:uid="{00000000-0005-0000-0000-0000E41D0000}"/>
    <cellStyle name="20% - Accent4 3 5 4 2 2" xfId="5747" xr:uid="{00000000-0005-0000-0000-0000E51D0000}"/>
    <cellStyle name="20% - Accent4 3 5 4 3" xfId="13599" xr:uid="{00000000-0005-0000-0000-0000E61D0000}"/>
    <cellStyle name="20% - Accent4 3 5 5" xfId="28327" xr:uid="{00000000-0005-0000-0000-0000E71D0000}"/>
    <cellStyle name="20% - Accent4 3 5 5 2" xfId="13607" xr:uid="{00000000-0005-0000-0000-0000E81D0000}"/>
    <cellStyle name="20% - Accent4 3 5 6" xfId="27906" xr:uid="{00000000-0005-0000-0000-0000E91D0000}"/>
    <cellStyle name="20% - Accent4 3 6" xfId="10376" xr:uid="{00000000-0005-0000-0000-0000EA1D0000}"/>
    <cellStyle name="20% - Accent4 3 6 2" xfId="23358" xr:uid="{00000000-0005-0000-0000-0000EB1D0000}"/>
    <cellStyle name="20% - Accent4 3 6 2 2" xfId="21787" xr:uid="{00000000-0005-0000-0000-0000EC1D0000}"/>
    <cellStyle name="20% - Accent4 3 6 2 2 2" xfId="31963" xr:uid="{00000000-0005-0000-0000-0000ED1D0000}"/>
    <cellStyle name="20% - Accent4 3 6 2 2 2 2" xfId="8686" xr:uid="{00000000-0005-0000-0000-0000EE1D0000}"/>
    <cellStyle name="20% - Accent4 3 6 2 2 3" xfId="27319" xr:uid="{00000000-0005-0000-0000-0000EF1D0000}"/>
    <cellStyle name="20% - Accent4 3 6 2 3" xfId="3025" xr:uid="{00000000-0005-0000-0000-0000F01D0000}"/>
    <cellStyle name="20% - Accent4 3 6 2 3 2" xfId="8698" xr:uid="{00000000-0005-0000-0000-0000F11D0000}"/>
    <cellStyle name="20% - Accent4 3 6 2 4" xfId="6814" xr:uid="{00000000-0005-0000-0000-0000F21D0000}"/>
    <cellStyle name="20% - Accent4 3 6 3" xfId="4679" xr:uid="{00000000-0005-0000-0000-0000F31D0000}"/>
    <cellStyle name="20% - Accent4 3 6 3 2" xfId="13761" xr:uid="{00000000-0005-0000-0000-0000F41D0000}"/>
    <cellStyle name="20% - Accent4 3 6 3 2 2" xfId="6979" xr:uid="{00000000-0005-0000-0000-0000F51D0000}"/>
    <cellStyle name="20% - Accent4 3 6 3 3" xfId="11144" xr:uid="{00000000-0005-0000-0000-0000F61D0000}"/>
    <cellStyle name="20% - Accent4 3 6 4" xfId="4683" xr:uid="{00000000-0005-0000-0000-0000F71D0000}"/>
    <cellStyle name="20% - Accent4 3 6 4 2" xfId="24535" xr:uid="{00000000-0005-0000-0000-0000F81D0000}"/>
    <cellStyle name="20% - Accent4 3 6 5" xfId="4688" xr:uid="{00000000-0005-0000-0000-0000F91D0000}"/>
    <cellStyle name="20% - Accent4 3 7" xfId="10384" xr:uid="{00000000-0005-0000-0000-0000FA1D0000}"/>
    <cellStyle name="20% - Accent4 3 7 2" xfId="10983" xr:uid="{00000000-0005-0000-0000-0000FB1D0000}"/>
    <cellStyle name="20% - Accent4 3 7 2 2" xfId="33565" xr:uid="{00000000-0005-0000-0000-0000FC1D0000}"/>
    <cellStyle name="20% - Accent4 3 7 2 2 2" xfId="24395" xr:uid="{00000000-0005-0000-0000-0000FD1D0000}"/>
    <cellStyle name="20% - Accent4 3 7 2 3" xfId="30708" xr:uid="{00000000-0005-0000-0000-0000FE1D0000}"/>
    <cellStyle name="20% - Accent4 3 7 3" xfId="4697" xr:uid="{00000000-0005-0000-0000-0000FF1D0000}"/>
    <cellStyle name="20% - Accent4 3 7 3 2" xfId="6452" xr:uid="{00000000-0005-0000-0000-0000001E0000}"/>
    <cellStyle name="20% - Accent4 3 7 4" xfId="4705" xr:uid="{00000000-0005-0000-0000-0000011E0000}"/>
    <cellStyle name="20% - Accent4 3 8" xfId="10390" xr:uid="{00000000-0005-0000-0000-0000021E0000}"/>
    <cellStyle name="20% - Accent4 3 8 2" xfId="30735" xr:uid="{00000000-0005-0000-0000-0000031E0000}"/>
    <cellStyle name="20% - Accent4 3 8 2 2" xfId="30740" xr:uid="{00000000-0005-0000-0000-0000041E0000}"/>
    <cellStyle name="20% - Accent4 3 8 3" xfId="4715" xr:uid="{00000000-0005-0000-0000-0000051E0000}"/>
    <cellStyle name="20% - Accent4 3 9" xfId="6777" xr:uid="{00000000-0005-0000-0000-0000061E0000}"/>
    <cellStyle name="20% - Accent4 3 9 2" xfId="9013" xr:uid="{00000000-0005-0000-0000-0000071E0000}"/>
    <cellStyle name="20% - Accent4 4" xfId="13233" xr:uid="{00000000-0005-0000-0000-0000081E0000}"/>
    <cellStyle name="20% - Accent4 4 2" xfId="13235" xr:uid="{00000000-0005-0000-0000-0000091E0000}"/>
    <cellStyle name="20% - Accent4 4 2 2" xfId="10392" xr:uid="{00000000-0005-0000-0000-00000A1E0000}"/>
    <cellStyle name="20% - Accent4 4 2 2 2" xfId="10393" xr:uid="{00000000-0005-0000-0000-00000B1E0000}"/>
    <cellStyle name="20% - Accent4 4 2 2 2 2" xfId="10399" xr:uid="{00000000-0005-0000-0000-00000C1E0000}"/>
    <cellStyle name="20% - Accent4 4 2 2 2 2 2" xfId="8378" xr:uid="{00000000-0005-0000-0000-00000D1E0000}"/>
    <cellStyle name="20% - Accent4 4 2 2 2 2 2 2" xfId="10400" xr:uid="{00000000-0005-0000-0000-00000E1E0000}"/>
    <cellStyle name="20% - Accent4 4 2 2 2 2 2 2 2" xfId="31417" xr:uid="{00000000-0005-0000-0000-00000F1E0000}"/>
    <cellStyle name="20% - Accent4 4 2 2 2 2 2 2 2 2" xfId="9776" xr:uid="{00000000-0005-0000-0000-0000101E0000}"/>
    <cellStyle name="20% - Accent4 4 2 2 2 2 2 2 3" xfId="3792" xr:uid="{00000000-0005-0000-0000-0000111E0000}"/>
    <cellStyle name="20% - Accent4 4 2 2 2 2 2 3" xfId="10401" xr:uid="{00000000-0005-0000-0000-0000121E0000}"/>
    <cellStyle name="20% - Accent4 4 2 2 2 2 2 3 2" xfId="27627" xr:uid="{00000000-0005-0000-0000-0000131E0000}"/>
    <cellStyle name="20% - Accent4 4 2 2 2 2 2 4" xfId="10402" xr:uid="{00000000-0005-0000-0000-0000141E0000}"/>
    <cellStyle name="20% - Accent4 4 2 2 2 2 3" xfId="11201" xr:uid="{00000000-0005-0000-0000-0000151E0000}"/>
    <cellStyle name="20% - Accent4 4 2 2 2 2 3 2" xfId="10403" xr:uid="{00000000-0005-0000-0000-0000161E0000}"/>
    <cellStyle name="20% - Accent4 4 2 2 2 2 3 2 2" xfId="27632" xr:uid="{00000000-0005-0000-0000-0000171E0000}"/>
    <cellStyle name="20% - Accent4 4 2 2 2 2 3 3" xfId="10404" xr:uid="{00000000-0005-0000-0000-0000181E0000}"/>
    <cellStyle name="20% - Accent4 4 2 2 2 2 4" xfId="12138" xr:uid="{00000000-0005-0000-0000-0000191E0000}"/>
    <cellStyle name="20% - Accent4 4 2 2 2 2 4 2" xfId="10408" xr:uid="{00000000-0005-0000-0000-00001A1E0000}"/>
    <cellStyle name="20% - Accent4 4 2 2 2 2 5" xfId="11420" xr:uid="{00000000-0005-0000-0000-00001B1E0000}"/>
    <cellStyle name="20% - Accent4 4 2 2 2 3" xfId="33583" xr:uid="{00000000-0005-0000-0000-00001C1E0000}"/>
    <cellStyle name="20% - Accent4 4 2 2 2 3 2" xfId="25241" xr:uid="{00000000-0005-0000-0000-00001D1E0000}"/>
    <cellStyle name="20% - Accent4 4 2 2 2 3 2 2" xfId="23664" xr:uid="{00000000-0005-0000-0000-00001E1E0000}"/>
    <cellStyle name="20% - Accent4 4 2 2 2 3 2 2 2" xfId="16710" xr:uid="{00000000-0005-0000-0000-00001F1E0000}"/>
    <cellStyle name="20% - Accent4 4 2 2 2 3 2 3" xfId="13372" xr:uid="{00000000-0005-0000-0000-0000201E0000}"/>
    <cellStyle name="20% - Accent4 4 2 2 2 3 3" xfId="33432" xr:uid="{00000000-0005-0000-0000-0000211E0000}"/>
    <cellStyle name="20% - Accent4 4 2 2 2 3 3 2" xfId="6208" xr:uid="{00000000-0005-0000-0000-0000221E0000}"/>
    <cellStyle name="20% - Accent4 4 2 2 2 3 4" xfId="14011" xr:uid="{00000000-0005-0000-0000-0000231E0000}"/>
    <cellStyle name="20% - Accent4 4 2 2 2 4" xfId="10417" xr:uid="{00000000-0005-0000-0000-0000241E0000}"/>
    <cellStyle name="20% - Accent4 4 2 2 2 4 2" xfId="29481" xr:uid="{00000000-0005-0000-0000-0000251E0000}"/>
    <cellStyle name="20% - Accent4 4 2 2 2 4 2 2" xfId="28505" xr:uid="{00000000-0005-0000-0000-0000261E0000}"/>
    <cellStyle name="20% - Accent4 4 2 2 2 4 3" xfId="10261" xr:uid="{00000000-0005-0000-0000-0000271E0000}"/>
    <cellStyle name="20% - Accent4 4 2 2 2 5" xfId="10418" xr:uid="{00000000-0005-0000-0000-0000281E0000}"/>
    <cellStyle name="20% - Accent4 4 2 2 2 5 2" xfId="3176" xr:uid="{00000000-0005-0000-0000-0000291E0000}"/>
    <cellStyle name="20% - Accent4 4 2 2 2 6" xfId="7772" xr:uid="{00000000-0005-0000-0000-00002A1E0000}"/>
    <cellStyle name="20% - Accent4 4 2 2 3" xfId="6387" xr:uid="{00000000-0005-0000-0000-00002B1E0000}"/>
    <cellStyle name="20% - Accent4 4 2 2 3 2" xfId="7840" xr:uid="{00000000-0005-0000-0000-00002C1E0000}"/>
    <cellStyle name="20% - Accent4 4 2 2 3 2 2" xfId="10420" xr:uid="{00000000-0005-0000-0000-00002D1E0000}"/>
    <cellStyle name="20% - Accent4 4 2 2 3 2 2 2" xfId="12730" xr:uid="{00000000-0005-0000-0000-00002E1E0000}"/>
    <cellStyle name="20% - Accent4 4 2 2 3 2 2 2 2" xfId="25172" xr:uid="{00000000-0005-0000-0000-00002F1E0000}"/>
    <cellStyle name="20% - Accent4 4 2 2 3 2 2 3" xfId="12748" xr:uid="{00000000-0005-0000-0000-0000301E0000}"/>
    <cellStyle name="20% - Accent4 4 2 2 3 2 3" xfId="30462" xr:uid="{00000000-0005-0000-0000-0000311E0000}"/>
    <cellStyle name="20% - Accent4 4 2 2 3 2 3 2" xfId="12776" xr:uid="{00000000-0005-0000-0000-0000321E0000}"/>
    <cellStyle name="20% - Accent4 4 2 2 3 2 4" xfId="12145" xr:uid="{00000000-0005-0000-0000-0000331E0000}"/>
    <cellStyle name="20% - Accent4 4 2 2 3 3" xfId="8518" xr:uid="{00000000-0005-0000-0000-0000341E0000}"/>
    <cellStyle name="20% - Accent4 4 2 2 3 3 2" xfId="10424" xr:uid="{00000000-0005-0000-0000-0000351E0000}"/>
    <cellStyle name="20% - Accent4 4 2 2 3 3 2 2" xfId="31043" xr:uid="{00000000-0005-0000-0000-0000361E0000}"/>
    <cellStyle name="20% - Accent4 4 2 2 3 3 3" xfId="12777" xr:uid="{00000000-0005-0000-0000-0000371E0000}"/>
    <cellStyle name="20% - Accent4 4 2 2 3 4" xfId="10612" xr:uid="{00000000-0005-0000-0000-0000381E0000}"/>
    <cellStyle name="20% - Accent4 4 2 2 3 4 2" xfId="10427" xr:uid="{00000000-0005-0000-0000-0000391E0000}"/>
    <cellStyle name="20% - Accent4 4 2 2 3 5" xfId="10430" xr:uid="{00000000-0005-0000-0000-00003A1E0000}"/>
    <cellStyle name="20% - Accent4 4 2 2 4" xfId="1235" xr:uid="{00000000-0005-0000-0000-00003B1E0000}"/>
    <cellStyle name="20% - Accent4 4 2 2 4 2" xfId="17878" xr:uid="{00000000-0005-0000-0000-00003C1E0000}"/>
    <cellStyle name="20% - Accent4 4 2 2 4 2 2" xfId="19241" xr:uid="{00000000-0005-0000-0000-00003D1E0000}"/>
    <cellStyle name="20% - Accent4 4 2 2 4 2 2 2" xfId="18539" xr:uid="{00000000-0005-0000-0000-00003E1E0000}"/>
    <cellStyle name="20% - Accent4 4 2 2 4 2 3" xfId="19195" xr:uid="{00000000-0005-0000-0000-00003F1E0000}"/>
    <cellStyle name="20% - Accent4 4 2 2 4 3" xfId="19243" xr:uid="{00000000-0005-0000-0000-0000401E0000}"/>
    <cellStyle name="20% - Accent4 4 2 2 4 3 2" xfId="10439" xr:uid="{00000000-0005-0000-0000-0000411E0000}"/>
    <cellStyle name="20% - Accent4 4 2 2 4 4" xfId="10611" xr:uid="{00000000-0005-0000-0000-0000421E0000}"/>
    <cellStyle name="20% - Accent4 4 2 2 5" xfId="6589" xr:uid="{00000000-0005-0000-0000-0000431E0000}"/>
    <cellStyle name="20% - Accent4 4 2 2 5 2" xfId="19250" xr:uid="{00000000-0005-0000-0000-0000441E0000}"/>
    <cellStyle name="20% - Accent4 4 2 2 5 2 2" xfId="10441" xr:uid="{00000000-0005-0000-0000-0000451E0000}"/>
    <cellStyle name="20% - Accent4 4 2 2 5 3" xfId="32313" xr:uid="{00000000-0005-0000-0000-0000461E0000}"/>
    <cellStyle name="20% - Accent4 4 2 2 6" xfId="6600" xr:uid="{00000000-0005-0000-0000-0000471E0000}"/>
    <cellStyle name="20% - Accent4 4 2 2 6 2" xfId="33104" xr:uid="{00000000-0005-0000-0000-0000481E0000}"/>
    <cellStyle name="20% - Accent4 4 2 2 7" xfId="33605" xr:uid="{00000000-0005-0000-0000-0000491E0000}"/>
    <cellStyle name="20% - Accent4 4 2 3" xfId="10442" xr:uid="{00000000-0005-0000-0000-00004A1E0000}"/>
    <cellStyle name="20% - Accent4 4 2 3 2" xfId="10445" xr:uid="{00000000-0005-0000-0000-00004B1E0000}"/>
    <cellStyle name="20% - Accent4 4 2 3 2 2" xfId="11099" xr:uid="{00000000-0005-0000-0000-00004C1E0000}"/>
    <cellStyle name="20% - Accent4 4 2 3 2 2 2" xfId="10446" xr:uid="{00000000-0005-0000-0000-00004D1E0000}"/>
    <cellStyle name="20% - Accent4 4 2 3 2 2 2 2" xfId="17361" xr:uid="{00000000-0005-0000-0000-00004E1E0000}"/>
    <cellStyle name="20% - Accent4 4 2 3 2 2 2 2 2" xfId="6659" xr:uid="{00000000-0005-0000-0000-00004F1E0000}"/>
    <cellStyle name="20% - Accent4 4 2 3 2 2 2 3" xfId="17367" xr:uid="{00000000-0005-0000-0000-0000501E0000}"/>
    <cellStyle name="20% - Accent4 4 2 3 2 2 3" xfId="3918" xr:uid="{00000000-0005-0000-0000-0000511E0000}"/>
    <cellStyle name="20% - Accent4 4 2 3 2 2 3 2" xfId="17387" xr:uid="{00000000-0005-0000-0000-0000521E0000}"/>
    <cellStyle name="20% - Accent4 4 2 3 2 2 4" xfId="17214" xr:uid="{00000000-0005-0000-0000-0000531E0000}"/>
    <cellStyle name="20% - Accent4 4 2 3 2 3" xfId="12859" xr:uid="{00000000-0005-0000-0000-0000541E0000}"/>
    <cellStyle name="20% - Accent4 4 2 3 2 3 2" xfId="10814" xr:uid="{00000000-0005-0000-0000-0000551E0000}"/>
    <cellStyle name="20% - Accent4 4 2 3 2 3 2 2" xfId="22989" xr:uid="{00000000-0005-0000-0000-0000561E0000}"/>
    <cellStyle name="20% - Accent4 4 2 3 2 3 3" xfId="14148" xr:uid="{00000000-0005-0000-0000-0000571E0000}"/>
    <cellStyle name="20% - Accent4 4 2 3 2 4" xfId="10450" xr:uid="{00000000-0005-0000-0000-0000581E0000}"/>
    <cellStyle name="20% - Accent4 4 2 3 2 4 2" xfId="10457" xr:uid="{00000000-0005-0000-0000-0000591E0000}"/>
    <cellStyle name="20% - Accent4 4 2 3 2 5" xfId="10464" xr:uid="{00000000-0005-0000-0000-00005A1E0000}"/>
    <cellStyle name="20% - Accent4 4 2 3 3" xfId="886" xr:uid="{00000000-0005-0000-0000-00005B1E0000}"/>
    <cellStyle name="20% - Accent4 4 2 3 3 2" xfId="27664" xr:uid="{00000000-0005-0000-0000-00005C1E0000}"/>
    <cellStyle name="20% - Accent4 4 2 3 3 2 2" xfId="10467" xr:uid="{00000000-0005-0000-0000-00005D1E0000}"/>
    <cellStyle name="20% - Accent4 4 2 3 3 2 2 2" xfId="22142" xr:uid="{00000000-0005-0000-0000-00005E1E0000}"/>
    <cellStyle name="20% - Accent4 4 2 3 3 2 3" xfId="28003" xr:uid="{00000000-0005-0000-0000-00005F1E0000}"/>
    <cellStyle name="20% - Accent4 4 2 3 3 3" xfId="22252" xr:uid="{00000000-0005-0000-0000-0000601E0000}"/>
    <cellStyle name="20% - Accent4 4 2 3 3 3 2" xfId="10470" xr:uid="{00000000-0005-0000-0000-0000611E0000}"/>
    <cellStyle name="20% - Accent4 4 2 3 3 4" xfId="31843" xr:uid="{00000000-0005-0000-0000-0000621E0000}"/>
    <cellStyle name="20% - Accent4 4 2 3 4" xfId="929" xr:uid="{00000000-0005-0000-0000-0000631E0000}"/>
    <cellStyle name="20% - Accent4 4 2 3 4 2" xfId="16034" xr:uid="{00000000-0005-0000-0000-0000641E0000}"/>
    <cellStyle name="20% - Accent4 4 2 3 4 2 2" xfId="5975" xr:uid="{00000000-0005-0000-0000-0000651E0000}"/>
    <cellStyle name="20% - Accent4 4 2 3 4 3" xfId="10481" xr:uid="{00000000-0005-0000-0000-0000661E0000}"/>
    <cellStyle name="20% - Accent4 4 2 3 5" xfId="6612" xr:uid="{00000000-0005-0000-0000-0000671E0000}"/>
    <cellStyle name="20% - Accent4 4 2 3 5 2" xfId="25055" xr:uid="{00000000-0005-0000-0000-0000681E0000}"/>
    <cellStyle name="20% - Accent4 4 2 3 6" xfId="14632" xr:uid="{00000000-0005-0000-0000-0000691E0000}"/>
    <cellStyle name="20% - Accent4 4 2 4" xfId="13183" xr:uid="{00000000-0005-0000-0000-00006A1E0000}"/>
    <cellStyle name="20% - Accent4 4 2 4 2" xfId="1458" xr:uid="{00000000-0005-0000-0000-00006B1E0000}"/>
    <cellStyle name="20% - Accent4 4 2 4 2 2" xfId="10309" xr:uid="{00000000-0005-0000-0000-00006C1E0000}"/>
    <cellStyle name="20% - Accent4 4 2 4 2 2 2" xfId="21911" xr:uid="{00000000-0005-0000-0000-00006D1E0000}"/>
    <cellStyle name="20% - Accent4 4 2 4 2 2 2 2" xfId="17565" xr:uid="{00000000-0005-0000-0000-00006E1E0000}"/>
    <cellStyle name="20% - Accent4 4 2 4 2 2 3" xfId="5531" xr:uid="{00000000-0005-0000-0000-00006F1E0000}"/>
    <cellStyle name="20% - Accent4 4 2 4 2 3" xfId="15931" xr:uid="{00000000-0005-0000-0000-0000701E0000}"/>
    <cellStyle name="20% - Accent4 4 2 4 2 3 2" xfId="12592" xr:uid="{00000000-0005-0000-0000-0000711E0000}"/>
    <cellStyle name="20% - Accent4 4 2 4 2 4" xfId="8642" xr:uid="{00000000-0005-0000-0000-0000721E0000}"/>
    <cellStyle name="20% - Accent4 4 2 4 3" xfId="1463" xr:uid="{00000000-0005-0000-0000-0000731E0000}"/>
    <cellStyle name="20% - Accent4 4 2 4 3 2" xfId="9596" xr:uid="{00000000-0005-0000-0000-0000741E0000}"/>
    <cellStyle name="20% - Accent4 4 2 4 3 2 2" xfId="8645" xr:uid="{00000000-0005-0000-0000-0000751E0000}"/>
    <cellStyle name="20% - Accent4 4 2 4 3 3" xfId="8649" xr:uid="{00000000-0005-0000-0000-0000761E0000}"/>
    <cellStyle name="20% - Accent4 4 2 4 4" xfId="1307" xr:uid="{00000000-0005-0000-0000-0000771E0000}"/>
    <cellStyle name="20% - Accent4 4 2 4 4 2" xfId="6776" xr:uid="{00000000-0005-0000-0000-0000781E0000}"/>
    <cellStyle name="20% - Accent4 4 2 4 5" xfId="33010" xr:uid="{00000000-0005-0000-0000-0000791E0000}"/>
    <cellStyle name="20% - Accent4 4 2 5" xfId="10487" xr:uid="{00000000-0005-0000-0000-00007A1E0000}"/>
    <cellStyle name="20% - Accent4 4 2 5 2" xfId="10119" xr:uid="{00000000-0005-0000-0000-00007B1E0000}"/>
    <cellStyle name="20% - Accent4 4 2 5 2 2" xfId="67" xr:uid="{00000000-0005-0000-0000-00007C1E0000}"/>
    <cellStyle name="20% - Accent4 4 2 5 2 2 2" xfId="3647" xr:uid="{00000000-0005-0000-0000-00007D1E0000}"/>
    <cellStyle name="20% - Accent4 4 2 5 2 3" xfId="32624" xr:uid="{00000000-0005-0000-0000-00007E1E0000}"/>
    <cellStyle name="20% - Accent4 4 2 5 3" xfId="9620" xr:uid="{00000000-0005-0000-0000-00007F1E0000}"/>
    <cellStyle name="20% - Accent4 4 2 5 3 2" xfId="32637" xr:uid="{00000000-0005-0000-0000-0000801E0000}"/>
    <cellStyle name="20% - Accent4 4 2 5 4" xfId="10232" xr:uid="{00000000-0005-0000-0000-0000811E0000}"/>
    <cellStyle name="20% - Accent4 4 2 6" xfId="3935" xr:uid="{00000000-0005-0000-0000-0000821E0000}"/>
    <cellStyle name="20% - Accent4 4 2 6 2" xfId="11553" xr:uid="{00000000-0005-0000-0000-0000831E0000}"/>
    <cellStyle name="20% - Accent4 4 2 6 2 2" xfId="7667" xr:uid="{00000000-0005-0000-0000-0000841E0000}"/>
    <cellStyle name="20% - Accent4 4 2 6 3" xfId="23643" xr:uid="{00000000-0005-0000-0000-0000851E0000}"/>
    <cellStyle name="20% - Accent4 4 2 7" xfId="24640" xr:uid="{00000000-0005-0000-0000-0000861E0000}"/>
    <cellStyle name="20% - Accent4 4 2 7 2" xfId="7703" xr:uid="{00000000-0005-0000-0000-0000871E0000}"/>
    <cellStyle name="20% - Accent4 4 2 8" xfId="24650" xr:uid="{00000000-0005-0000-0000-0000881E0000}"/>
    <cellStyle name="20% - Accent4 4 3" xfId="10491" xr:uid="{00000000-0005-0000-0000-0000891E0000}"/>
    <cellStyle name="20% - Accent4 4 3 2" xfId="4540" xr:uid="{00000000-0005-0000-0000-00008A1E0000}"/>
    <cellStyle name="20% - Accent4 4 3 2 2" xfId="80" xr:uid="{00000000-0005-0000-0000-00008B1E0000}"/>
    <cellStyle name="20% - Accent4 4 3 2 2 2" xfId="10494" xr:uid="{00000000-0005-0000-0000-00008C1E0000}"/>
    <cellStyle name="20% - Accent4 4 3 2 2 2 2" xfId="10498" xr:uid="{00000000-0005-0000-0000-00008D1E0000}"/>
    <cellStyle name="20% - Accent4 4 3 2 2 2 2 2" xfId="10499" xr:uid="{00000000-0005-0000-0000-00008E1E0000}"/>
    <cellStyle name="20% - Accent4 4 3 2 2 2 2 2 2" xfId="28132" xr:uid="{00000000-0005-0000-0000-00008F1E0000}"/>
    <cellStyle name="20% - Accent4 4 3 2 2 2 2 3" xfId="16411" xr:uid="{00000000-0005-0000-0000-0000901E0000}"/>
    <cellStyle name="20% - Accent4 4 3 2 2 2 3" xfId="11932" xr:uid="{00000000-0005-0000-0000-0000911E0000}"/>
    <cellStyle name="20% - Accent4 4 3 2 2 2 3 2" xfId="12350" xr:uid="{00000000-0005-0000-0000-0000921E0000}"/>
    <cellStyle name="20% - Accent4 4 3 2 2 2 4" xfId="10449" xr:uid="{00000000-0005-0000-0000-0000931E0000}"/>
    <cellStyle name="20% - Accent4 4 3 2 2 3" xfId="10504" xr:uid="{00000000-0005-0000-0000-0000941E0000}"/>
    <cellStyle name="20% - Accent4 4 3 2 2 3 2" xfId="5200" xr:uid="{00000000-0005-0000-0000-0000951E0000}"/>
    <cellStyle name="20% - Accent4 4 3 2 2 3 2 2" xfId="32366" xr:uid="{00000000-0005-0000-0000-0000961E0000}"/>
    <cellStyle name="20% - Accent4 4 3 2 2 3 3" xfId="8854" xr:uid="{00000000-0005-0000-0000-0000971E0000}"/>
    <cellStyle name="20% - Accent4 4 3 2 2 4" xfId="9063" xr:uid="{00000000-0005-0000-0000-0000981E0000}"/>
    <cellStyle name="20% - Accent4 4 3 2 2 4 2" xfId="10507" xr:uid="{00000000-0005-0000-0000-0000991E0000}"/>
    <cellStyle name="20% - Accent4 4 3 2 2 5" xfId="4788" xr:uid="{00000000-0005-0000-0000-00009A1E0000}"/>
    <cellStyle name="20% - Accent4 4 3 2 3" xfId="1914" xr:uid="{00000000-0005-0000-0000-00009B1E0000}"/>
    <cellStyle name="20% - Accent4 4 3 2 3 2" xfId="8527" xr:uid="{00000000-0005-0000-0000-00009C1E0000}"/>
    <cellStyle name="20% - Accent4 4 3 2 3 2 2" xfId="10511" xr:uid="{00000000-0005-0000-0000-00009D1E0000}"/>
    <cellStyle name="20% - Accent4 4 3 2 3 2 2 2" xfId="14406" xr:uid="{00000000-0005-0000-0000-00009E1E0000}"/>
    <cellStyle name="20% - Accent4 4 3 2 3 2 3" xfId="19622" xr:uid="{00000000-0005-0000-0000-00009F1E0000}"/>
    <cellStyle name="20% - Accent4 4 3 2 3 3" xfId="11175" xr:uid="{00000000-0005-0000-0000-0000A01E0000}"/>
    <cellStyle name="20% - Accent4 4 3 2 3 3 2" xfId="10512" xr:uid="{00000000-0005-0000-0000-0000A11E0000}"/>
    <cellStyle name="20% - Accent4 4 3 2 3 4" xfId="10513" xr:uid="{00000000-0005-0000-0000-0000A21E0000}"/>
    <cellStyle name="20% - Accent4 4 3 2 4" xfId="1957" xr:uid="{00000000-0005-0000-0000-0000A31E0000}"/>
    <cellStyle name="20% - Accent4 4 3 2 4 2" xfId="19286" xr:uid="{00000000-0005-0000-0000-0000A41E0000}"/>
    <cellStyle name="20% - Accent4 4 3 2 4 2 2" xfId="10514" xr:uid="{00000000-0005-0000-0000-0000A51E0000}"/>
    <cellStyle name="20% - Accent4 4 3 2 4 3" xfId="10516" xr:uid="{00000000-0005-0000-0000-0000A61E0000}"/>
    <cellStyle name="20% - Accent4 4 3 2 5" xfId="6651" xr:uid="{00000000-0005-0000-0000-0000A71E0000}"/>
    <cellStyle name="20% - Accent4 4 3 2 5 2" xfId="14677" xr:uid="{00000000-0005-0000-0000-0000A81E0000}"/>
    <cellStyle name="20% - Accent4 4 3 2 6" xfId="15577" xr:uid="{00000000-0005-0000-0000-0000A91E0000}"/>
    <cellStyle name="20% - Accent4 4 3 3" xfId="13185" xr:uid="{00000000-0005-0000-0000-0000AA1E0000}"/>
    <cellStyle name="20% - Accent4 4 3 3 2" xfId="10517" xr:uid="{00000000-0005-0000-0000-0000AB1E0000}"/>
    <cellStyle name="20% - Accent4 4 3 3 2 2" xfId="18773" xr:uid="{00000000-0005-0000-0000-0000AC1E0000}"/>
    <cellStyle name="20% - Accent4 4 3 3 2 2 2" xfId="10518" xr:uid="{00000000-0005-0000-0000-0000AD1E0000}"/>
    <cellStyle name="20% - Accent4 4 3 3 2 2 2 2" xfId="17872" xr:uid="{00000000-0005-0000-0000-0000AE1E0000}"/>
    <cellStyle name="20% - Accent4 4 3 3 2 2 3" xfId="7191" xr:uid="{00000000-0005-0000-0000-0000AF1E0000}"/>
    <cellStyle name="20% - Accent4 4 3 3 2 3" xfId="18777" xr:uid="{00000000-0005-0000-0000-0000B01E0000}"/>
    <cellStyle name="20% - Accent4 4 3 3 2 3 2" xfId="10527" xr:uid="{00000000-0005-0000-0000-0000B11E0000}"/>
    <cellStyle name="20% - Accent4 4 3 3 2 4" xfId="10531" xr:uid="{00000000-0005-0000-0000-0000B21E0000}"/>
    <cellStyle name="20% - Accent4 4 3 3 3" xfId="1445" xr:uid="{00000000-0005-0000-0000-0000B31E0000}"/>
    <cellStyle name="20% - Accent4 4 3 3 3 2" xfId="18787" xr:uid="{00000000-0005-0000-0000-0000B41E0000}"/>
    <cellStyle name="20% - Accent4 4 3 3 3 2 2" xfId="10532" xr:uid="{00000000-0005-0000-0000-0000B51E0000}"/>
    <cellStyle name="20% - Accent4 4 3 3 3 3" xfId="10533" xr:uid="{00000000-0005-0000-0000-0000B61E0000}"/>
    <cellStyle name="20% - Accent4 4 3 3 4" xfId="1712" xr:uid="{00000000-0005-0000-0000-0000B71E0000}"/>
    <cellStyle name="20% - Accent4 4 3 3 4 2" xfId="10534" xr:uid="{00000000-0005-0000-0000-0000B81E0000}"/>
    <cellStyle name="20% - Accent4 4 3 3 5" xfId="31078" xr:uid="{00000000-0005-0000-0000-0000B91E0000}"/>
    <cellStyle name="20% - Accent4 4 3 4" xfId="10537" xr:uid="{00000000-0005-0000-0000-0000BA1E0000}"/>
    <cellStyle name="20% - Accent4 4 3 4 2" xfId="1502" xr:uid="{00000000-0005-0000-0000-0000BB1E0000}"/>
    <cellStyle name="20% - Accent4 4 3 4 2 2" xfId="18805" xr:uid="{00000000-0005-0000-0000-0000BC1E0000}"/>
    <cellStyle name="20% - Accent4 4 3 4 2 2 2" xfId="8852" xr:uid="{00000000-0005-0000-0000-0000BD1E0000}"/>
    <cellStyle name="20% - Accent4 4 3 4 2 3" xfId="5774" xr:uid="{00000000-0005-0000-0000-0000BE1E0000}"/>
    <cellStyle name="20% - Accent4 4 3 4 3" xfId="1729" xr:uid="{00000000-0005-0000-0000-0000BF1E0000}"/>
    <cellStyle name="20% - Accent4 4 3 4 3 2" xfId="8857" xr:uid="{00000000-0005-0000-0000-0000C01E0000}"/>
    <cellStyle name="20% - Accent4 4 3 4 4" xfId="8858" xr:uid="{00000000-0005-0000-0000-0000C11E0000}"/>
    <cellStyle name="20% - Accent4 4 3 5" xfId="10542" xr:uid="{00000000-0005-0000-0000-0000C21E0000}"/>
    <cellStyle name="20% - Accent4 4 3 5 2" xfId="1945" xr:uid="{00000000-0005-0000-0000-0000C31E0000}"/>
    <cellStyle name="20% - Accent4 4 3 5 2 2" xfId="33730" xr:uid="{00000000-0005-0000-0000-0000C41E0000}"/>
    <cellStyle name="20% - Accent4 4 3 5 3" xfId="1086" xr:uid="{00000000-0005-0000-0000-0000C51E0000}"/>
    <cellStyle name="20% - Accent4 4 3 6" xfId="11569" xr:uid="{00000000-0005-0000-0000-0000C61E0000}"/>
    <cellStyle name="20% - Accent4 4 3 6 2" xfId="1175" xr:uid="{00000000-0005-0000-0000-0000C71E0000}"/>
    <cellStyle name="20% - Accent4 4 3 7" xfId="24655" xr:uid="{00000000-0005-0000-0000-0000C81E0000}"/>
    <cellStyle name="20% - Accent4 4 4" xfId="10558" xr:uid="{00000000-0005-0000-0000-0000C91E0000}"/>
    <cellStyle name="20% - Accent4 4 4 2" xfId="25999" xr:uid="{00000000-0005-0000-0000-0000CA1E0000}"/>
    <cellStyle name="20% - Accent4 4 4 2 2" xfId="10559" xr:uid="{00000000-0005-0000-0000-0000CB1E0000}"/>
    <cellStyle name="20% - Accent4 4 4 2 2 2" xfId="10560" xr:uid="{00000000-0005-0000-0000-0000CC1E0000}"/>
    <cellStyle name="20% - Accent4 4 4 2 2 2 2" xfId="10538" xr:uid="{00000000-0005-0000-0000-0000CD1E0000}"/>
    <cellStyle name="20% - Accent4 4 4 2 2 2 2 2" xfId="10566" xr:uid="{00000000-0005-0000-0000-0000CE1E0000}"/>
    <cellStyle name="20% - Accent4 4 4 2 2 2 3" xfId="10546" xr:uid="{00000000-0005-0000-0000-0000CF1E0000}"/>
    <cellStyle name="20% - Accent4 4 4 2 2 3" xfId="26107" xr:uid="{00000000-0005-0000-0000-0000D01E0000}"/>
    <cellStyle name="20% - Accent4 4 4 2 2 3 2" xfId="10570" xr:uid="{00000000-0005-0000-0000-0000D11E0000}"/>
    <cellStyle name="20% - Accent4 4 4 2 2 4" xfId="9206" xr:uid="{00000000-0005-0000-0000-0000D21E0000}"/>
    <cellStyle name="20% - Accent4 4 4 2 3" xfId="18863" xr:uid="{00000000-0005-0000-0000-0000D31E0000}"/>
    <cellStyle name="20% - Accent4 4 4 2 3 2" xfId="11182" xr:uid="{00000000-0005-0000-0000-0000D41E0000}"/>
    <cellStyle name="20% - Accent4 4 4 2 3 2 2" xfId="10571" xr:uid="{00000000-0005-0000-0000-0000D51E0000}"/>
    <cellStyle name="20% - Accent4 4 4 2 3 3" xfId="10574" xr:uid="{00000000-0005-0000-0000-0000D61E0000}"/>
    <cellStyle name="20% - Accent4 4 4 2 4" xfId="1846" xr:uid="{00000000-0005-0000-0000-0000D71E0000}"/>
    <cellStyle name="20% - Accent4 4 4 2 4 2" xfId="10576" xr:uid="{00000000-0005-0000-0000-0000D81E0000}"/>
    <cellStyle name="20% - Accent4 4 4 2 5" xfId="15611" xr:uid="{00000000-0005-0000-0000-0000D91E0000}"/>
    <cellStyle name="20% - Accent4 4 4 3" xfId="29802" xr:uid="{00000000-0005-0000-0000-0000DA1E0000}"/>
    <cellStyle name="20% - Accent4 4 4 3 2" xfId="10577" xr:uid="{00000000-0005-0000-0000-0000DB1E0000}"/>
    <cellStyle name="20% - Accent4 4 4 3 2 2" xfId="24726" xr:uid="{00000000-0005-0000-0000-0000DC1E0000}"/>
    <cellStyle name="20% - Accent4 4 4 3 2 2 2" xfId="10580" xr:uid="{00000000-0005-0000-0000-0000DD1E0000}"/>
    <cellStyle name="20% - Accent4 4 4 3 2 3" xfId="24877" xr:uid="{00000000-0005-0000-0000-0000DE1E0000}"/>
    <cellStyle name="20% - Accent4 4 4 3 3" xfId="3114" xr:uid="{00000000-0005-0000-0000-0000DF1E0000}"/>
    <cellStyle name="20% - Accent4 4 4 3 3 2" xfId="10588" xr:uid="{00000000-0005-0000-0000-0000E01E0000}"/>
    <cellStyle name="20% - Accent4 4 4 3 4" xfId="10589" xr:uid="{00000000-0005-0000-0000-0000E11E0000}"/>
    <cellStyle name="20% - Accent4 4 4 4" xfId="29487" xr:uid="{00000000-0005-0000-0000-0000E21E0000}"/>
    <cellStyle name="20% - Accent4 4 4 4 2" xfId="3366" xr:uid="{00000000-0005-0000-0000-0000E31E0000}"/>
    <cellStyle name="20% - Accent4 4 4 4 2 2" xfId="1096" xr:uid="{00000000-0005-0000-0000-0000E41E0000}"/>
    <cellStyle name="20% - Accent4 4 4 4 3" xfId="1614" xr:uid="{00000000-0005-0000-0000-0000E51E0000}"/>
    <cellStyle name="20% - Accent4 4 4 5" xfId="10595" xr:uid="{00000000-0005-0000-0000-0000E61E0000}"/>
    <cellStyle name="20% - Accent4 4 4 5 2" xfId="1289" xr:uid="{00000000-0005-0000-0000-0000E71E0000}"/>
    <cellStyle name="20% - Accent4 4 4 6" xfId="17211" xr:uid="{00000000-0005-0000-0000-0000E81E0000}"/>
    <cellStyle name="20% - Accent4 4 5" xfId="24089" xr:uid="{00000000-0005-0000-0000-0000E91E0000}"/>
    <cellStyle name="20% - Accent4 4 5 2" xfId="23360" xr:uid="{00000000-0005-0000-0000-0000EA1E0000}"/>
    <cellStyle name="20% - Accent4 4 5 2 2" xfId="13076" xr:uid="{00000000-0005-0000-0000-0000EB1E0000}"/>
    <cellStyle name="20% - Accent4 4 5 2 2 2" xfId="8818" xr:uid="{00000000-0005-0000-0000-0000EC1E0000}"/>
    <cellStyle name="20% - Accent4 4 5 2 2 2 2" xfId="28956" xr:uid="{00000000-0005-0000-0000-0000ED1E0000}"/>
    <cellStyle name="20% - Accent4 4 5 2 2 3" xfId="31834" xr:uid="{00000000-0005-0000-0000-0000EE1E0000}"/>
    <cellStyle name="20% - Accent4 4 5 2 3" xfId="3174" xr:uid="{00000000-0005-0000-0000-0000EF1E0000}"/>
    <cellStyle name="20% - Accent4 4 5 2 3 2" xfId="8830" xr:uid="{00000000-0005-0000-0000-0000F01E0000}"/>
    <cellStyle name="20% - Accent4 4 5 2 4" xfId="10597" xr:uid="{00000000-0005-0000-0000-0000F11E0000}"/>
    <cellStyle name="20% - Accent4 4 5 3" xfId="10598" xr:uid="{00000000-0005-0000-0000-0000F21E0000}"/>
    <cellStyle name="20% - Accent4 4 5 3 2" xfId="10600" xr:uid="{00000000-0005-0000-0000-0000F31E0000}"/>
    <cellStyle name="20% - Accent4 4 5 3 2 2" xfId="8843" xr:uid="{00000000-0005-0000-0000-0000F41E0000}"/>
    <cellStyle name="20% - Accent4 4 5 3 3" xfId="14548" xr:uid="{00000000-0005-0000-0000-0000F51E0000}"/>
    <cellStyle name="20% - Accent4 4 5 4" xfId="33720" xr:uid="{00000000-0005-0000-0000-0000F61E0000}"/>
    <cellStyle name="20% - Accent4 4 5 4 2" xfId="27682" xr:uid="{00000000-0005-0000-0000-0000F71E0000}"/>
    <cellStyle name="20% - Accent4 4 5 5" xfId="10604" xr:uid="{00000000-0005-0000-0000-0000F81E0000}"/>
    <cellStyle name="20% - Accent4 4 6" xfId="10607" xr:uid="{00000000-0005-0000-0000-0000F91E0000}"/>
    <cellStyle name="20% - Accent4 4 6 2" xfId="10608" xr:uid="{00000000-0005-0000-0000-0000FA1E0000}"/>
    <cellStyle name="20% - Accent4 4 6 2 2" xfId="10610" xr:uid="{00000000-0005-0000-0000-0000FB1E0000}"/>
    <cellStyle name="20% - Accent4 4 6 2 2 2" xfId="8894" xr:uid="{00000000-0005-0000-0000-0000FC1E0000}"/>
    <cellStyle name="20% - Accent4 4 6 2 3" xfId="11813" xr:uid="{00000000-0005-0000-0000-0000FD1E0000}"/>
    <cellStyle name="20% - Accent4 4 6 3" xfId="4723" xr:uid="{00000000-0005-0000-0000-0000FE1E0000}"/>
    <cellStyle name="20% - Accent4 4 6 3 2" xfId="27607" xr:uid="{00000000-0005-0000-0000-0000FF1E0000}"/>
    <cellStyle name="20% - Accent4 4 6 4" xfId="4728" xr:uid="{00000000-0005-0000-0000-0000001F0000}"/>
    <cellStyle name="20% - Accent4 4 7" xfId="10615" xr:uid="{00000000-0005-0000-0000-0000011F0000}"/>
    <cellStyle name="20% - Accent4 4 7 2" xfId="11404" xr:uid="{00000000-0005-0000-0000-0000021F0000}"/>
    <cellStyle name="20% - Accent4 4 7 2 2" xfId="26545" xr:uid="{00000000-0005-0000-0000-0000031F0000}"/>
    <cellStyle name="20% - Accent4 4 7 3" xfId="4737" xr:uid="{00000000-0005-0000-0000-0000041F0000}"/>
    <cellStyle name="20% - Accent4 4 8" xfId="10619" xr:uid="{00000000-0005-0000-0000-0000051F0000}"/>
    <cellStyle name="20% - Accent4 4 8 2" xfId="2809" xr:uid="{00000000-0005-0000-0000-0000061F0000}"/>
    <cellStyle name="20% - Accent4 4 9" xfId="2610" xr:uid="{00000000-0005-0000-0000-0000071F0000}"/>
    <cellStyle name="20% - Accent4 5" xfId="13243" xr:uid="{00000000-0005-0000-0000-0000081F0000}"/>
    <cellStyle name="20% - Accent4 5 2" xfId="13249" xr:uid="{00000000-0005-0000-0000-0000091F0000}"/>
    <cellStyle name="20% - Accent4 5 2 2" xfId="9673" xr:uid="{00000000-0005-0000-0000-00000A1F0000}"/>
    <cellStyle name="20% - Accent4 5 2 2 2" xfId="10624" xr:uid="{00000000-0005-0000-0000-00000B1F0000}"/>
    <cellStyle name="20% - Accent4 5 2 2 2 2" xfId="7447" xr:uid="{00000000-0005-0000-0000-00000C1F0000}"/>
    <cellStyle name="20% - Accent4 5 2 2 2 2 2" xfId="26166" xr:uid="{00000000-0005-0000-0000-00000D1F0000}"/>
    <cellStyle name="20% - Accent4 5 2 2 2 2 2 2" xfId="16849" xr:uid="{00000000-0005-0000-0000-00000E1F0000}"/>
    <cellStyle name="20% - Accent4 5 2 2 2 2 2 2 2" xfId="10626" xr:uid="{00000000-0005-0000-0000-00000F1F0000}"/>
    <cellStyle name="20% - Accent4 5 2 2 2 2 2 3" xfId="10629" xr:uid="{00000000-0005-0000-0000-0000101F0000}"/>
    <cellStyle name="20% - Accent4 5 2 2 2 2 3" xfId="28616" xr:uid="{00000000-0005-0000-0000-0000111F0000}"/>
    <cellStyle name="20% - Accent4 5 2 2 2 2 3 2" xfId="14595" xr:uid="{00000000-0005-0000-0000-0000121F0000}"/>
    <cellStyle name="20% - Accent4 5 2 2 2 2 4" xfId="30595" xr:uid="{00000000-0005-0000-0000-0000131F0000}"/>
    <cellStyle name="20% - Accent4 5 2 2 2 3" xfId="13501" xr:uid="{00000000-0005-0000-0000-0000141F0000}"/>
    <cellStyle name="20% - Accent4 5 2 2 2 3 2" xfId="7462" xr:uid="{00000000-0005-0000-0000-0000151F0000}"/>
    <cellStyle name="20% - Accent4 5 2 2 2 3 2 2" xfId="25311" xr:uid="{00000000-0005-0000-0000-0000161F0000}"/>
    <cellStyle name="20% - Accent4 5 2 2 2 3 3" xfId="7464" xr:uid="{00000000-0005-0000-0000-0000171F0000}"/>
    <cellStyle name="20% - Accent4 5 2 2 2 4" xfId="26845" xr:uid="{00000000-0005-0000-0000-0000181F0000}"/>
    <cellStyle name="20% - Accent4 5 2 2 2 4 2" xfId="7479" xr:uid="{00000000-0005-0000-0000-0000191F0000}"/>
    <cellStyle name="20% - Accent4 5 2 2 2 5" xfId="26848" xr:uid="{00000000-0005-0000-0000-00001A1F0000}"/>
    <cellStyle name="20% - Accent4 5 2 2 3" xfId="29743" xr:uid="{00000000-0005-0000-0000-00001B1F0000}"/>
    <cellStyle name="20% - Accent4 5 2 2 3 2" xfId="24673" xr:uid="{00000000-0005-0000-0000-00001C1F0000}"/>
    <cellStyle name="20% - Accent4 5 2 2 3 2 2" xfId="20929" xr:uid="{00000000-0005-0000-0000-00001D1F0000}"/>
    <cellStyle name="20% - Accent4 5 2 2 3 2 2 2" xfId="25373" xr:uid="{00000000-0005-0000-0000-00001E1F0000}"/>
    <cellStyle name="20% - Accent4 5 2 2 3 2 3" xfId="13023" xr:uid="{00000000-0005-0000-0000-00001F1F0000}"/>
    <cellStyle name="20% - Accent4 5 2 2 3 3" xfId="27201" xr:uid="{00000000-0005-0000-0000-0000201F0000}"/>
    <cellStyle name="20% - Accent4 5 2 2 3 3 2" xfId="7798" xr:uid="{00000000-0005-0000-0000-0000211F0000}"/>
    <cellStyle name="20% - Accent4 5 2 2 3 4" xfId="26859" xr:uid="{00000000-0005-0000-0000-0000221F0000}"/>
    <cellStyle name="20% - Accent4 5 2 2 4" xfId="23783" xr:uid="{00000000-0005-0000-0000-0000231F0000}"/>
    <cellStyle name="20% - Accent4 5 2 2 4 2" xfId="19731" xr:uid="{00000000-0005-0000-0000-0000241F0000}"/>
    <cellStyle name="20% - Accent4 5 2 2 4 2 2" xfId="5316" xr:uid="{00000000-0005-0000-0000-0000251F0000}"/>
    <cellStyle name="20% - Accent4 5 2 2 4 3" xfId="7899" xr:uid="{00000000-0005-0000-0000-0000261F0000}"/>
    <cellStyle name="20% - Accent4 5 2 2 5" xfId="23820" xr:uid="{00000000-0005-0000-0000-0000271F0000}"/>
    <cellStyle name="20% - Accent4 5 2 2 5 2" xfId="7942" xr:uid="{00000000-0005-0000-0000-0000281F0000}"/>
    <cellStyle name="20% - Accent4 5 2 2 6" xfId="10633" xr:uid="{00000000-0005-0000-0000-0000291F0000}"/>
    <cellStyle name="20% - Accent4 5 2 3" xfId="9676" xr:uid="{00000000-0005-0000-0000-00002A1F0000}"/>
    <cellStyle name="20% - Accent4 5 2 3 2" xfId="10637" xr:uid="{00000000-0005-0000-0000-00002B1F0000}"/>
    <cellStyle name="20% - Accent4 5 2 3 2 2" xfId="8592" xr:uid="{00000000-0005-0000-0000-00002C1F0000}"/>
    <cellStyle name="20% - Accent4 5 2 3 2 2 2" xfId="32148" xr:uid="{00000000-0005-0000-0000-00002D1F0000}"/>
    <cellStyle name="20% - Accent4 5 2 3 2 2 2 2" xfId="23679" xr:uid="{00000000-0005-0000-0000-00002E1F0000}"/>
    <cellStyle name="20% - Accent4 5 2 3 2 2 3" xfId="15159" xr:uid="{00000000-0005-0000-0000-00002F1F0000}"/>
    <cellStyle name="20% - Accent4 5 2 3 2 3" xfId="10332" xr:uid="{00000000-0005-0000-0000-0000301F0000}"/>
    <cellStyle name="20% - Accent4 5 2 3 2 3 2" xfId="15170" xr:uid="{00000000-0005-0000-0000-0000311F0000}"/>
    <cellStyle name="20% - Accent4 5 2 3 2 4" xfId="20488" xr:uid="{00000000-0005-0000-0000-0000321F0000}"/>
    <cellStyle name="20% - Accent4 5 2 3 3" xfId="27205" xr:uid="{00000000-0005-0000-0000-0000331F0000}"/>
    <cellStyle name="20% - Accent4 5 2 3 3 2" xfId="19932" xr:uid="{00000000-0005-0000-0000-0000341F0000}"/>
    <cellStyle name="20% - Accent4 5 2 3 3 2 2" xfId="7553" xr:uid="{00000000-0005-0000-0000-0000351F0000}"/>
    <cellStyle name="20% - Accent4 5 2 3 3 3" xfId="7580" xr:uid="{00000000-0005-0000-0000-0000361F0000}"/>
    <cellStyle name="20% - Accent4 5 2 3 4" xfId="8769" xr:uid="{00000000-0005-0000-0000-0000371F0000}"/>
    <cellStyle name="20% - Accent4 5 2 3 4 2" xfId="7609" xr:uid="{00000000-0005-0000-0000-0000381F0000}"/>
    <cellStyle name="20% - Accent4 5 2 3 5" xfId="10638" xr:uid="{00000000-0005-0000-0000-0000391F0000}"/>
    <cellStyle name="20% - Accent4 5 2 4" xfId="27587" xr:uid="{00000000-0005-0000-0000-00003A1F0000}"/>
    <cellStyle name="20% - Accent4 5 2 4 2" xfId="10489" xr:uid="{00000000-0005-0000-0000-00003B1F0000}"/>
    <cellStyle name="20% - Accent4 5 2 4 2 2" xfId="677" xr:uid="{00000000-0005-0000-0000-00003C1F0000}"/>
    <cellStyle name="20% - Accent4 5 2 4 2 2 2" xfId="68" xr:uid="{00000000-0005-0000-0000-00003D1F0000}"/>
    <cellStyle name="20% - Accent4 5 2 4 2 3" xfId="1630" xr:uid="{00000000-0005-0000-0000-00003E1F0000}"/>
    <cellStyle name="20% - Accent4 5 2 4 3" xfId="26260" xr:uid="{00000000-0005-0000-0000-00003F1F0000}"/>
    <cellStyle name="20% - Accent4 5 2 4 3 2" xfId="12230" xr:uid="{00000000-0005-0000-0000-0000401F0000}"/>
    <cellStyle name="20% - Accent4 5 2 4 4" xfId="10490" xr:uid="{00000000-0005-0000-0000-0000411F0000}"/>
    <cellStyle name="20% - Accent4 5 2 5" xfId="15561" xr:uid="{00000000-0005-0000-0000-0000421F0000}"/>
    <cellStyle name="20% - Accent4 5 2 5 2" xfId="10549" xr:uid="{00000000-0005-0000-0000-0000431F0000}"/>
    <cellStyle name="20% - Accent4 5 2 5 2 2" xfId="1525" xr:uid="{00000000-0005-0000-0000-0000441F0000}"/>
    <cellStyle name="20% - Accent4 5 2 5 3" xfId="10556" xr:uid="{00000000-0005-0000-0000-0000451F0000}"/>
    <cellStyle name="20% - Accent4 5 2 6" xfId="14246" xr:uid="{00000000-0005-0000-0000-0000461F0000}"/>
    <cellStyle name="20% - Accent4 5 2 6 2" xfId="12118" xr:uid="{00000000-0005-0000-0000-0000471F0000}"/>
    <cellStyle name="20% - Accent4 5 2 7" xfId="24671" xr:uid="{00000000-0005-0000-0000-0000481F0000}"/>
    <cellStyle name="20% - Accent4 5 3" xfId="10650" xr:uid="{00000000-0005-0000-0000-0000491F0000}"/>
    <cellStyle name="20% - Accent4 5 3 2" xfId="25973" xr:uid="{00000000-0005-0000-0000-00004A1F0000}"/>
    <cellStyle name="20% - Accent4 5 3 2 2" xfId="10652" xr:uid="{00000000-0005-0000-0000-00004B1F0000}"/>
    <cellStyle name="20% - Accent4 5 3 2 2 2" xfId="9708" xr:uid="{00000000-0005-0000-0000-00004C1F0000}"/>
    <cellStyle name="20% - Accent4 5 3 2 2 2 2" xfId="1144" xr:uid="{00000000-0005-0000-0000-00004D1F0000}"/>
    <cellStyle name="20% - Accent4 5 3 2 2 2 2 2" xfId="13364" xr:uid="{00000000-0005-0000-0000-00004E1F0000}"/>
    <cellStyle name="20% - Accent4 5 3 2 2 2 3" xfId="13589" xr:uid="{00000000-0005-0000-0000-00004F1F0000}"/>
    <cellStyle name="20% - Accent4 5 3 2 2 3" xfId="9720" xr:uid="{00000000-0005-0000-0000-0000501F0000}"/>
    <cellStyle name="20% - Accent4 5 3 2 2 3 2" xfId="11659" xr:uid="{00000000-0005-0000-0000-0000511F0000}"/>
    <cellStyle name="20% - Accent4 5 3 2 2 4" xfId="26871" xr:uid="{00000000-0005-0000-0000-0000521F0000}"/>
    <cellStyle name="20% - Accent4 5 3 2 3" xfId="26265" xr:uid="{00000000-0005-0000-0000-0000531F0000}"/>
    <cellStyle name="20% - Accent4 5 3 2 3 2" xfId="13108" xr:uid="{00000000-0005-0000-0000-0000541F0000}"/>
    <cellStyle name="20% - Accent4 5 3 2 3 2 2" xfId="2908" xr:uid="{00000000-0005-0000-0000-0000551F0000}"/>
    <cellStyle name="20% - Accent4 5 3 2 3 3" xfId="9843" xr:uid="{00000000-0005-0000-0000-0000561F0000}"/>
    <cellStyle name="20% - Accent4 5 3 2 4" xfId="19827" xr:uid="{00000000-0005-0000-0000-0000571F0000}"/>
    <cellStyle name="20% - Accent4 5 3 2 4 2" xfId="9863" xr:uid="{00000000-0005-0000-0000-0000581F0000}"/>
    <cellStyle name="20% - Accent4 5 3 2 5" xfId="27975" xr:uid="{00000000-0005-0000-0000-0000591F0000}"/>
    <cellStyle name="20% - Accent4 5 3 3" xfId="10655" xr:uid="{00000000-0005-0000-0000-00005A1F0000}"/>
    <cellStyle name="20% - Accent4 5 3 3 2" xfId="10656" xr:uid="{00000000-0005-0000-0000-00005B1F0000}"/>
    <cellStyle name="20% - Accent4 5 3 3 2 2" xfId="18893" xr:uid="{00000000-0005-0000-0000-00005C1F0000}"/>
    <cellStyle name="20% - Accent4 5 3 3 2 2 2" xfId="1446" xr:uid="{00000000-0005-0000-0000-00005D1F0000}"/>
    <cellStyle name="20% - Accent4 5 3 3 2 3" xfId="1900" xr:uid="{00000000-0005-0000-0000-00005E1F0000}"/>
    <cellStyle name="20% - Accent4 5 3 3 3" xfId="28993" xr:uid="{00000000-0005-0000-0000-00005F1F0000}"/>
    <cellStyle name="20% - Accent4 5 3 3 3 2" xfId="10352" xr:uid="{00000000-0005-0000-0000-0000601F0000}"/>
    <cellStyle name="20% - Accent4 5 3 3 4" xfId="10660" xr:uid="{00000000-0005-0000-0000-0000611F0000}"/>
    <cellStyle name="20% - Accent4 5 3 4" xfId="10573" xr:uid="{00000000-0005-0000-0000-0000621F0000}"/>
    <cellStyle name="20% - Accent4 5 3 4 2" xfId="10642" xr:uid="{00000000-0005-0000-0000-0000631F0000}"/>
    <cellStyle name="20% - Accent4 5 3 4 2 2" xfId="10553" xr:uid="{00000000-0005-0000-0000-0000641F0000}"/>
    <cellStyle name="20% - Accent4 5 3 4 3" xfId="10646" xr:uid="{00000000-0005-0000-0000-0000651F0000}"/>
    <cellStyle name="20% - Accent4 5 3 5" xfId="15573" xr:uid="{00000000-0005-0000-0000-0000661F0000}"/>
    <cellStyle name="20% - Accent4 5 3 5 2" xfId="15459" xr:uid="{00000000-0005-0000-0000-0000671F0000}"/>
    <cellStyle name="20% - Accent4 5 3 6" xfId="10667" xr:uid="{00000000-0005-0000-0000-0000681F0000}"/>
    <cellStyle name="20% - Accent4 5 4" xfId="10669" xr:uid="{00000000-0005-0000-0000-0000691F0000}"/>
    <cellStyle name="20% - Accent4 5 4 2" xfId="10680" xr:uid="{00000000-0005-0000-0000-00006A1F0000}"/>
    <cellStyle name="20% - Accent4 5 4 2 2" xfId="10682" xr:uid="{00000000-0005-0000-0000-00006B1F0000}"/>
    <cellStyle name="20% - Accent4 5 4 2 2 2" xfId="10683" xr:uid="{00000000-0005-0000-0000-00006C1F0000}"/>
    <cellStyle name="20% - Accent4 5 4 2 2 2 2" xfId="27712" xr:uid="{00000000-0005-0000-0000-00006D1F0000}"/>
    <cellStyle name="20% - Accent4 5 4 2 2 3" xfId="10690" xr:uid="{00000000-0005-0000-0000-00006E1F0000}"/>
    <cellStyle name="20% - Accent4 5 4 2 3" xfId="1545" xr:uid="{00000000-0005-0000-0000-00006F1F0000}"/>
    <cellStyle name="20% - Accent4 5 4 2 3 2" xfId="10696" xr:uid="{00000000-0005-0000-0000-0000701F0000}"/>
    <cellStyle name="20% - Accent4 5 4 2 4" xfId="14841" xr:uid="{00000000-0005-0000-0000-0000711F0000}"/>
    <cellStyle name="20% - Accent4 5 4 3" xfId="10700" xr:uid="{00000000-0005-0000-0000-0000721F0000}"/>
    <cellStyle name="20% - Accent4 5 4 3 2" xfId="10702" xr:uid="{00000000-0005-0000-0000-0000731F0000}"/>
    <cellStyle name="20% - Accent4 5 4 3 2 2" xfId="10703" xr:uid="{00000000-0005-0000-0000-0000741F0000}"/>
    <cellStyle name="20% - Accent4 5 4 3 3" xfId="10713" xr:uid="{00000000-0005-0000-0000-0000751F0000}"/>
    <cellStyle name="20% - Accent4 5 4 4" xfId="10727" xr:uid="{00000000-0005-0000-0000-0000761F0000}"/>
    <cellStyle name="20% - Accent4 5 4 4 2" xfId="10731" xr:uid="{00000000-0005-0000-0000-0000771F0000}"/>
    <cellStyle name="20% - Accent4 5 4 5" xfId="10734" xr:uid="{00000000-0005-0000-0000-0000781F0000}"/>
    <cellStyle name="20% - Accent4 5 5" xfId="11648" xr:uid="{00000000-0005-0000-0000-0000791F0000}"/>
    <cellStyle name="20% - Accent4 5 5 2" xfId="10738" xr:uid="{00000000-0005-0000-0000-00007A1F0000}"/>
    <cellStyle name="20% - Accent4 5 5 2 2" xfId="10739" xr:uid="{00000000-0005-0000-0000-00007B1F0000}"/>
    <cellStyle name="20% - Accent4 5 5 2 2 2" xfId="8943" xr:uid="{00000000-0005-0000-0000-00007C1F0000}"/>
    <cellStyle name="20% - Accent4 5 5 2 3" xfId="10740" xr:uid="{00000000-0005-0000-0000-00007D1F0000}"/>
    <cellStyle name="20% - Accent4 5 5 3" xfId="10742" xr:uid="{00000000-0005-0000-0000-00007E1F0000}"/>
    <cellStyle name="20% - Accent4 5 5 3 2" xfId="14653" xr:uid="{00000000-0005-0000-0000-00007F1F0000}"/>
    <cellStyle name="20% - Accent4 5 5 4" xfId="10744" xr:uid="{00000000-0005-0000-0000-0000801F0000}"/>
    <cellStyle name="20% - Accent4 5 6" xfId="11651" xr:uid="{00000000-0005-0000-0000-0000811F0000}"/>
    <cellStyle name="20% - Accent4 5 6 2" xfId="10746" xr:uid="{00000000-0005-0000-0000-0000821F0000}"/>
    <cellStyle name="20% - Accent4 5 6 2 2" xfId="10748" xr:uid="{00000000-0005-0000-0000-0000831F0000}"/>
    <cellStyle name="20% - Accent4 5 6 3" xfId="4745" xr:uid="{00000000-0005-0000-0000-0000841F0000}"/>
    <cellStyle name="20% - Accent4 5 7" xfId="10114" xr:uid="{00000000-0005-0000-0000-0000851F0000}"/>
    <cellStyle name="20% - Accent4 5 7 2" xfId="33294" xr:uid="{00000000-0005-0000-0000-0000861F0000}"/>
    <cellStyle name="20% - Accent4 5 8" xfId="28419" xr:uid="{00000000-0005-0000-0000-0000871F0000}"/>
    <cellStyle name="20% - Accent4 6" xfId="13253" xr:uid="{00000000-0005-0000-0000-0000881F0000}"/>
    <cellStyle name="20% - Accent4 6 2" xfId="12788" xr:uid="{00000000-0005-0000-0000-0000891F0000}"/>
    <cellStyle name="20% - Accent4 6 2 2" xfId="9687" xr:uid="{00000000-0005-0000-0000-00008A1F0000}"/>
    <cellStyle name="20% - Accent4 6 2 2 2" xfId="14589" xr:uid="{00000000-0005-0000-0000-00008B1F0000}"/>
    <cellStyle name="20% - Accent4 6 2 2 2 2" xfId="17713" xr:uid="{00000000-0005-0000-0000-00008C1F0000}"/>
    <cellStyle name="20% - Accent4 6 2 2 2 2 2" xfId="23657" xr:uid="{00000000-0005-0000-0000-00008D1F0000}"/>
    <cellStyle name="20% - Accent4 6 2 2 2 2 2 2" xfId="11546" xr:uid="{00000000-0005-0000-0000-00008E1F0000}"/>
    <cellStyle name="20% - Accent4 6 2 2 2 2 3" xfId="10755" xr:uid="{00000000-0005-0000-0000-00008F1F0000}"/>
    <cellStyle name="20% - Accent4 6 2 2 2 3" xfId="8366" xr:uid="{00000000-0005-0000-0000-0000901F0000}"/>
    <cellStyle name="20% - Accent4 6 2 2 2 3 2" xfId="10757" xr:uid="{00000000-0005-0000-0000-0000911F0000}"/>
    <cellStyle name="20% - Accent4 6 2 2 2 4" xfId="29750" xr:uid="{00000000-0005-0000-0000-0000921F0000}"/>
    <cellStyle name="20% - Accent4 6 2 2 3" xfId="31805" xr:uid="{00000000-0005-0000-0000-0000931F0000}"/>
    <cellStyle name="20% - Accent4 6 2 2 3 2" xfId="11395" xr:uid="{00000000-0005-0000-0000-0000941F0000}"/>
    <cellStyle name="20% - Accent4 6 2 2 3 2 2" xfId="10758" xr:uid="{00000000-0005-0000-0000-0000951F0000}"/>
    <cellStyle name="20% - Accent4 6 2 2 3 3" xfId="8376" xr:uid="{00000000-0005-0000-0000-0000961F0000}"/>
    <cellStyle name="20% - Accent4 6 2 2 4" xfId="24814" xr:uid="{00000000-0005-0000-0000-0000971F0000}"/>
    <cellStyle name="20% - Accent4 6 2 2 4 2" xfId="1172" xr:uid="{00000000-0005-0000-0000-0000981F0000}"/>
    <cellStyle name="20% - Accent4 6 2 2 5" xfId="33316" xr:uid="{00000000-0005-0000-0000-0000991F0000}"/>
    <cellStyle name="20% - Accent4 6 2 3" xfId="10759" xr:uid="{00000000-0005-0000-0000-00009A1F0000}"/>
    <cellStyle name="20% - Accent4 6 2 3 2" xfId="28235" xr:uid="{00000000-0005-0000-0000-00009B1F0000}"/>
    <cellStyle name="20% - Accent4 6 2 3 2 2" xfId="10760" xr:uid="{00000000-0005-0000-0000-00009C1F0000}"/>
    <cellStyle name="20% - Accent4 6 2 3 2 2 2" xfId="10761" xr:uid="{00000000-0005-0000-0000-00009D1F0000}"/>
    <cellStyle name="20% - Accent4 6 2 3 2 3" xfId="18609" xr:uid="{00000000-0005-0000-0000-00009E1F0000}"/>
    <cellStyle name="20% - Accent4 6 2 3 3" xfId="30048" xr:uid="{00000000-0005-0000-0000-00009F1F0000}"/>
    <cellStyle name="20% - Accent4 6 2 3 3 2" xfId="10763" xr:uid="{00000000-0005-0000-0000-0000A01F0000}"/>
    <cellStyle name="20% - Accent4 6 2 3 4" xfId="10764" xr:uid="{00000000-0005-0000-0000-0000A11F0000}"/>
    <cellStyle name="20% - Accent4 6 2 4" xfId="30692" xr:uid="{00000000-0005-0000-0000-0000A21F0000}"/>
    <cellStyle name="20% - Accent4 6 2 4 2" xfId="10768" xr:uid="{00000000-0005-0000-0000-0000A31F0000}"/>
    <cellStyle name="20% - Accent4 6 2 4 2 2" xfId="8775" xr:uid="{00000000-0005-0000-0000-0000A41F0000}"/>
    <cellStyle name="20% - Accent4 6 2 4 3" xfId="10771" xr:uid="{00000000-0005-0000-0000-0000A51F0000}"/>
    <cellStyle name="20% - Accent4 6 2 5" xfId="15585" xr:uid="{00000000-0005-0000-0000-0000A61F0000}"/>
    <cellStyle name="20% - Accent4 6 2 5 2" xfId="10774" xr:uid="{00000000-0005-0000-0000-0000A71F0000}"/>
    <cellStyle name="20% - Accent4 6 2 6" xfId="10778" xr:uid="{00000000-0005-0000-0000-0000A81F0000}"/>
    <cellStyle name="20% - Accent4 6 3" xfId="10780" xr:uid="{00000000-0005-0000-0000-0000A91F0000}"/>
    <cellStyle name="20% - Accent4 6 3 2" xfId="10786" xr:uid="{00000000-0005-0000-0000-0000AA1F0000}"/>
    <cellStyle name="20% - Accent4 6 3 2 2" xfId="32741" xr:uid="{00000000-0005-0000-0000-0000AB1F0000}"/>
    <cellStyle name="20% - Accent4 6 3 2 2 2" xfId="10801" xr:uid="{00000000-0005-0000-0000-0000AC1F0000}"/>
    <cellStyle name="20% - Accent4 6 3 2 2 2 2" xfId="17175" xr:uid="{00000000-0005-0000-0000-0000AD1F0000}"/>
    <cellStyle name="20% - Accent4 6 3 2 2 3" xfId="9239" xr:uid="{00000000-0005-0000-0000-0000AE1F0000}"/>
    <cellStyle name="20% - Accent4 6 3 2 3" xfId="17967" xr:uid="{00000000-0005-0000-0000-0000AF1F0000}"/>
    <cellStyle name="20% - Accent4 6 3 2 3 2" xfId="11056" xr:uid="{00000000-0005-0000-0000-0000B01F0000}"/>
    <cellStyle name="20% - Accent4 6 3 2 4" xfId="10891" xr:uid="{00000000-0005-0000-0000-0000B11F0000}"/>
    <cellStyle name="20% - Accent4 6 3 3" xfId="10803" xr:uid="{00000000-0005-0000-0000-0000B21F0000}"/>
    <cellStyle name="20% - Accent4 6 3 3 2" xfId="10806" xr:uid="{00000000-0005-0000-0000-0000B31F0000}"/>
    <cellStyle name="20% - Accent4 6 3 3 2 2" xfId="10810" xr:uid="{00000000-0005-0000-0000-0000B41F0000}"/>
    <cellStyle name="20% - Accent4 6 3 3 3" xfId="10811" xr:uid="{00000000-0005-0000-0000-0000B51F0000}"/>
    <cellStyle name="20% - Accent4 6 3 4" xfId="25626" xr:uid="{00000000-0005-0000-0000-0000B61F0000}"/>
    <cellStyle name="20% - Accent4 6 3 4 2" xfId="10819" xr:uid="{00000000-0005-0000-0000-0000B71F0000}"/>
    <cellStyle name="20% - Accent4 6 3 5" xfId="10825" xr:uid="{00000000-0005-0000-0000-0000B81F0000}"/>
    <cellStyle name="20% - Accent4 6 4" xfId="11559" xr:uid="{00000000-0005-0000-0000-0000B91F0000}"/>
    <cellStyle name="20% - Accent4 6 4 2" xfId="10831" xr:uid="{00000000-0005-0000-0000-0000BA1F0000}"/>
    <cellStyle name="20% - Accent4 6 4 2 2" xfId="23530" xr:uid="{00000000-0005-0000-0000-0000BB1F0000}"/>
    <cellStyle name="20% - Accent4 6 4 2 2 2" xfId="10838" xr:uid="{00000000-0005-0000-0000-0000BC1F0000}"/>
    <cellStyle name="20% - Accent4 6 4 2 3" xfId="33027" xr:uid="{00000000-0005-0000-0000-0000BD1F0000}"/>
    <cellStyle name="20% - Accent4 6 4 3" xfId="10846" xr:uid="{00000000-0005-0000-0000-0000BE1F0000}"/>
    <cellStyle name="20% - Accent4 6 4 3 2" xfId="18570" xr:uid="{00000000-0005-0000-0000-0000BF1F0000}"/>
    <cellStyle name="20% - Accent4 6 4 4" xfId="10854" xr:uid="{00000000-0005-0000-0000-0000C01F0000}"/>
    <cellStyle name="20% - Accent4 6 5" xfId="2374" xr:uid="{00000000-0005-0000-0000-0000C11F0000}"/>
    <cellStyle name="20% - Accent4 6 5 2" xfId="10857" xr:uid="{00000000-0005-0000-0000-0000C21F0000}"/>
    <cellStyle name="20% - Accent4 6 5 2 2" xfId="21757" xr:uid="{00000000-0005-0000-0000-0000C31F0000}"/>
    <cellStyle name="20% - Accent4 6 5 3" xfId="10872" xr:uid="{00000000-0005-0000-0000-0000C41F0000}"/>
    <cellStyle name="20% - Accent4 6 6" xfId="1786" xr:uid="{00000000-0005-0000-0000-0000C51F0000}"/>
    <cellStyle name="20% - Accent4 6 6 2" xfId="10880" xr:uid="{00000000-0005-0000-0000-0000C61F0000}"/>
    <cellStyle name="20% - Accent4 6 7" xfId="25427" xr:uid="{00000000-0005-0000-0000-0000C71F0000}"/>
    <cellStyle name="20% - Accent4 7" xfId="29915" xr:uid="{00000000-0005-0000-0000-0000C81F0000}"/>
    <cellStyle name="20% - Accent4 7 2" xfId="6236" xr:uid="{00000000-0005-0000-0000-0000C91F0000}"/>
    <cellStyle name="20% - Accent4 7 2 2" xfId="242" xr:uid="{00000000-0005-0000-0000-0000CA1F0000}"/>
    <cellStyle name="20% - Accent4 7 2 2 2" xfId="24498" xr:uid="{00000000-0005-0000-0000-0000CB1F0000}"/>
    <cellStyle name="20% - Accent4 7 2 2 2 2" xfId="10885" xr:uid="{00000000-0005-0000-0000-0000CC1F0000}"/>
    <cellStyle name="20% - Accent4 7 2 2 2 2 2" xfId="10886" xr:uid="{00000000-0005-0000-0000-0000CD1F0000}"/>
    <cellStyle name="20% - Accent4 7 2 2 2 3" xfId="9381" xr:uid="{00000000-0005-0000-0000-0000CE1F0000}"/>
    <cellStyle name="20% - Accent4 7 2 2 3" xfId="30189" xr:uid="{00000000-0005-0000-0000-0000CF1F0000}"/>
    <cellStyle name="20% - Accent4 7 2 2 3 2" xfId="10887" xr:uid="{00000000-0005-0000-0000-0000D01F0000}"/>
    <cellStyle name="20% - Accent4 7 2 2 4" xfId="10895" xr:uid="{00000000-0005-0000-0000-0000D11F0000}"/>
    <cellStyle name="20% - Accent4 7 2 3" xfId="10173" xr:uid="{00000000-0005-0000-0000-0000D21F0000}"/>
    <cellStyle name="20% - Accent4 7 2 3 2" xfId="10897" xr:uid="{00000000-0005-0000-0000-0000D31F0000}"/>
    <cellStyle name="20% - Accent4 7 2 3 2 2" xfId="11808" xr:uid="{00000000-0005-0000-0000-0000D41F0000}"/>
    <cellStyle name="20% - Accent4 7 2 3 3" xfId="10898" xr:uid="{00000000-0005-0000-0000-0000D51F0000}"/>
    <cellStyle name="20% - Accent4 7 2 4" xfId="10900" xr:uid="{00000000-0005-0000-0000-0000D61F0000}"/>
    <cellStyle name="20% - Accent4 7 2 4 2" xfId="3096" xr:uid="{00000000-0005-0000-0000-0000D71F0000}"/>
    <cellStyle name="20% - Accent4 7 2 5" xfId="10907" xr:uid="{00000000-0005-0000-0000-0000D81F0000}"/>
    <cellStyle name="20% - Accent4 7 3" xfId="6242" xr:uid="{00000000-0005-0000-0000-0000D91F0000}"/>
    <cellStyle name="20% - Accent4 7 3 2" xfId="16212" xr:uid="{00000000-0005-0000-0000-0000DA1F0000}"/>
    <cellStyle name="20% - Accent4 7 3 2 2" xfId="10912" xr:uid="{00000000-0005-0000-0000-0000DB1F0000}"/>
    <cellStyle name="20% - Accent4 7 3 2 2 2" xfId="7505" xr:uid="{00000000-0005-0000-0000-0000DC1F0000}"/>
    <cellStyle name="20% - Accent4 7 3 2 3" xfId="10915" xr:uid="{00000000-0005-0000-0000-0000DD1F0000}"/>
    <cellStyle name="20% - Accent4 7 3 3" xfId="10917" xr:uid="{00000000-0005-0000-0000-0000DE1F0000}"/>
    <cellStyle name="20% - Accent4 7 3 3 2" xfId="10920" xr:uid="{00000000-0005-0000-0000-0000DF1F0000}"/>
    <cellStyle name="20% - Accent4 7 3 4" xfId="11053" xr:uid="{00000000-0005-0000-0000-0000E01F0000}"/>
    <cellStyle name="20% - Accent4 7 4" xfId="783" xr:uid="{00000000-0005-0000-0000-0000E11F0000}"/>
    <cellStyle name="20% - Accent4 7 4 2" xfId="16236" xr:uid="{00000000-0005-0000-0000-0000E21F0000}"/>
    <cellStyle name="20% - Accent4 7 4 2 2" xfId="25522" xr:uid="{00000000-0005-0000-0000-0000E31F0000}"/>
    <cellStyle name="20% - Accent4 7 4 3" xfId="10922" xr:uid="{00000000-0005-0000-0000-0000E41F0000}"/>
    <cellStyle name="20% - Accent4 7 5" xfId="2305" xr:uid="{00000000-0005-0000-0000-0000E51F0000}"/>
    <cellStyle name="20% - Accent4 7 5 2" xfId="10925" xr:uid="{00000000-0005-0000-0000-0000E61F0000}"/>
    <cellStyle name="20% - Accent4 7 6" xfId="28850" xr:uid="{00000000-0005-0000-0000-0000E71F0000}"/>
    <cellStyle name="20% - Accent4 8" xfId="29926" xr:uid="{00000000-0005-0000-0000-0000E81F0000}"/>
    <cellStyle name="20% - Accent4 8 2" xfId="6263" xr:uid="{00000000-0005-0000-0000-0000E91F0000}"/>
    <cellStyle name="20% - Accent4 8 2 2" xfId="10185" xr:uid="{00000000-0005-0000-0000-0000EA1F0000}"/>
    <cellStyle name="20% - Accent4 8 2 2 2" xfId="3807" xr:uid="{00000000-0005-0000-0000-0000EB1F0000}"/>
    <cellStyle name="20% - Accent4 8 2 2 2 2" xfId="10930" xr:uid="{00000000-0005-0000-0000-0000EC1F0000}"/>
    <cellStyle name="20% - Accent4 8 2 2 3" xfId="10933" xr:uid="{00000000-0005-0000-0000-0000ED1F0000}"/>
    <cellStyle name="20% - Accent4 8 2 3" xfId="10935" xr:uid="{00000000-0005-0000-0000-0000EE1F0000}"/>
    <cellStyle name="20% - Accent4 8 2 3 2" xfId="10937" xr:uid="{00000000-0005-0000-0000-0000EF1F0000}"/>
    <cellStyle name="20% - Accent4 8 2 4" xfId="10940" xr:uid="{00000000-0005-0000-0000-0000F01F0000}"/>
    <cellStyle name="20% - Accent4 8 3" xfId="23447" xr:uid="{00000000-0005-0000-0000-0000F11F0000}"/>
    <cellStyle name="20% - Accent4 8 3 2" xfId="10942" xr:uid="{00000000-0005-0000-0000-0000F21F0000}"/>
    <cellStyle name="20% - Accent4 8 3 2 2" xfId="11189" xr:uid="{00000000-0005-0000-0000-0000F31F0000}"/>
    <cellStyle name="20% - Accent4 8 3 3" xfId="10943" xr:uid="{00000000-0005-0000-0000-0000F41F0000}"/>
    <cellStyle name="20% - Accent4 8 4" xfId="13901" xr:uid="{00000000-0005-0000-0000-0000F51F0000}"/>
    <cellStyle name="20% - Accent4 8 4 2" xfId="10945" xr:uid="{00000000-0005-0000-0000-0000F61F0000}"/>
    <cellStyle name="20% - Accent4 8 5" xfId="10947" xr:uid="{00000000-0005-0000-0000-0000F71F0000}"/>
    <cellStyle name="20% - Accent4 9" xfId="32108" xr:uid="{00000000-0005-0000-0000-0000F81F0000}"/>
    <cellStyle name="20% - Accent4 9 2" xfId="32121" xr:uid="{00000000-0005-0000-0000-0000F91F0000}"/>
    <cellStyle name="20% - Accent4 9 2 2" xfId="9663" xr:uid="{00000000-0005-0000-0000-0000FA1F0000}"/>
    <cellStyle name="20% - Accent4 9 2 2 2" xfId="32287" xr:uid="{00000000-0005-0000-0000-0000FB1F0000}"/>
    <cellStyle name="20% - Accent4 9 2 3" xfId="10956" xr:uid="{00000000-0005-0000-0000-0000FC1F0000}"/>
    <cellStyle name="20% - Accent4 9 3" xfId="17421" xr:uid="{00000000-0005-0000-0000-0000FD1F0000}"/>
    <cellStyle name="20% - Accent4 9 3 2" xfId="10960" xr:uid="{00000000-0005-0000-0000-0000FE1F0000}"/>
    <cellStyle name="20% - Accent4 9 4" xfId="13807" xr:uid="{00000000-0005-0000-0000-0000FF1F0000}"/>
    <cellStyle name="20% - Accent5 10" xfId="10961" xr:uid="{00000000-0005-0000-0000-000000200000}"/>
    <cellStyle name="20% - Accent5 10 2" xfId="29040" xr:uid="{00000000-0005-0000-0000-000001200000}"/>
    <cellStyle name="20% - Accent5 10 2 2" xfId="20257" xr:uid="{00000000-0005-0000-0000-000002200000}"/>
    <cellStyle name="20% - Accent5 10 3" xfId="9464" xr:uid="{00000000-0005-0000-0000-000003200000}"/>
    <cellStyle name="20% - Accent5 11" xfId="29042" xr:uid="{00000000-0005-0000-0000-000004200000}"/>
    <cellStyle name="20% - Accent5 11 2" xfId="9453" xr:uid="{00000000-0005-0000-0000-000005200000}"/>
    <cellStyle name="20% - Accent5 12" xfId="10967" xr:uid="{00000000-0005-0000-0000-000006200000}"/>
    <cellStyle name="20% - Accent5 13" xfId="10972" xr:uid="{00000000-0005-0000-0000-000007200000}"/>
    <cellStyle name="20% - Accent5 2" xfId="10765" xr:uid="{00000000-0005-0000-0000-000008200000}"/>
    <cellStyle name="20% - Accent5 2 10" xfId="28322" xr:uid="{00000000-0005-0000-0000-000009200000}"/>
    <cellStyle name="20% - Accent5 2 10 2" xfId="20381" xr:uid="{00000000-0005-0000-0000-00000A200000}"/>
    <cellStyle name="20% - Accent5 2 11" xfId="25049" xr:uid="{00000000-0005-0000-0000-00000B200000}"/>
    <cellStyle name="20% - Accent5 2 2" xfId="1196" xr:uid="{00000000-0005-0000-0000-00000C200000}"/>
    <cellStyle name="20% - Accent5 2 2 10" xfId="18415" xr:uid="{00000000-0005-0000-0000-00000D200000}"/>
    <cellStyle name="20% - Accent5 2 2 2" xfId="10974" xr:uid="{00000000-0005-0000-0000-00000E200000}"/>
    <cellStyle name="20% - Accent5 2 2 2 2" xfId="10975" xr:uid="{00000000-0005-0000-0000-00000F200000}"/>
    <cellStyle name="20% - Accent5 2 2 2 2 2" xfId="12364" xr:uid="{00000000-0005-0000-0000-000010200000}"/>
    <cellStyle name="20% - Accent5 2 2 2 2 2 2" xfId="11744" xr:uid="{00000000-0005-0000-0000-000011200000}"/>
    <cellStyle name="20% - Accent5 2 2 2 2 2 2 2" xfId="2239" xr:uid="{00000000-0005-0000-0000-000012200000}"/>
    <cellStyle name="20% - Accent5 2 2 2 2 2 2 2 2" xfId="31217" xr:uid="{00000000-0005-0000-0000-000013200000}"/>
    <cellStyle name="20% - Accent5 2 2 2 2 2 2 2 2 2" xfId="10981" xr:uid="{00000000-0005-0000-0000-000014200000}"/>
    <cellStyle name="20% - Accent5 2 2 2 2 2 2 2 2 2 2" xfId="10684" xr:uid="{00000000-0005-0000-0000-000015200000}"/>
    <cellStyle name="20% - Accent5 2 2 2 2 2 2 2 2 2 2 2" xfId="10985" xr:uid="{00000000-0005-0000-0000-000016200000}"/>
    <cellStyle name="20% - Accent5 2 2 2 2 2 2 2 2 2 3" xfId="10691" xr:uid="{00000000-0005-0000-0000-000017200000}"/>
    <cellStyle name="20% - Accent5 2 2 2 2 2 2 2 2 3" xfId="10988" xr:uid="{00000000-0005-0000-0000-000018200000}"/>
    <cellStyle name="20% - Accent5 2 2 2 2 2 2 2 2 3 2" xfId="10718" xr:uid="{00000000-0005-0000-0000-000019200000}"/>
    <cellStyle name="20% - Accent5 2 2 2 2 2 2 2 2 4" xfId="9321" xr:uid="{00000000-0005-0000-0000-00001A200000}"/>
    <cellStyle name="20% - Accent5 2 2 2 2 2 2 2 3" xfId="26004" xr:uid="{00000000-0005-0000-0000-00001B200000}"/>
    <cellStyle name="20% - Accent5 2 2 2 2 2 2 2 3 2" xfId="10989" xr:uid="{00000000-0005-0000-0000-00001C200000}"/>
    <cellStyle name="20% - Accent5 2 2 2 2 2 2 2 3 2 2" xfId="10704" xr:uid="{00000000-0005-0000-0000-00001D200000}"/>
    <cellStyle name="20% - Accent5 2 2 2 2 2 2 2 3 3" xfId="10991" xr:uid="{00000000-0005-0000-0000-00001E200000}"/>
    <cellStyle name="20% - Accent5 2 2 2 2 2 2 2 4" xfId="6675" xr:uid="{00000000-0005-0000-0000-00001F200000}"/>
    <cellStyle name="20% - Accent5 2 2 2 2 2 2 2 4 2" xfId="10992" xr:uid="{00000000-0005-0000-0000-000020200000}"/>
    <cellStyle name="20% - Accent5 2 2 2 2 2 2 2 5" xfId="6685" xr:uid="{00000000-0005-0000-0000-000021200000}"/>
    <cellStyle name="20% - Accent5 2 2 2 2 2 2 3" xfId="8440" xr:uid="{00000000-0005-0000-0000-000022200000}"/>
    <cellStyle name="20% - Accent5 2 2 2 2 2 2 3 2" xfId="10997" xr:uid="{00000000-0005-0000-0000-000023200000}"/>
    <cellStyle name="20% - Accent5 2 2 2 2 2 2 3 2 2" xfId="11001" xr:uid="{00000000-0005-0000-0000-000024200000}"/>
    <cellStyle name="20% - Accent5 2 2 2 2 2 2 3 2 2 2" xfId="8944" xr:uid="{00000000-0005-0000-0000-000025200000}"/>
    <cellStyle name="20% - Accent5 2 2 2 2 2 2 3 2 3" xfId="11003" xr:uid="{00000000-0005-0000-0000-000026200000}"/>
    <cellStyle name="20% - Accent5 2 2 2 2 2 2 3 3" xfId="11004" xr:uid="{00000000-0005-0000-0000-000027200000}"/>
    <cellStyle name="20% - Accent5 2 2 2 2 2 2 3 3 2" xfId="11006" xr:uid="{00000000-0005-0000-0000-000028200000}"/>
    <cellStyle name="20% - Accent5 2 2 2 2 2 2 3 4" xfId="24104" xr:uid="{00000000-0005-0000-0000-000029200000}"/>
    <cellStyle name="20% - Accent5 2 2 2 2 2 2 4" xfId="8445" xr:uid="{00000000-0005-0000-0000-00002A200000}"/>
    <cellStyle name="20% - Accent5 2 2 2 2 2 2 4 2" xfId="11007" xr:uid="{00000000-0005-0000-0000-00002B200000}"/>
    <cellStyle name="20% - Accent5 2 2 2 2 2 2 4 2 2" xfId="11009" xr:uid="{00000000-0005-0000-0000-00002C200000}"/>
    <cellStyle name="20% - Accent5 2 2 2 2 2 2 4 3" xfId="24108" xr:uid="{00000000-0005-0000-0000-00002D200000}"/>
    <cellStyle name="20% - Accent5 2 2 2 2 2 2 5" xfId="8452" xr:uid="{00000000-0005-0000-0000-00002E200000}"/>
    <cellStyle name="20% - Accent5 2 2 2 2 2 2 5 2" xfId="12713" xr:uid="{00000000-0005-0000-0000-00002F200000}"/>
    <cellStyle name="20% - Accent5 2 2 2 2 2 2 6" xfId="2756" xr:uid="{00000000-0005-0000-0000-000030200000}"/>
    <cellStyle name="20% - Accent5 2 2 2 2 2 3" xfId="3425" xr:uid="{00000000-0005-0000-0000-000031200000}"/>
    <cellStyle name="20% - Accent5 2 2 2 2 2 3 2" xfId="20001" xr:uid="{00000000-0005-0000-0000-000032200000}"/>
    <cellStyle name="20% - Accent5 2 2 2 2 2 3 2 2" xfId="13037" xr:uid="{00000000-0005-0000-0000-000033200000}"/>
    <cellStyle name="20% - Accent5 2 2 2 2 2 3 2 2 2" xfId="32232" xr:uid="{00000000-0005-0000-0000-000034200000}"/>
    <cellStyle name="20% - Accent5 2 2 2 2 2 3 2 2 2 2" xfId="10840" xr:uid="{00000000-0005-0000-0000-000035200000}"/>
    <cellStyle name="20% - Accent5 2 2 2 2 2 3 2 2 3" xfId="15954" xr:uid="{00000000-0005-0000-0000-000036200000}"/>
    <cellStyle name="20% - Accent5 2 2 2 2 2 3 2 3" xfId="11014" xr:uid="{00000000-0005-0000-0000-000037200000}"/>
    <cellStyle name="20% - Accent5 2 2 2 2 2 3 2 3 2" xfId="20614" xr:uid="{00000000-0005-0000-0000-000038200000}"/>
    <cellStyle name="20% - Accent5 2 2 2 2 2 3 2 4" xfId="10139" xr:uid="{00000000-0005-0000-0000-000039200000}"/>
    <cellStyle name="20% - Accent5 2 2 2 2 2 3 3" xfId="19078" xr:uid="{00000000-0005-0000-0000-00003A200000}"/>
    <cellStyle name="20% - Accent5 2 2 2 2 2 3 3 2" xfId="11028" xr:uid="{00000000-0005-0000-0000-00003B200000}"/>
    <cellStyle name="20% - Accent5 2 2 2 2 2 3 3 2 2" xfId="32696" xr:uid="{00000000-0005-0000-0000-00003C200000}"/>
    <cellStyle name="20% - Accent5 2 2 2 2 2 3 3 3" xfId="24134" xr:uid="{00000000-0005-0000-0000-00003D200000}"/>
    <cellStyle name="20% - Accent5 2 2 2 2 2 3 4" xfId="25708" xr:uid="{00000000-0005-0000-0000-00003E200000}"/>
    <cellStyle name="20% - Accent5 2 2 2 2 2 3 4 2" xfId="24143" xr:uid="{00000000-0005-0000-0000-00003F200000}"/>
    <cellStyle name="20% - Accent5 2 2 2 2 2 3 5" xfId="24385" xr:uid="{00000000-0005-0000-0000-000040200000}"/>
    <cellStyle name="20% - Accent5 2 2 2 2 2 4" xfId="9775" xr:uid="{00000000-0005-0000-0000-000041200000}"/>
    <cellStyle name="20% - Accent5 2 2 2 2 2 4 2" xfId="13803" xr:uid="{00000000-0005-0000-0000-000042200000}"/>
    <cellStyle name="20% - Accent5 2 2 2 2 2 4 2 2" xfId="13889" xr:uid="{00000000-0005-0000-0000-000043200000}"/>
    <cellStyle name="20% - Accent5 2 2 2 2 2 4 2 2 2" xfId="29555" xr:uid="{00000000-0005-0000-0000-000044200000}"/>
    <cellStyle name="20% - Accent5 2 2 2 2 2 4 2 3" xfId="9868" xr:uid="{00000000-0005-0000-0000-000045200000}"/>
    <cellStyle name="20% - Accent5 2 2 2 2 2 4 3" xfId="19095" xr:uid="{00000000-0005-0000-0000-000046200000}"/>
    <cellStyle name="20% - Accent5 2 2 2 2 2 4 3 2" xfId="24164" xr:uid="{00000000-0005-0000-0000-000047200000}"/>
    <cellStyle name="20% - Accent5 2 2 2 2 2 4 4" xfId="19525" xr:uid="{00000000-0005-0000-0000-000048200000}"/>
    <cellStyle name="20% - Accent5 2 2 2 2 2 5" xfId="6749" xr:uid="{00000000-0005-0000-0000-000049200000}"/>
    <cellStyle name="20% - Accent5 2 2 2 2 2 5 2" xfId="6876" xr:uid="{00000000-0005-0000-0000-00004A200000}"/>
    <cellStyle name="20% - Accent5 2 2 2 2 2 5 2 2" xfId="10371" xr:uid="{00000000-0005-0000-0000-00004B200000}"/>
    <cellStyle name="20% - Accent5 2 2 2 2 2 5 3" xfId="19107" xr:uid="{00000000-0005-0000-0000-00004C200000}"/>
    <cellStyle name="20% - Accent5 2 2 2 2 2 6" xfId="11034" xr:uid="{00000000-0005-0000-0000-00004D200000}"/>
    <cellStyle name="20% - Accent5 2 2 2 2 2 6 2" xfId="19110" xr:uid="{00000000-0005-0000-0000-00004E200000}"/>
    <cellStyle name="20% - Accent5 2 2 2 2 2 7" xfId="11035" xr:uid="{00000000-0005-0000-0000-00004F200000}"/>
    <cellStyle name="20% - Accent5 2 2 2 2 3" xfId="11019" xr:uid="{00000000-0005-0000-0000-000050200000}"/>
    <cellStyle name="20% - Accent5 2 2 2 2 3 2" xfId="6901" xr:uid="{00000000-0005-0000-0000-000051200000}"/>
    <cellStyle name="20% - Accent5 2 2 2 2 3 2 2" xfId="13518" xr:uid="{00000000-0005-0000-0000-000052200000}"/>
    <cellStyle name="20% - Accent5 2 2 2 2 3 2 2 2" xfId="31353" xr:uid="{00000000-0005-0000-0000-000053200000}"/>
    <cellStyle name="20% - Accent5 2 2 2 2 3 2 2 2 2" xfId="11041" xr:uid="{00000000-0005-0000-0000-000054200000}"/>
    <cellStyle name="20% - Accent5 2 2 2 2 3 2 2 2 2 2" xfId="2219" xr:uid="{00000000-0005-0000-0000-000055200000}"/>
    <cellStyle name="20% - Accent5 2 2 2 2 3 2 2 2 3" xfId="7422" xr:uid="{00000000-0005-0000-0000-000056200000}"/>
    <cellStyle name="20% - Accent5 2 2 2 2 3 2 2 3" xfId="32666" xr:uid="{00000000-0005-0000-0000-000057200000}"/>
    <cellStyle name="20% - Accent5 2 2 2 2 3 2 2 3 2" xfId="32779" xr:uid="{00000000-0005-0000-0000-000058200000}"/>
    <cellStyle name="20% - Accent5 2 2 2 2 3 2 2 4" xfId="20737" xr:uid="{00000000-0005-0000-0000-000059200000}"/>
    <cellStyle name="20% - Accent5 2 2 2 2 3 2 3" xfId="2178" xr:uid="{00000000-0005-0000-0000-00005A200000}"/>
    <cellStyle name="20% - Accent5 2 2 2 2 3 2 3 2" xfId="11048" xr:uid="{00000000-0005-0000-0000-00005B200000}"/>
    <cellStyle name="20% - Accent5 2 2 2 2 3 2 3 2 2" xfId="15688" xr:uid="{00000000-0005-0000-0000-00005C200000}"/>
    <cellStyle name="20% - Accent5 2 2 2 2 3 2 3 3" xfId="9651" xr:uid="{00000000-0005-0000-0000-00005D200000}"/>
    <cellStyle name="20% - Accent5 2 2 2 2 3 2 4" xfId="8473" xr:uid="{00000000-0005-0000-0000-00005E200000}"/>
    <cellStyle name="20% - Accent5 2 2 2 2 3 2 4 2" xfId="24204" xr:uid="{00000000-0005-0000-0000-00005F200000}"/>
    <cellStyle name="20% - Accent5 2 2 2 2 3 2 5" xfId="4156" xr:uid="{00000000-0005-0000-0000-000060200000}"/>
    <cellStyle name="20% - Accent5 2 2 2 2 3 3" xfId="11059" xr:uid="{00000000-0005-0000-0000-000061200000}"/>
    <cellStyle name="20% - Accent5 2 2 2 2 3 3 2" xfId="26981" xr:uid="{00000000-0005-0000-0000-000062200000}"/>
    <cellStyle name="20% - Accent5 2 2 2 2 3 3 2 2" xfId="11060" xr:uid="{00000000-0005-0000-0000-000063200000}"/>
    <cellStyle name="20% - Accent5 2 2 2 2 3 3 2 2 2" xfId="30782" xr:uid="{00000000-0005-0000-0000-000064200000}"/>
    <cellStyle name="20% - Accent5 2 2 2 2 3 3 2 3" xfId="9608" xr:uid="{00000000-0005-0000-0000-000065200000}"/>
    <cellStyle name="20% - Accent5 2 2 2 2 3 3 3" xfId="8476" xr:uid="{00000000-0005-0000-0000-000066200000}"/>
    <cellStyle name="20% - Accent5 2 2 2 2 3 3 3 2" xfId="11068" xr:uid="{00000000-0005-0000-0000-000067200000}"/>
    <cellStyle name="20% - Accent5 2 2 2 2 3 3 4" xfId="24711" xr:uid="{00000000-0005-0000-0000-000068200000}"/>
    <cellStyle name="20% - Accent5 2 2 2 2 3 4" xfId="11071" xr:uid="{00000000-0005-0000-0000-000069200000}"/>
    <cellStyle name="20% - Accent5 2 2 2 2 3 4 2" xfId="19126" xr:uid="{00000000-0005-0000-0000-00006A200000}"/>
    <cellStyle name="20% - Accent5 2 2 2 2 3 4 2 2" xfId="247" xr:uid="{00000000-0005-0000-0000-00006B200000}"/>
    <cellStyle name="20% - Accent5 2 2 2 2 3 4 3" xfId="24716" xr:uid="{00000000-0005-0000-0000-00006C200000}"/>
    <cellStyle name="20% - Accent5 2 2 2 2 3 5" xfId="30642" xr:uid="{00000000-0005-0000-0000-00006D200000}"/>
    <cellStyle name="20% - Accent5 2 2 2 2 3 5 2" xfId="19128" xr:uid="{00000000-0005-0000-0000-00006E200000}"/>
    <cellStyle name="20% - Accent5 2 2 2 2 3 6" xfId="33040" xr:uid="{00000000-0005-0000-0000-00006F200000}"/>
    <cellStyle name="20% - Accent5 2 2 2 2 4" xfId="11072" xr:uid="{00000000-0005-0000-0000-000070200000}"/>
    <cellStyle name="20% - Accent5 2 2 2 2 4 2" xfId="12287" xr:uid="{00000000-0005-0000-0000-000071200000}"/>
    <cellStyle name="20% - Accent5 2 2 2 2 4 2 2" xfId="14315" xr:uid="{00000000-0005-0000-0000-000072200000}"/>
    <cellStyle name="20% - Accent5 2 2 2 2 4 2 2 2" xfId="11073" xr:uid="{00000000-0005-0000-0000-000073200000}"/>
    <cellStyle name="20% - Accent5 2 2 2 2 4 2 2 2 2" xfId="11077" xr:uid="{00000000-0005-0000-0000-000074200000}"/>
    <cellStyle name="20% - Accent5 2 2 2 2 4 2 2 3" xfId="9662" xr:uid="{00000000-0005-0000-0000-000075200000}"/>
    <cellStyle name="20% - Accent5 2 2 2 2 4 2 3" xfId="3860" xr:uid="{00000000-0005-0000-0000-000076200000}"/>
    <cellStyle name="20% - Accent5 2 2 2 2 4 2 3 2" xfId="24228" xr:uid="{00000000-0005-0000-0000-000077200000}"/>
    <cellStyle name="20% - Accent5 2 2 2 2 4 2 4" xfId="9901" xr:uid="{00000000-0005-0000-0000-000078200000}"/>
    <cellStyle name="20% - Accent5 2 2 2 2 4 3" xfId="1459" xr:uid="{00000000-0005-0000-0000-000079200000}"/>
    <cellStyle name="20% - Accent5 2 2 2 2 4 3 2" xfId="19136" xr:uid="{00000000-0005-0000-0000-00007A200000}"/>
    <cellStyle name="20% - Accent5 2 2 2 2 4 3 2 2" xfId="11078" xr:uid="{00000000-0005-0000-0000-00007B200000}"/>
    <cellStyle name="20% - Accent5 2 2 2 2 4 3 3" xfId="19138" xr:uid="{00000000-0005-0000-0000-00007C200000}"/>
    <cellStyle name="20% - Accent5 2 2 2 2 4 4" xfId="24538" xr:uid="{00000000-0005-0000-0000-00007D200000}"/>
    <cellStyle name="20% - Accent5 2 2 2 2 4 4 2" xfId="19141" xr:uid="{00000000-0005-0000-0000-00007E200000}"/>
    <cellStyle name="20% - Accent5 2 2 2 2 4 5" xfId="7783" xr:uid="{00000000-0005-0000-0000-00007F200000}"/>
    <cellStyle name="20% - Accent5 2 2 2 2 5" xfId="27071" xr:uid="{00000000-0005-0000-0000-000080200000}"/>
    <cellStyle name="20% - Accent5 2 2 2 2 5 2" xfId="2387" xr:uid="{00000000-0005-0000-0000-000081200000}"/>
    <cellStyle name="20% - Accent5 2 2 2 2 5 2 2" xfId="23540" xr:uid="{00000000-0005-0000-0000-000082200000}"/>
    <cellStyle name="20% - Accent5 2 2 2 2 5 2 2 2" xfId="11089" xr:uid="{00000000-0005-0000-0000-000083200000}"/>
    <cellStyle name="20% - Accent5 2 2 2 2 5 2 3" xfId="10123" xr:uid="{00000000-0005-0000-0000-000084200000}"/>
    <cellStyle name="20% - Accent5 2 2 2 2 5 3" xfId="731" xr:uid="{00000000-0005-0000-0000-000085200000}"/>
    <cellStyle name="20% - Accent5 2 2 2 2 5 3 2" xfId="19145" xr:uid="{00000000-0005-0000-0000-000086200000}"/>
    <cellStyle name="20% - Accent5 2 2 2 2 5 4" xfId="24543" xr:uid="{00000000-0005-0000-0000-000087200000}"/>
    <cellStyle name="20% - Accent5 2 2 2 2 6" xfId="11095" xr:uid="{00000000-0005-0000-0000-000088200000}"/>
    <cellStyle name="20% - Accent5 2 2 2 2 6 2" xfId="5474" xr:uid="{00000000-0005-0000-0000-000089200000}"/>
    <cellStyle name="20% - Accent5 2 2 2 2 6 2 2" xfId="10127" xr:uid="{00000000-0005-0000-0000-00008A200000}"/>
    <cellStyle name="20% - Accent5 2 2 2 2 6 3" xfId="1486" xr:uid="{00000000-0005-0000-0000-00008B200000}"/>
    <cellStyle name="20% - Accent5 2 2 2 2 7" xfId="11096" xr:uid="{00000000-0005-0000-0000-00008C200000}"/>
    <cellStyle name="20% - Accent5 2 2 2 2 7 2" xfId="6524" xr:uid="{00000000-0005-0000-0000-00008D200000}"/>
    <cellStyle name="20% - Accent5 2 2 2 2 8" xfId="11097" xr:uid="{00000000-0005-0000-0000-00008E200000}"/>
    <cellStyle name="20% - Accent5 2 2 2 3" xfId="3255" xr:uid="{00000000-0005-0000-0000-00008F200000}"/>
    <cellStyle name="20% - Accent5 2 2 2 3 2" xfId="25589" xr:uid="{00000000-0005-0000-0000-000090200000}"/>
    <cellStyle name="20% - Accent5 2 2 2 3 2 2" xfId="6906" xr:uid="{00000000-0005-0000-0000-000091200000}"/>
    <cellStyle name="20% - Accent5 2 2 2 3 2 2 2" xfId="6073" xr:uid="{00000000-0005-0000-0000-000092200000}"/>
    <cellStyle name="20% - Accent5 2 2 2 3 2 2 2 2" xfId="19323" xr:uid="{00000000-0005-0000-0000-000093200000}"/>
    <cellStyle name="20% - Accent5 2 2 2 3 2 2 2 2 2" xfId="26849" xr:uid="{00000000-0005-0000-0000-000094200000}"/>
    <cellStyle name="20% - Accent5 2 2 2 3 2 2 2 2 2 2" xfId="18357" xr:uid="{00000000-0005-0000-0000-000095200000}"/>
    <cellStyle name="20% - Accent5 2 2 2 3 2 2 2 2 3" xfId="943" xr:uid="{00000000-0005-0000-0000-000096200000}"/>
    <cellStyle name="20% - Accent5 2 2 2 3 2 2 2 3" xfId="19472" xr:uid="{00000000-0005-0000-0000-000097200000}"/>
    <cellStyle name="20% - Accent5 2 2 2 3 2 2 2 3 2" xfId="11105" xr:uid="{00000000-0005-0000-0000-000098200000}"/>
    <cellStyle name="20% - Accent5 2 2 2 3 2 2 2 4" xfId="19536" xr:uid="{00000000-0005-0000-0000-000099200000}"/>
    <cellStyle name="20% - Accent5 2 2 2 3 2 2 3" xfId="6081" xr:uid="{00000000-0005-0000-0000-00009A200000}"/>
    <cellStyle name="20% - Accent5 2 2 2 3 2 2 3 2" xfId="11110" xr:uid="{00000000-0005-0000-0000-00009B200000}"/>
    <cellStyle name="20% - Accent5 2 2 2 3 2 2 3 2 2" xfId="14142" xr:uid="{00000000-0005-0000-0000-00009C200000}"/>
    <cellStyle name="20% - Accent5 2 2 2 3 2 2 3 3" xfId="22919" xr:uid="{00000000-0005-0000-0000-00009D200000}"/>
    <cellStyle name="20% - Accent5 2 2 2 3 2 2 4" xfId="8497" xr:uid="{00000000-0005-0000-0000-00009E200000}"/>
    <cellStyle name="20% - Accent5 2 2 2 3 2 2 4 2" xfId="19705" xr:uid="{00000000-0005-0000-0000-00009F200000}"/>
    <cellStyle name="20% - Accent5 2 2 2 3 2 2 5" xfId="3026" xr:uid="{00000000-0005-0000-0000-0000A0200000}"/>
    <cellStyle name="20% - Accent5 2 2 2 3 2 3" xfId="2874" xr:uid="{00000000-0005-0000-0000-0000A1200000}"/>
    <cellStyle name="20% - Accent5 2 2 2 3 2 3 2" xfId="17439" xr:uid="{00000000-0005-0000-0000-0000A2200000}"/>
    <cellStyle name="20% - Accent5 2 2 2 3 2 3 2 2" xfId="9550" xr:uid="{00000000-0005-0000-0000-0000A3200000}"/>
    <cellStyle name="20% - Accent5 2 2 2 3 2 3 2 2 2" xfId="28894" xr:uid="{00000000-0005-0000-0000-0000A4200000}"/>
    <cellStyle name="20% - Accent5 2 2 2 3 2 3 2 3" xfId="11397" xr:uid="{00000000-0005-0000-0000-0000A5200000}"/>
    <cellStyle name="20% - Accent5 2 2 2 3 2 3 3" xfId="14896" xr:uid="{00000000-0005-0000-0000-0000A6200000}"/>
    <cellStyle name="20% - Accent5 2 2 2 3 2 3 3 2" xfId="19916" xr:uid="{00000000-0005-0000-0000-0000A7200000}"/>
    <cellStyle name="20% - Accent5 2 2 2 3 2 3 4" xfId="19196" xr:uid="{00000000-0005-0000-0000-0000A8200000}"/>
    <cellStyle name="20% - Accent5 2 2 2 3 2 4" xfId="10002" xr:uid="{00000000-0005-0000-0000-0000A9200000}"/>
    <cellStyle name="20% - Accent5 2 2 2 3 2 4 2" xfId="17452" xr:uid="{00000000-0005-0000-0000-0000AA200000}"/>
    <cellStyle name="20% - Accent5 2 2 2 3 2 4 2 2" xfId="12881" xr:uid="{00000000-0005-0000-0000-0000AB200000}"/>
    <cellStyle name="20% - Accent5 2 2 2 3 2 4 3" xfId="19201" xr:uid="{00000000-0005-0000-0000-0000AC200000}"/>
    <cellStyle name="20% - Accent5 2 2 2 3 2 5" xfId="11117" xr:uid="{00000000-0005-0000-0000-0000AD200000}"/>
    <cellStyle name="20% - Accent5 2 2 2 3 2 5 2" xfId="19203" xr:uid="{00000000-0005-0000-0000-0000AE200000}"/>
    <cellStyle name="20% - Accent5 2 2 2 3 2 6" xfId="11121" xr:uid="{00000000-0005-0000-0000-0000AF200000}"/>
    <cellStyle name="20% - Accent5 2 2 2 3 3" xfId="32773" xr:uid="{00000000-0005-0000-0000-0000B0200000}"/>
    <cellStyle name="20% - Accent5 2 2 2 3 3 2" xfId="4487" xr:uid="{00000000-0005-0000-0000-0000B1200000}"/>
    <cellStyle name="20% - Accent5 2 2 2 3 3 2 2" xfId="6118" xr:uid="{00000000-0005-0000-0000-0000B2200000}"/>
    <cellStyle name="20% - Accent5 2 2 2 3 3 2 2 2" xfId="22505" xr:uid="{00000000-0005-0000-0000-0000B3200000}"/>
    <cellStyle name="20% - Accent5 2 2 2 3 3 2 2 2 2" xfId="343" xr:uid="{00000000-0005-0000-0000-0000B4200000}"/>
    <cellStyle name="20% - Accent5 2 2 2 3 3 2 2 3" xfId="28352" xr:uid="{00000000-0005-0000-0000-0000B5200000}"/>
    <cellStyle name="20% - Accent5 2 2 2 3 3 2 3" xfId="16567" xr:uid="{00000000-0005-0000-0000-0000B6200000}"/>
    <cellStyle name="20% - Accent5 2 2 2 3 3 2 3 2" xfId="24355" xr:uid="{00000000-0005-0000-0000-0000B7200000}"/>
    <cellStyle name="20% - Accent5 2 2 2 3 3 2 4" xfId="12186" xr:uid="{00000000-0005-0000-0000-0000B8200000}"/>
    <cellStyle name="20% - Accent5 2 2 2 3 3 3" xfId="30988" xr:uid="{00000000-0005-0000-0000-0000B9200000}"/>
    <cellStyle name="20% - Accent5 2 2 2 3 3 3 2" xfId="8506" xr:uid="{00000000-0005-0000-0000-0000BA200000}"/>
    <cellStyle name="20% - Accent5 2 2 2 3 3 3 2 2" xfId="2877" xr:uid="{00000000-0005-0000-0000-0000BB200000}"/>
    <cellStyle name="20% - Accent5 2 2 2 3 3 3 3" xfId="15993" xr:uid="{00000000-0005-0000-0000-0000BC200000}"/>
    <cellStyle name="20% - Accent5 2 2 2 3 3 4" xfId="11129" xr:uid="{00000000-0005-0000-0000-0000BD200000}"/>
    <cellStyle name="20% - Accent5 2 2 2 3 3 4 2" xfId="15998" xr:uid="{00000000-0005-0000-0000-0000BE200000}"/>
    <cellStyle name="20% - Accent5 2 2 2 3 3 5" xfId="11131" xr:uid="{00000000-0005-0000-0000-0000BF200000}"/>
    <cellStyle name="20% - Accent5 2 2 2 3 4" xfId="14006" xr:uid="{00000000-0005-0000-0000-0000C0200000}"/>
    <cellStyle name="20% - Accent5 2 2 2 3 4 2" xfId="4846" xr:uid="{00000000-0005-0000-0000-0000C1200000}"/>
    <cellStyle name="20% - Accent5 2 2 2 3 4 2 2" xfId="16581" xr:uid="{00000000-0005-0000-0000-0000C2200000}"/>
    <cellStyle name="20% - Accent5 2 2 2 3 4 2 2 2" xfId="11133" xr:uid="{00000000-0005-0000-0000-0000C3200000}"/>
    <cellStyle name="20% - Accent5 2 2 2 3 4 2 3" xfId="14890" xr:uid="{00000000-0005-0000-0000-0000C4200000}"/>
    <cellStyle name="20% - Accent5 2 2 2 3 4 3" xfId="16907" xr:uid="{00000000-0005-0000-0000-0000C5200000}"/>
    <cellStyle name="20% - Accent5 2 2 2 3 4 3 2" xfId="16008" xr:uid="{00000000-0005-0000-0000-0000C6200000}"/>
    <cellStyle name="20% - Accent5 2 2 2 3 4 4" xfId="24550" xr:uid="{00000000-0005-0000-0000-0000C7200000}"/>
    <cellStyle name="20% - Accent5 2 2 2 3 5" xfId="5978" xr:uid="{00000000-0005-0000-0000-0000C8200000}"/>
    <cellStyle name="20% - Accent5 2 2 2 3 5 2" xfId="4071" xr:uid="{00000000-0005-0000-0000-0000C9200000}"/>
    <cellStyle name="20% - Accent5 2 2 2 3 5 2 2" xfId="9731" xr:uid="{00000000-0005-0000-0000-0000CA200000}"/>
    <cellStyle name="20% - Accent5 2 2 2 3 5 3" xfId="4074" xr:uid="{00000000-0005-0000-0000-0000CB200000}"/>
    <cellStyle name="20% - Accent5 2 2 2 3 6" xfId="11142" xr:uid="{00000000-0005-0000-0000-0000CC200000}"/>
    <cellStyle name="20% - Accent5 2 2 2 3 6 2" xfId="4079" xr:uid="{00000000-0005-0000-0000-0000CD200000}"/>
    <cellStyle name="20% - Accent5 2 2 2 3 7" xfId="12260" xr:uid="{00000000-0005-0000-0000-0000CE200000}"/>
    <cellStyle name="20% - Accent5 2 2 2 4" xfId="1322" xr:uid="{00000000-0005-0000-0000-0000CF200000}"/>
    <cellStyle name="20% - Accent5 2 2 2 4 2" xfId="20671" xr:uid="{00000000-0005-0000-0000-0000D0200000}"/>
    <cellStyle name="20% - Accent5 2 2 2 4 2 2" xfId="4920" xr:uid="{00000000-0005-0000-0000-0000D1200000}"/>
    <cellStyle name="20% - Accent5 2 2 2 4 2 2 2" xfId="7839" xr:uid="{00000000-0005-0000-0000-0000D2200000}"/>
    <cellStyle name="20% - Accent5 2 2 2 4 2 2 2 2" xfId="11151" xr:uid="{00000000-0005-0000-0000-0000D3200000}"/>
    <cellStyle name="20% - Accent5 2 2 2 4 2 2 2 2 2" xfId="12562" xr:uid="{00000000-0005-0000-0000-0000D4200000}"/>
    <cellStyle name="20% - Accent5 2 2 2 4 2 2 2 3" xfId="16965" xr:uid="{00000000-0005-0000-0000-0000D5200000}"/>
    <cellStyle name="20% - Accent5 2 2 2 4 2 2 3" xfId="8517" xr:uid="{00000000-0005-0000-0000-0000D6200000}"/>
    <cellStyle name="20% - Accent5 2 2 2 4 2 2 3 2" xfId="24432" xr:uid="{00000000-0005-0000-0000-0000D7200000}"/>
    <cellStyle name="20% - Accent5 2 2 2 4 2 2 4" xfId="10613" xr:uid="{00000000-0005-0000-0000-0000D8200000}"/>
    <cellStyle name="20% - Accent5 2 2 2 4 2 3" xfId="9368" xr:uid="{00000000-0005-0000-0000-0000D9200000}"/>
    <cellStyle name="20% - Accent5 2 2 2 4 2 3 2" xfId="17877" xr:uid="{00000000-0005-0000-0000-0000DA200000}"/>
    <cellStyle name="20% - Accent5 2 2 2 4 2 3 2 2" xfId="11427" xr:uid="{00000000-0005-0000-0000-0000DB200000}"/>
    <cellStyle name="20% - Accent5 2 2 2 4 2 3 3" xfId="19244" xr:uid="{00000000-0005-0000-0000-0000DC200000}"/>
    <cellStyle name="20% - Accent5 2 2 2 4 2 4" xfId="10020" xr:uid="{00000000-0005-0000-0000-0000DD200000}"/>
    <cellStyle name="20% - Accent5 2 2 2 4 2 4 2" xfId="19253" xr:uid="{00000000-0005-0000-0000-0000DE200000}"/>
    <cellStyle name="20% - Accent5 2 2 2 4 2 5" xfId="10026" xr:uid="{00000000-0005-0000-0000-0000DF200000}"/>
    <cellStyle name="20% - Accent5 2 2 2 4 3" xfId="4928" xr:uid="{00000000-0005-0000-0000-0000E0200000}"/>
    <cellStyle name="20% - Accent5 2 2 2 4 3 2" xfId="9385" xr:uid="{00000000-0005-0000-0000-0000E1200000}"/>
    <cellStyle name="20% - Accent5 2 2 2 4 3 2 2" xfId="27662" xr:uid="{00000000-0005-0000-0000-0000E2200000}"/>
    <cellStyle name="20% - Accent5 2 2 2 4 3 2 2 2" xfId="11154" xr:uid="{00000000-0005-0000-0000-0000E3200000}"/>
    <cellStyle name="20% - Accent5 2 2 2 4 3 2 3" xfId="22253" xr:uid="{00000000-0005-0000-0000-0000E4200000}"/>
    <cellStyle name="20% - Accent5 2 2 2 4 3 3" xfId="11161" xr:uid="{00000000-0005-0000-0000-0000E5200000}"/>
    <cellStyle name="20% - Accent5 2 2 2 4 3 3 2" xfId="16035" xr:uid="{00000000-0005-0000-0000-0000E6200000}"/>
    <cellStyle name="20% - Accent5 2 2 2 4 3 4" xfId="10076" xr:uid="{00000000-0005-0000-0000-0000E7200000}"/>
    <cellStyle name="20% - Accent5 2 2 2 4 4" xfId="1362" xr:uid="{00000000-0005-0000-0000-0000E8200000}"/>
    <cellStyle name="20% - Accent5 2 2 2 4 4 2" xfId="7918" xr:uid="{00000000-0005-0000-0000-0000E9200000}"/>
    <cellStyle name="20% - Accent5 2 2 2 4 4 2 2" xfId="9595" xr:uid="{00000000-0005-0000-0000-0000EA200000}"/>
    <cellStyle name="20% - Accent5 2 2 2 4 4 3" xfId="7741" xr:uid="{00000000-0005-0000-0000-0000EB200000}"/>
    <cellStyle name="20% - Accent5 2 2 2 4 5" xfId="11164" xr:uid="{00000000-0005-0000-0000-0000EC200000}"/>
    <cellStyle name="20% - Accent5 2 2 2 4 5 2" xfId="4207" xr:uid="{00000000-0005-0000-0000-0000ED200000}"/>
    <cellStyle name="20% - Accent5 2 2 2 4 6" xfId="11168" xr:uid="{00000000-0005-0000-0000-0000EE200000}"/>
    <cellStyle name="20% - Accent5 2 2 2 5" xfId="1653" xr:uid="{00000000-0005-0000-0000-0000EF200000}"/>
    <cellStyle name="20% - Accent5 2 2 2 5 2" xfId="4983" xr:uid="{00000000-0005-0000-0000-0000F0200000}"/>
    <cellStyle name="20% - Accent5 2 2 2 5 2 2" xfId="1768" xr:uid="{00000000-0005-0000-0000-0000F1200000}"/>
    <cellStyle name="20% - Accent5 2 2 2 5 2 2 2" xfId="8526" xr:uid="{00000000-0005-0000-0000-0000F2200000}"/>
    <cellStyle name="20% - Accent5 2 2 2 5 2 2 2 2" xfId="28283" xr:uid="{00000000-0005-0000-0000-0000F3200000}"/>
    <cellStyle name="20% - Accent5 2 2 2 5 2 2 3" xfId="11174" xr:uid="{00000000-0005-0000-0000-0000F4200000}"/>
    <cellStyle name="20% - Accent5 2 2 2 5 2 3" xfId="4238" xr:uid="{00000000-0005-0000-0000-0000F5200000}"/>
    <cellStyle name="20% - Accent5 2 2 2 5 2 3 2" xfId="19285" xr:uid="{00000000-0005-0000-0000-0000F6200000}"/>
    <cellStyle name="20% - Accent5 2 2 2 5 2 4" xfId="12619" xr:uid="{00000000-0005-0000-0000-0000F7200000}"/>
    <cellStyle name="20% - Accent5 2 2 2 5 3" xfId="390" xr:uid="{00000000-0005-0000-0000-0000F8200000}"/>
    <cellStyle name="20% - Accent5 2 2 2 5 3 2" xfId="2260" xr:uid="{00000000-0005-0000-0000-0000F9200000}"/>
    <cellStyle name="20% - Accent5 2 2 2 5 3 2 2" xfId="18786" xr:uid="{00000000-0005-0000-0000-0000FA200000}"/>
    <cellStyle name="20% - Accent5 2 2 2 5 3 3" xfId="11176" xr:uid="{00000000-0005-0000-0000-0000FB200000}"/>
    <cellStyle name="20% - Accent5 2 2 2 5 4" xfId="24350" xr:uid="{00000000-0005-0000-0000-0000FC200000}"/>
    <cellStyle name="20% - Accent5 2 2 2 5 4 2" xfId="6584" xr:uid="{00000000-0005-0000-0000-0000FD200000}"/>
    <cellStyle name="20% - Accent5 2 2 2 5 5" xfId="21071" xr:uid="{00000000-0005-0000-0000-0000FE200000}"/>
    <cellStyle name="20% - Accent5 2 2 2 6" xfId="2006" xr:uid="{00000000-0005-0000-0000-0000FF200000}"/>
    <cellStyle name="20% - Accent5 2 2 2 6 2" xfId="2013" xr:uid="{00000000-0005-0000-0000-000000210000}"/>
    <cellStyle name="20% - Accent5 2 2 2 6 2 2" xfId="3537" xr:uid="{00000000-0005-0000-0000-000001210000}"/>
    <cellStyle name="20% - Accent5 2 2 2 6 2 2 2" xfId="11181" xr:uid="{00000000-0005-0000-0000-000002210000}"/>
    <cellStyle name="20% - Accent5 2 2 2 6 2 3" xfId="11183" xr:uid="{00000000-0005-0000-0000-000003210000}"/>
    <cellStyle name="20% - Accent5 2 2 2 6 3" xfId="11188" xr:uid="{00000000-0005-0000-0000-000004210000}"/>
    <cellStyle name="20% - Accent5 2 2 2 6 3 2" xfId="11191" xr:uid="{00000000-0005-0000-0000-000005210000}"/>
    <cellStyle name="20% - Accent5 2 2 2 6 4" xfId="11195" xr:uid="{00000000-0005-0000-0000-000006210000}"/>
    <cellStyle name="20% - Accent5 2 2 2 7" xfId="1745" xr:uid="{00000000-0005-0000-0000-000007210000}"/>
    <cellStyle name="20% - Accent5 2 2 2 7 2" xfId="26075" xr:uid="{00000000-0005-0000-0000-000008210000}"/>
    <cellStyle name="20% - Accent5 2 2 2 7 2 2" xfId="3575" xr:uid="{00000000-0005-0000-0000-000009210000}"/>
    <cellStyle name="20% - Accent5 2 2 2 7 3" xfId="15473" xr:uid="{00000000-0005-0000-0000-00000A210000}"/>
    <cellStyle name="20% - Accent5 2 2 2 8" xfId="1001" xr:uid="{00000000-0005-0000-0000-00000B210000}"/>
    <cellStyle name="20% - Accent5 2 2 2 8 2" xfId="15480" xr:uid="{00000000-0005-0000-0000-00000C210000}"/>
    <cellStyle name="20% - Accent5 2 2 2 9" xfId="1008" xr:uid="{00000000-0005-0000-0000-00000D210000}"/>
    <cellStyle name="20% - Accent5 2 2 3" xfId="11197" xr:uid="{00000000-0005-0000-0000-00000E210000}"/>
    <cellStyle name="20% - Accent5 2 2 3 2" xfId="11199" xr:uid="{00000000-0005-0000-0000-00000F210000}"/>
    <cellStyle name="20% - Accent5 2 2 3 2 2" xfId="11200" xr:uid="{00000000-0005-0000-0000-000010210000}"/>
    <cellStyle name="20% - Accent5 2 2 3 2 2 2" xfId="6921" xr:uid="{00000000-0005-0000-0000-000011210000}"/>
    <cellStyle name="20% - Accent5 2 2 3 2 2 2 2" xfId="13546" xr:uid="{00000000-0005-0000-0000-000012210000}"/>
    <cellStyle name="20% - Accent5 2 2 3 2 2 2 2 2" xfId="11204" xr:uid="{00000000-0005-0000-0000-000013210000}"/>
    <cellStyle name="20% - Accent5 2 2 3 2 2 2 2 2 2" xfId="11206" xr:uid="{00000000-0005-0000-0000-000014210000}"/>
    <cellStyle name="20% - Accent5 2 2 3 2 2 2 2 2 2 2" xfId="20825" xr:uid="{00000000-0005-0000-0000-000015210000}"/>
    <cellStyle name="20% - Accent5 2 2 3 2 2 2 2 2 3" xfId="11214" xr:uid="{00000000-0005-0000-0000-000016210000}"/>
    <cellStyle name="20% - Accent5 2 2 3 2 2 2 2 3" xfId="11714" xr:uid="{00000000-0005-0000-0000-000017210000}"/>
    <cellStyle name="20% - Accent5 2 2 3 2 2 2 2 3 2" xfId="11216" xr:uid="{00000000-0005-0000-0000-000018210000}"/>
    <cellStyle name="20% - Accent5 2 2 3 2 2 2 2 4" xfId="28008" xr:uid="{00000000-0005-0000-0000-000019210000}"/>
    <cellStyle name="20% - Accent5 2 2 3 2 2 2 3" xfId="8728" xr:uid="{00000000-0005-0000-0000-00001A210000}"/>
    <cellStyle name="20% - Accent5 2 2 3 2 2 2 3 2" xfId="15123" xr:uid="{00000000-0005-0000-0000-00001B210000}"/>
    <cellStyle name="20% - Accent5 2 2 3 2 2 2 3 2 2" xfId="11221" xr:uid="{00000000-0005-0000-0000-00001C210000}"/>
    <cellStyle name="20% - Accent5 2 2 3 2 2 2 3 3" xfId="10268" xr:uid="{00000000-0005-0000-0000-00001D210000}"/>
    <cellStyle name="20% - Accent5 2 2 3 2 2 2 4" xfId="654" xr:uid="{00000000-0005-0000-0000-00001E210000}"/>
    <cellStyle name="20% - Accent5 2 2 3 2 2 2 4 2" xfId="11225" xr:uid="{00000000-0005-0000-0000-00001F210000}"/>
    <cellStyle name="20% - Accent5 2 2 3 2 2 2 5" xfId="2138" xr:uid="{00000000-0005-0000-0000-000020210000}"/>
    <cellStyle name="20% - Accent5 2 2 3 2 2 3" xfId="11227" xr:uid="{00000000-0005-0000-0000-000021210000}"/>
    <cellStyle name="20% - Accent5 2 2 3 2 2 3 2" xfId="23764" xr:uid="{00000000-0005-0000-0000-000022210000}"/>
    <cellStyle name="20% - Accent5 2 2 3 2 2 3 2 2" xfId="9074" xr:uid="{00000000-0005-0000-0000-000023210000}"/>
    <cellStyle name="20% - Accent5 2 2 3 2 2 3 2 2 2" xfId="31210" xr:uid="{00000000-0005-0000-0000-000024210000}"/>
    <cellStyle name="20% - Accent5 2 2 3 2 2 3 2 3" xfId="3436" xr:uid="{00000000-0005-0000-0000-000025210000}"/>
    <cellStyle name="20% - Accent5 2 2 3 2 2 3 3" xfId="32813" xr:uid="{00000000-0005-0000-0000-000026210000}"/>
    <cellStyle name="20% - Accent5 2 2 3 2 2 3 3 2" xfId="11239" xr:uid="{00000000-0005-0000-0000-000027210000}"/>
    <cellStyle name="20% - Accent5 2 2 3 2 2 3 4" xfId="30680" xr:uid="{00000000-0005-0000-0000-000028210000}"/>
    <cellStyle name="20% - Accent5 2 2 3 2 2 4" xfId="11242" xr:uid="{00000000-0005-0000-0000-000029210000}"/>
    <cellStyle name="20% - Accent5 2 2 3 2 2 4 2" xfId="3323" xr:uid="{00000000-0005-0000-0000-00002A210000}"/>
    <cellStyle name="20% - Accent5 2 2 3 2 2 4 2 2" xfId="11245" xr:uid="{00000000-0005-0000-0000-00002B210000}"/>
    <cellStyle name="20% - Accent5 2 2 3 2 2 4 3" xfId="24056" xr:uid="{00000000-0005-0000-0000-00002C210000}"/>
    <cellStyle name="20% - Accent5 2 2 3 2 2 5" xfId="11246" xr:uid="{00000000-0005-0000-0000-00002D210000}"/>
    <cellStyle name="20% - Accent5 2 2 3 2 2 5 2" xfId="16384" xr:uid="{00000000-0005-0000-0000-00002E210000}"/>
    <cellStyle name="20% - Accent5 2 2 3 2 2 6" xfId="11248" xr:uid="{00000000-0005-0000-0000-00002F210000}"/>
    <cellStyle name="20% - Accent5 2 2 3 2 3" xfId="12137" xr:uid="{00000000-0005-0000-0000-000030210000}"/>
    <cellStyle name="20% - Accent5 2 2 3 2 3 2" xfId="11249" xr:uid="{00000000-0005-0000-0000-000031210000}"/>
    <cellStyle name="20% - Accent5 2 2 3 2 3 2 2" xfId="23438" xr:uid="{00000000-0005-0000-0000-000032210000}"/>
    <cellStyle name="20% - Accent5 2 2 3 2 3 2 2 2" xfId="11250" xr:uid="{00000000-0005-0000-0000-000033210000}"/>
    <cellStyle name="20% - Accent5 2 2 3 2 3 2 2 2 2" xfId="30877" xr:uid="{00000000-0005-0000-0000-000034210000}"/>
    <cellStyle name="20% - Accent5 2 2 3 2 3 2 2 3" xfId="10216" xr:uid="{00000000-0005-0000-0000-000035210000}"/>
    <cellStyle name="20% - Accent5 2 2 3 2 3 2 3" xfId="8741" xr:uid="{00000000-0005-0000-0000-000036210000}"/>
    <cellStyle name="20% - Accent5 2 2 3 2 3 2 3 2" xfId="11252" xr:uid="{00000000-0005-0000-0000-000037210000}"/>
    <cellStyle name="20% - Accent5 2 2 3 2 3 2 4" xfId="18561" xr:uid="{00000000-0005-0000-0000-000038210000}"/>
    <cellStyle name="20% - Accent5 2 2 3 2 3 3" xfId="11260" xr:uid="{00000000-0005-0000-0000-000039210000}"/>
    <cellStyle name="20% - Accent5 2 2 3 2 3 3 2" xfId="19292" xr:uid="{00000000-0005-0000-0000-00003A210000}"/>
    <cellStyle name="20% - Accent5 2 2 3 2 3 3 2 2" xfId="11262" xr:uid="{00000000-0005-0000-0000-00003B210000}"/>
    <cellStyle name="20% - Accent5 2 2 3 2 3 3 3" xfId="29237" xr:uid="{00000000-0005-0000-0000-00003C210000}"/>
    <cellStyle name="20% - Accent5 2 2 3 2 3 4" xfId="11266" xr:uid="{00000000-0005-0000-0000-00003D210000}"/>
    <cellStyle name="20% - Accent5 2 2 3 2 3 4 2" xfId="19124" xr:uid="{00000000-0005-0000-0000-00003E210000}"/>
    <cellStyle name="20% - Accent5 2 2 3 2 3 5" xfId="33081" xr:uid="{00000000-0005-0000-0000-00003F210000}"/>
    <cellStyle name="20% - Accent5 2 2 3 2 4" xfId="11416" xr:uid="{00000000-0005-0000-0000-000040210000}"/>
    <cellStyle name="20% - Accent5 2 2 3 2 4 2" xfId="13928" xr:uid="{00000000-0005-0000-0000-000041210000}"/>
    <cellStyle name="20% - Accent5 2 2 3 2 4 2 2" xfId="1211" xr:uid="{00000000-0005-0000-0000-000042210000}"/>
    <cellStyle name="20% - Accent5 2 2 3 2 4 2 2 2" xfId="1883" xr:uid="{00000000-0005-0000-0000-000043210000}"/>
    <cellStyle name="20% - Accent5 2 2 3 2 4 2 3" xfId="28573" xr:uid="{00000000-0005-0000-0000-000044210000}"/>
    <cellStyle name="20% - Accent5 2 2 3 2 4 3" xfId="6064" xr:uid="{00000000-0005-0000-0000-000045210000}"/>
    <cellStyle name="20% - Accent5 2 2 3 2 4 3 2" xfId="19692" xr:uid="{00000000-0005-0000-0000-000046210000}"/>
    <cellStyle name="20% - Accent5 2 2 3 2 4 4" xfId="24587" xr:uid="{00000000-0005-0000-0000-000047210000}"/>
    <cellStyle name="20% - Accent5 2 2 3 2 5" xfId="32438" xr:uid="{00000000-0005-0000-0000-000048210000}"/>
    <cellStyle name="20% - Accent5 2 2 3 2 5 2" xfId="870" xr:uid="{00000000-0005-0000-0000-000049210000}"/>
    <cellStyle name="20% - Accent5 2 2 3 2 5 2 2" xfId="17849" xr:uid="{00000000-0005-0000-0000-00004A210000}"/>
    <cellStyle name="20% - Accent5 2 2 3 2 5 3" xfId="7431" xr:uid="{00000000-0005-0000-0000-00004B210000}"/>
    <cellStyle name="20% - Accent5 2 2 3 2 6" xfId="11273" xr:uid="{00000000-0005-0000-0000-00004C210000}"/>
    <cellStyle name="20% - Accent5 2 2 3 2 6 2" xfId="5484" xr:uid="{00000000-0005-0000-0000-00004D210000}"/>
    <cellStyle name="20% - Accent5 2 2 3 2 7" xfId="23563" xr:uid="{00000000-0005-0000-0000-00004E210000}"/>
    <cellStyle name="20% - Accent5 2 2 3 3" xfId="3611" xr:uid="{00000000-0005-0000-0000-00004F210000}"/>
    <cellStyle name="20% - Accent5 2 2 3 3 2" xfId="33433" xr:uid="{00000000-0005-0000-0000-000050210000}"/>
    <cellStyle name="20% - Accent5 2 2 3 3 2 2" xfId="9137" xr:uid="{00000000-0005-0000-0000-000051210000}"/>
    <cellStyle name="20% - Accent5 2 2 3 3 2 2 2" xfId="6106" xr:uid="{00000000-0005-0000-0000-000052210000}"/>
    <cellStyle name="20% - Accent5 2 2 3 3 2 2 2 2" xfId="28240" xr:uid="{00000000-0005-0000-0000-000053210000}"/>
    <cellStyle name="20% - Accent5 2 2 3 3 2 2 2 2 2" xfId="11277" xr:uid="{00000000-0005-0000-0000-000054210000}"/>
    <cellStyle name="20% - Accent5 2 2 3 3 2 2 2 3" xfId="29332" xr:uid="{00000000-0005-0000-0000-000055210000}"/>
    <cellStyle name="20% - Accent5 2 2 3 3 2 2 3" xfId="27814" xr:uid="{00000000-0005-0000-0000-000056210000}"/>
    <cellStyle name="20% - Accent5 2 2 3 3 2 2 3 2" xfId="32136" xr:uid="{00000000-0005-0000-0000-000057210000}"/>
    <cellStyle name="20% - Accent5 2 2 3 3 2 2 4" xfId="27817" xr:uid="{00000000-0005-0000-0000-000058210000}"/>
    <cellStyle name="20% - Accent5 2 2 3 3 2 3" xfId="31616" xr:uid="{00000000-0005-0000-0000-000059210000}"/>
    <cellStyle name="20% - Accent5 2 2 3 3 2 3 2" xfId="18236" xr:uid="{00000000-0005-0000-0000-00005A210000}"/>
    <cellStyle name="20% - Accent5 2 2 3 3 2 3 2 2" xfId="11289" xr:uid="{00000000-0005-0000-0000-00005B210000}"/>
    <cellStyle name="20% - Accent5 2 2 3 3 2 3 3" xfId="19293" xr:uid="{00000000-0005-0000-0000-00005C210000}"/>
    <cellStyle name="20% - Accent5 2 2 3 3 2 4" xfId="11294" xr:uid="{00000000-0005-0000-0000-00005D210000}"/>
    <cellStyle name="20% - Accent5 2 2 3 3 2 4 2" xfId="19560" xr:uid="{00000000-0005-0000-0000-00005E210000}"/>
    <cellStyle name="20% - Accent5 2 2 3 3 2 5" xfId="10039" xr:uid="{00000000-0005-0000-0000-00005F210000}"/>
    <cellStyle name="20% - Accent5 2 2 3 3 3" xfId="14012" xr:uid="{00000000-0005-0000-0000-000060210000}"/>
    <cellStyle name="20% - Accent5 2 2 3 3 3 2" xfId="9640" xr:uid="{00000000-0005-0000-0000-000061210000}"/>
    <cellStyle name="20% - Accent5 2 2 3 3 3 2 2" xfId="19633" xr:uid="{00000000-0005-0000-0000-000062210000}"/>
    <cellStyle name="20% - Accent5 2 2 3 3 3 2 2 2" xfId="33687" xr:uid="{00000000-0005-0000-0000-000063210000}"/>
    <cellStyle name="20% - Accent5 2 2 3 3 3 2 3" xfId="22943" xr:uid="{00000000-0005-0000-0000-000064210000}"/>
    <cellStyle name="20% - Accent5 2 2 3 3 3 3" xfId="11301" xr:uid="{00000000-0005-0000-0000-000065210000}"/>
    <cellStyle name="20% - Accent5 2 2 3 3 3 3 2" xfId="16081" xr:uid="{00000000-0005-0000-0000-000066210000}"/>
    <cellStyle name="20% - Accent5 2 2 3 3 3 4" xfId="11305" xr:uid="{00000000-0005-0000-0000-000067210000}"/>
    <cellStyle name="20% - Accent5 2 2 3 3 4" xfId="9827" xr:uid="{00000000-0005-0000-0000-000068210000}"/>
    <cellStyle name="20% - Accent5 2 2 3 3 4 2" xfId="20177" xr:uid="{00000000-0005-0000-0000-000069210000}"/>
    <cellStyle name="20% - Accent5 2 2 3 3 4 2 2" xfId="28059" xr:uid="{00000000-0005-0000-0000-00006A210000}"/>
    <cellStyle name="20% - Accent5 2 2 3 3 4 3" xfId="23026" xr:uid="{00000000-0005-0000-0000-00006B210000}"/>
    <cellStyle name="20% - Accent5 2 2 3 3 5" xfId="12625" xr:uid="{00000000-0005-0000-0000-00006C210000}"/>
    <cellStyle name="20% - Accent5 2 2 3 3 5 2" xfId="14200" xr:uid="{00000000-0005-0000-0000-00006D210000}"/>
    <cellStyle name="20% - Accent5 2 2 3 3 6" xfId="11311" xr:uid="{00000000-0005-0000-0000-00006E210000}"/>
    <cellStyle name="20% - Accent5 2 2 3 4" xfId="3699" xr:uid="{00000000-0005-0000-0000-00006F210000}"/>
    <cellStyle name="20% - Accent5 2 2 3 4 2" xfId="10263" xr:uid="{00000000-0005-0000-0000-000070210000}"/>
    <cellStyle name="20% - Accent5 2 2 3 4 2 2" xfId="14041" xr:uid="{00000000-0005-0000-0000-000071210000}"/>
    <cellStyle name="20% - Accent5 2 2 3 4 2 2 2" xfId="24675" xr:uid="{00000000-0005-0000-0000-000072210000}"/>
    <cellStyle name="20% - Accent5 2 2 3 4 2 2 2 2" xfId="836" xr:uid="{00000000-0005-0000-0000-000073210000}"/>
    <cellStyle name="20% - Accent5 2 2 3 4 2 2 3" xfId="27203" xr:uid="{00000000-0005-0000-0000-000074210000}"/>
    <cellStyle name="20% - Accent5 2 2 3 4 2 3" xfId="11325" xr:uid="{00000000-0005-0000-0000-000075210000}"/>
    <cellStyle name="20% - Accent5 2 2 3 4 2 3 2" xfId="19733" xr:uid="{00000000-0005-0000-0000-000076210000}"/>
    <cellStyle name="20% - Accent5 2 2 3 4 2 4" xfId="10394" xr:uid="{00000000-0005-0000-0000-000077210000}"/>
    <cellStyle name="20% - Accent5 2 2 3 4 3" xfId="12143" xr:uid="{00000000-0005-0000-0000-000078210000}"/>
    <cellStyle name="20% - Accent5 2 2 3 4 3 2" xfId="18855" xr:uid="{00000000-0005-0000-0000-000079210000}"/>
    <cellStyle name="20% - Accent5 2 2 3 4 3 2 2" xfId="19934" xr:uid="{00000000-0005-0000-0000-00007A210000}"/>
    <cellStyle name="20% - Accent5 2 2 3 4 3 3" xfId="11330" xr:uid="{00000000-0005-0000-0000-00007B210000}"/>
    <cellStyle name="20% - Accent5 2 2 3 4 4" xfId="11333" xr:uid="{00000000-0005-0000-0000-00007C210000}"/>
    <cellStyle name="20% - Accent5 2 2 3 4 4 2" xfId="9952" xr:uid="{00000000-0005-0000-0000-00007D210000}"/>
    <cellStyle name="20% - Accent5 2 2 3 4 5" xfId="11334" xr:uid="{00000000-0005-0000-0000-00007E210000}"/>
    <cellStyle name="20% - Accent5 2 2 3 5" xfId="2034" xr:uid="{00000000-0005-0000-0000-00007F210000}"/>
    <cellStyle name="20% - Accent5 2 2 3 5 2" xfId="270" xr:uid="{00000000-0005-0000-0000-000080210000}"/>
    <cellStyle name="20% - Accent5 2 2 3 5 2 2" xfId="2463" xr:uid="{00000000-0005-0000-0000-000081210000}"/>
    <cellStyle name="20% - Accent5 2 2 3 5 2 2 2" xfId="13106" xr:uid="{00000000-0005-0000-0000-000082210000}"/>
    <cellStyle name="20% - Accent5 2 2 3 5 2 3" xfId="8623" xr:uid="{00000000-0005-0000-0000-000083210000}"/>
    <cellStyle name="20% - Accent5 2 2 3 5 3" xfId="11337" xr:uid="{00000000-0005-0000-0000-000084210000}"/>
    <cellStyle name="20% - Accent5 2 2 3 5 3 2" xfId="11341" xr:uid="{00000000-0005-0000-0000-000085210000}"/>
    <cellStyle name="20% - Accent5 2 2 3 5 4" xfId="11345" xr:uid="{00000000-0005-0000-0000-000086210000}"/>
    <cellStyle name="20% - Accent5 2 2 3 6" xfId="6003" xr:uid="{00000000-0005-0000-0000-000087210000}"/>
    <cellStyle name="20% - Accent5 2 2 3 6 2" xfId="11347" xr:uid="{00000000-0005-0000-0000-000088210000}"/>
    <cellStyle name="20% - Accent5 2 2 3 6 2 2" xfId="11351" xr:uid="{00000000-0005-0000-0000-000089210000}"/>
    <cellStyle name="20% - Accent5 2 2 3 6 3" xfId="11356" xr:uid="{00000000-0005-0000-0000-00008A210000}"/>
    <cellStyle name="20% - Accent5 2 2 3 7" xfId="6006" xr:uid="{00000000-0005-0000-0000-00008B210000}"/>
    <cellStyle name="20% - Accent5 2 2 3 7 2" xfId="15503" xr:uid="{00000000-0005-0000-0000-00008C210000}"/>
    <cellStyle name="20% - Accent5 2 2 3 8" xfId="1015" xr:uid="{00000000-0005-0000-0000-00008D210000}"/>
    <cellStyle name="20% - Accent5 2 2 4" xfId="30934" xr:uid="{00000000-0005-0000-0000-00008E210000}"/>
    <cellStyle name="20% - Accent5 2 2 4 2" xfId="29119" xr:uid="{00000000-0005-0000-0000-00008F210000}"/>
    <cellStyle name="20% - Accent5 2 2 4 2 2" xfId="30461" xr:uid="{00000000-0005-0000-0000-000090210000}"/>
    <cellStyle name="20% - Accent5 2 2 4 2 2 2" xfId="29545" xr:uid="{00000000-0005-0000-0000-000091210000}"/>
    <cellStyle name="20% - Accent5 2 2 4 2 2 2 2" xfId="31654" xr:uid="{00000000-0005-0000-0000-000092210000}"/>
    <cellStyle name="20% - Accent5 2 2 4 2 2 2 2 2" xfId="11363" xr:uid="{00000000-0005-0000-0000-000093210000}"/>
    <cellStyle name="20% - Accent5 2 2 4 2 2 2 2 2 2" xfId="11364" xr:uid="{00000000-0005-0000-0000-000094210000}"/>
    <cellStyle name="20% - Accent5 2 2 4 2 2 2 2 3" xfId="12951" xr:uid="{00000000-0005-0000-0000-000095210000}"/>
    <cellStyle name="20% - Accent5 2 2 4 2 2 2 3" xfId="510" xr:uid="{00000000-0005-0000-0000-000096210000}"/>
    <cellStyle name="20% - Accent5 2 2 4 2 2 2 3 2" xfId="27563" xr:uid="{00000000-0005-0000-0000-000097210000}"/>
    <cellStyle name="20% - Accent5 2 2 4 2 2 2 4" xfId="3604" xr:uid="{00000000-0005-0000-0000-000098210000}"/>
    <cellStyle name="20% - Accent5 2 2 4 2 2 3" xfId="6635" xr:uid="{00000000-0005-0000-0000-000099210000}"/>
    <cellStyle name="20% - Accent5 2 2 4 2 2 3 2" xfId="21096" xr:uid="{00000000-0005-0000-0000-00009A210000}"/>
    <cellStyle name="20% - Accent5 2 2 4 2 2 3 2 2" xfId="31446" xr:uid="{00000000-0005-0000-0000-00009B210000}"/>
    <cellStyle name="20% - Accent5 2 2 4 2 2 3 3" xfId="29787" xr:uid="{00000000-0005-0000-0000-00009C210000}"/>
    <cellStyle name="20% - Accent5 2 2 4 2 2 4" xfId="13452" xr:uid="{00000000-0005-0000-0000-00009D210000}"/>
    <cellStyle name="20% - Accent5 2 2 4 2 2 4 2" xfId="11365" xr:uid="{00000000-0005-0000-0000-00009E210000}"/>
    <cellStyle name="20% - Accent5 2 2 4 2 2 5" xfId="18739" xr:uid="{00000000-0005-0000-0000-00009F210000}"/>
    <cellStyle name="20% - Accent5 2 2 4 2 3" xfId="16173" xr:uid="{00000000-0005-0000-0000-0000A0210000}"/>
    <cellStyle name="20% - Accent5 2 2 4 2 3 2" xfId="11369" xr:uid="{00000000-0005-0000-0000-0000A1210000}"/>
    <cellStyle name="20% - Accent5 2 2 4 2 3 2 2" xfId="12999" xr:uid="{00000000-0005-0000-0000-0000A2210000}"/>
    <cellStyle name="20% - Accent5 2 2 4 2 3 2 2 2" xfId="11372" xr:uid="{00000000-0005-0000-0000-0000A3210000}"/>
    <cellStyle name="20% - Accent5 2 2 4 2 3 2 3" xfId="28206" xr:uid="{00000000-0005-0000-0000-0000A4210000}"/>
    <cellStyle name="20% - Accent5 2 2 4 2 3 3" xfId="11373" xr:uid="{00000000-0005-0000-0000-0000A5210000}"/>
    <cellStyle name="20% - Accent5 2 2 4 2 3 3 2" xfId="28890" xr:uid="{00000000-0005-0000-0000-0000A6210000}"/>
    <cellStyle name="20% - Accent5 2 2 4 2 3 4" xfId="725" xr:uid="{00000000-0005-0000-0000-0000A7210000}"/>
    <cellStyle name="20% - Accent5 2 2 4 2 4" xfId="11375" xr:uid="{00000000-0005-0000-0000-0000A8210000}"/>
    <cellStyle name="20% - Accent5 2 2 4 2 4 2" xfId="9261" xr:uid="{00000000-0005-0000-0000-0000A9210000}"/>
    <cellStyle name="20% - Accent5 2 2 4 2 4 2 2" xfId="31813" xr:uid="{00000000-0005-0000-0000-0000AA210000}"/>
    <cellStyle name="20% - Accent5 2 2 4 2 4 3" xfId="9391" xr:uid="{00000000-0005-0000-0000-0000AB210000}"/>
    <cellStyle name="20% - Accent5 2 2 4 2 5" xfId="11377" xr:uid="{00000000-0005-0000-0000-0000AC210000}"/>
    <cellStyle name="20% - Accent5 2 2 4 2 5 2" xfId="3306" xr:uid="{00000000-0005-0000-0000-0000AD210000}"/>
    <cellStyle name="20% - Accent5 2 2 4 2 6" xfId="32558" xr:uid="{00000000-0005-0000-0000-0000AE210000}"/>
    <cellStyle name="20% - Accent5 2 2 4 3" xfId="8224" xr:uid="{00000000-0005-0000-0000-0000AF210000}"/>
    <cellStyle name="20% - Accent5 2 2 4 3 2" xfId="12779" xr:uid="{00000000-0005-0000-0000-0000B0210000}"/>
    <cellStyle name="20% - Accent5 2 2 4 3 2 2" xfId="18752" xr:uid="{00000000-0005-0000-0000-0000B1210000}"/>
    <cellStyle name="20% - Accent5 2 2 4 3 2 2 2" xfId="30950" xr:uid="{00000000-0005-0000-0000-0000B2210000}"/>
    <cellStyle name="20% - Accent5 2 2 4 3 2 2 2 2" xfId="7684" xr:uid="{00000000-0005-0000-0000-0000B3210000}"/>
    <cellStyle name="20% - Accent5 2 2 4 3 2 2 3" xfId="12355" xr:uid="{00000000-0005-0000-0000-0000B4210000}"/>
    <cellStyle name="20% - Accent5 2 2 4 3 2 3" xfId="18875" xr:uid="{00000000-0005-0000-0000-0000B5210000}"/>
    <cellStyle name="20% - Accent5 2 2 4 3 2 3 2" xfId="20028" xr:uid="{00000000-0005-0000-0000-0000B6210000}"/>
    <cellStyle name="20% - Accent5 2 2 4 3 2 4" xfId="13355" xr:uid="{00000000-0005-0000-0000-0000B7210000}"/>
    <cellStyle name="20% - Accent5 2 2 4 3 3" xfId="12155" xr:uid="{00000000-0005-0000-0000-0000B8210000}"/>
    <cellStyle name="20% - Accent5 2 2 4 3 3 2" xfId="3794" xr:uid="{00000000-0005-0000-0000-0000B9210000}"/>
    <cellStyle name="20% - Accent5 2 2 4 3 3 2 2" xfId="8022" xr:uid="{00000000-0005-0000-0000-0000BA210000}"/>
    <cellStyle name="20% - Accent5 2 2 4 3 3 3" xfId="11389" xr:uid="{00000000-0005-0000-0000-0000BB210000}"/>
    <cellStyle name="20% - Accent5 2 2 4 3 4" xfId="6294" xr:uid="{00000000-0005-0000-0000-0000BC210000}"/>
    <cellStyle name="20% - Accent5 2 2 4 3 4 2" xfId="19188" xr:uid="{00000000-0005-0000-0000-0000BD210000}"/>
    <cellStyle name="20% - Accent5 2 2 4 3 5" xfId="3884" xr:uid="{00000000-0005-0000-0000-0000BE210000}"/>
    <cellStyle name="20% - Accent5 2 2 4 4" xfId="27636" xr:uid="{00000000-0005-0000-0000-0000BF210000}"/>
    <cellStyle name="20% - Accent5 2 2 4 4 2" xfId="125" xr:uid="{00000000-0005-0000-0000-0000C0210000}"/>
    <cellStyle name="20% - Accent5 2 2 4 4 2 2" xfId="14918" xr:uid="{00000000-0005-0000-0000-0000C1210000}"/>
    <cellStyle name="20% - Accent5 2 2 4 4 2 2 2" xfId="11394" xr:uid="{00000000-0005-0000-0000-0000C2210000}"/>
    <cellStyle name="20% - Accent5 2 2 4 4 2 3" xfId="19541" xr:uid="{00000000-0005-0000-0000-0000C3210000}"/>
    <cellStyle name="20% - Accent5 2 2 4 4 3" xfId="143" xr:uid="{00000000-0005-0000-0000-0000C4210000}"/>
    <cellStyle name="20% - Accent5 2 2 4 4 3 2" xfId="22922" xr:uid="{00000000-0005-0000-0000-0000C5210000}"/>
    <cellStyle name="20% - Accent5 2 2 4 4 4" xfId="3929" xr:uid="{00000000-0005-0000-0000-0000C6210000}"/>
    <cellStyle name="20% - Accent5 2 2 4 5" xfId="9118" xr:uid="{00000000-0005-0000-0000-0000C7210000}"/>
    <cellStyle name="20% - Accent5 2 2 4 5 2" xfId="11396" xr:uid="{00000000-0005-0000-0000-0000C8210000}"/>
    <cellStyle name="20% - Accent5 2 2 4 5 2 2" xfId="24377" xr:uid="{00000000-0005-0000-0000-0000C9210000}"/>
    <cellStyle name="20% - Accent5 2 2 4 5 3" xfId="11400" xr:uid="{00000000-0005-0000-0000-0000CA210000}"/>
    <cellStyle name="20% - Accent5 2 2 4 6" xfId="6010" xr:uid="{00000000-0005-0000-0000-0000CB210000}"/>
    <cellStyle name="20% - Accent5 2 2 4 6 2" xfId="487" xr:uid="{00000000-0005-0000-0000-0000CC210000}"/>
    <cellStyle name="20% - Accent5 2 2 4 7" xfId="11409" xr:uid="{00000000-0005-0000-0000-0000CD210000}"/>
    <cellStyle name="20% - Accent5 2 2 5" xfId="11411" xr:uid="{00000000-0005-0000-0000-0000CE210000}"/>
    <cellStyle name="20% - Accent5 2 2 5 2" xfId="11419" xr:uid="{00000000-0005-0000-0000-0000CF210000}"/>
    <cellStyle name="20% - Accent5 2 2 5 2 2" xfId="19194" xr:uid="{00000000-0005-0000-0000-0000D0210000}"/>
    <cellStyle name="20% - Accent5 2 2 5 2 2 2" xfId="8067" xr:uid="{00000000-0005-0000-0000-0000D1210000}"/>
    <cellStyle name="20% - Accent5 2 2 5 2 2 2 2" xfId="3192" xr:uid="{00000000-0005-0000-0000-0000D2210000}"/>
    <cellStyle name="20% - Accent5 2 2 5 2 2 2 2 2" xfId="11421" xr:uid="{00000000-0005-0000-0000-0000D3210000}"/>
    <cellStyle name="20% - Accent5 2 2 5 2 2 2 3" xfId="32932" xr:uid="{00000000-0005-0000-0000-0000D4210000}"/>
    <cellStyle name="20% - Accent5 2 2 5 2 2 3" xfId="31752" xr:uid="{00000000-0005-0000-0000-0000D5210000}"/>
    <cellStyle name="20% - Accent5 2 2 5 2 2 3 2" xfId="20211" xr:uid="{00000000-0005-0000-0000-0000D6210000}"/>
    <cellStyle name="20% - Accent5 2 2 5 2 2 4" xfId="31589" xr:uid="{00000000-0005-0000-0000-0000D7210000}"/>
    <cellStyle name="20% - Accent5 2 2 5 2 3" xfId="31592" xr:uid="{00000000-0005-0000-0000-0000D8210000}"/>
    <cellStyle name="20% - Accent5 2 2 5 2 3 2" xfId="31768" xr:uid="{00000000-0005-0000-0000-0000D9210000}"/>
    <cellStyle name="20% - Accent5 2 2 5 2 3 2 2" xfId="136" xr:uid="{00000000-0005-0000-0000-0000DA210000}"/>
    <cellStyle name="20% - Accent5 2 2 5 2 3 3" xfId="31596" xr:uid="{00000000-0005-0000-0000-0000DB210000}"/>
    <cellStyle name="20% - Accent5 2 2 5 2 4" xfId="11422" xr:uid="{00000000-0005-0000-0000-0000DC210000}"/>
    <cellStyle name="20% - Accent5 2 2 5 2 4 2" xfId="11198" xr:uid="{00000000-0005-0000-0000-0000DD210000}"/>
    <cellStyle name="20% - Accent5 2 2 5 2 5" xfId="33142" xr:uid="{00000000-0005-0000-0000-0000DE210000}"/>
    <cellStyle name="20% - Accent5 2 2 5 3" xfId="7181" xr:uid="{00000000-0005-0000-0000-0000DF210000}"/>
    <cellStyle name="20% - Accent5 2 2 5 3 2" xfId="483" xr:uid="{00000000-0005-0000-0000-0000E0210000}"/>
    <cellStyle name="20% - Accent5 2 2 5 3 2 2" xfId="32767" xr:uid="{00000000-0005-0000-0000-0000E1210000}"/>
    <cellStyle name="20% - Accent5 2 2 5 3 2 2 2" xfId="32020" xr:uid="{00000000-0005-0000-0000-0000E2210000}"/>
    <cellStyle name="20% - Accent5 2 2 5 3 2 3" xfId="29558" xr:uid="{00000000-0005-0000-0000-0000E3210000}"/>
    <cellStyle name="20% - Accent5 2 2 5 3 3" xfId="24556" xr:uid="{00000000-0005-0000-0000-0000E4210000}"/>
    <cellStyle name="20% - Accent5 2 2 5 3 3 2" xfId="28212" xr:uid="{00000000-0005-0000-0000-0000E5210000}"/>
    <cellStyle name="20% - Accent5 2 2 5 3 4" xfId="4389" xr:uid="{00000000-0005-0000-0000-0000E6210000}"/>
    <cellStyle name="20% - Accent5 2 2 5 4" xfId="29025" xr:uid="{00000000-0005-0000-0000-0000E7210000}"/>
    <cellStyle name="20% - Accent5 2 2 5 4 2" xfId="30936" xr:uid="{00000000-0005-0000-0000-0000E8210000}"/>
    <cellStyle name="20% - Accent5 2 2 5 4 2 2" xfId="28354" xr:uid="{00000000-0005-0000-0000-0000E9210000}"/>
    <cellStyle name="20% - Accent5 2 2 5 4 3" xfId="31641" xr:uid="{00000000-0005-0000-0000-0000EA210000}"/>
    <cellStyle name="20% - Accent5 2 2 5 5" xfId="12876" xr:uid="{00000000-0005-0000-0000-0000EB210000}"/>
    <cellStyle name="20% - Accent5 2 2 5 5 2" xfId="11431" xr:uid="{00000000-0005-0000-0000-0000EC210000}"/>
    <cellStyle name="20% - Accent5 2 2 5 6" xfId="20761" xr:uid="{00000000-0005-0000-0000-0000ED210000}"/>
    <cellStyle name="20% - Accent5 2 2 6" xfId="11433" xr:uid="{00000000-0005-0000-0000-0000EE210000}"/>
    <cellStyle name="20% - Accent5 2 2 6 2" xfId="31559" xr:uid="{00000000-0005-0000-0000-0000EF210000}"/>
    <cellStyle name="20% - Accent5 2 2 6 2 2" xfId="31728" xr:uid="{00000000-0005-0000-0000-0000F0210000}"/>
    <cellStyle name="20% - Accent5 2 2 6 2 2 2" xfId="226" xr:uid="{00000000-0005-0000-0000-0000F1210000}"/>
    <cellStyle name="20% - Accent5 2 2 6 2 2 2 2" xfId="30556" xr:uid="{00000000-0005-0000-0000-0000F2210000}"/>
    <cellStyle name="20% - Accent5 2 2 6 2 2 3" xfId="31732" xr:uid="{00000000-0005-0000-0000-0000F3210000}"/>
    <cellStyle name="20% - Accent5 2 2 6 2 3" xfId="30839" xr:uid="{00000000-0005-0000-0000-0000F4210000}"/>
    <cellStyle name="20% - Accent5 2 2 6 2 3 2" xfId="31738" xr:uid="{00000000-0005-0000-0000-0000F5210000}"/>
    <cellStyle name="20% - Accent5 2 2 6 2 4" xfId="4567" xr:uid="{00000000-0005-0000-0000-0000F6210000}"/>
    <cellStyle name="20% - Accent5 2 2 6 3" xfId="31580" xr:uid="{00000000-0005-0000-0000-0000F7210000}"/>
    <cellStyle name="20% - Accent5 2 2 6 3 2" xfId="32589" xr:uid="{00000000-0005-0000-0000-0000F8210000}"/>
    <cellStyle name="20% - Accent5 2 2 6 3 2 2" xfId="27540" xr:uid="{00000000-0005-0000-0000-0000F9210000}"/>
    <cellStyle name="20% - Accent5 2 2 6 3 3" xfId="31754" xr:uid="{00000000-0005-0000-0000-0000FA210000}"/>
    <cellStyle name="20% - Accent5 2 2 6 4" xfId="30789" xr:uid="{00000000-0005-0000-0000-0000FB210000}"/>
    <cellStyle name="20% - Accent5 2 2 6 4 2" xfId="29495" xr:uid="{00000000-0005-0000-0000-0000FC210000}"/>
    <cellStyle name="20% - Accent5 2 2 6 5" xfId="20783" xr:uid="{00000000-0005-0000-0000-0000FD210000}"/>
    <cellStyle name="20% - Accent5 2 2 7" xfId="11445" xr:uid="{00000000-0005-0000-0000-0000FE210000}"/>
    <cellStyle name="20% - Accent5 2 2 7 2" xfId="33973" xr:uid="{00000000-0005-0000-0000-0000FF210000}"/>
    <cellStyle name="20% - Accent5 2 2 7 2 2" xfId="11446" xr:uid="{00000000-0005-0000-0000-000000220000}"/>
    <cellStyle name="20% - Accent5 2 2 7 2 2 2" xfId="33881" xr:uid="{00000000-0005-0000-0000-000001220000}"/>
    <cellStyle name="20% - Accent5 2 2 7 2 3" xfId="31851" xr:uid="{00000000-0005-0000-0000-000002220000}"/>
    <cellStyle name="20% - Accent5 2 2 7 3" xfId="33871" xr:uid="{00000000-0005-0000-0000-000003220000}"/>
    <cellStyle name="20% - Accent5 2 2 7 3 2" xfId="28090" xr:uid="{00000000-0005-0000-0000-000004220000}"/>
    <cellStyle name="20% - Accent5 2 2 7 4" xfId="11449" xr:uid="{00000000-0005-0000-0000-000005220000}"/>
    <cellStyle name="20% - Accent5 2 2 8" xfId="11450" xr:uid="{00000000-0005-0000-0000-000006220000}"/>
    <cellStyle name="20% - Accent5 2 2 8 2" xfId="5827" xr:uid="{00000000-0005-0000-0000-000007220000}"/>
    <cellStyle name="20% - Accent5 2 2 8 2 2" xfId="33225" xr:uid="{00000000-0005-0000-0000-000008220000}"/>
    <cellStyle name="20% - Accent5 2 2 8 3" xfId="23730" xr:uid="{00000000-0005-0000-0000-000009220000}"/>
    <cellStyle name="20% - Accent5 2 2 9" xfId="11451" xr:uid="{00000000-0005-0000-0000-00000A220000}"/>
    <cellStyle name="20% - Accent5 2 2 9 2" xfId="25606" xr:uid="{00000000-0005-0000-0000-00000B220000}"/>
    <cellStyle name="20% - Accent5 2 3" xfId="822" xr:uid="{00000000-0005-0000-0000-00000C220000}"/>
    <cellStyle name="20% - Accent5 2 3 2" xfId="3448" xr:uid="{00000000-0005-0000-0000-00000D220000}"/>
    <cellStyle name="20% - Accent5 2 3 2 2" xfId="11452" xr:uid="{00000000-0005-0000-0000-00000E220000}"/>
    <cellStyle name="20% - Accent5 2 3 2 2 2" xfId="29726" xr:uid="{00000000-0005-0000-0000-00000F220000}"/>
    <cellStyle name="20% - Accent5 2 3 2 2 2 2" xfId="6924" xr:uid="{00000000-0005-0000-0000-000010220000}"/>
    <cellStyle name="20% - Accent5 2 3 2 2 2 2 2" xfId="10279" xr:uid="{00000000-0005-0000-0000-000011220000}"/>
    <cellStyle name="20% - Accent5 2 3 2 2 2 2 2 2" xfId="24783" xr:uid="{00000000-0005-0000-0000-000012220000}"/>
    <cellStyle name="20% - Accent5 2 3 2 2 2 2 2 2 2" xfId="13843" xr:uid="{00000000-0005-0000-0000-000013220000}"/>
    <cellStyle name="20% - Accent5 2 3 2 2 2 2 2 2 2 2" xfId="19252" xr:uid="{00000000-0005-0000-0000-000014220000}"/>
    <cellStyle name="20% - Accent5 2 3 2 2 2 2 2 2 3" xfId="26973" xr:uid="{00000000-0005-0000-0000-000015220000}"/>
    <cellStyle name="20% - Accent5 2 3 2 2 2 2 2 3" xfId="11457" xr:uid="{00000000-0005-0000-0000-000016220000}"/>
    <cellStyle name="20% - Accent5 2 3 2 2 2 2 2 3 2" xfId="4937" xr:uid="{00000000-0005-0000-0000-000017220000}"/>
    <cellStyle name="20% - Accent5 2 3 2 2 2 2 2 4" xfId="11458" xr:uid="{00000000-0005-0000-0000-000018220000}"/>
    <cellStyle name="20% - Accent5 2 3 2 2 2 2 3" xfId="10288" xr:uid="{00000000-0005-0000-0000-000019220000}"/>
    <cellStyle name="20% - Accent5 2 3 2 2 2 2 3 2" xfId="14600" xr:uid="{00000000-0005-0000-0000-00001A220000}"/>
    <cellStyle name="20% - Accent5 2 3 2 2 2 2 3 2 2" xfId="11459" xr:uid="{00000000-0005-0000-0000-00001B220000}"/>
    <cellStyle name="20% - Accent5 2 3 2 2 2 2 3 3" xfId="28088" xr:uid="{00000000-0005-0000-0000-00001C220000}"/>
    <cellStyle name="20% - Accent5 2 3 2 2 2 2 4" xfId="10293" xr:uid="{00000000-0005-0000-0000-00001D220000}"/>
    <cellStyle name="20% - Accent5 2 3 2 2 2 2 4 2" xfId="26286" xr:uid="{00000000-0005-0000-0000-00001E220000}"/>
    <cellStyle name="20% - Accent5 2 3 2 2 2 2 5" xfId="4458" xr:uid="{00000000-0005-0000-0000-00001F220000}"/>
    <cellStyle name="20% - Accent5 2 3 2 2 2 3" xfId="11461" xr:uid="{00000000-0005-0000-0000-000020220000}"/>
    <cellStyle name="20% - Accent5 2 3 2 2 2 3 2" xfId="21014" xr:uid="{00000000-0005-0000-0000-000021220000}"/>
    <cellStyle name="20% - Accent5 2 3 2 2 2 3 2 2" xfId="11463" xr:uid="{00000000-0005-0000-0000-000022220000}"/>
    <cellStyle name="20% - Accent5 2 3 2 2 2 3 2 2 2" xfId="26995" xr:uid="{00000000-0005-0000-0000-000023220000}"/>
    <cellStyle name="20% - Accent5 2 3 2 2 2 3 2 3" xfId="11464" xr:uid="{00000000-0005-0000-0000-000024220000}"/>
    <cellStyle name="20% - Accent5 2 3 2 2 2 3 3" xfId="21336" xr:uid="{00000000-0005-0000-0000-000025220000}"/>
    <cellStyle name="20% - Accent5 2 3 2 2 2 3 3 2" xfId="26294" xr:uid="{00000000-0005-0000-0000-000026220000}"/>
    <cellStyle name="20% - Accent5 2 3 2 2 2 3 4" xfId="21343" xr:uid="{00000000-0005-0000-0000-000027220000}"/>
    <cellStyle name="20% - Accent5 2 3 2 2 2 4" xfId="31174" xr:uid="{00000000-0005-0000-0000-000028220000}"/>
    <cellStyle name="20% - Accent5 2 3 2 2 2 4 2" xfId="21373" xr:uid="{00000000-0005-0000-0000-000029220000}"/>
    <cellStyle name="20% - Accent5 2 3 2 2 2 4 2 2" xfId="33590" xr:uid="{00000000-0005-0000-0000-00002A220000}"/>
    <cellStyle name="20% - Accent5 2 3 2 2 2 4 3" xfId="21393" xr:uid="{00000000-0005-0000-0000-00002B220000}"/>
    <cellStyle name="20% - Accent5 2 3 2 2 2 5" xfId="3680" xr:uid="{00000000-0005-0000-0000-00002C220000}"/>
    <cellStyle name="20% - Accent5 2 3 2 2 2 5 2" xfId="21423" xr:uid="{00000000-0005-0000-0000-00002D220000}"/>
    <cellStyle name="20% - Accent5 2 3 2 2 2 6" xfId="11466" xr:uid="{00000000-0005-0000-0000-00002E220000}"/>
    <cellStyle name="20% - Accent5 2 3 2 2 3" xfId="11469" xr:uid="{00000000-0005-0000-0000-00002F220000}"/>
    <cellStyle name="20% - Accent5 2 3 2 2 3 2" xfId="11472" xr:uid="{00000000-0005-0000-0000-000030220000}"/>
    <cellStyle name="20% - Accent5 2 3 2 2 3 2 2" xfId="10317" xr:uid="{00000000-0005-0000-0000-000031220000}"/>
    <cellStyle name="20% - Accent5 2 3 2 2 3 2 2 2" xfId="11473" xr:uid="{00000000-0005-0000-0000-000032220000}"/>
    <cellStyle name="20% - Accent5 2 3 2 2 3 2 2 2 2" xfId="21497" xr:uid="{00000000-0005-0000-0000-000033220000}"/>
    <cellStyle name="20% - Accent5 2 3 2 2 3 2 2 3" xfId="24617" xr:uid="{00000000-0005-0000-0000-000034220000}"/>
    <cellStyle name="20% - Accent5 2 3 2 2 3 2 3" xfId="10724" xr:uid="{00000000-0005-0000-0000-000035220000}"/>
    <cellStyle name="20% - Accent5 2 3 2 2 3 2 3 2" xfId="26327" xr:uid="{00000000-0005-0000-0000-000036220000}"/>
    <cellStyle name="20% - Accent5 2 3 2 2 3 2 4" xfId="12965" xr:uid="{00000000-0005-0000-0000-000037220000}"/>
    <cellStyle name="20% - Accent5 2 3 2 2 3 3" xfId="11481" xr:uid="{00000000-0005-0000-0000-000038220000}"/>
    <cellStyle name="20% - Accent5 2 3 2 2 3 3 2" xfId="21451" xr:uid="{00000000-0005-0000-0000-000039220000}"/>
    <cellStyle name="20% - Accent5 2 3 2 2 3 3 2 2" xfId="13647" xr:uid="{00000000-0005-0000-0000-00003A220000}"/>
    <cellStyle name="20% - Accent5 2 3 2 2 3 3 3" xfId="21457" xr:uid="{00000000-0005-0000-0000-00003B220000}"/>
    <cellStyle name="20% - Accent5 2 3 2 2 3 4" xfId="22161" xr:uid="{00000000-0005-0000-0000-00003C220000}"/>
    <cellStyle name="20% - Accent5 2 3 2 2 3 4 2" xfId="21504" xr:uid="{00000000-0005-0000-0000-00003D220000}"/>
    <cellStyle name="20% - Accent5 2 3 2 2 3 5" xfId="11483" xr:uid="{00000000-0005-0000-0000-00003E220000}"/>
    <cellStyle name="20% - Accent5 2 3 2 2 4" xfId="11485" xr:uid="{00000000-0005-0000-0000-00003F220000}"/>
    <cellStyle name="20% - Accent5 2 3 2 2 4 2" xfId="11478" xr:uid="{00000000-0005-0000-0000-000040220000}"/>
    <cellStyle name="20% - Accent5 2 3 2 2 4 2 2" xfId="11075" xr:uid="{00000000-0005-0000-0000-000041220000}"/>
    <cellStyle name="20% - Accent5 2 3 2 2 4 2 2 2" xfId="18018" xr:uid="{00000000-0005-0000-0000-000042220000}"/>
    <cellStyle name="20% - Accent5 2 3 2 2 4 2 3" xfId="12974" xr:uid="{00000000-0005-0000-0000-000043220000}"/>
    <cellStyle name="20% - Accent5 2 3 2 2 4 3" xfId="11490" xr:uid="{00000000-0005-0000-0000-000044220000}"/>
    <cellStyle name="20% - Accent5 2 3 2 2 4 3 2" xfId="26855" xr:uid="{00000000-0005-0000-0000-000045220000}"/>
    <cellStyle name="20% - Accent5 2 3 2 2 4 4" xfId="11493" xr:uid="{00000000-0005-0000-0000-000046220000}"/>
    <cellStyle name="20% - Accent5 2 3 2 2 5" xfId="11494" xr:uid="{00000000-0005-0000-0000-000047220000}"/>
    <cellStyle name="20% - Accent5 2 3 2 2 5 2" xfId="4092" xr:uid="{00000000-0005-0000-0000-000048220000}"/>
    <cellStyle name="20% - Accent5 2 3 2 2 5 2 2" xfId="11084" xr:uid="{00000000-0005-0000-0000-000049220000}"/>
    <cellStyle name="20% - Accent5 2 3 2 2 5 3" xfId="24534" xr:uid="{00000000-0005-0000-0000-00004A220000}"/>
    <cellStyle name="20% - Accent5 2 3 2 2 6" xfId="11495" xr:uid="{00000000-0005-0000-0000-00004B220000}"/>
    <cellStyle name="20% - Accent5 2 3 2 2 6 2" xfId="7701" xr:uid="{00000000-0005-0000-0000-00004C220000}"/>
    <cellStyle name="20% - Accent5 2 3 2 2 7" xfId="11496" xr:uid="{00000000-0005-0000-0000-00004D220000}"/>
    <cellStyle name="20% - Accent5 2 3 2 3" xfId="15449" xr:uid="{00000000-0005-0000-0000-00004E220000}"/>
    <cellStyle name="20% - Accent5 2 3 2 3 2" xfId="14139" xr:uid="{00000000-0005-0000-0000-00004F220000}"/>
    <cellStyle name="20% - Accent5 2 3 2 3 2 2" xfId="15451" xr:uid="{00000000-0005-0000-0000-000050220000}"/>
    <cellStyle name="20% - Accent5 2 3 2 3 2 2 2" xfId="7477" xr:uid="{00000000-0005-0000-0000-000051220000}"/>
    <cellStyle name="20% - Accent5 2 3 2 3 2 2 2 2" xfId="32446" xr:uid="{00000000-0005-0000-0000-000052220000}"/>
    <cellStyle name="20% - Accent5 2 3 2 3 2 2 2 2 2" xfId="27090" xr:uid="{00000000-0005-0000-0000-000053220000}"/>
    <cellStyle name="20% - Accent5 2 3 2 3 2 2 2 3" xfId="17962" xr:uid="{00000000-0005-0000-0000-000054220000}"/>
    <cellStyle name="20% - Accent5 2 3 2 3 2 2 3" xfId="7986" xr:uid="{00000000-0005-0000-0000-000055220000}"/>
    <cellStyle name="20% - Accent5 2 3 2 3 2 2 3 2" xfId="24770" xr:uid="{00000000-0005-0000-0000-000056220000}"/>
    <cellStyle name="20% - Accent5 2 3 2 3 2 2 4" xfId="12010" xr:uid="{00000000-0005-0000-0000-000057220000}"/>
    <cellStyle name="20% - Accent5 2 3 2 3 2 3" xfId="15474" xr:uid="{00000000-0005-0000-0000-000058220000}"/>
    <cellStyle name="20% - Accent5 2 3 2 3 2 3 2" xfId="25212" xr:uid="{00000000-0005-0000-0000-000059220000}"/>
    <cellStyle name="20% - Accent5 2 3 2 3 2 3 2 2" xfId="11503" xr:uid="{00000000-0005-0000-0000-00005A220000}"/>
    <cellStyle name="20% - Accent5 2 3 2 3 2 3 3" xfId="21687" xr:uid="{00000000-0005-0000-0000-00005B220000}"/>
    <cellStyle name="20% - Accent5 2 3 2 3 2 4" xfId="15483" xr:uid="{00000000-0005-0000-0000-00005C220000}"/>
    <cellStyle name="20% - Accent5 2 3 2 3 2 4 2" xfId="23987" xr:uid="{00000000-0005-0000-0000-00005D220000}"/>
    <cellStyle name="20% - Accent5 2 3 2 3 2 5" xfId="15488" xr:uid="{00000000-0005-0000-0000-00005E220000}"/>
    <cellStyle name="20% - Accent5 2 3 2 3 3" xfId="11212" xr:uid="{00000000-0005-0000-0000-00005F220000}"/>
    <cellStyle name="20% - Accent5 2 3 2 3 3 2" xfId="15495" xr:uid="{00000000-0005-0000-0000-000060220000}"/>
    <cellStyle name="20% - Accent5 2 3 2 3 3 2 2" xfId="8613" xr:uid="{00000000-0005-0000-0000-000061220000}"/>
    <cellStyle name="20% - Accent5 2 3 2 3 3 2 2 2" xfId="11506" xr:uid="{00000000-0005-0000-0000-000062220000}"/>
    <cellStyle name="20% - Accent5 2 3 2 3 3 2 3" xfId="12691" xr:uid="{00000000-0005-0000-0000-000063220000}"/>
    <cellStyle name="20% - Accent5 2 3 2 3 3 3" xfId="12652" xr:uid="{00000000-0005-0000-0000-000064220000}"/>
    <cellStyle name="20% - Accent5 2 3 2 3 3 3 2" xfId="8633" xr:uid="{00000000-0005-0000-0000-000065220000}"/>
    <cellStyle name="20% - Accent5 2 3 2 3 3 4" xfId="14226" xr:uid="{00000000-0005-0000-0000-000066220000}"/>
    <cellStyle name="20% - Accent5 2 3 2 3 4" xfId="15506" xr:uid="{00000000-0005-0000-0000-000067220000}"/>
    <cellStyle name="20% - Accent5 2 3 2 3 4 2" xfId="15508" xr:uid="{00000000-0005-0000-0000-000068220000}"/>
    <cellStyle name="20% - Accent5 2 3 2 3 4 2 2" xfId="11092" xr:uid="{00000000-0005-0000-0000-000069220000}"/>
    <cellStyle name="20% - Accent5 2 3 2 3 4 3" xfId="11515" xr:uid="{00000000-0005-0000-0000-00006A220000}"/>
    <cellStyle name="20% - Accent5 2 3 2 3 5" xfId="15511" xr:uid="{00000000-0005-0000-0000-00006B220000}"/>
    <cellStyle name="20% - Accent5 2 3 2 3 5 2" xfId="15518" xr:uid="{00000000-0005-0000-0000-00006C220000}"/>
    <cellStyle name="20% - Accent5 2 3 2 3 6" xfId="15520" xr:uid="{00000000-0005-0000-0000-00006D220000}"/>
    <cellStyle name="20% - Accent5 2 3 2 4" xfId="18200" xr:uid="{00000000-0005-0000-0000-00006E220000}"/>
    <cellStyle name="20% - Accent5 2 3 2 4 2" xfId="11104" xr:uid="{00000000-0005-0000-0000-00006F220000}"/>
    <cellStyle name="20% - Accent5 2 3 2 4 2 2" xfId="10951" xr:uid="{00000000-0005-0000-0000-000070220000}"/>
    <cellStyle name="20% - Accent5 2 3 2 4 2 2 2" xfId="8682" xr:uid="{00000000-0005-0000-0000-000071220000}"/>
    <cellStyle name="20% - Accent5 2 3 2 4 2 2 2 2" xfId="6773" xr:uid="{00000000-0005-0000-0000-000072220000}"/>
    <cellStyle name="20% - Accent5 2 3 2 4 2 2 3" xfId="8688" xr:uid="{00000000-0005-0000-0000-000073220000}"/>
    <cellStyle name="20% - Accent5 2 3 2 4 2 3" xfId="12255" xr:uid="{00000000-0005-0000-0000-000074220000}"/>
    <cellStyle name="20% - Accent5 2 3 2 4 2 3 2" xfId="8699" xr:uid="{00000000-0005-0000-0000-000075220000}"/>
    <cellStyle name="20% - Accent5 2 3 2 4 2 4" xfId="15526" xr:uid="{00000000-0005-0000-0000-000076220000}"/>
    <cellStyle name="20% - Accent5 2 3 2 4 3" xfId="12265" xr:uid="{00000000-0005-0000-0000-000077220000}"/>
    <cellStyle name="20% - Accent5 2 3 2 4 3 2" xfId="12268" xr:uid="{00000000-0005-0000-0000-000078220000}"/>
    <cellStyle name="20% - Accent5 2 3 2 4 3 2 2" xfId="2318" xr:uid="{00000000-0005-0000-0000-000079220000}"/>
    <cellStyle name="20% - Accent5 2 3 2 4 3 3" xfId="11527" xr:uid="{00000000-0005-0000-0000-00007A220000}"/>
    <cellStyle name="20% - Accent5 2 3 2 4 4" xfId="12273" xr:uid="{00000000-0005-0000-0000-00007B220000}"/>
    <cellStyle name="20% - Accent5 2 3 2 4 4 2" xfId="15528" xr:uid="{00000000-0005-0000-0000-00007C220000}"/>
    <cellStyle name="20% - Accent5 2 3 2 4 5" xfId="15530" xr:uid="{00000000-0005-0000-0000-00007D220000}"/>
    <cellStyle name="20% - Accent5 2 3 2 5" xfId="15533" xr:uid="{00000000-0005-0000-0000-00007E220000}"/>
    <cellStyle name="20% - Accent5 2 3 2 5 2" xfId="5184" xr:uid="{00000000-0005-0000-0000-00007F220000}"/>
    <cellStyle name="20% - Accent5 2 3 2 5 2 2" xfId="5583" xr:uid="{00000000-0005-0000-0000-000080220000}"/>
    <cellStyle name="20% - Accent5 2 3 2 5 2 2 2" xfId="16316" xr:uid="{00000000-0005-0000-0000-000081220000}"/>
    <cellStyle name="20% - Accent5 2 3 2 5 2 3" xfId="14729" xr:uid="{00000000-0005-0000-0000-000082220000}"/>
    <cellStyle name="20% - Accent5 2 3 2 5 3" xfId="11535" xr:uid="{00000000-0005-0000-0000-000083220000}"/>
    <cellStyle name="20% - Accent5 2 3 2 5 3 2" xfId="11537" xr:uid="{00000000-0005-0000-0000-000084220000}"/>
    <cellStyle name="20% - Accent5 2 3 2 5 4" xfId="24817" xr:uid="{00000000-0005-0000-0000-000085220000}"/>
    <cellStyle name="20% - Accent5 2 3 2 6" xfId="15536" xr:uid="{00000000-0005-0000-0000-000086220000}"/>
    <cellStyle name="20% - Accent5 2 3 2 6 2" xfId="11548" xr:uid="{00000000-0005-0000-0000-000087220000}"/>
    <cellStyle name="20% - Accent5 2 3 2 6 2 2" xfId="11550" xr:uid="{00000000-0005-0000-0000-000088220000}"/>
    <cellStyle name="20% - Accent5 2 3 2 6 3" xfId="15539" xr:uid="{00000000-0005-0000-0000-000089220000}"/>
    <cellStyle name="20% - Accent5 2 3 2 7" xfId="11554" xr:uid="{00000000-0005-0000-0000-00008A220000}"/>
    <cellStyle name="20% - Accent5 2 3 2 7 2" xfId="11558" xr:uid="{00000000-0005-0000-0000-00008B220000}"/>
    <cellStyle name="20% - Accent5 2 3 2 8" xfId="7679" xr:uid="{00000000-0005-0000-0000-00008C220000}"/>
    <cellStyle name="20% - Accent5 2 3 3" xfId="3449" xr:uid="{00000000-0005-0000-0000-00008D220000}"/>
    <cellStyle name="20% - Accent5 2 3 3 2" xfId="11560" xr:uid="{00000000-0005-0000-0000-00008E220000}"/>
    <cellStyle name="20% - Accent5 2 3 3 2 2" xfId="3916" xr:uid="{00000000-0005-0000-0000-00008F220000}"/>
    <cellStyle name="20% - Accent5 2 3 3 2 2 2" xfId="3922" xr:uid="{00000000-0005-0000-0000-000090220000}"/>
    <cellStyle name="20% - Accent5 2 3 3 2 2 2 2" xfId="10561" xr:uid="{00000000-0005-0000-0000-000091220000}"/>
    <cellStyle name="20% - Accent5 2 3 3 2 2 2 2 2" xfId="11562" xr:uid="{00000000-0005-0000-0000-000092220000}"/>
    <cellStyle name="20% - Accent5 2 3 3 2 2 2 2 2 2" xfId="17252" xr:uid="{00000000-0005-0000-0000-000093220000}"/>
    <cellStyle name="20% - Accent5 2 3 3 2 2 2 2 3" xfId="11563" xr:uid="{00000000-0005-0000-0000-000094220000}"/>
    <cellStyle name="20% - Accent5 2 3 3 2 2 2 3" xfId="10567" xr:uid="{00000000-0005-0000-0000-000095220000}"/>
    <cellStyle name="20% - Accent5 2 3 3 2 2 2 3 2" xfId="26731" xr:uid="{00000000-0005-0000-0000-000096220000}"/>
    <cellStyle name="20% - Accent5 2 3 3 2 2 2 4" xfId="9207" xr:uid="{00000000-0005-0000-0000-000097220000}"/>
    <cellStyle name="20% - Accent5 2 3 3 2 2 3" xfId="3928" xr:uid="{00000000-0005-0000-0000-000098220000}"/>
    <cellStyle name="20% - Accent5 2 3 3 2 2 3 2" xfId="22398" xr:uid="{00000000-0005-0000-0000-000099220000}"/>
    <cellStyle name="20% - Accent5 2 3 3 2 2 3 2 2" xfId="11564" xr:uid="{00000000-0005-0000-0000-00009A220000}"/>
    <cellStyle name="20% - Accent5 2 3 3 2 2 3 3" xfId="27772" xr:uid="{00000000-0005-0000-0000-00009B220000}"/>
    <cellStyle name="20% - Accent5 2 3 3 2 2 4" xfId="3673" xr:uid="{00000000-0005-0000-0000-00009C220000}"/>
    <cellStyle name="20% - Accent5 2 3 3 2 2 4 2" xfId="23571" xr:uid="{00000000-0005-0000-0000-00009D220000}"/>
    <cellStyle name="20% - Accent5 2 3 3 2 2 5" xfId="11565" xr:uid="{00000000-0005-0000-0000-00009E220000}"/>
    <cellStyle name="20% - Accent5 2 3 3 2 3" xfId="17215" xr:uid="{00000000-0005-0000-0000-00009F220000}"/>
    <cellStyle name="20% - Accent5 2 3 3 2 3 2" xfId="10488" xr:uid="{00000000-0005-0000-0000-0000A0220000}"/>
    <cellStyle name="20% - Accent5 2 3 3 2 3 2 2" xfId="12529" xr:uid="{00000000-0005-0000-0000-0000A1220000}"/>
    <cellStyle name="20% - Accent5 2 3 3 2 3 2 2 2" xfId="11567" xr:uid="{00000000-0005-0000-0000-0000A2220000}"/>
    <cellStyle name="20% - Accent5 2 3 3 2 3 2 3" xfId="12551" xr:uid="{00000000-0005-0000-0000-0000A3220000}"/>
    <cellStyle name="20% - Accent5 2 3 3 2 3 3" xfId="3934" xr:uid="{00000000-0005-0000-0000-0000A4220000}"/>
    <cellStyle name="20% - Accent5 2 3 3 2 3 3 2" xfId="22465" xr:uid="{00000000-0005-0000-0000-0000A5220000}"/>
    <cellStyle name="20% - Accent5 2 3 3 2 3 4" xfId="24642" xr:uid="{00000000-0005-0000-0000-0000A6220000}"/>
    <cellStyle name="20% - Accent5 2 3 3 2 4" xfId="3364" xr:uid="{00000000-0005-0000-0000-0000A7220000}"/>
    <cellStyle name="20% - Accent5 2 3 3 2 4 2" xfId="10541" xr:uid="{00000000-0005-0000-0000-0000A8220000}"/>
    <cellStyle name="20% - Accent5 2 3 3 2 4 2 2" xfId="11140" xr:uid="{00000000-0005-0000-0000-0000A9220000}"/>
    <cellStyle name="20% - Accent5 2 3 3 2 4 3" xfId="11570" xr:uid="{00000000-0005-0000-0000-0000AA220000}"/>
    <cellStyle name="20% - Accent5 2 3 3 2 5" xfId="7459" xr:uid="{00000000-0005-0000-0000-0000AB220000}"/>
    <cellStyle name="20% - Accent5 2 3 3 2 5 2" xfId="10596" xr:uid="{00000000-0005-0000-0000-0000AC220000}"/>
    <cellStyle name="20% - Accent5 2 3 3 2 6" xfId="11572" xr:uid="{00000000-0005-0000-0000-0000AD220000}"/>
    <cellStyle name="20% - Accent5 2 3 3 3" xfId="15543" xr:uid="{00000000-0005-0000-0000-0000AE220000}"/>
    <cellStyle name="20% - Accent5 2 3 3 3 2" xfId="14145" xr:uid="{00000000-0005-0000-0000-0000AF220000}"/>
    <cellStyle name="20% - Accent5 2 3 3 3 2 2" xfId="15544" xr:uid="{00000000-0005-0000-0000-0000B0220000}"/>
    <cellStyle name="20% - Accent5 2 3 3 3 2 2 2" xfId="21935" xr:uid="{00000000-0005-0000-0000-0000B1220000}"/>
    <cellStyle name="20% - Accent5 2 3 3 3 2 2 2 2" xfId="11573" xr:uid="{00000000-0005-0000-0000-0000B2220000}"/>
    <cellStyle name="20% - Accent5 2 3 3 3 2 2 3" xfId="19172" xr:uid="{00000000-0005-0000-0000-0000B3220000}"/>
    <cellStyle name="20% - Accent5 2 3 3 3 2 3" xfId="15551" xr:uid="{00000000-0005-0000-0000-0000B4220000}"/>
    <cellStyle name="20% - Accent5 2 3 3 3 2 3 2" xfId="22565" xr:uid="{00000000-0005-0000-0000-0000B5220000}"/>
    <cellStyle name="20% - Accent5 2 3 3 3 2 4" xfId="15555" xr:uid="{00000000-0005-0000-0000-0000B6220000}"/>
    <cellStyle name="20% - Accent5 2 3 3 3 3" xfId="15559" xr:uid="{00000000-0005-0000-0000-0000B7220000}"/>
    <cellStyle name="20% - Accent5 2 3 3 3 3 2" xfId="15562" xr:uid="{00000000-0005-0000-0000-0000B8220000}"/>
    <cellStyle name="20% - Accent5 2 3 3 3 3 2 2" xfId="8846" xr:uid="{00000000-0005-0000-0000-0000B9220000}"/>
    <cellStyle name="20% - Accent5 2 3 3 3 3 3" xfId="14248" xr:uid="{00000000-0005-0000-0000-0000BA220000}"/>
    <cellStyle name="20% - Accent5 2 3 3 3 4" xfId="15564" xr:uid="{00000000-0005-0000-0000-0000BB220000}"/>
    <cellStyle name="20% - Accent5 2 3 3 3 4 2" xfId="15574" xr:uid="{00000000-0005-0000-0000-0000BC220000}"/>
    <cellStyle name="20% - Accent5 2 3 3 3 5" xfId="15578" xr:uid="{00000000-0005-0000-0000-0000BD220000}"/>
    <cellStyle name="20% - Accent5 2 3 3 4" xfId="14152" xr:uid="{00000000-0005-0000-0000-0000BE220000}"/>
    <cellStyle name="20% - Accent5 2 3 3 4 2" xfId="12328" xr:uid="{00000000-0005-0000-0000-0000BF220000}"/>
    <cellStyle name="20% - Accent5 2 3 3 4 2 2" xfId="4258" xr:uid="{00000000-0005-0000-0000-0000C0220000}"/>
    <cellStyle name="20% - Accent5 2 3 3 4 2 2 2" xfId="8896" xr:uid="{00000000-0005-0000-0000-0000C1220000}"/>
    <cellStyle name="20% - Accent5 2 3 3 4 2 3" xfId="15581" xr:uid="{00000000-0005-0000-0000-0000C2220000}"/>
    <cellStyle name="20% - Accent5 2 3 3 4 3" xfId="12331" xr:uid="{00000000-0005-0000-0000-0000C3220000}"/>
    <cellStyle name="20% - Accent5 2 3 3 4 3 2" xfId="15586" xr:uid="{00000000-0005-0000-0000-0000C4220000}"/>
    <cellStyle name="20% - Accent5 2 3 3 4 4" xfId="15588" xr:uid="{00000000-0005-0000-0000-0000C5220000}"/>
    <cellStyle name="20% - Accent5 2 3 3 5" xfId="12928" xr:uid="{00000000-0005-0000-0000-0000C6220000}"/>
    <cellStyle name="20% - Accent5 2 3 3 5 2" xfId="8443" xr:uid="{00000000-0005-0000-0000-0000C7220000}"/>
    <cellStyle name="20% - Accent5 2 3 3 5 2 2" xfId="20497" xr:uid="{00000000-0005-0000-0000-0000C8220000}"/>
    <cellStyle name="20% - Accent5 2 3 3 5 3" xfId="15594" xr:uid="{00000000-0005-0000-0000-0000C9220000}"/>
    <cellStyle name="20% - Accent5 2 3 3 6" xfId="15596" xr:uid="{00000000-0005-0000-0000-0000CA220000}"/>
    <cellStyle name="20% - Accent5 2 3 3 6 2" xfId="7517" xr:uid="{00000000-0005-0000-0000-0000CB220000}"/>
    <cellStyle name="20% - Accent5 2 3 3 7" xfId="11586" xr:uid="{00000000-0005-0000-0000-0000CC220000}"/>
    <cellStyle name="20% - Accent5 2 3 4" xfId="30944" xr:uid="{00000000-0005-0000-0000-0000CD220000}"/>
    <cellStyle name="20% - Accent5 2 3 4 2" xfId="11592" xr:uid="{00000000-0005-0000-0000-0000CE220000}"/>
    <cellStyle name="20% - Accent5 2 3 4 2 2" xfId="28004" xr:uid="{00000000-0005-0000-0000-0000CF220000}"/>
    <cellStyle name="20% - Accent5 2 3 4 2 2 2" xfId="4437" xr:uid="{00000000-0005-0000-0000-0000D0220000}"/>
    <cellStyle name="20% - Accent5 2 3 4 2 2 2 2" xfId="19000" xr:uid="{00000000-0005-0000-0000-0000D1220000}"/>
    <cellStyle name="20% - Accent5 2 3 4 2 2 2 2 2" xfId="6239" xr:uid="{00000000-0005-0000-0000-0000D2220000}"/>
    <cellStyle name="20% - Accent5 2 3 4 2 2 2 3" xfId="10693" xr:uid="{00000000-0005-0000-0000-0000D3220000}"/>
    <cellStyle name="20% - Accent5 2 3 4 2 2 3" xfId="10409" xr:uid="{00000000-0005-0000-0000-0000D4220000}"/>
    <cellStyle name="20% - Accent5 2 3 4 2 2 3 2" xfId="24450" xr:uid="{00000000-0005-0000-0000-0000D5220000}"/>
    <cellStyle name="20% - Accent5 2 3 4 2 2 4" xfId="4508" xr:uid="{00000000-0005-0000-0000-0000D6220000}"/>
    <cellStyle name="20% - Accent5 2 3 4 2 3" xfId="8301" xr:uid="{00000000-0005-0000-0000-0000D7220000}"/>
    <cellStyle name="20% - Accent5 2 3 4 2 3 2" xfId="10770" xr:uid="{00000000-0005-0000-0000-0000D8220000}"/>
    <cellStyle name="20% - Accent5 2 3 4 2 3 2 2" xfId="10708" xr:uid="{00000000-0005-0000-0000-0000D9220000}"/>
    <cellStyle name="20% - Accent5 2 3 4 2 3 3" xfId="11594" xr:uid="{00000000-0005-0000-0000-0000DA220000}"/>
    <cellStyle name="20% - Accent5 2 3 4 2 4" xfId="7691" xr:uid="{00000000-0005-0000-0000-0000DB220000}"/>
    <cellStyle name="20% - Accent5 2 3 4 2 4 2" xfId="11601" xr:uid="{00000000-0005-0000-0000-0000DC220000}"/>
    <cellStyle name="20% - Accent5 2 3 4 2 5" xfId="13223" xr:uid="{00000000-0005-0000-0000-0000DD220000}"/>
    <cellStyle name="20% - Accent5 2 3 4 3" xfId="14156" xr:uid="{00000000-0005-0000-0000-0000DE220000}"/>
    <cellStyle name="20% - Accent5 2 3 4 3 2" xfId="15598" xr:uid="{00000000-0005-0000-0000-0000DF220000}"/>
    <cellStyle name="20% - Accent5 2 3 4 3 2 2" xfId="15599" xr:uid="{00000000-0005-0000-0000-0000E0220000}"/>
    <cellStyle name="20% - Accent5 2 3 4 3 2 2 2" xfId="8946" xr:uid="{00000000-0005-0000-0000-0000E1220000}"/>
    <cellStyle name="20% - Accent5 2 3 4 3 2 3" xfId="15602" xr:uid="{00000000-0005-0000-0000-0000E2220000}"/>
    <cellStyle name="20% - Accent5 2 3 4 3 3" xfId="12410" xr:uid="{00000000-0005-0000-0000-0000E3220000}"/>
    <cellStyle name="20% - Accent5 2 3 4 3 3 2" xfId="15605" xr:uid="{00000000-0005-0000-0000-0000E4220000}"/>
    <cellStyle name="20% - Accent5 2 3 4 3 4" xfId="15607" xr:uid="{00000000-0005-0000-0000-0000E5220000}"/>
    <cellStyle name="20% - Accent5 2 3 4 4" xfId="21076" xr:uid="{00000000-0005-0000-0000-0000E6220000}"/>
    <cellStyle name="20% - Accent5 2 3 4 4 2" xfId="12341" xr:uid="{00000000-0005-0000-0000-0000E7220000}"/>
    <cellStyle name="20% - Accent5 2 3 4 4 2 2" xfId="16972" xr:uid="{00000000-0005-0000-0000-0000E8220000}"/>
    <cellStyle name="20% - Accent5 2 3 4 4 3" xfId="15612" xr:uid="{00000000-0005-0000-0000-0000E9220000}"/>
    <cellStyle name="20% - Accent5 2 3 4 5" xfId="15616" xr:uid="{00000000-0005-0000-0000-0000EA220000}"/>
    <cellStyle name="20% - Accent5 2 3 4 5 2" xfId="15618" xr:uid="{00000000-0005-0000-0000-0000EB220000}"/>
    <cellStyle name="20% - Accent5 2 3 4 6" xfId="15620" xr:uid="{00000000-0005-0000-0000-0000EC220000}"/>
    <cellStyle name="20% - Accent5 2 3 5" xfId="10686" xr:uid="{00000000-0005-0000-0000-0000ED220000}"/>
    <cellStyle name="20% - Accent5 2 3 5 2" xfId="10688" xr:uid="{00000000-0005-0000-0000-0000EE220000}"/>
    <cellStyle name="20% - Accent5 2 3 5 2 2" xfId="1639" xr:uid="{00000000-0005-0000-0000-0000EF220000}"/>
    <cellStyle name="20% - Accent5 2 3 5 2 2 2" xfId="4802" xr:uid="{00000000-0005-0000-0000-0000F0220000}"/>
    <cellStyle name="20% - Accent5 2 3 5 2 2 2 2" xfId="32244" xr:uid="{00000000-0005-0000-0000-0000F1220000}"/>
    <cellStyle name="20% - Accent5 2 3 5 2 2 3" xfId="31682" xr:uid="{00000000-0005-0000-0000-0000F2220000}"/>
    <cellStyle name="20% - Accent5 2 3 5 2 3" xfId="1649" xr:uid="{00000000-0005-0000-0000-0000F3220000}"/>
    <cellStyle name="20% - Accent5 2 3 5 2 3 2" xfId="11609" xr:uid="{00000000-0005-0000-0000-0000F4220000}"/>
    <cellStyle name="20% - Accent5 2 3 5 2 4" xfId="18325" xr:uid="{00000000-0005-0000-0000-0000F5220000}"/>
    <cellStyle name="20% - Accent5 2 3 5 3" xfId="15033" xr:uid="{00000000-0005-0000-0000-0000F6220000}"/>
    <cellStyle name="20% - Accent5 2 3 5 3 2" xfId="1120" xr:uid="{00000000-0005-0000-0000-0000F7220000}"/>
    <cellStyle name="20% - Accent5 2 3 5 3 2 2" xfId="15624" xr:uid="{00000000-0005-0000-0000-0000F8220000}"/>
    <cellStyle name="20% - Accent5 2 3 5 3 3" xfId="11617" xr:uid="{00000000-0005-0000-0000-0000F9220000}"/>
    <cellStyle name="20% - Accent5 2 3 5 4" xfId="11618" xr:uid="{00000000-0005-0000-0000-0000FA220000}"/>
    <cellStyle name="20% - Accent5 2 3 5 4 2" xfId="11622" xr:uid="{00000000-0005-0000-0000-0000FB220000}"/>
    <cellStyle name="20% - Accent5 2 3 5 5" xfId="11624" xr:uid="{00000000-0005-0000-0000-0000FC220000}"/>
    <cellStyle name="20% - Accent5 2 3 6" xfId="10694" xr:uid="{00000000-0005-0000-0000-0000FD220000}"/>
    <cellStyle name="20% - Accent5 2 3 6 2" xfId="33093" xr:uid="{00000000-0005-0000-0000-0000FE220000}"/>
    <cellStyle name="20% - Accent5 2 3 6 2 2" xfId="600" xr:uid="{00000000-0005-0000-0000-0000FF220000}"/>
    <cellStyle name="20% - Accent5 2 3 6 2 2 2" xfId="31716" xr:uid="{00000000-0005-0000-0000-000000230000}"/>
    <cellStyle name="20% - Accent5 2 3 6 2 3" xfId="13697" xr:uid="{00000000-0005-0000-0000-000001230000}"/>
    <cellStyle name="20% - Accent5 2 3 6 3" xfId="13691" xr:uid="{00000000-0005-0000-0000-000002230000}"/>
    <cellStyle name="20% - Accent5 2 3 6 3 2" xfId="11943" xr:uid="{00000000-0005-0000-0000-000003230000}"/>
    <cellStyle name="20% - Accent5 2 3 6 4" xfId="11634" xr:uid="{00000000-0005-0000-0000-000004230000}"/>
    <cellStyle name="20% - Accent5 2 3 7" xfId="28170" xr:uid="{00000000-0005-0000-0000-000005230000}"/>
    <cellStyle name="20% - Accent5 2 3 7 2" xfId="33980" xr:uid="{00000000-0005-0000-0000-000006230000}"/>
    <cellStyle name="20% - Accent5 2 3 7 2 2" xfId="33933" xr:uid="{00000000-0005-0000-0000-000007230000}"/>
    <cellStyle name="20% - Accent5 2 3 7 3" xfId="11636" xr:uid="{00000000-0005-0000-0000-000008230000}"/>
    <cellStyle name="20% - Accent5 2 3 8" xfId="28177" xr:uid="{00000000-0005-0000-0000-000009230000}"/>
    <cellStyle name="20% - Accent5 2 3 8 2" xfId="31764" xr:uid="{00000000-0005-0000-0000-00000A230000}"/>
    <cellStyle name="20% - Accent5 2 3 9" xfId="9630" xr:uid="{00000000-0005-0000-0000-00000B230000}"/>
    <cellStyle name="20% - Accent5 2 4" xfId="11638" xr:uid="{00000000-0005-0000-0000-00000C230000}"/>
    <cellStyle name="20% - Accent5 2 4 2" xfId="23368" xr:uid="{00000000-0005-0000-0000-00000D230000}"/>
    <cellStyle name="20% - Accent5 2 4 2 2" xfId="11639" xr:uid="{00000000-0005-0000-0000-00000E230000}"/>
    <cellStyle name="20% - Accent5 2 4 2 2 2" xfId="11641" xr:uid="{00000000-0005-0000-0000-00000F230000}"/>
    <cellStyle name="20% - Accent5 2 4 2 2 2 2" xfId="11643" xr:uid="{00000000-0005-0000-0000-000010230000}"/>
    <cellStyle name="20% - Accent5 2 4 2 2 2 2 2" xfId="15887" xr:uid="{00000000-0005-0000-0000-000011230000}"/>
    <cellStyle name="20% - Accent5 2 4 2 2 2 2 2 2" xfId="11647" xr:uid="{00000000-0005-0000-0000-000012230000}"/>
    <cellStyle name="20% - Accent5 2 4 2 2 2 2 2 2 2" xfId="7053" xr:uid="{00000000-0005-0000-0000-000013230000}"/>
    <cellStyle name="20% - Accent5 2 4 2 2 2 2 2 3" xfId="11650" xr:uid="{00000000-0005-0000-0000-000014230000}"/>
    <cellStyle name="20% - Accent5 2 4 2 2 2 2 3" xfId="29364" xr:uid="{00000000-0005-0000-0000-000015230000}"/>
    <cellStyle name="20% - Accent5 2 4 2 2 2 2 3 2" xfId="2373" xr:uid="{00000000-0005-0000-0000-000016230000}"/>
    <cellStyle name="20% - Accent5 2 4 2 2 2 2 4" xfId="11653" xr:uid="{00000000-0005-0000-0000-000017230000}"/>
    <cellStyle name="20% - Accent5 2 4 2 2 2 3" xfId="9328" xr:uid="{00000000-0005-0000-0000-000018230000}"/>
    <cellStyle name="20% - Accent5 2 4 2 2 2 3 2" xfId="27872" xr:uid="{00000000-0005-0000-0000-000019230000}"/>
    <cellStyle name="20% - Accent5 2 4 2 2 2 3 2 2" xfId="11658" xr:uid="{00000000-0005-0000-0000-00001A230000}"/>
    <cellStyle name="20% - Accent5 2 4 2 2 2 3 3" xfId="24113" xr:uid="{00000000-0005-0000-0000-00001B230000}"/>
    <cellStyle name="20% - Accent5 2 4 2 2 2 4" xfId="33876" xr:uid="{00000000-0005-0000-0000-00001C230000}"/>
    <cellStyle name="20% - Accent5 2 4 2 2 2 4 2" xfId="24141" xr:uid="{00000000-0005-0000-0000-00001D230000}"/>
    <cellStyle name="20% - Accent5 2 4 2 2 2 5" xfId="9342" xr:uid="{00000000-0005-0000-0000-00001E230000}"/>
    <cellStyle name="20% - Accent5 2 4 2 2 3" xfId="11660" xr:uid="{00000000-0005-0000-0000-00001F230000}"/>
    <cellStyle name="20% - Accent5 2 4 2 2 3 2" xfId="28667" xr:uid="{00000000-0005-0000-0000-000020230000}"/>
    <cellStyle name="20% - Accent5 2 4 2 2 3 2 2" xfId="29248" xr:uid="{00000000-0005-0000-0000-000021230000}"/>
    <cellStyle name="20% - Accent5 2 4 2 2 3 2 2 2" xfId="11663" xr:uid="{00000000-0005-0000-0000-000022230000}"/>
    <cellStyle name="20% - Accent5 2 4 2 2 3 2 3" xfId="11742" xr:uid="{00000000-0005-0000-0000-000023230000}"/>
    <cellStyle name="20% - Accent5 2 4 2 2 3 3" xfId="26505" xr:uid="{00000000-0005-0000-0000-000024230000}"/>
    <cellStyle name="20% - Accent5 2 4 2 2 3 3 2" xfId="24196" xr:uid="{00000000-0005-0000-0000-000025230000}"/>
    <cellStyle name="20% - Accent5 2 4 2 2 3 4" xfId="11665" xr:uid="{00000000-0005-0000-0000-000026230000}"/>
    <cellStyle name="20% - Accent5 2 4 2 2 4" xfId="11668" xr:uid="{00000000-0005-0000-0000-000027230000}"/>
    <cellStyle name="20% - Accent5 2 4 2 2 4 2" xfId="28684" xr:uid="{00000000-0005-0000-0000-000028230000}"/>
    <cellStyle name="20% - Accent5 2 4 2 2 4 2 2" xfId="8482" xr:uid="{00000000-0005-0000-0000-000029230000}"/>
    <cellStyle name="20% - Accent5 2 4 2 2 4 3" xfId="27574" xr:uid="{00000000-0005-0000-0000-00002A230000}"/>
    <cellStyle name="20% - Accent5 2 4 2 2 5" xfId="11672" xr:uid="{00000000-0005-0000-0000-00002B230000}"/>
    <cellStyle name="20% - Accent5 2 4 2 2 5 2" xfId="5125" xr:uid="{00000000-0005-0000-0000-00002C230000}"/>
    <cellStyle name="20% - Accent5 2 4 2 2 6" xfId="11674" xr:uid="{00000000-0005-0000-0000-00002D230000}"/>
    <cellStyle name="20% - Accent5 2 4 2 3" xfId="15711" xr:uid="{00000000-0005-0000-0000-00002E230000}"/>
    <cellStyle name="20% - Accent5 2 4 2 3 2" xfId="28895" xr:uid="{00000000-0005-0000-0000-00002F230000}"/>
    <cellStyle name="20% - Accent5 2 4 2 3 2 2" xfId="15716" xr:uid="{00000000-0005-0000-0000-000030230000}"/>
    <cellStyle name="20% - Accent5 2 4 2 3 2 2 2" xfId="25287" xr:uid="{00000000-0005-0000-0000-000031230000}"/>
    <cellStyle name="20% - Accent5 2 4 2 3 2 2 2 2" xfId="11675" xr:uid="{00000000-0005-0000-0000-000032230000}"/>
    <cellStyle name="20% - Accent5 2 4 2 3 2 2 3" xfId="10452" xr:uid="{00000000-0005-0000-0000-000033230000}"/>
    <cellStyle name="20% - Accent5 2 4 2 3 2 3" xfId="15727" xr:uid="{00000000-0005-0000-0000-000034230000}"/>
    <cellStyle name="20% - Accent5 2 4 2 3 2 3 2" xfId="24333" xr:uid="{00000000-0005-0000-0000-000035230000}"/>
    <cellStyle name="20% - Accent5 2 4 2 3 2 4" xfId="15732" xr:uid="{00000000-0005-0000-0000-000036230000}"/>
    <cellStyle name="20% - Accent5 2 4 2 3 3" xfId="15738" xr:uid="{00000000-0005-0000-0000-000037230000}"/>
    <cellStyle name="20% - Accent5 2 4 2 3 3 2" xfId="26618" xr:uid="{00000000-0005-0000-0000-000038230000}"/>
    <cellStyle name="20% - Accent5 2 4 2 3 3 2 2" xfId="8508" xr:uid="{00000000-0005-0000-0000-000039230000}"/>
    <cellStyle name="20% - Accent5 2 4 2 3 3 3" xfId="15744" xr:uid="{00000000-0005-0000-0000-00003A230000}"/>
    <cellStyle name="20% - Accent5 2 4 2 3 4" xfId="15747" xr:uid="{00000000-0005-0000-0000-00003B230000}"/>
    <cellStyle name="20% - Accent5 2 4 2 3 4 2" xfId="26543" xr:uid="{00000000-0005-0000-0000-00003C230000}"/>
    <cellStyle name="20% - Accent5 2 4 2 3 5" xfId="15754" xr:uid="{00000000-0005-0000-0000-00003D230000}"/>
    <cellStyle name="20% - Accent5 2 4 2 4" xfId="27539" xr:uid="{00000000-0005-0000-0000-00003E230000}"/>
    <cellStyle name="20% - Accent5 2 4 2 4 2" xfId="12390" xr:uid="{00000000-0005-0000-0000-00003F230000}"/>
    <cellStyle name="20% - Accent5 2 4 2 4 2 2" xfId="30166" xr:uid="{00000000-0005-0000-0000-000040230000}"/>
    <cellStyle name="20% - Accent5 2 4 2 4 2 2 2" xfId="10523" xr:uid="{00000000-0005-0000-0000-000041230000}"/>
    <cellStyle name="20% - Accent5 2 4 2 4 2 3" xfId="15756" xr:uid="{00000000-0005-0000-0000-000042230000}"/>
    <cellStyle name="20% - Accent5 2 4 2 4 3" xfId="12396" xr:uid="{00000000-0005-0000-0000-000043230000}"/>
    <cellStyle name="20% - Accent5 2 4 2 4 3 2" xfId="15762" xr:uid="{00000000-0005-0000-0000-000044230000}"/>
    <cellStyle name="20% - Accent5 2 4 2 4 4" xfId="15766" xr:uid="{00000000-0005-0000-0000-000045230000}"/>
    <cellStyle name="20% - Accent5 2 4 2 5" xfId="15770" xr:uid="{00000000-0005-0000-0000-000046230000}"/>
    <cellStyle name="20% - Accent5 2 4 2 5 2" xfId="11696" xr:uid="{00000000-0005-0000-0000-000047230000}"/>
    <cellStyle name="20% - Accent5 2 4 2 5 2 2" xfId="9527" xr:uid="{00000000-0005-0000-0000-000048230000}"/>
    <cellStyle name="20% - Accent5 2 4 2 5 3" xfId="15771" xr:uid="{00000000-0005-0000-0000-000049230000}"/>
    <cellStyle name="20% - Accent5 2 4 2 6" xfId="15774" xr:uid="{00000000-0005-0000-0000-00004A230000}"/>
    <cellStyle name="20% - Accent5 2 4 2 6 2" xfId="15780" xr:uid="{00000000-0005-0000-0000-00004B230000}"/>
    <cellStyle name="20% - Accent5 2 4 2 7" xfId="12921" xr:uid="{00000000-0005-0000-0000-00004C230000}"/>
    <cellStyle name="20% - Accent5 2 4 3" xfId="23374" xr:uid="{00000000-0005-0000-0000-00004D230000}"/>
    <cellStyle name="20% - Accent5 2 4 3 2" xfId="11698" xr:uid="{00000000-0005-0000-0000-00004E230000}"/>
    <cellStyle name="20% - Accent5 2 4 3 2 2" xfId="5530" xr:uid="{00000000-0005-0000-0000-00004F230000}"/>
    <cellStyle name="20% - Accent5 2 4 3 2 2 2" xfId="14969" xr:uid="{00000000-0005-0000-0000-000050230000}"/>
    <cellStyle name="20% - Accent5 2 4 3 2 2 2 2" xfId="17302" xr:uid="{00000000-0005-0000-0000-000051230000}"/>
    <cellStyle name="20% - Accent5 2 4 3 2 2 2 2 2" xfId="11699" xr:uid="{00000000-0005-0000-0000-000052230000}"/>
    <cellStyle name="20% - Accent5 2 4 3 2 2 2 3" xfId="28754" xr:uid="{00000000-0005-0000-0000-000053230000}"/>
    <cellStyle name="20% - Accent5 2 4 3 2 2 3" xfId="16943" xr:uid="{00000000-0005-0000-0000-000054230000}"/>
    <cellStyle name="20% - Accent5 2 4 3 2 2 3 2" xfId="8744" xr:uid="{00000000-0005-0000-0000-000055230000}"/>
    <cellStyle name="20% - Accent5 2 4 3 2 2 4" xfId="9665" xr:uid="{00000000-0005-0000-0000-000056230000}"/>
    <cellStyle name="20% - Accent5 2 4 3 2 3" xfId="11736" xr:uid="{00000000-0005-0000-0000-000057230000}"/>
    <cellStyle name="20% - Accent5 2 4 3 2 3 2" xfId="28773" xr:uid="{00000000-0005-0000-0000-000058230000}"/>
    <cellStyle name="20% - Accent5 2 4 3 2 3 2 2" xfId="6269" xr:uid="{00000000-0005-0000-0000-000059230000}"/>
    <cellStyle name="20% - Accent5 2 4 3 2 3 3" xfId="4428" xr:uid="{00000000-0005-0000-0000-00005A230000}"/>
    <cellStyle name="20% - Accent5 2 4 3 2 4" xfId="5536" xr:uid="{00000000-0005-0000-0000-00005B230000}"/>
    <cellStyle name="20% - Accent5 2 4 3 2 4 2" xfId="11701" xr:uid="{00000000-0005-0000-0000-00005C230000}"/>
    <cellStyle name="20% - Accent5 2 4 3 2 5" xfId="11703" xr:uid="{00000000-0005-0000-0000-00005D230000}"/>
    <cellStyle name="20% - Accent5 2 4 3 3" xfId="15783" xr:uid="{00000000-0005-0000-0000-00005E230000}"/>
    <cellStyle name="20% - Accent5 2 4 3 3 2" xfId="5363" xr:uid="{00000000-0005-0000-0000-00005F230000}"/>
    <cellStyle name="20% - Accent5 2 4 3 3 2 2" xfId="16995" xr:uid="{00000000-0005-0000-0000-000060230000}"/>
    <cellStyle name="20% - Accent5 2 4 3 3 2 2 2" xfId="30151" xr:uid="{00000000-0005-0000-0000-000061230000}"/>
    <cellStyle name="20% - Accent5 2 4 3 3 2 3" xfId="15784" xr:uid="{00000000-0005-0000-0000-000062230000}"/>
    <cellStyle name="20% - Accent5 2 4 3 3 3" xfId="5544" xr:uid="{00000000-0005-0000-0000-000063230000}"/>
    <cellStyle name="20% - Accent5 2 4 3 3 3 2" xfId="15787" xr:uid="{00000000-0005-0000-0000-000064230000}"/>
    <cellStyle name="20% - Accent5 2 4 3 3 4" xfId="15791" xr:uid="{00000000-0005-0000-0000-000065230000}"/>
    <cellStyle name="20% - Accent5 2 4 3 4" xfId="11870" xr:uid="{00000000-0005-0000-0000-000066230000}"/>
    <cellStyle name="20% - Accent5 2 4 3 4 2" xfId="12430" xr:uid="{00000000-0005-0000-0000-000067230000}"/>
    <cellStyle name="20% - Accent5 2 4 3 4 2 2" xfId="15796" xr:uid="{00000000-0005-0000-0000-000068230000}"/>
    <cellStyle name="20% - Accent5 2 4 3 4 3" xfId="15800" xr:uid="{00000000-0005-0000-0000-000069230000}"/>
    <cellStyle name="20% - Accent5 2 4 3 5" xfId="15806" xr:uid="{00000000-0005-0000-0000-00006A230000}"/>
    <cellStyle name="20% - Accent5 2 4 3 5 2" xfId="11711" xr:uid="{00000000-0005-0000-0000-00006B230000}"/>
    <cellStyle name="20% - Accent5 2 4 3 6" xfId="15809" xr:uid="{00000000-0005-0000-0000-00006C230000}"/>
    <cellStyle name="20% - Accent5 2 4 4" xfId="23376" xr:uid="{00000000-0005-0000-0000-00006D230000}"/>
    <cellStyle name="20% - Accent5 2 4 4 2" xfId="29513" xr:uid="{00000000-0005-0000-0000-00006E230000}"/>
    <cellStyle name="20% - Accent5 2 4 4 2 2" xfId="5730" xr:uid="{00000000-0005-0000-0000-00006F230000}"/>
    <cellStyle name="20% - Accent5 2 4 4 2 2 2" xfId="17040" xr:uid="{00000000-0005-0000-0000-000070230000}"/>
    <cellStyle name="20% - Accent5 2 4 4 2 2 2 2" xfId="29993" xr:uid="{00000000-0005-0000-0000-000071230000}"/>
    <cellStyle name="20% - Accent5 2 4 4 2 2 3" xfId="23093" xr:uid="{00000000-0005-0000-0000-000072230000}"/>
    <cellStyle name="20% - Accent5 2 4 4 2 3" xfId="5734" xr:uid="{00000000-0005-0000-0000-000073230000}"/>
    <cellStyle name="20% - Accent5 2 4 4 2 3 2" xfId="30019" xr:uid="{00000000-0005-0000-0000-000074230000}"/>
    <cellStyle name="20% - Accent5 2 4 4 2 4" xfId="11712" xr:uid="{00000000-0005-0000-0000-000075230000}"/>
    <cellStyle name="20% - Accent5 2 4 4 3" xfId="32995" xr:uid="{00000000-0005-0000-0000-000076230000}"/>
    <cellStyle name="20% - Accent5 2 4 4 3 2" xfId="8590" xr:uid="{00000000-0005-0000-0000-000077230000}"/>
    <cellStyle name="20% - Accent5 2 4 4 3 2 2" xfId="9809" xr:uid="{00000000-0005-0000-0000-000078230000}"/>
    <cellStyle name="20% - Accent5 2 4 4 3 3" xfId="15811" xr:uid="{00000000-0005-0000-0000-000079230000}"/>
    <cellStyle name="20% - Accent5 2 4 4 4" xfId="15812" xr:uid="{00000000-0005-0000-0000-00007A230000}"/>
    <cellStyle name="20% - Accent5 2 4 4 4 2" xfId="15816" xr:uid="{00000000-0005-0000-0000-00007B230000}"/>
    <cellStyle name="20% - Accent5 2 4 4 5" xfId="24278" xr:uid="{00000000-0005-0000-0000-00007C230000}"/>
    <cellStyle name="20% - Accent5 2 4 5" xfId="33000" xr:uid="{00000000-0005-0000-0000-00007D230000}"/>
    <cellStyle name="20% - Accent5 2 4 5 2" xfId="14869" xr:uid="{00000000-0005-0000-0000-00007E230000}"/>
    <cellStyle name="20% - Accent5 2 4 5 2 2" xfId="10372" xr:uid="{00000000-0005-0000-0000-00007F230000}"/>
    <cellStyle name="20% - Accent5 2 4 5 2 2 2" xfId="32191" xr:uid="{00000000-0005-0000-0000-000080230000}"/>
    <cellStyle name="20% - Accent5 2 4 5 2 3" xfId="32340" xr:uid="{00000000-0005-0000-0000-000081230000}"/>
    <cellStyle name="20% - Accent5 2 4 5 3" xfId="11718" xr:uid="{00000000-0005-0000-0000-000082230000}"/>
    <cellStyle name="20% - Accent5 2 4 5 3 2" xfId="11721" xr:uid="{00000000-0005-0000-0000-000083230000}"/>
    <cellStyle name="20% - Accent5 2 4 5 4" xfId="11726" xr:uid="{00000000-0005-0000-0000-000084230000}"/>
    <cellStyle name="20% - Accent5 2 4 6" xfId="11729" xr:uid="{00000000-0005-0000-0000-000085230000}"/>
    <cellStyle name="20% - Accent5 2 4 6 2" xfId="14881" xr:uid="{00000000-0005-0000-0000-000086230000}"/>
    <cellStyle name="20% - Accent5 2 4 6 2 2" xfId="32382" xr:uid="{00000000-0005-0000-0000-000087230000}"/>
    <cellStyle name="20% - Accent5 2 4 6 3" xfId="11733" xr:uid="{00000000-0005-0000-0000-000088230000}"/>
    <cellStyle name="20% - Accent5 2 4 7" xfId="9634" xr:uid="{00000000-0005-0000-0000-000089230000}"/>
    <cellStyle name="20% - Accent5 2 4 7 2" xfId="11737" xr:uid="{00000000-0005-0000-0000-00008A230000}"/>
    <cellStyle name="20% - Accent5 2 4 8" xfId="9636" xr:uid="{00000000-0005-0000-0000-00008B230000}"/>
    <cellStyle name="20% - Accent5 2 5" xfId="2172" xr:uid="{00000000-0005-0000-0000-00008C230000}"/>
    <cellStyle name="20% - Accent5 2 5 2" xfId="10875" xr:uid="{00000000-0005-0000-0000-00008D230000}"/>
    <cellStyle name="20% - Accent5 2 5 2 2" xfId="26969" xr:uid="{00000000-0005-0000-0000-00008E230000}"/>
    <cellStyle name="20% - Accent5 2 5 2 2 2" xfId="33970" xr:uid="{00000000-0005-0000-0000-00008F230000}"/>
    <cellStyle name="20% - Accent5 2 5 2 2 2 2" xfId="32294" xr:uid="{00000000-0005-0000-0000-000090230000}"/>
    <cellStyle name="20% - Accent5 2 5 2 2 2 2 2" xfId="24654" xr:uid="{00000000-0005-0000-0000-000091230000}"/>
    <cellStyle name="20% - Accent5 2 5 2 2 2 2 2 2" xfId="5791" xr:uid="{00000000-0005-0000-0000-000092230000}"/>
    <cellStyle name="20% - Accent5 2 5 2 2 2 2 3" xfId="24669" xr:uid="{00000000-0005-0000-0000-000093230000}"/>
    <cellStyle name="20% - Accent5 2 5 2 2 2 3" xfId="10189" xr:uid="{00000000-0005-0000-0000-000094230000}"/>
    <cellStyle name="20% - Accent5 2 5 2 2 2 3 2" xfId="28390" xr:uid="{00000000-0005-0000-0000-000095230000}"/>
    <cellStyle name="20% - Accent5 2 5 2 2 2 4" xfId="10103" xr:uid="{00000000-0005-0000-0000-000096230000}"/>
    <cellStyle name="20% - Accent5 2 5 2 2 3" xfId="32910" xr:uid="{00000000-0005-0000-0000-000097230000}"/>
    <cellStyle name="20% - Accent5 2 5 2 2 3 2" xfId="10209" xr:uid="{00000000-0005-0000-0000-000098230000}"/>
    <cellStyle name="20% - Accent5 2 5 2 2 3 2 2" xfId="24682" xr:uid="{00000000-0005-0000-0000-000099230000}"/>
    <cellStyle name="20% - Accent5 2 5 2 2 3 3" xfId="10100" xr:uid="{00000000-0005-0000-0000-00009A230000}"/>
    <cellStyle name="20% - Accent5 2 5 2 2 4" xfId="22380" xr:uid="{00000000-0005-0000-0000-00009B230000}"/>
    <cellStyle name="20% - Accent5 2 5 2 2 4 2" xfId="10105" xr:uid="{00000000-0005-0000-0000-00009C230000}"/>
    <cellStyle name="20% - Accent5 2 5 2 2 5" xfId="10111" xr:uid="{00000000-0005-0000-0000-00009D230000}"/>
    <cellStyle name="20% - Accent5 2 5 2 3" xfId="25916" xr:uid="{00000000-0005-0000-0000-00009E230000}"/>
    <cellStyle name="20% - Accent5 2 5 2 3 2" xfId="15843" xr:uid="{00000000-0005-0000-0000-00009F230000}"/>
    <cellStyle name="20% - Accent5 2 5 2 3 2 2" xfId="19356" xr:uid="{00000000-0005-0000-0000-0000A0230000}"/>
    <cellStyle name="20% - Accent5 2 5 2 3 2 2 2" xfId="12794" xr:uid="{00000000-0005-0000-0000-0000A1230000}"/>
    <cellStyle name="20% - Accent5 2 5 2 3 2 3" xfId="15845" xr:uid="{00000000-0005-0000-0000-0000A2230000}"/>
    <cellStyle name="20% - Accent5 2 5 2 3 3" xfId="15850" xr:uid="{00000000-0005-0000-0000-0000A3230000}"/>
    <cellStyle name="20% - Accent5 2 5 2 3 3 2" xfId="15856" xr:uid="{00000000-0005-0000-0000-0000A4230000}"/>
    <cellStyle name="20% - Accent5 2 5 2 3 4" xfId="15857" xr:uid="{00000000-0005-0000-0000-0000A5230000}"/>
    <cellStyle name="20% - Accent5 2 5 2 4" xfId="31240" xr:uid="{00000000-0005-0000-0000-0000A6230000}"/>
    <cellStyle name="20% - Accent5 2 5 2 4 2" xfId="12469" xr:uid="{00000000-0005-0000-0000-0000A7230000}"/>
    <cellStyle name="20% - Accent5 2 5 2 4 2 2" xfId="14419" xr:uid="{00000000-0005-0000-0000-0000A8230000}"/>
    <cellStyle name="20% - Accent5 2 5 2 4 3" xfId="15861" xr:uid="{00000000-0005-0000-0000-0000A9230000}"/>
    <cellStyle name="20% - Accent5 2 5 2 5" xfId="15865" xr:uid="{00000000-0005-0000-0000-0000AA230000}"/>
    <cellStyle name="20% - Accent5 2 5 2 5 2" xfId="15868" xr:uid="{00000000-0005-0000-0000-0000AB230000}"/>
    <cellStyle name="20% - Accent5 2 5 2 6" xfId="15871" xr:uid="{00000000-0005-0000-0000-0000AC230000}"/>
    <cellStyle name="20% - Accent5 2 5 3" xfId="13786" xr:uid="{00000000-0005-0000-0000-0000AD230000}"/>
    <cellStyle name="20% - Accent5 2 5 3 2" xfId="11738" xr:uid="{00000000-0005-0000-0000-0000AE230000}"/>
    <cellStyle name="20% - Accent5 2 5 3 2 2" xfId="4364" xr:uid="{00000000-0005-0000-0000-0000AF230000}"/>
    <cellStyle name="20% - Accent5 2 5 3 2 2 2" xfId="17103" xr:uid="{00000000-0005-0000-0000-0000B0230000}"/>
    <cellStyle name="20% - Accent5 2 5 3 2 2 2 2" xfId="24723" xr:uid="{00000000-0005-0000-0000-0000B1230000}"/>
    <cellStyle name="20% - Accent5 2 5 3 2 2 3" xfId="13671" xr:uid="{00000000-0005-0000-0000-0000B2230000}"/>
    <cellStyle name="20% - Accent5 2 5 3 2 3" xfId="9946" xr:uid="{00000000-0005-0000-0000-0000B3230000}"/>
    <cellStyle name="20% - Accent5 2 5 3 2 3 2" xfId="11321" xr:uid="{00000000-0005-0000-0000-0000B4230000}"/>
    <cellStyle name="20% - Accent5 2 5 3 2 4" xfId="10144" xr:uid="{00000000-0005-0000-0000-0000B5230000}"/>
    <cellStyle name="20% - Accent5 2 5 3 3" xfId="15875" xr:uid="{00000000-0005-0000-0000-0000B6230000}"/>
    <cellStyle name="20% - Accent5 2 5 3 3 2" xfId="5404" xr:uid="{00000000-0005-0000-0000-0000B7230000}"/>
    <cellStyle name="20% - Accent5 2 5 3 3 2 2" xfId="15877" xr:uid="{00000000-0005-0000-0000-0000B8230000}"/>
    <cellStyle name="20% - Accent5 2 5 3 3 3" xfId="15881" xr:uid="{00000000-0005-0000-0000-0000B9230000}"/>
    <cellStyle name="20% - Accent5 2 5 3 4" xfId="15889" xr:uid="{00000000-0005-0000-0000-0000BA230000}"/>
    <cellStyle name="20% - Accent5 2 5 3 4 2" xfId="15891" xr:uid="{00000000-0005-0000-0000-0000BB230000}"/>
    <cellStyle name="20% - Accent5 2 5 3 5" xfId="15899" xr:uid="{00000000-0005-0000-0000-0000BC230000}"/>
    <cellStyle name="20% - Accent5 2 5 4" xfId="224" xr:uid="{00000000-0005-0000-0000-0000BD230000}"/>
    <cellStyle name="20% - Accent5 2 5 4 2" xfId="23116" xr:uid="{00000000-0005-0000-0000-0000BE230000}"/>
    <cellStyle name="20% - Accent5 2 5 4 2 2" xfId="4470" xr:uid="{00000000-0005-0000-0000-0000BF230000}"/>
    <cellStyle name="20% - Accent5 2 5 4 2 2 2" xfId="10324" xr:uid="{00000000-0005-0000-0000-0000C0230000}"/>
    <cellStyle name="20% - Accent5 2 5 4 2 3" xfId="10157" xr:uid="{00000000-0005-0000-0000-0000C1230000}"/>
    <cellStyle name="20% - Accent5 2 5 4 3" xfId="21892" xr:uid="{00000000-0005-0000-0000-0000C2230000}"/>
    <cellStyle name="20% - Accent5 2 5 4 3 2" xfId="15902" xr:uid="{00000000-0005-0000-0000-0000C3230000}"/>
    <cellStyle name="20% - Accent5 2 5 4 4" xfId="15906" xr:uid="{00000000-0005-0000-0000-0000C4230000}"/>
    <cellStyle name="20% - Accent5 2 5 5" xfId="157" xr:uid="{00000000-0005-0000-0000-0000C5230000}"/>
    <cellStyle name="20% - Accent5 2 5 5 2" xfId="14526" xr:uid="{00000000-0005-0000-0000-0000C6230000}"/>
    <cellStyle name="20% - Accent5 2 5 5 2 2" xfId="31393" xr:uid="{00000000-0005-0000-0000-0000C7230000}"/>
    <cellStyle name="20% - Accent5 2 5 5 3" xfId="14533" xr:uid="{00000000-0005-0000-0000-0000C8230000}"/>
    <cellStyle name="20% - Accent5 2 5 6" xfId="249" xr:uid="{00000000-0005-0000-0000-0000C9230000}"/>
    <cellStyle name="20% - Accent5 2 5 6 2" xfId="3277" xr:uid="{00000000-0005-0000-0000-0000CA230000}"/>
    <cellStyle name="20% - Accent5 2 5 7" xfId="1242" xr:uid="{00000000-0005-0000-0000-0000CB230000}"/>
    <cellStyle name="20% - Accent5 2 6" xfId="11018" xr:uid="{00000000-0005-0000-0000-0000CC230000}"/>
    <cellStyle name="20% - Accent5 2 6 2" xfId="12228" xr:uid="{00000000-0005-0000-0000-0000CD230000}"/>
    <cellStyle name="20% - Accent5 2 6 2 2" xfId="656" xr:uid="{00000000-0005-0000-0000-0000CE230000}"/>
    <cellStyle name="20% - Accent5 2 6 2 2 2" xfId="32046" xr:uid="{00000000-0005-0000-0000-0000CF230000}"/>
    <cellStyle name="20% - Accent5 2 6 2 2 2 2" xfId="12860" xr:uid="{00000000-0005-0000-0000-0000D0230000}"/>
    <cellStyle name="20% - Accent5 2 6 2 2 2 2 2" xfId="20938" xr:uid="{00000000-0005-0000-0000-0000D1230000}"/>
    <cellStyle name="20% - Accent5 2 6 2 2 2 3" xfId="10451" xr:uid="{00000000-0005-0000-0000-0000D2230000}"/>
    <cellStyle name="20% - Accent5 2 6 2 2 3" xfId="24843" xr:uid="{00000000-0005-0000-0000-0000D3230000}"/>
    <cellStyle name="20% - Accent5 2 6 2 2 3 2" xfId="27140" xr:uid="{00000000-0005-0000-0000-0000D4230000}"/>
    <cellStyle name="20% - Accent5 2 6 2 2 4" xfId="24852" xr:uid="{00000000-0005-0000-0000-0000D5230000}"/>
    <cellStyle name="20% - Accent5 2 6 2 3" xfId="29867" xr:uid="{00000000-0005-0000-0000-0000D6230000}"/>
    <cellStyle name="20% - Accent5 2 6 2 3 2" xfId="4060" xr:uid="{00000000-0005-0000-0000-0000D7230000}"/>
    <cellStyle name="20% - Accent5 2 6 2 3 2 2" xfId="15932" xr:uid="{00000000-0005-0000-0000-0000D8230000}"/>
    <cellStyle name="20% - Accent5 2 6 2 3 3" xfId="18889" xr:uid="{00000000-0005-0000-0000-0000D9230000}"/>
    <cellStyle name="20% - Accent5 2 6 2 4" xfId="15936" xr:uid="{00000000-0005-0000-0000-0000DA230000}"/>
    <cellStyle name="20% - Accent5 2 6 2 4 2" xfId="15938" xr:uid="{00000000-0005-0000-0000-0000DB230000}"/>
    <cellStyle name="20% - Accent5 2 6 2 5" xfId="14588" xr:uid="{00000000-0005-0000-0000-0000DC230000}"/>
    <cellStyle name="20% - Accent5 2 6 3" xfId="5221" xr:uid="{00000000-0005-0000-0000-0000DD230000}"/>
    <cellStyle name="20% - Accent5 2 6 3 2" xfId="15984" xr:uid="{00000000-0005-0000-0000-0000DE230000}"/>
    <cellStyle name="20% - Accent5 2 6 3 2 2" xfId="4332" xr:uid="{00000000-0005-0000-0000-0000DF230000}"/>
    <cellStyle name="20% - Accent5 2 6 3 2 2 2" xfId="10521" xr:uid="{00000000-0005-0000-0000-0000E0230000}"/>
    <cellStyle name="20% - Accent5 2 6 3 2 3" xfId="24183" xr:uid="{00000000-0005-0000-0000-0000E1230000}"/>
    <cellStyle name="20% - Accent5 2 6 3 3" xfId="15944" xr:uid="{00000000-0005-0000-0000-0000E2230000}"/>
    <cellStyle name="20% - Accent5 2 6 3 3 2" xfId="15947" xr:uid="{00000000-0005-0000-0000-0000E3230000}"/>
    <cellStyle name="20% - Accent5 2 6 3 4" xfId="15952" xr:uid="{00000000-0005-0000-0000-0000E4230000}"/>
    <cellStyle name="20% - Accent5 2 6 4" xfId="5226" xr:uid="{00000000-0005-0000-0000-0000E5230000}"/>
    <cellStyle name="20% - Accent5 2 6 4 2" xfId="1817" xr:uid="{00000000-0005-0000-0000-0000E6230000}"/>
    <cellStyle name="20% - Accent5 2 6 4 2 2" xfId="13422" xr:uid="{00000000-0005-0000-0000-0000E7230000}"/>
    <cellStyle name="20% - Accent5 2 6 4 3" xfId="2108" xr:uid="{00000000-0005-0000-0000-0000E8230000}"/>
    <cellStyle name="20% - Accent5 2 6 5" xfId="253" xr:uid="{00000000-0005-0000-0000-0000E9230000}"/>
    <cellStyle name="20% - Accent5 2 6 5 2" xfId="14544" xr:uid="{00000000-0005-0000-0000-0000EA230000}"/>
    <cellStyle name="20% - Accent5 2 6 6" xfId="130" xr:uid="{00000000-0005-0000-0000-0000EB230000}"/>
    <cellStyle name="20% - Accent5 2 7" xfId="6477" xr:uid="{00000000-0005-0000-0000-0000EC230000}"/>
    <cellStyle name="20% - Accent5 2 7 2" xfId="167" xr:uid="{00000000-0005-0000-0000-0000ED230000}"/>
    <cellStyle name="20% - Accent5 2 7 2 2" xfId="11259" xr:uid="{00000000-0005-0000-0000-0000EE230000}"/>
    <cellStyle name="20% - Accent5 2 7 2 2 2" xfId="10327" xr:uid="{00000000-0005-0000-0000-0000EF230000}"/>
    <cellStyle name="20% - Accent5 2 7 2 2 2 2" xfId="10331" xr:uid="{00000000-0005-0000-0000-0000F0230000}"/>
    <cellStyle name="20% - Accent5 2 7 2 2 3" xfId="10087" xr:uid="{00000000-0005-0000-0000-0000F1230000}"/>
    <cellStyle name="20% - Accent5 2 7 2 3" xfId="11748" xr:uid="{00000000-0005-0000-0000-0000F2230000}"/>
    <cellStyle name="20% - Accent5 2 7 2 3 2" xfId="15970" xr:uid="{00000000-0005-0000-0000-0000F3230000}"/>
    <cellStyle name="20% - Accent5 2 7 2 4" xfId="11753" xr:uid="{00000000-0005-0000-0000-0000F4230000}"/>
    <cellStyle name="20% - Accent5 2 7 3" xfId="457" xr:uid="{00000000-0005-0000-0000-0000F5230000}"/>
    <cellStyle name="20% - Accent5 2 7 3 2" xfId="16021" xr:uid="{00000000-0005-0000-0000-0000F6230000}"/>
    <cellStyle name="20% - Accent5 2 7 3 2 2" xfId="10343" xr:uid="{00000000-0005-0000-0000-0000F7230000}"/>
    <cellStyle name="20% - Accent5 2 7 3 3" xfId="15974" xr:uid="{00000000-0005-0000-0000-0000F8230000}"/>
    <cellStyle name="20% - Accent5 2 7 4" xfId="459" xr:uid="{00000000-0005-0000-0000-0000F9230000}"/>
    <cellStyle name="20% - Accent5 2 7 4 2" xfId="2414" xr:uid="{00000000-0005-0000-0000-0000FA230000}"/>
    <cellStyle name="20% - Accent5 2 7 5" xfId="103" xr:uid="{00000000-0005-0000-0000-0000FB230000}"/>
    <cellStyle name="20% - Accent5 2 8" xfId="2265" xr:uid="{00000000-0005-0000-0000-0000FC230000}"/>
    <cellStyle name="20% - Accent5 2 8 2" xfId="3662" xr:uid="{00000000-0005-0000-0000-0000FD230000}"/>
    <cellStyle name="20% - Accent5 2 8 2 2" xfId="11755" xr:uid="{00000000-0005-0000-0000-0000FE230000}"/>
    <cellStyle name="20% - Accent5 2 8 2 2 2" xfId="8621" xr:uid="{00000000-0005-0000-0000-0000FF230000}"/>
    <cellStyle name="20% - Accent5 2 8 2 3" xfId="11758" xr:uid="{00000000-0005-0000-0000-000000240000}"/>
    <cellStyle name="20% - Accent5 2 8 3" xfId="3690" xr:uid="{00000000-0005-0000-0000-000001240000}"/>
    <cellStyle name="20% - Accent5 2 8 3 2" xfId="11760" xr:uid="{00000000-0005-0000-0000-000002240000}"/>
    <cellStyle name="20% - Accent5 2 8 4" xfId="15209" xr:uid="{00000000-0005-0000-0000-000003240000}"/>
    <cellStyle name="20% - Accent5 2 9" xfId="32638" xr:uid="{00000000-0005-0000-0000-000004240000}"/>
    <cellStyle name="20% - Accent5 2 9 2" xfId="3672" xr:uid="{00000000-0005-0000-0000-000005240000}"/>
    <cellStyle name="20% - Accent5 2 9 2 2" xfId="11762" xr:uid="{00000000-0005-0000-0000-000006240000}"/>
    <cellStyle name="20% - Accent5 2 9 3" xfId="911" xr:uid="{00000000-0005-0000-0000-000007240000}"/>
    <cellStyle name="20% - Accent5 3" xfId="11767" xr:uid="{00000000-0005-0000-0000-000008240000}"/>
    <cellStyle name="20% - Accent5 3 10" xfId="10892" xr:uid="{00000000-0005-0000-0000-000009240000}"/>
    <cellStyle name="20% - Accent5 3 2" xfId="4834" xr:uid="{00000000-0005-0000-0000-00000A240000}"/>
    <cellStyle name="20% - Accent5 3 2 2" xfId="11768" xr:uid="{00000000-0005-0000-0000-00000B240000}"/>
    <cellStyle name="20% - Accent5 3 2 2 2" xfId="11522" xr:uid="{00000000-0005-0000-0000-00000C240000}"/>
    <cellStyle name="20% - Accent5 3 2 2 2 2" xfId="11769" xr:uid="{00000000-0005-0000-0000-00000D240000}"/>
    <cellStyle name="20% - Accent5 3 2 2 2 2 2" xfId="10432" xr:uid="{00000000-0005-0000-0000-00000E240000}"/>
    <cellStyle name="20% - Accent5 3 2 2 2 2 2 2" xfId="14000" xr:uid="{00000000-0005-0000-0000-00000F240000}"/>
    <cellStyle name="20% - Accent5 3 2 2 2 2 2 2 2" xfId="23870" xr:uid="{00000000-0005-0000-0000-000010240000}"/>
    <cellStyle name="20% - Accent5 3 2 2 2 2 2 2 2 2" xfId="11773" xr:uid="{00000000-0005-0000-0000-000011240000}"/>
    <cellStyle name="20% - Accent5 3 2 2 2 2 2 2 2 2 2" xfId="11774" xr:uid="{00000000-0005-0000-0000-000012240000}"/>
    <cellStyle name="20% - Accent5 3 2 2 2 2 2 2 2 3" xfId="9954" xr:uid="{00000000-0005-0000-0000-000013240000}"/>
    <cellStyle name="20% - Accent5 3 2 2 2 2 2 2 3" xfId="10515" xr:uid="{00000000-0005-0000-0000-000014240000}"/>
    <cellStyle name="20% - Accent5 3 2 2 2 2 2 2 3 2" xfId="15025" xr:uid="{00000000-0005-0000-0000-000015240000}"/>
    <cellStyle name="20% - Accent5 3 2 2 2 2 2 2 4" xfId="11777" xr:uid="{00000000-0005-0000-0000-000016240000}"/>
    <cellStyle name="20% - Accent5 3 2 2 2 2 2 3" xfId="11779" xr:uid="{00000000-0005-0000-0000-000017240000}"/>
    <cellStyle name="20% - Accent5 3 2 2 2 2 2 3 2" xfId="14483" xr:uid="{00000000-0005-0000-0000-000018240000}"/>
    <cellStyle name="20% - Accent5 3 2 2 2 2 2 3 2 2" xfId="11780" xr:uid="{00000000-0005-0000-0000-000019240000}"/>
    <cellStyle name="20% - Accent5 3 2 2 2 2 2 3 3" xfId="11783" xr:uid="{00000000-0005-0000-0000-00001A240000}"/>
    <cellStyle name="20% - Accent5 3 2 2 2 2 2 4" xfId="11786" xr:uid="{00000000-0005-0000-0000-00001B240000}"/>
    <cellStyle name="20% - Accent5 3 2 2 2 2 2 4 2" xfId="11789" xr:uid="{00000000-0005-0000-0000-00001C240000}"/>
    <cellStyle name="20% - Accent5 3 2 2 2 2 2 5" xfId="23045" xr:uid="{00000000-0005-0000-0000-00001D240000}"/>
    <cellStyle name="20% - Accent5 3 2 2 2 2 3" xfId="11791" xr:uid="{00000000-0005-0000-0000-00001E240000}"/>
    <cellStyle name="20% - Accent5 3 2 2 2 2 3 2" xfId="29865" xr:uid="{00000000-0005-0000-0000-00001F240000}"/>
    <cellStyle name="20% - Accent5 3 2 2 2 2 3 2 2" xfId="12465" xr:uid="{00000000-0005-0000-0000-000020240000}"/>
    <cellStyle name="20% - Accent5 3 2 2 2 2 3 2 2 2" xfId="2155" xr:uid="{00000000-0005-0000-0000-000021240000}"/>
    <cellStyle name="20% - Accent5 3 2 2 2 2 3 2 3" xfId="11795" xr:uid="{00000000-0005-0000-0000-000022240000}"/>
    <cellStyle name="20% - Accent5 3 2 2 2 2 3 3" xfId="32280" xr:uid="{00000000-0005-0000-0000-000023240000}"/>
    <cellStyle name="20% - Accent5 3 2 2 2 2 3 3 2" xfId="11798" xr:uid="{00000000-0005-0000-0000-000024240000}"/>
    <cellStyle name="20% - Accent5 3 2 2 2 2 3 4" xfId="21791" xr:uid="{00000000-0005-0000-0000-000025240000}"/>
    <cellStyle name="20% - Accent5 3 2 2 2 2 4" xfId="11802" xr:uid="{00000000-0005-0000-0000-000026240000}"/>
    <cellStyle name="20% - Accent5 3 2 2 2 2 4 2" xfId="11805" xr:uid="{00000000-0005-0000-0000-000027240000}"/>
    <cellStyle name="20% - Accent5 3 2 2 2 2 4 2 2" xfId="30076" xr:uid="{00000000-0005-0000-0000-000028240000}"/>
    <cellStyle name="20% - Accent5 3 2 2 2 2 4 3" xfId="11809" xr:uid="{00000000-0005-0000-0000-000029240000}"/>
    <cellStyle name="20% - Accent5 3 2 2 2 2 5" xfId="13271" xr:uid="{00000000-0005-0000-0000-00002A240000}"/>
    <cellStyle name="20% - Accent5 3 2 2 2 2 5 2" xfId="20343" xr:uid="{00000000-0005-0000-0000-00002B240000}"/>
    <cellStyle name="20% - Accent5 3 2 2 2 2 6" xfId="10366" xr:uid="{00000000-0005-0000-0000-00002C240000}"/>
    <cellStyle name="20% - Accent5 3 2 2 2 3" xfId="10006" xr:uid="{00000000-0005-0000-0000-00002D240000}"/>
    <cellStyle name="20% - Accent5 3 2 2 2 3 2" xfId="11812" xr:uid="{00000000-0005-0000-0000-00002E240000}"/>
    <cellStyle name="20% - Accent5 3 2 2 2 3 2 2" xfId="33595" xr:uid="{00000000-0005-0000-0000-00002F240000}"/>
    <cellStyle name="20% - Accent5 3 2 2 2 3 2 2 2" xfId="11815" xr:uid="{00000000-0005-0000-0000-000030240000}"/>
    <cellStyle name="20% - Accent5 3 2 2 2 3 2 2 2 2" xfId="11821" xr:uid="{00000000-0005-0000-0000-000031240000}"/>
    <cellStyle name="20% - Accent5 3 2 2 2 3 2 2 3" xfId="11823" xr:uid="{00000000-0005-0000-0000-000032240000}"/>
    <cellStyle name="20% - Accent5 3 2 2 2 3 2 3" xfId="11826" xr:uid="{00000000-0005-0000-0000-000033240000}"/>
    <cellStyle name="20% - Accent5 3 2 2 2 3 2 3 2" xfId="11827" xr:uid="{00000000-0005-0000-0000-000034240000}"/>
    <cellStyle name="20% - Accent5 3 2 2 2 3 2 4" xfId="11834" xr:uid="{00000000-0005-0000-0000-000035240000}"/>
    <cellStyle name="20% - Accent5 3 2 2 2 3 3" xfId="11835" xr:uid="{00000000-0005-0000-0000-000036240000}"/>
    <cellStyle name="20% - Accent5 3 2 2 2 3 3 2" xfId="11838" xr:uid="{00000000-0005-0000-0000-000037240000}"/>
    <cellStyle name="20% - Accent5 3 2 2 2 3 3 2 2" xfId="11839" xr:uid="{00000000-0005-0000-0000-000038240000}"/>
    <cellStyle name="20% - Accent5 3 2 2 2 3 3 3" xfId="11843" xr:uid="{00000000-0005-0000-0000-000039240000}"/>
    <cellStyle name="20% - Accent5 3 2 2 2 3 4" xfId="11845" xr:uid="{00000000-0005-0000-0000-00003A240000}"/>
    <cellStyle name="20% - Accent5 3 2 2 2 3 4 2" xfId="11849" xr:uid="{00000000-0005-0000-0000-00003B240000}"/>
    <cellStyle name="20% - Accent5 3 2 2 2 3 5" xfId="31389" xr:uid="{00000000-0005-0000-0000-00003C240000}"/>
    <cellStyle name="20% - Accent5 3 2 2 2 4" xfId="10013" xr:uid="{00000000-0005-0000-0000-00003D240000}"/>
    <cellStyle name="20% - Accent5 3 2 2 2 4 2" xfId="14603" xr:uid="{00000000-0005-0000-0000-00003E240000}"/>
    <cellStyle name="20% - Accent5 3 2 2 2 4 2 2" xfId="11851" xr:uid="{00000000-0005-0000-0000-00003F240000}"/>
    <cellStyle name="20% - Accent5 3 2 2 2 4 2 2 2" xfId="11855" xr:uid="{00000000-0005-0000-0000-000040240000}"/>
    <cellStyle name="20% - Accent5 3 2 2 2 4 2 3" xfId="11857" xr:uid="{00000000-0005-0000-0000-000041240000}"/>
    <cellStyle name="20% - Accent5 3 2 2 2 4 3" xfId="11859" xr:uid="{00000000-0005-0000-0000-000042240000}"/>
    <cellStyle name="20% - Accent5 3 2 2 2 4 3 2" xfId="29552" xr:uid="{00000000-0005-0000-0000-000043240000}"/>
    <cellStyle name="20% - Accent5 3 2 2 2 4 4" xfId="11866" xr:uid="{00000000-0005-0000-0000-000044240000}"/>
    <cellStyle name="20% - Accent5 3 2 2 2 5" xfId="10015" xr:uid="{00000000-0005-0000-0000-000045240000}"/>
    <cellStyle name="20% - Accent5 3 2 2 2 5 2" xfId="27842" xr:uid="{00000000-0005-0000-0000-000046240000}"/>
    <cellStyle name="20% - Accent5 3 2 2 2 5 2 2" xfId="13713" xr:uid="{00000000-0005-0000-0000-000047240000}"/>
    <cellStyle name="20% - Accent5 3 2 2 2 5 3" xfId="27852" xr:uid="{00000000-0005-0000-0000-000048240000}"/>
    <cellStyle name="20% - Accent5 3 2 2 2 6" xfId="1366" xr:uid="{00000000-0005-0000-0000-000049240000}"/>
    <cellStyle name="20% - Accent5 3 2 2 2 6 2" xfId="27863" xr:uid="{00000000-0005-0000-0000-00004A240000}"/>
    <cellStyle name="20% - Accent5 3 2 2 2 7" xfId="11871" xr:uid="{00000000-0005-0000-0000-00004B240000}"/>
    <cellStyle name="20% - Accent5 3 2 2 3" xfId="4408" xr:uid="{00000000-0005-0000-0000-00004C240000}"/>
    <cellStyle name="20% - Accent5 3 2 2 3 2" xfId="3825" xr:uid="{00000000-0005-0000-0000-00004D240000}"/>
    <cellStyle name="20% - Accent5 3 2 2 3 2 2" xfId="10380" xr:uid="{00000000-0005-0000-0000-00004E240000}"/>
    <cellStyle name="20% - Accent5 3 2 2 3 2 2 2" xfId="8032" xr:uid="{00000000-0005-0000-0000-00004F240000}"/>
    <cellStyle name="20% - Accent5 3 2 2 3 2 2 2 2" xfId="10804" xr:uid="{00000000-0005-0000-0000-000050240000}"/>
    <cellStyle name="20% - Accent5 3 2 2 3 2 2 2 2 2" xfId="11873" xr:uid="{00000000-0005-0000-0000-000051240000}"/>
    <cellStyle name="20% - Accent5 3 2 2 3 2 2 2 3" xfId="18049" xr:uid="{00000000-0005-0000-0000-000052240000}"/>
    <cellStyle name="20% - Accent5 3 2 2 3 2 2 3" xfId="8033" xr:uid="{00000000-0005-0000-0000-000053240000}"/>
    <cellStyle name="20% - Accent5 3 2 2 3 2 2 3 2" xfId="15195" xr:uid="{00000000-0005-0000-0000-000054240000}"/>
    <cellStyle name="20% - Accent5 3 2 2 3 2 2 4" xfId="27560" xr:uid="{00000000-0005-0000-0000-000055240000}"/>
    <cellStyle name="20% - Accent5 3 2 2 3 2 3" xfId="11146" xr:uid="{00000000-0005-0000-0000-000056240000}"/>
    <cellStyle name="20% - Accent5 3 2 2 3 2 3 2" xfId="8034" xr:uid="{00000000-0005-0000-0000-000057240000}"/>
    <cellStyle name="20% - Accent5 3 2 2 3 2 3 2 2" xfId="15199" xr:uid="{00000000-0005-0000-0000-000058240000}"/>
    <cellStyle name="20% - Accent5 3 2 2 3 2 3 3" xfId="11881" xr:uid="{00000000-0005-0000-0000-000059240000}"/>
    <cellStyle name="20% - Accent5 3 2 2 3 2 4" xfId="12058" xr:uid="{00000000-0005-0000-0000-00005A240000}"/>
    <cellStyle name="20% - Accent5 3 2 2 3 2 4 2" xfId="11882" xr:uid="{00000000-0005-0000-0000-00005B240000}"/>
    <cellStyle name="20% - Accent5 3 2 2 3 2 5" xfId="27051" xr:uid="{00000000-0005-0000-0000-00005C240000}"/>
    <cellStyle name="20% - Accent5 3 2 2 3 3" xfId="2148" xr:uid="{00000000-0005-0000-0000-00005D240000}"/>
    <cellStyle name="20% - Accent5 3 2 2 3 3 2" xfId="26551" xr:uid="{00000000-0005-0000-0000-00005E240000}"/>
    <cellStyle name="20% - Accent5 3 2 2 3 3 2 2" xfId="8065" xr:uid="{00000000-0005-0000-0000-00005F240000}"/>
    <cellStyle name="20% - Accent5 3 2 2 3 3 2 2 2" xfId="19798" xr:uid="{00000000-0005-0000-0000-000060240000}"/>
    <cellStyle name="20% - Accent5 3 2 2 3 3 2 3" xfId="6688" xr:uid="{00000000-0005-0000-0000-000061240000}"/>
    <cellStyle name="20% - Accent5 3 2 2 3 3 3" xfId="11171" xr:uid="{00000000-0005-0000-0000-000062240000}"/>
    <cellStyle name="20% - Accent5 3 2 2 3 3 3 2" xfId="11888" xr:uid="{00000000-0005-0000-0000-000063240000}"/>
    <cellStyle name="20% - Accent5 3 2 2 3 3 4" xfId="12295" xr:uid="{00000000-0005-0000-0000-000064240000}"/>
    <cellStyle name="20% - Accent5 3 2 2 3 4" xfId="1505" xr:uid="{00000000-0005-0000-0000-000065240000}"/>
    <cellStyle name="20% - Accent5 3 2 2 3 4 2" xfId="11179" xr:uid="{00000000-0005-0000-0000-000066240000}"/>
    <cellStyle name="20% - Accent5 3 2 2 3 4 2 2" xfId="11889" xr:uid="{00000000-0005-0000-0000-000067240000}"/>
    <cellStyle name="20% - Accent5 3 2 2 3 4 3" xfId="11894" xr:uid="{00000000-0005-0000-0000-000068240000}"/>
    <cellStyle name="20% - Accent5 3 2 2 3 5" xfId="11896" xr:uid="{00000000-0005-0000-0000-000069240000}"/>
    <cellStyle name="20% - Accent5 3 2 2 3 5 2" xfId="27880" xr:uid="{00000000-0005-0000-0000-00006A240000}"/>
    <cellStyle name="20% - Accent5 3 2 2 3 6" xfId="1550" xr:uid="{00000000-0005-0000-0000-00006B240000}"/>
    <cellStyle name="20% - Accent5 3 2 2 4" xfId="4418" xr:uid="{00000000-0005-0000-0000-00006C240000}"/>
    <cellStyle name="20% - Accent5 3 2 2 4 2" xfId="2157" xr:uid="{00000000-0005-0000-0000-00006D240000}"/>
    <cellStyle name="20% - Accent5 3 2 2 4 2 2" xfId="29762" xr:uid="{00000000-0005-0000-0000-00006E240000}"/>
    <cellStyle name="20% - Accent5 3 2 2 4 2 2 2" xfId="8128" xr:uid="{00000000-0005-0000-0000-00006F240000}"/>
    <cellStyle name="20% - Accent5 3 2 2 4 2 2 2 2" xfId="6591" xr:uid="{00000000-0005-0000-0000-000070240000}"/>
    <cellStyle name="20% - Accent5 3 2 2 4 2 2 3" xfId="3655" xr:uid="{00000000-0005-0000-0000-000071240000}"/>
    <cellStyle name="20% - Accent5 3 2 2 4 2 3" xfId="11316" xr:uid="{00000000-0005-0000-0000-000072240000}"/>
    <cellStyle name="20% - Accent5 3 2 2 4 2 3 2" xfId="14733" xr:uid="{00000000-0005-0000-0000-000073240000}"/>
    <cellStyle name="20% - Accent5 3 2 2 4 2 4" xfId="13313" xr:uid="{00000000-0005-0000-0000-000074240000}"/>
    <cellStyle name="20% - Accent5 3 2 2 4 3" xfId="3018" xr:uid="{00000000-0005-0000-0000-000075240000}"/>
    <cellStyle name="20% - Accent5 3 2 2 4 3 2" xfId="11335" xr:uid="{00000000-0005-0000-0000-000076240000}"/>
    <cellStyle name="20% - Accent5 3 2 2 4 3 2 2" xfId="11465" xr:uid="{00000000-0005-0000-0000-000077240000}"/>
    <cellStyle name="20% - Accent5 3 2 2 4 3 3" xfId="11900" xr:uid="{00000000-0005-0000-0000-000078240000}"/>
    <cellStyle name="20% - Accent5 3 2 2 4 4" xfId="11902" xr:uid="{00000000-0005-0000-0000-000079240000}"/>
    <cellStyle name="20% - Accent5 3 2 2 4 4 2" xfId="31789" xr:uid="{00000000-0005-0000-0000-00007A240000}"/>
    <cellStyle name="20% - Accent5 3 2 2 4 5" xfId="11905" xr:uid="{00000000-0005-0000-0000-00007B240000}"/>
    <cellStyle name="20% - Accent5 3 2 2 5" xfId="287" xr:uid="{00000000-0005-0000-0000-00007C240000}"/>
    <cellStyle name="20% - Accent5 3 2 2 5 2" xfId="260" xr:uid="{00000000-0005-0000-0000-00007D240000}"/>
    <cellStyle name="20% - Accent5 3 2 2 5 2 2" xfId="5272" xr:uid="{00000000-0005-0000-0000-00007E240000}"/>
    <cellStyle name="20% - Accent5 3 2 2 5 2 2 2" xfId="3650" xr:uid="{00000000-0005-0000-0000-00007F240000}"/>
    <cellStyle name="20% - Accent5 3 2 2 5 2 3" xfId="11911" xr:uid="{00000000-0005-0000-0000-000080240000}"/>
    <cellStyle name="20% - Accent5 3 2 2 5 3" xfId="11913" xr:uid="{00000000-0005-0000-0000-000081240000}"/>
    <cellStyle name="20% - Accent5 3 2 2 5 3 2" xfId="5281" xr:uid="{00000000-0005-0000-0000-000082240000}"/>
    <cellStyle name="20% - Accent5 3 2 2 5 4" xfId="11914" xr:uid="{00000000-0005-0000-0000-000083240000}"/>
    <cellStyle name="20% - Accent5 3 2 2 6" xfId="4158" xr:uid="{00000000-0005-0000-0000-000084240000}"/>
    <cellStyle name="20% - Accent5 3 2 2 6 2" xfId="18628" xr:uid="{00000000-0005-0000-0000-000085240000}"/>
    <cellStyle name="20% - Accent5 3 2 2 6 2 2" xfId="11918" xr:uid="{00000000-0005-0000-0000-000086240000}"/>
    <cellStyle name="20% - Accent5 3 2 2 6 3" xfId="11922" xr:uid="{00000000-0005-0000-0000-000087240000}"/>
    <cellStyle name="20% - Accent5 3 2 2 7" xfId="3410" xr:uid="{00000000-0005-0000-0000-000088240000}"/>
    <cellStyle name="20% - Accent5 3 2 2 7 2" xfId="14788" xr:uid="{00000000-0005-0000-0000-000089240000}"/>
    <cellStyle name="20% - Accent5 3 2 2 8" xfId="17308" xr:uid="{00000000-0005-0000-0000-00008A240000}"/>
    <cellStyle name="20% - Accent5 3 2 3" xfId="11925" xr:uid="{00000000-0005-0000-0000-00008B240000}"/>
    <cellStyle name="20% - Accent5 3 2 3 2" xfId="11930" xr:uid="{00000000-0005-0000-0000-00008C240000}"/>
    <cellStyle name="20% - Accent5 3 2 3 2 2" xfId="11931" xr:uid="{00000000-0005-0000-0000-00008D240000}"/>
    <cellStyle name="20% - Accent5 3 2 3 2 2 2" xfId="11934" xr:uid="{00000000-0005-0000-0000-00008E240000}"/>
    <cellStyle name="20% - Accent5 3 2 3 2 2 2 2" xfId="7375" xr:uid="{00000000-0005-0000-0000-00008F240000}"/>
    <cellStyle name="20% - Accent5 3 2 3 2 2 2 2 2" xfId="25215" xr:uid="{00000000-0005-0000-0000-000090240000}"/>
    <cellStyle name="20% - Accent5 3 2 3 2 2 2 2 2 2" xfId="20087" xr:uid="{00000000-0005-0000-0000-000091240000}"/>
    <cellStyle name="20% - Accent5 3 2 3 2 2 2 2 3" xfId="9864" xr:uid="{00000000-0005-0000-0000-000092240000}"/>
    <cellStyle name="20% - Accent5 3 2 3 2 2 2 3" xfId="4950" xr:uid="{00000000-0005-0000-0000-000093240000}"/>
    <cellStyle name="20% - Accent5 3 2 3 2 2 2 3 2" xfId="11936" xr:uid="{00000000-0005-0000-0000-000094240000}"/>
    <cellStyle name="20% - Accent5 3 2 3 2 2 2 4" xfId="1657" xr:uid="{00000000-0005-0000-0000-000095240000}"/>
    <cellStyle name="20% - Accent5 3 2 3 2 2 3" xfId="11852" xr:uid="{00000000-0005-0000-0000-000096240000}"/>
    <cellStyle name="20% - Accent5 3 2 3 2 2 3 2" xfId="4893" xr:uid="{00000000-0005-0000-0000-000097240000}"/>
    <cellStyle name="20% - Accent5 3 2 3 2 2 3 2 2" xfId="11033" xr:uid="{00000000-0005-0000-0000-000098240000}"/>
    <cellStyle name="20% - Accent5 3 2 3 2 2 3 3" xfId="10328" xr:uid="{00000000-0005-0000-0000-000099240000}"/>
    <cellStyle name="20% - Accent5 3 2 3 2 2 4" xfId="13345" xr:uid="{00000000-0005-0000-0000-00009A240000}"/>
    <cellStyle name="20% - Accent5 3 2 3 2 2 4 2" xfId="7088" xr:uid="{00000000-0005-0000-0000-00009B240000}"/>
    <cellStyle name="20% - Accent5 3 2 3 2 2 5" xfId="13348" xr:uid="{00000000-0005-0000-0000-00009C240000}"/>
    <cellStyle name="20% - Accent5 3 2 3 2 3" xfId="10448" xr:uid="{00000000-0005-0000-0000-00009D240000}"/>
    <cellStyle name="20% - Accent5 3 2 3 2 3 2" xfId="11938" xr:uid="{00000000-0005-0000-0000-00009E240000}"/>
    <cellStyle name="20% - Accent5 3 2 3 2 3 2 2" xfId="4516" xr:uid="{00000000-0005-0000-0000-00009F240000}"/>
    <cellStyle name="20% - Accent5 3 2 3 2 3 2 2 2" xfId="18417" xr:uid="{00000000-0005-0000-0000-0000A0240000}"/>
    <cellStyle name="20% - Accent5 3 2 3 2 3 2 3" xfId="2059" xr:uid="{00000000-0005-0000-0000-0000A1240000}"/>
    <cellStyle name="20% - Accent5 3 2 3 2 3 3" xfId="11860" xr:uid="{00000000-0005-0000-0000-0000A2240000}"/>
    <cellStyle name="20% - Accent5 3 2 3 2 3 3 2" xfId="7151" xr:uid="{00000000-0005-0000-0000-0000A3240000}"/>
    <cellStyle name="20% - Accent5 3 2 3 2 3 4" xfId="11945" xr:uid="{00000000-0005-0000-0000-0000A4240000}"/>
    <cellStyle name="20% - Accent5 3 2 3 2 4" xfId="12160" xr:uid="{00000000-0005-0000-0000-0000A5240000}"/>
    <cellStyle name="20% - Accent5 3 2 3 2 4 2" xfId="11948" xr:uid="{00000000-0005-0000-0000-0000A6240000}"/>
    <cellStyle name="20% - Accent5 3 2 3 2 4 2 2" xfId="7201" xr:uid="{00000000-0005-0000-0000-0000A7240000}"/>
    <cellStyle name="20% - Accent5 3 2 3 2 4 3" xfId="11949" xr:uid="{00000000-0005-0000-0000-0000A8240000}"/>
    <cellStyle name="20% - Accent5 3 2 3 2 5" xfId="11951" xr:uid="{00000000-0005-0000-0000-0000A9240000}"/>
    <cellStyle name="20% - Accent5 3 2 3 2 5 2" xfId="11963" xr:uid="{00000000-0005-0000-0000-0000AA240000}"/>
    <cellStyle name="20% - Accent5 3 2 3 2 6" xfId="21199" xr:uid="{00000000-0005-0000-0000-0000AB240000}"/>
    <cellStyle name="20% - Accent5 3 2 3 3" xfId="4448" xr:uid="{00000000-0005-0000-0000-0000AC240000}"/>
    <cellStyle name="20% - Accent5 3 2 3 3 2" xfId="8856" xr:uid="{00000000-0005-0000-0000-0000AD240000}"/>
    <cellStyle name="20% - Accent5 3 2 3 3 2 2" xfId="27422" xr:uid="{00000000-0005-0000-0000-0000AE240000}"/>
    <cellStyle name="20% - Accent5 3 2 3 3 2 2 2" xfId="11376" xr:uid="{00000000-0005-0000-0000-0000AF240000}"/>
    <cellStyle name="20% - Accent5 3 2 3 3 2 2 2 2" xfId="11965" xr:uid="{00000000-0005-0000-0000-0000B0240000}"/>
    <cellStyle name="20% - Accent5 3 2 3 3 2 2 3" xfId="11378" xr:uid="{00000000-0005-0000-0000-0000B1240000}"/>
    <cellStyle name="20% - Accent5 3 2 3 3 2 3" xfId="27433" xr:uid="{00000000-0005-0000-0000-0000B2240000}"/>
    <cellStyle name="20% - Accent5 3 2 3 3 2 3 2" xfId="6293" xr:uid="{00000000-0005-0000-0000-0000B3240000}"/>
    <cellStyle name="20% - Accent5 3 2 3 3 2 4" xfId="10223" xr:uid="{00000000-0005-0000-0000-0000B4240000}"/>
    <cellStyle name="20% - Accent5 3 2 3 3 3" xfId="10461" xr:uid="{00000000-0005-0000-0000-0000B5240000}"/>
    <cellStyle name="20% - Accent5 3 2 3 3 3 2" xfId="27479" xr:uid="{00000000-0005-0000-0000-0000B6240000}"/>
    <cellStyle name="20% - Accent5 3 2 3 3 3 2 2" xfId="11423" xr:uid="{00000000-0005-0000-0000-0000B7240000}"/>
    <cellStyle name="20% - Accent5 3 2 3 3 3 3" xfId="11969" xr:uid="{00000000-0005-0000-0000-0000B8240000}"/>
    <cellStyle name="20% - Accent5 3 2 3 3 4" xfId="11971" xr:uid="{00000000-0005-0000-0000-0000B9240000}"/>
    <cellStyle name="20% - Accent5 3 2 3 3 4 2" xfId="21724" xr:uid="{00000000-0005-0000-0000-0000BA240000}"/>
    <cellStyle name="20% - Accent5 3 2 3 3 5" xfId="11972" xr:uid="{00000000-0005-0000-0000-0000BB240000}"/>
    <cellStyle name="20% - Accent5 3 2 3 4" xfId="2184" xr:uid="{00000000-0005-0000-0000-0000BC240000}"/>
    <cellStyle name="20% - Accent5 3 2 3 4 2" xfId="2187" xr:uid="{00000000-0005-0000-0000-0000BD240000}"/>
    <cellStyle name="20% - Accent5 3 2 3 4 2 2" xfId="11578" xr:uid="{00000000-0005-0000-0000-0000BE240000}"/>
    <cellStyle name="20% - Accent5 3 2 3 4 2 2 2" xfId="7690" xr:uid="{00000000-0005-0000-0000-0000BF240000}"/>
    <cellStyle name="20% - Accent5 3 2 3 4 2 3" xfId="11973" xr:uid="{00000000-0005-0000-0000-0000C0240000}"/>
    <cellStyle name="20% - Accent5 3 2 3 4 3" xfId="11980" xr:uid="{00000000-0005-0000-0000-0000C1240000}"/>
    <cellStyle name="20% - Accent5 3 2 3 4 3 2" xfId="11981" xr:uid="{00000000-0005-0000-0000-0000C2240000}"/>
    <cellStyle name="20% - Accent5 3 2 3 4 4" xfId="6711" xr:uid="{00000000-0005-0000-0000-0000C3240000}"/>
    <cellStyle name="20% - Accent5 3 2 3 5" xfId="299" xr:uid="{00000000-0005-0000-0000-0000C4240000}"/>
    <cellStyle name="20% - Accent5 3 2 3 5 2" xfId="5185" xr:uid="{00000000-0005-0000-0000-0000C5240000}"/>
    <cellStyle name="20% - Accent5 3 2 3 5 2 2" xfId="11983" xr:uid="{00000000-0005-0000-0000-0000C6240000}"/>
    <cellStyle name="20% - Accent5 3 2 3 5 3" xfId="5201" xr:uid="{00000000-0005-0000-0000-0000C7240000}"/>
    <cellStyle name="20% - Accent5 3 2 3 6" xfId="894" xr:uid="{00000000-0005-0000-0000-0000C8240000}"/>
    <cellStyle name="20% - Accent5 3 2 3 6 2" xfId="4386" xr:uid="{00000000-0005-0000-0000-0000C9240000}"/>
    <cellStyle name="20% - Accent5 3 2 3 7" xfId="19327" xr:uid="{00000000-0005-0000-0000-0000CA240000}"/>
    <cellStyle name="20% - Accent5 3 2 4" xfId="11985" xr:uid="{00000000-0005-0000-0000-0000CB240000}"/>
    <cellStyle name="20% - Accent5 3 2 4 2" xfId="33761" xr:uid="{00000000-0005-0000-0000-0000CC240000}"/>
    <cellStyle name="20% - Accent5 3 2 4 2 2" xfId="19800" xr:uid="{00000000-0005-0000-0000-0000CD240000}"/>
    <cellStyle name="20% - Accent5 3 2 4 2 2 2" xfId="11991" xr:uid="{00000000-0005-0000-0000-0000CE240000}"/>
    <cellStyle name="20% - Accent5 3 2 4 2 2 2 2" xfId="10294" xr:uid="{00000000-0005-0000-0000-0000CF240000}"/>
    <cellStyle name="20% - Accent5 3 2 4 2 2 2 2 2" xfId="26284" xr:uid="{00000000-0005-0000-0000-0000D0240000}"/>
    <cellStyle name="20% - Accent5 3 2 4 2 2 2 3" xfId="4459" xr:uid="{00000000-0005-0000-0000-0000D1240000}"/>
    <cellStyle name="20% - Accent5 3 2 4 2 2 3" xfId="11892" xr:uid="{00000000-0005-0000-0000-0000D2240000}"/>
    <cellStyle name="20% - Accent5 3 2 4 2 2 3 2" xfId="21345" xr:uid="{00000000-0005-0000-0000-0000D3240000}"/>
    <cellStyle name="20% - Accent5 3 2 4 2 2 4" xfId="11994" xr:uid="{00000000-0005-0000-0000-0000D4240000}"/>
    <cellStyle name="20% - Accent5 3 2 4 2 3" xfId="10479" xr:uid="{00000000-0005-0000-0000-0000D5240000}"/>
    <cellStyle name="20% - Accent5 3 2 4 2 3 2" xfId="11998" xr:uid="{00000000-0005-0000-0000-0000D6240000}"/>
    <cellStyle name="20% - Accent5 3 2 4 2 3 2 2" xfId="12967" xr:uid="{00000000-0005-0000-0000-0000D7240000}"/>
    <cellStyle name="20% - Accent5 3 2 4 2 3 3" xfId="12003" xr:uid="{00000000-0005-0000-0000-0000D8240000}"/>
    <cellStyle name="20% - Accent5 3 2 4 2 4" xfId="12009" xr:uid="{00000000-0005-0000-0000-0000D9240000}"/>
    <cellStyle name="20% - Accent5 3 2 4 2 4 2" xfId="12017" xr:uid="{00000000-0005-0000-0000-0000DA240000}"/>
    <cellStyle name="20% - Accent5 3 2 4 2 5" xfId="12018" xr:uid="{00000000-0005-0000-0000-0000DB240000}"/>
    <cellStyle name="20% - Accent5 3 2 4 3" xfId="2201" xr:uid="{00000000-0005-0000-0000-0000DC240000}"/>
    <cellStyle name="20% - Accent5 3 2 4 3 2" xfId="2203" xr:uid="{00000000-0005-0000-0000-0000DD240000}"/>
    <cellStyle name="20% - Accent5 3 2 4 3 2 2" xfId="11684" xr:uid="{00000000-0005-0000-0000-0000DE240000}"/>
    <cellStyle name="20% - Accent5 3 2 4 3 2 2 2" xfId="12008" xr:uid="{00000000-0005-0000-0000-0000DF240000}"/>
    <cellStyle name="20% - Accent5 3 2 4 3 2 3" xfId="10976" xr:uid="{00000000-0005-0000-0000-0000E0240000}"/>
    <cellStyle name="20% - Accent5 3 2 4 3 3" xfId="12020" xr:uid="{00000000-0005-0000-0000-0000E1240000}"/>
    <cellStyle name="20% - Accent5 3 2 4 3 3 2" xfId="12021" xr:uid="{00000000-0005-0000-0000-0000E2240000}"/>
    <cellStyle name="20% - Accent5 3 2 4 3 4" xfId="3503" xr:uid="{00000000-0005-0000-0000-0000E3240000}"/>
    <cellStyle name="20% - Accent5 3 2 4 4" xfId="8211" xr:uid="{00000000-0005-0000-0000-0000E4240000}"/>
    <cellStyle name="20% - Accent5 3 2 4 4 2" xfId="12023" xr:uid="{00000000-0005-0000-0000-0000E5240000}"/>
    <cellStyle name="20% - Accent5 3 2 4 4 2 2" xfId="17629" xr:uid="{00000000-0005-0000-0000-0000E6240000}"/>
    <cellStyle name="20% - Accent5 3 2 4 4 3" xfId="12024" xr:uid="{00000000-0005-0000-0000-0000E7240000}"/>
    <cellStyle name="20% - Accent5 3 2 4 5" xfId="12025" xr:uid="{00000000-0005-0000-0000-0000E8240000}"/>
    <cellStyle name="20% - Accent5 3 2 4 5 2" xfId="714" xr:uid="{00000000-0005-0000-0000-0000E9240000}"/>
    <cellStyle name="20% - Accent5 3 2 4 6" xfId="12026" xr:uid="{00000000-0005-0000-0000-0000EA240000}"/>
    <cellStyle name="20% - Accent5 3 2 5" xfId="12027" xr:uid="{00000000-0005-0000-0000-0000EB240000}"/>
    <cellStyle name="20% - Accent5 3 2 5 2" xfId="25063" xr:uid="{00000000-0005-0000-0000-0000EC240000}"/>
    <cellStyle name="20% - Accent5 3 2 5 2 2" xfId="33610" xr:uid="{00000000-0005-0000-0000-0000ED240000}"/>
    <cellStyle name="20% - Accent5 3 2 5 2 2 2" xfId="31195" xr:uid="{00000000-0005-0000-0000-0000EE240000}"/>
    <cellStyle name="20% - Accent5 3 2 5 2 2 2 2" xfId="9208" xr:uid="{00000000-0005-0000-0000-0000EF240000}"/>
    <cellStyle name="20% - Accent5 3 2 5 2 2 3" xfId="12532" xr:uid="{00000000-0005-0000-0000-0000F0240000}"/>
    <cellStyle name="20% - Accent5 3 2 5 2 3" xfId="32083" xr:uid="{00000000-0005-0000-0000-0000F1240000}"/>
    <cellStyle name="20% - Accent5 3 2 5 2 3 2" xfId="32941" xr:uid="{00000000-0005-0000-0000-0000F2240000}"/>
    <cellStyle name="20% - Accent5 3 2 5 2 4" xfId="12034" xr:uid="{00000000-0005-0000-0000-0000F3240000}"/>
    <cellStyle name="20% - Accent5 3 2 5 3" xfId="33999" xr:uid="{00000000-0005-0000-0000-0000F4240000}"/>
    <cellStyle name="20% - Accent5 3 2 5 3 2" xfId="33230" xr:uid="{00000000-0005-0000-0000-0000F5240000}"/>
    <cellStyle name="20% - Accent5 3 2 5 3 2 2" xfId="33777" xr:uid="{00000000-0005-0000-0000-0000F6240000}"/>
    <cellStyle name="20% - Accent5 3 2 5 3 3" xfId="32098" xr:uid="{00000000-0005-0000-0000-0000F7240000}"/>
    <cellStyle name="20% - Accent5 3 2 5 4" xfId="27407" xr:uid="{00000000-0005-0000-0000-0000F8240000}"/>
    <cellStyle name="20% - Accent5 3 2 5 4 2" xfId="33785" xr:uid="{00000000-0005-0000-0000-0000F9240000}"/>
    <cellStyle name="20% - Accent5 3 2 5 5" xfId="20958" xr:uid="{00000000-0005-0000-0000-0000FA240000}"/>
    <cellStyle name="20% - Accent5 3 2 6" xfId="12037" xr:uid="{00000000-0005-0000-0000-0000FB240000}"/>
    <cellStyle name="20% - Accent5 3 2 6 2" xfId="12038" xr:uid="{00000000-0005-0000-0000-0000FC240000}"/>
    <cellStyle name="20% - Accent5 3 2 6 2 2" xfId="15678" xr:uid="{00000000-0005-0000-0000-0000FD240000}"/>
    <cellStyle name="20% - Accent5 3 2 6 2 2 2" xfId="3961" xr:uid="{00000000-0005-0000-0000-0000FE240000}"/>
    <cellStyle name="20% - Accent5 3 2 6 2 3" xfId="16027" xr:uid="{00000000-0005-0000-0000-0000FF240000}"/>
    <cellStyle name="20% - Accent5 3 2 6 3" xfId="12041" xr:uid="{00000000-0005-0000-0000-000000250000}"/>
    <cellStyle name="20% - Accent5 3 2 6 3 2" xfId="12044" xr:uid="{00000000-0005-0000-0000-000001250000}"/>
    <cellStyle name="20% - Accent5 3 2 6 4" xfId="12046" xr:uid="{00000000-0005-0000-0000-000002250000}"/>
    <cellStyle name="20% - Accent5 3 2 7" xfId="26970" xr:uid="{00000000-0005-0000-0000-000003250000}"/>
    <cellStyle name="20% - Accent5 3 2 7 2" xfId="24074" xr:uid="{00000000-0005-0000-0000-000004250000}"/>
    <cellStyle name="20% - Accent5 3 2 7 2 2" xfId="12048" xr:uid="{00000000-0005-0000-0000-000005250000}"/>
    <cellStyle name="20% - Accent5 3 2 7 3" xfId="25638" xr:uid="{00000000-0005-0000-0000-000006250000}"/>
    <cellStyle name="20% - Accent5 3 2 8" xfId="12050" xr:uid="{00000000-0005-0000-0000-000007250000}"/>
    <cellStyle name="20% - Accent5 3 2 8 2" xfId="16968" xr:uid="{00000000-0005-0000-0000-000008250000}"/>
    <cellStyle name="20% - Accent5 3 2 9" xfId="12052" xr:uid="{00000000-0005-0000-0000-000009250000}"/>
    <cellStyle name="20% - Accent5 3 3" xfId="12057" xr:uid="{00000000-0005-0000-0000-00000A250000}"/>
    <cellStyle name="20% - Accent5 3 3 2" xfId="3458" xr:uid="{00000000-0005-0000-0000-00000B250000}"/>
    <cellStyle name="20% - Accent5 3 3 2 2" xfId="12061" xr:uid="{00000000-0005-0000-0000-00000C250000}"/>
    <cellStyle name="20% - Accent5 3 3 2 2 2" xfId="12062" xr:uid="{00000000-0005-0000-0000-00000D250000}"/>
    <cellStyle name="20% - Accent5 3 3 2 2 2 2" xfId="12065" xr:uid="{00000000-0005-0000-0000-00000E250000}"/>
    <cellStyle name="20% - Accent5 3 3 2 2 2 2 2" xfId="13765" xr:uid="{00000000-0005-0000-0000-00000F250000}"/>
    <cellStyle name="20% - Accent5 3 3 2 2 2 2 2 2" xfId="12085" xr:uid="{00000000-0005-0000-0000-000010250000}"/>
    <cellStyle name="20% - Accent5 3 3 2 2 2 2 2 2 2" xfId="12068" xr:uid="{00000000-0005-0000-0000-000011250000}"/>
    <cellStyle name="20% - Accent5 3 3 2 2 2 2 2 3" xfId="12070" xr:uid="{00000000-0005-0000-0000-000012250000}"/>
    <cellStyle name="20% - Accent5 3 3 2 2 2 2 3" xfId="18335" xr:uid="{00000000-0005-0000-0000-000013250000}"/>
    <cellStyle name="20% - Accent5 3 3 2 2 2 2 3 2" xfId="7278" xr:uid="{00000000-0005-0000-0000-000014250000}"/>
    <cellStyle name="20% - Accent5 3 3 2 2 2 2 4" xfId="1964" xr:uid="{00000000-0005-0000-0000-000015250000}"/>
    <cellStyle name="20% - Accent5 3 3 2 2 2 3" xfId="7527" xr:uid="{00000000-0005-0000-0000-000016250000}"/>
    <cellStyle name="20% - Accent5 3 3 2 2 2 3 2" xfId="20776" xr:uid="{00000000-0005-0000-0000-000017250000}"/>
    <cellStyle name="20% - Accent5 3 3 2 2 2 3 2 2" xfId="32379" xr:uid="{00000000-0005-0000-0000-000018250000}"/>
    <cellStyle name="20% - Accent5 3 3 2 2 2 3 3" xfId="20797" xr:uid="{00000000-0005-0000-0000-000019250000}"/>
    <cellStyle name="20% - Accent5 3 3 2 2 2 4" xfId="11940" xr:uid="{00000000-0005-0000-0000-00001A250000}"/>
    <cellStyle name="20% - Accent5 3 3 2 2 2 4 2" xfId="4772" xr:uid="{00000000-0005-0000-0000-00001B250000}"/>
    <cellStyle name="20% - Accent5 3 3 2 2 2 5" xfId="11865" xr:uid="{00000000-0005-0000-0000-00001C250000}"/>
    <cellStyle name="20% - Accent5 3 3 2 2 3" xfId="10036" xr:uid="{00000000-0005-0000-0000-00001D250000}"/>
    <cellStyle name="20% - Accent5 3 3 2 2 3 2" xfId="16424" xr:uid="{00000000-0005-0000-0000-00001E250000}"/>
    <cellStyle name="20% - Accent5 3 3 2 2 3 2 2" xfId="8038" xr:uid="{00000000-0005-0000-0000-00001F250000}"/>
    <cellStyle name="20% - Accent5 3 3 2 2 3 2 2 2" xfId="12082" xr:uid="{00000000-0005-0000-0000-000020250000}"/>
    <cellStyle name="20% - Accent5 3 3 2 2 3 2 3" xfId="18390" xr:uid="{00000000-0005-0000-0000-000021250000}"/>
    <cellStyle name="20% - Accent5 3 3 2 2 3 3" xfId="7549" xr:uid="{00000000-0005-0000-0000-000022250000}"/>
    <cellStyle name="20% - Accent5 3 3 2 2 3 3 2" xfId="9148" xr:uid="{00000000-0005-0000-0000-000023250000}"/>
    <cellStyle name="20% - Accent5 3 3 2 2 3 4" xfId="12731" xr:uid="{00000000-0005-0000-0000-000024250000}"/>
    <cellStyle name="20% - Accent5 3 3 2 2 4" xfId="10040" xr:uid="{00000000-0005-0000-0000-000025250000}"/>
    <cellStyle name="20% - Accent5 3 3 2 2 4 2" xfId="12090" xr:uid="{00000000-0005-0000-0000-000026250000}"/>
    <cellStyle name="20% - Accent5 3 3 2 2 4 2 2" xfId="11487" xr:uid="{00000000-0005-0000-0000-000027250000}"/>
    <cellStyle name="20% - Accent5 3 3 2 2 4 3" xfId="12094" xr:uid="{00000000-0005-0000-0000-000028250000}"/>
    <cellStyle name="20% - Accent5 3 3 2 2 5" xfId="3244" xr:uid="{00000000-0005-0000-0000-000029250000}"/>
    <cellStyle name="20% - Accent5 3 3 2 2 5 2" xfId="7224" xr:uid="{00000000-0005-0000-0000-00002A250000}"/>
    <cellStyle name="20% - Accent5 3 3 2 2 6" xfId="8993" xr:uid="{00000000-0005-0000-0000-00002B250000}"/>
    <cellStyle name="20% - Accent5 3 3 2 3" xfId="16070" xr:uid="{00000000-0005-0000-0000-00002C250000}"/>
    <cellStyle name="20% - Accent5 3 3 2 3 2" xfId="2250" xr:uid="{00000000-0005-0000-0000-00002D250000}"/>
    <cellStyle name="20% - Accent5 3 3 2 3 2 2" xfId="16076" xr:uid="{00000000-0005-0000-0000-00002E250000}"/>
    <cellStyle name="20% - Accent5 3 3 2 3 2 2 2" xfId="8558" xr:uid="{00000000-0005-0000-0000-00002F250000}"/>
    <cellStyle name="20% - Accent5 3 3 2 3 2 2 2 2" xfId="4048" xr:uid="{00000000-0005-0000-0000-000030250000}"/>
    <cellStyle name="20% - Accent5 3 3 2 3 2 2 3" xfId="20261" xr:uid="{00000000-0005-0000-0000-000031250000}"/>
    <cellStyle name="20% - Accent5 3 3 2 3 2 3" xfId="13066" xr:uid="{00000000-0005-0000-0000-000032250000}"/>
    <cellStyle name="20% - Accent5 3 3 2 3 2 3 2" xfId="4797" xr:uid="{00000000-0005-0000-0000-000033250000}"/>
    <cellStyle name="20% - Accent5 3 3 2 3 2 4" xfId="16086" xr:uid="{00000000-0005-0000-0000-000034250000}"/>
    <cellStyle name="20% - Accent5 3 3 2 3 3" xfId="16095" xr:uid="{00000000-0005-0000-0000-000035250000}"/>
    <cellStyle name="20% - Accent5 3 3 2 3 3 2" xfId="11907" xr:uid="{00000000-0005-0000-0000-000036250000}"/>
    <cellStyle name="20% - Accent5 3 3 2 3 3 2 2" xfId="10889" xr:uid="{00000000-0005-0000-0000-000037250000}"/>
    <cellStyle name="20% - Accent5 3 3 2 3 3 3" xfId="12098" xr:uid="{00000000-0005-0000-0000-000038250000}"/>
    <cellStyle name="20% - Accent5 3 3 2 3 4" xfId="16100" xr:uid="{00000000-0005-0000-0000-000039250000}"/>
    <cellStyle name="20% - Accent5 3 3 2 3 4 2" xfId="12101" xr:uid="{00000000-0005-0000-0000-00003A250000}"/>
    <cellStyle name="20% - Accent5 3 3 2 3 5" xfId="8010" xr:uid="{00000000-0005-0000-0000-00003B250000}"/>
    <cellStyle name="20% - Accent5 3 3 2 4" xfId="16101" xr:uid="{00000000-0005-0000-0000-00003C250000}"/>
    <cellStyle name="20% - Accent5 3 3 2 4 2" xfId="13914" xr:uid="{00000000-0005-0000-0000-00003D250000}"/>
    <cellStyle name="20% - Accent5 3 3 2 4 2 2" xfId="13917" xr:uid="{00000000-0005-0000-0000-00003E250000}"/>
    <cellStyle name="20% - Accent5 3 3 2 4 2 2 2" xfId="1775" xr:uid="{00000000-0005-0000-0000-00003F250000}"/>
    <cellStyle name="20% - Accent5 3 3 2 4 2 3" xfId="13847" xr:uid="{00000000-0005-0000-0000-000040250000}"/>
    <cellStyle name="20% - Accent5 3 3 2 4 3" xfId="13920" xr:uid="{00000000-0005-0000-0000-000041250000}"/>
    <cellStyle name="20% - Accent5 3 3 2 4 3 2" xfId="13922" xr:uid="{00000000-0005-0000-0000-000042250000}"/>
    <cellStyle name="20% - Accent5 3 3 2 4 4" xfId="13925" xr:uid="{00000000-0005-0000-0000-000043250000}"/>
    <cellStyle name="20% - Accent5 3 3 2 5" xfId="16109" xr:uid="{00000000-0005-0000-0000-000044250000}"/>
    <cellStyle name="20% - Accent5 3 3 2 5 2" xfId="12105" xr:uid="{00000000-0005-0000-0000-000045250000}"/>
    <cellStyle name="20% - Accent5 3 3 2 5 2 2" xfId="12108" xr:uid="{00000000-0005-0000-0000-000046250000}"/>
    <cellStyle name="20% - Accent5 3 3 2 5 3" xfId="12110" xr:uid="{00000000-0005-0000-0000-000047250000}"/>
    <cellStyle name="20% - Accent5 3 3 2 6" xfId="16110" xr:uid="{00000000-0005-0000-0000-000048250000}"/>
    <cellStyle name="20% - Accent5 3 3 2 6 2" xfId="12114" xr:uid="{00000000-0005-0000-0000-000049250000}"/>
    <cellStyle name="20% - Accent5 3 3 2 7" xfId="12117" xr:uid="{00000000-0005-0000-0000-00004A250000}"/>
    <cellStyle name="20% - Accent5 3 3 3" xfId="1996" xr:uid="{00000000-0005-0000-0000-00004B250000}"/>
    <cellStyle name="20% - Accent5 3 3 3 2" xfId="12119" xr:uid="{00000000-0005-0000-0000-00004C250000}"/>
    <cellStyle name="20% - Accent5 3 3 3 2 2" xfId="18973" xr:uid="{00000000-0005-0000-0000-00004D250000}"/>
    <cellStyle name="20% - Accent5 3 3 3 2 2 2" xfId="4530" xr:uid="{00000000-0005-0000-0000-00004E250000}"/>
    <cellStyle name="20% - Accent5 3 3 3 2 2 2 2" xfId="9436" xr:uid="{00000000-0005-0000-0000-00004F250000}"/>
    <cellStyle name="20% - Accent5 3 3 3 2 2 2 2 2" xfId="32470" xr:uid="{00000000-0005-0000-0000-000050250000}"/>
    <cellStyle name="20% - Accent5 3 3 3 2 2 2 3" xfId="7669" xr:uid="{00000000-0005-0000-0000-000051250000}"/>
    <cellStyle name="20% - Accent5 3 3 3 2 2 3" xfId="7657" xr:uid="{00000000-0005-0000-0000-000052250000}"/>
    <cellStyle name="20% - Accent5 3 3 3 2 2 3 2" xfId="7695" xr:uid="{00000000-0005-0000-0000-000053250000}"/>
    <cellStyle name="20% - Accent5 3 3 3 2 2 4" xfId="12001" xr:uid="{00000000-0005-0000-0000-000054250000}"/>
    <cellStyle name="20% - Accent5 3 3 3 2 3" xfId="18976" xr:uid="{00000000-0005-0000-0000-000055250000}"/>
    <cellStyle name="20% - Accent5 3 3 3 2 3 2" xfId="7210" xr:uid="{00000000-0005-0000-0000-000056250000}"/>
    <cellStyle name="20% - Accent5 3 3 3 2 3 2 2" xfId="11440" xr:uid="{00000000-0005-0000-0000-000057250000}"/>
    <cellStyle name="20% - Accent5 3 3 3 2 3 3" xfId="7664" xr:uid="{00000000-0005-0000-0000-000058250000}"/>
    <cellStyle name="20% - Accent5 3 3 3 2 4" xfId="7213" xr:uid="{00000000-0005-0000-0000-000059250000}"/>
    <cellStyle name="20% - Accent5 3 3 3 2 4 2" xfId="7216" xr:uid="{00000000-0005-0000-0000-00005A250000}"/>
    <cellStyle name="20% - Accent5 3 3 3 2 5" xfId="7251" xr:uid="{00000000-0005-0000-0000-00005B250000}"/>
    <cellStyle name="20% - Accent5 3 3 3 3" xfId="3757" xr:uid="{00000000-0005-0000-0000-00005C250000}"/>
    <cellStyle name="20% - Accent5 3 3 3 3 2" xfId="10369" xr:uid="{00000000-0005-0000-0000-00005D250000}"/>
    <cellStyle name="20% - Accent5 3 3 3 3 2 2" xfId="16116" xr:uid="{00000000-0005-0000-0000-00005E250000}"/>
    <cellStyle name="20% - Accent5 3 3 3 3 2 2 2" xfId="13029" xr:uid="{00000000-0005-0000-0000-00005F250000}"/>
    <cellStyle name="20% - Accent5 3 3 3 3 2 3" xfId="16118" xr:uid="{00000000-0005-0000-0000-000060250000}"/>
    <cellStyle name="20% - Accent5 3 3 3 3 3" xfId="16121" xr:uid="{00000000-0005-0000-0000-000061250000}"/>
    <cellStyle name="20% - Accent5 3 3 3 3 3 2" xfId="7131" xr:uid="{00000000-0005-0000-0000-000062250000}"/>
    <cellStyle name="20% - Accent5 3 3 3 3 4" xfId="16124" xr:uid="{00000000-0005-0000-0000-000063250000}"/>
    <cellStyle name="20% - Accent5 3 3 3 4" xfId="12945" xr:uid="{00000000-0005-0000-0000-000064250000}"/>
    <cellStyle name="20% - Accent5 3 3 3 4 2" xfId="13946" xr:uid="{00000000-0005-0000-0000-000065250000}"/>
    <cellStyle name="20% - Accent5 3 3 3 4 2 2" xfId="13950" xr:uid="{00000000-0005-0000-0000-000066250000}"/>
    <cellStyle name="20% - Accent5 3 3 3 4 3" xfId="13952" xr:uid="{00000000-0005-0000-0000-000067250000}"/>
    <cellStyle name="20% - Accent5 3 3 3 5" xfId="28799" xr:uid="{00000000-0005-0000-0000-000068250000}"/>
    <cellStyle name="20% - Accent5 3 3 3 5 2" xfId="5373" xr:uid="{00000000-0005-0000-0000-000069250000}"/>
    <cellStyle name="20% - Accent5 3 3 3 6" xfId="30519" xr:uid="{00000000-0005-0000-0000-00006A250000}"/>
    <cellStyle name="20% - Accent5 3 3 4" xfId="30963" xr:uid="{00000000-0005-0000-0000-00006B250000}"/>
    <cellStyle name="20% - Accent5 3 3 4 2" xfId="12123" xr:uid="{00000000-0005-0000-0000-00006C250000}"/>
    <cellStyle name="20% - Accent5 3 3 4 2 2" xfId="19009" xr:uid="{00000000-0005-0000-0000-00006D250000}"/>
    <cellStyle name="20% - Accent5 3 3 4 2 2 2" xfId="6565" xr:uid="{00000000-0005-0000-0000-00006E250000}"/>
    <cellStyle name="20% - Accent5 3 3 4 2 2 2 2" xfId="11656" xr:uid="{00000000-0005-0000-0000-00006F250000}"/>
    <cellStyle name="20% - Accent5 3 3 4 2 2 3" xfId="7743" xr:uid="{00000000-0005-0000-0000-000070250000}"/>
    <cellStyle name="20% - Accent5 3 3 4 2 3" xfId="7455" xr:uid="{00000000-0005-0000-0000-000071250000}"/>
    <cellStyle name="20% - Accent5 3 3 4 2 3 2" xfId="7457" xr:uid="{00000000-0005-0000-0000-000072250000}"/>
    <cellStyle name="20% - Accent5 3 3 4 2 4" xfId="2763" xr:uid="{00000000-0005-0000-0000-000073250000}"/>
    <cellStyle name="20% - Accent5 3 3 4 3" xfId="3777" xr:uid="{00000000-0005-0000-0000-000074250000}"/>
    <cellStyle name="20% - Accent5 3 3 4 3 2" xfId="16125" xr:uid="{00000000-0005-0000-0000-000075250000}"/>
    <cellStyle name="20% - Accent5 3 3 4 3 2 2" xfId="16128" xr:uid="{00000000-0005-0000-0000-000076250000}"/>
    <cellStyle name="20% - Accent5 3 3 4 3 3" xfId="16130" xr:uid="{00000000-0005-0000-0000-000077250000}"/>
    <cellStyle name="20% - Accent5 3 3 4 4" xfId="16132" xr:uid="{00000000-0005-0000-0000-000078250000}"/>
    <cellStyle name="20% - Accent5 3 3 4 4 2" xfId="13998" xr:uid="{00000000-0005-0000-0000-000079250000}"/>
    <cellStyle name="20% - Accent5 3 3 4 5" xfId="28827" xr:uid="{00000000-0005-0000-0000-00007A250000}"/>
    <cellStyle name="20% - Accent5 3 3 5" xfId="10711" xr:uid="{00000000-0005-0000-0000-00007B250000}"/>
    <cellStyle name="20% - Accent5 3 3 5 2" xfId="33947" xr:uid="{00000000-0005-0000-0000-00007C250000}"/>
    <cellStyle name="20% - Accent5 3 3 5 2 2" xfId="7784" xr:uid="{00000000-0005-0000-0000-00007D250000}"/>
    <cellStyle name="20% - Accent5 3 3 5 2 2 2" xfId="7792" xr:uid="{00000000-0005-0000-0000-00007E250000}"/>
    <cellStyle name="20% - Accent5 3 3 5 2 3" xfId="7796" xr:uid="{00000000-0005-0000-0000-00007F250000}"/>
    <cellStyle name="20% - Accent5 3 3 5 3" xfId="20329" xr:uid="{00000000-0005-0000-0000-000080250000}"/>
    <cellStyle name="20% - Accent5 3 3 5 3 2" xfId="11087" xr:uid="{00000000-0005-0000-0000-000081250000}"/>
    <cellStyle name="20% - Accent5 3 3 5 4" xfId="12124" xr:uid="{00000000-0005-0000-0000-000082250000}"/>
    <cellStyle name="20% - Accent5 3 3 6" xfId="12126" xr:uid="{00000000-0005-0000-0000-000083250000}"/>
    <cellStyle name="20% - Accent5 3 3 6 2" xfId="12129" xr:uid="{00000000-0005-0000-0000-000084250000}"/>
    <cellStyle name="20% - Accent5 3 3 6 2 2" xfId="7894" xr:uid="{00000000-0005-0000-0000-000085250000}"/>
    <cellStyle name="20% - Accent5 3 3 6 3" xfId="12133" xr:uid="{00000000-0005-0000-0000-000086250000}"/>
    <cellStyle name="20% - Accent5 3 3 7" xfId="1829" xr:uid="{00000000-0005-0000-0000-000087250000}"/>
    <cellStyle name="20% - Accent5 3 3 7 2" xfId="25644" xr:uid="{00000000-0005-0000-0000-000088250000}"/>
    <cellStyle name="20% - Accent5 3 3 8" xfId="9646" xr:uid="{00000000-0005-0000-0000-000089250000}"/>
    <cellStyle name="20% - Accent5 3 4" xfId="32965" xr:uid="{00000000-0005-0000-0000-00008A250000}"/>
    <cellStyle name="20% - Accent5 3 4 2" xfId="23381" xr:uid="{00000000-0005-0000-0000-00008B250000}"/>
    <cellStyle name="20% - Accent5 3 4 2 2" xfId="12135" xr:uid="{00000000-0005-0000-0000-00008C250000}"/>
    <cellStyle name="20% - Accent5 3 4 2 2 2" xfId="11646" xr:uid="{00000000-0005-0000-0000-00008D250000}"/>
    <cellStyle name="20% - Accent5 3 4 2 2 2 2" xfId="12136" xr:uid="{00000000-0005-0000-0000-00008E250000}"/>
    <cellStyle name="20% - Accent5 3 4 2 2 2 2 2" xfId="10410" xr:uid="{00000000-0005-0000-0000-00008F250000}"/>
    <cellStyle name="20% - Accent5 3 4 2 2 2 2 2 2" xfId="432" xr:uid="{00000000-0005-0000-0000-000090250000}"/>
    <cellStyle name="20% - Accent5 3 4 2 2 2 2 3" xfId="4509" xr:uid="{00000000-0005-0000-0000-000091250000}"/>
    <cellStyle name="20% - Accent5 3 4 2 2 2 3" xfId="11418" xr:uid="{00000000-0005-0000-0000-000092250000}"/>
    <cellStyle name="20% - Accent5 3 4 2 2 2 3 2" xfId="21083" xr:uid="{00000000-0005-0000-0000-000093250000}"/>
    <cellStyle name="20% - Accent5 3 4 2 2 2 4" xfId="28314" xr:uid="{00000000-0005-0000-0000-000094250000}"/>
    <cellStyle name="20% - Accent5 3 4 2 2 3" xfId="10055" xr:uid="{00000000-0005-0000-0000-000095250000}"/>
    <cellStyle name="20% - Accent5 3 4 2 2 3 2" xfId="14010" xr:uid="{00000000-0005-0000-0000-000096250000}"/>
    <cellStyle name="20% - Accent5 3 4 2 2 3 2 2" xfId="11605" xr:uid="{00000000-0005-0000-0000-000097250000}"/>
    <cellStyle name="20% - Accent5 3 4 2 2 3 3" xfId="9826" xr:uid="{00000000-0005-0000-0000-000098250000}"/>
    <cellStyle name="20% - Accent5 3 4 2 2 4" xfId="11657" xr:uid="{00000000-0005-0000-0000-000099250000}"/>
    <cellStyle name="20% - Accent5 3 4 2 2 4 2" xfId="12141" xr:uid="{00000000-0005-0000-0000-00009A250000}"/>
    <cellStyle name="20% - Accent5 3 4 2 2 5" xfId="6641" xr:uid="{00000000-0005-0000-0000-00009B250000}"/>
    <cellStyle name="20% - Accent5 3 4 2 3" xfId="16165" xr:uid="{00000000-0005-0000-0000-00009C250000}"/>
    <cellStyle name="20% - Accent5 3 4 2 3 2" xfId="16170" xr:uid="{00000000-0005-0000-0000-00009D250000}"/>
    <cellStyle name="20% - Accent5 3 4 2 3 2 2" xfId="16179" xr:uid="{00000000-0005-0000-0000-00009E250000}"/>
    <cellStyle name="20% - Accent5 3 4 2 3 2 2 2" xfId="31683" xr:uid="{00000000-0005-0000-0000-00009F250000}"/>
    <cellStyle name="20% - Accent5 3 4 2 3 2 3" xfId="16183" xr:uid="{00000000-0005-0000-0000-0000A0250000}"/>
    <cellStyle name="20% - Accent5 3 4 2 3 3" xfId="16187" xr:uid="{00000000-0005-0000-0000-0000A1250000}"/>
    <cellStyle name="20% - Accent5 3 4 2 3 3 2" xfId="12152" xr:uid="{00000000-0005-0000-0000-0000A2250000}"/>
    <cellStyle name="20% - Accent5 3 4 2 3 4" xfId="16189" xr:uid="{00000000-0005-0000-0000-0000A3250000}"/>
    <cellStyle name="20% - Accent5 3 4 2 4" xfId="16191" xr:uid="{00000000-0005-0000-0000-0000A4250000}"/>
    <cellStyle name="20% - Accent5 3 4 2 4 2" xfId="14064" xr:uid="{00000000-0005-0000-0000-0000A5250000}"/>
    <cellStyle name="20% - Accent5 3 4 2 4 2 2" xfId="14067" xr:uid="{00000000-0005-0000-0000-0000A6250000}"/>
    <cellStyle name="20% - Accent5 3 4 2 4 3" xfId="14072" xr:uid="{00000000-0005-0000-0000-0000A7250000}"/>
    <cellStyle name="20% - Accent5 3 4 2 5" xfId="16193" xr:uid="{00000000-0005-0000-0000-0000A8250000}"/>
    <cellStyle name="20% - Accent5 3 4 2 5 2" xfId="12156" xr:uid="{00000000-0005-0000-0000-0000A9250000}"/>
    <cellStyle name="20% - Accent5 3 4 2 6" xfId="16194" xr:uid="{00000000-0005-0000-0000-0000AA250000}"/>
    <cellStyle name="20% - Accent5 3 4 3" xfId="23716" xr:uid="{00000000-0005-0000-0000-0000AB250000}"/>
    <cellStyle name="20% - Accent5 3 4 3 2" xfId="12158" xr:uid="{00000000-0005-0000-0000-0000AC250000}"/>
    <cellStyle name="20% - Accent5 3 4 3 2 2" xfId="19037" xr:uid="{00000000-0005-0000-0000-0000AD250000}"/>
    <cellStyle name="20% - Accent5 3 4 3 2 2 2" xfId="17216" xr:uid="{00000000-0005-0000-0000-0000AE250000}"/>
    <cellStyle name="20% - Accent5 3 4 3 2 2 2 2" xfId="32939" xr:uid="{00000000-0005-0000-0000-0000AF250000}"/>
    <cellStyle name="20% - Accent5 3 4 3 2 2 3" xfId="3365" xr:uid="{00000000-0005-0000-0000-0000B0250000}"/>
    <cellStyle name="20% - Accent5 3 4 3 2 3" xfId="22692" xr:uid="{00000000-0005-0000-0000-0000B1250000}"/>
    <cellStyle name="20% - Accent5 3 4 3 2 3 2" xfId="8283" xr:uid="{00000000-0005-0000-0000-0000B2250000}"/>
    <cellStyle name="20% - Accent5 3 4 3 2 4" xfId="8286" xr:uid="{00000000-0005-0000-0000-0000B3250000}"/>
    <cellStyle name="20% - Accent5 3 4 3 3" xfId="3895" xr:uid="{00000000-0005-0000-0000-0000B4250000}"/>
    <cellStyle name="20% - Accent5 3 4 3 3 2" xfId="8295" xr:uid="{00000000-0005-0000-0000-0000B5250000}"/>
    <cellStyle name="20% - Accent5 3 4 3 3 2 2" xfId="16201" xr:uid="{00000000-0005-0000-0000-0000B6250000}"/>
    <cellStyle name="20% - Accent5 3 4 3 3 3" xfId="24647" xr:uid="{00000000-0005-0000-0000-0000B7250000}"/>
    <cellStyle name="20% - Accent5 3 4 3 4" xfId="16203" xr:uid="{00000000-0005-0000-0000-0000B8250000}"/>
    <cellStyle name="20% - Accent5 3 4 3 4 2" xfId="14109" xr:uid="{00000000-0005-0000-0000-0000B9250000}"/>
    <cellStyle name="20% - Accent5 3 4 3 5" xfId="31110" xr:uid="{00000000-0005-0000-0000-0000BA250000}"/>
    <cellStyle name="20% - Accent5 3 4 4" xfId="29526" xr:uid="{00000000-0005-0000-0000-0000BB250000}"/>
    <cellStyle name="20% - Accent5 3 4 4 2" xfId="12161" xr:uid="{00000000-0005-0000-0000-0000BC250000}"/>
    <cellStyle name="20% - Accent5 3 4 4 2 2" xfId="8419" xr:uid="{00000000-0005-0000-0000-0000BD250000}"/>
    <cellStyle name="20% - Accent5 3 4 4 2 2 2" xfId="8421" xr:uid="{00000000-0005-0000-0000-0000BE250000}"/>
    <cellStyle name="20% - Accent5 3 4 4 2 3" xfId="8423" xr:uid="{00000000-0005-0000-0000-0000BF250000}"/>
    <cellStyle name="20% - Accent5 3 4 4 3" xfId="16204" xr:uid="{00000000-0005-0000-0000-0000C0250000}"/>
    <cellStyle name="20% - Accent5 3 4 4 3 2" xfId="16208" xr:uid="{00000000-0005-0000-0000-0000C1250000}"/>
    <cellStyle name="20% - Accent5 3 4 4 4" xfId="16210" xr:uid="{00000000-0005-0000-0000-0000C2250000}"/>
    <cellStyle name="20% - Accent5 3 4 5" xfId="28356" xr:uid="{00000000-0005-0000-0000-0000C3250000}"/>
    <cellStyle name="20% - Accent5 3 4 5 2" xfId="14903" xr:uid="{00000000-0005-0000-0000-0000C4250000}"/>
    <cellStyle name="20% - Accent5 3 4 5 2 2" xfId="7571" xr:uid="{00000000-0005-0000-0000-0000C5250000}"/>
    <cellStyle name="20% - Accent5 3 4 5 3" xfId="12163" xr:uid="{00000000-0005-0000-0000-0000C6250000}"/>
    <cellStyle name="20% - Accent5 3 4 6" xfId="27068" xr:uid="{00000000-0005-0000-0000-0000C7250000}"/>
    <cellStyle name="20% - Accent5 3 4 6 2" xfId="12169" xr:uid="{00000000-0005-0000-0000-0000C8250000}"/>
    <cellStyle name="20% - Accent5 3 4 7" xfId="26390" xr:uid="{00000000-0005-0000-0000-0000C9250000}"/>
    <cellStyle name="20% - Accent5 3 5" xfId="24090" xr:uid="{00000000-0005-0000-0000-0000CA250000}"/>
    <cellStyle name="20% - Accent5 3 5 2" xfId="12242" xr:uid="{00000000-0005-0000-0000-0000CB250000}"/>
    <cellStyle name="20% - Accent5 3 5 2 2" xfId="19616" xr:uid="{00000000-0005-0000-0000-0000CC250000}"/>
    <cellStyle name="20% - Accent5 3 5 2 2 2" xfId="31553" xr:uid="{00000000-0005-0000-0000-0000CD250000}"/>
    <cellStyle name="20% - Accent5 3 5 2 2 2 2" xfId="10447" xr:uid="{00000000-0005-0000-0000-0000CE250000}"/>
    <cellStyle name="20% - Accent5 3 5 2 2 2 2 2" xfId="18885" xr:uid="{00000000-0005-0000-0000-0000CF250000}"/>
    <cellStyle name="20% - Accent5 3 5 2 2 2 3" xfId="12162" xr:uid="{00000000-0005-0000-0000-0000D0250000}"/>
    <cellStyle name="20% - Accent5 3 5 2 2 3" xfId="23577" xr:uid="{00000000-0005-0000-0000-0000D1250000}"/>
    <cellStyle name="20% - Accent5 3 5 2 2 3 2" xfId="10460" xr:uid="{00000000-0005-0000-0000-0000D2250000}"/>
    <cellStyle name="20% - Accent5 3 5 2 2 4" xfId="10466" xr:uid="{00000000-0005-0000-0000-0000D3250000}"/>
    <cellStyle name="20% - Accent5 3 5 2 3" xfId="32056" xr:uid="{00000000-0005-0000-0000-0000D4250000}"/>
    <cellStyle name="20% - Accent5 3 5 2 3 2" xfId="16238" xr:uid="{00000000-0005-0000-0000-0000D5250000}"/>
    <cellStyle name="20% - Accent5 3 5 2 3 2 2" xfId="10478" xr:uid="{00000000-0005-0000-0000-0000D6250000}"/>
    <cellStyle name="20% - Accent5 3 5 2 3 3" xfId="16240" xr:uid="{00000000-0005-0000-0000-0000D7250000}"/>
    <cellStyle name="20% - Accent5 3 5 2 4" xfId="16242" xr:uid="{00000000-0005-0000-0000-0000D8250000}"/>
    <cellStyle name="20% - Accent5 3 5 2 4 2" xfId="10483" xr:uid="{00000000-0005-0000-0000-0000D9250000}"/>
    <cellStyle name="20% - Accent5 3 5 2 5" xfId="16243" xr:uid="{00000000-0005-0000-0000-0000DA250000}"/>
    <cellStyle name="20% - Accent5 3 5 3" xfId="500" xr:uid="{00000000-0005-0000-0000-0000DB250000}"/>
    <cellStyle name="20% - Accent5 3 5 3 2" xfId="12211" xr:uid="{00000000-0005-0000-0000-0000DC250000}"/>
    <cellStyle name="20% - Accent5 3 5 3 2 2" xfId="2356" xr:uid="{00000000-0005-0000-0000-0000DD250000}"/>
    <cellStyle name="20% - Accent5 3 5 3 2 2 2" xfId="9248" xr:uid="{00000000-0005-0000-0000-0000DE250000}"/>
    <cellStyle name="20% - Accent5 3 5 3 2 3" xfId="20385" xr:uid="{00000000-0005-0000-0000-0000DF250000}"/>
    <cellStyle name="20% - Accent5 3 5 3 3" xfId="16250" xr:uid="{00000000-0005-0000-0000-0000E0250000}"/>
    <cellStyle name="20% - Accent5 3 5 3 3 2" xfId="16256" xr:uid="{00000000-0005-0000-0000-0000E1250000}"/>
    <cellStyle name="20% - Accent5 3 5 3 4" xfId="16261" xr:uid="{00000000-0005-0000-0000-0000E2250000}"/>
    <cellStyle name="20% - Accent5 3 5 4" xfId="534" xr:uid="{00000000-0005-0000-0000-0000E3250000}"/>
    <cellStyle name="20% - Accent5 3 5 4 2" xfId="13782" xr:uid="{00000000-0005-0000-0000-0000E4250000}"/>
    <cellStyle name="20% - Accent5 3 5 4 2 2" xfId="8712" xr:uid="{00000000-0005-0000-0000-0000E5250000}"/>
    <cellStyle name="20% - Accent5 3 5 4 3" xfId="16263" xr:uid="{00000000-0005-0000-0000-0000E6250000}"/>
    <cellStyle name="20% - Accent5 3 5 5" xfId="447" xr:uid="{00000000-0005-0000-0000-0000E7250000}"/>
    <cellStyle name="20% - Accent5 3 5 5 2" xfId="14573" xr:uid="{00000000-0005-0000-0000-0000E8250000}"/>
    <cellStyle name="20% - Accent5 3 5 6" xfId="27029" xr:uid="{00000000-0005-0000-0000-0000E9250000}"/>
    <cellStyle name="20% - Accent5 3 6" xfId="971" xr:uid="{00000000-0005-0000-0000-0000EA250000}"/>
    <cellStyle name="20% - Accent5 3 6 2" xfId="17554" xr:uid="{00000000-0005-0000-0000-0000EB250000}"/>
    <cellStyle name="20% - Accent5 3 6 2 2" xfId="32317" xr:uid="{00000000-0005-0000-0000-0000EC250000}"/>
    <cellStyle name="20% - Accent5 3 6 2 2 2" xfId="10525" xr:uid="{00000000-0005-0000-0000-0000ED250000}"/>
    <cellStyle name="20% - Accent5 3 6 2 2 2 2" xfId="10528" xr:uid="{00000000-0005-0000-0000-0000EE250000}"/>
    <cellStyle name="20% - Accent5 3 6 2 2 3" xfId="24863" xr:uid="{00000000-0005-0000-0000-0000EF250000}"/>
    <cellStyle name="20% - Accent5 3 6 2 3" xfId="16279" xr:uid="{00000000-0005-0000-0000-0000F0250000}"/>
    <cellStyle name="20% - Accent5 3 6 2 3 2" xfId="15384" xr:uid="{00000000-0005-0000-0000-0000F1250000}"/>
    <cellStyle name="20% - Accent5 3 6 2 4" xfId="16282" xr:uid="{00000000-0005-0000-0000-0000F2250000}"/>
    <cellStyle name="20% - Accent5 3 6 3" xfId="26974" xr:uid="{00000000-0005-0000-0000-0000F3250000}"/>
    <cellStyle name="20% - Accent5 3 6 3 2" xfId="18486" xr:uid="{00000000-0005-0000-0000-0000F4250000}"/>
    <cellStyle name="20% - Accent5 3 6 3 2 2" xfId="8294" xr:uid="{00000000-0005-0000-0000-0000F5250000}"/>
    <cellStyle name="20% - Accent5 3 6 3 3" xfId="16287" xr:uid="{00000000-0005-0000-0000-0000F6250000}"/>
    <cellStyle name="20% - Accent5 3 6 4" xfId="4762" xr:uid="{00000000-0005-0000-0000-0000F7250000}"/>
    <cellStyle name="20% - Accent5 3 6 4 2" xfId="12189" xr:uid="{00000000-0005-0000-0000-0000F8250000}"/>
    <cellStyle name="20% - Accent5 3 6 5" xfId="453" xr:uid="{00000000-0005-0000-0000-0000F9250000}"/>
    <cellStyle name="20% - Accent5 3 7" xfId="2193" xr:uid="{00000000-0005-0000-0000-0000FA250000}"/>
    <cellStyle name="20% - Accent5 3 7 2" xfId="4936" xr:uid="{00000000-0005-0000-0000-0000FB250000}"/>
    <cellStyle name="20% - Accent5 3 7 2 2" xfId="30833" xr:uid="{00000000-0005-0000-0000-0000FC250000}"/>
    <cellStyle name="20% - Accent5 3 7 2 2 2" xfId="10586" xr:uid="{00000000-0005-0000-0000-0000FD250000}"/>
    <cellStyle name="20% - Accent5 3 7 2 3" xfId="30147" xr:uid="{00000000-0005-0000-0000-0000FE250000}"/>
    <cellStyle name="20% - Accent5 3 7 3" xfId="4774" xr:uid="{00000000-0005-0000-0000-0000FF250000}"/>
    <cellStyle name="20% - Accent5 3 7 3 2" xfId="7029" xr:uid="{00000000-0005-0000-0000-000000260000}"/>
    <cellStyle name="20% - Accent5 3 7 4" xfId="30842" xr:uid="{00000000-0005-0000-0000-000001260000}"/>
    <cellStyle name="20% - Accent5 3 8" xfId="4547" xr:uid="{00000000-0005-0000-0000-000002260000}"/>
    <cellStyle name="20% - Accent5 3 8 2" xfId="2720" xr:uid="{00000000-0005-0000-0000-000003260000}"/>
    <cellStyle name="20% - Accent5 3 8 2 2" xfId="5056" xr:uid="{00000000-0005-0000-0000-000004260000}"/>
    <cellStyle name="20% - Accent5 3 8 3" xfId="634" xr:uid="{00000000-0005-0000-0000-000005260000}"/>
    <cellStyle name="20% - Accent5 3 9" xfId="3207" xr:uid="{00000000-0005-0000-0000-000006260000}"/>
    <cellStyle name="20% - Accent5 3 9 2" xfId="26248" xr:uid="{00000000-0005-0000-0000-000007260000}"/>
    <cellStyle name="20% - Accent5 4" xfId="13258" xr:uid="{00000000-0005-0000-0000-000008260000}"/>
    <cellStyle name="20% - Accent5 4 2" xfId="12191" xr:uid="{00000000-0005-0000-0000-000009260000}"/>
    <cellStyle name="20% - Accent5 4 2 2" xfId="12195" xr:uid="{00000000-0005-0000-0000-00000A260000}"/>
    <cellStyle name="20% - Accent5 4 2 2 2" xfId="12196" xr:uid="{00000000-0005-0000-0000-00000B260000}"/>
    <cellStyle name="20% - Accent5 4 2 2 2 2" xfId="10736" xr:uid="{00000000-0005-0000-0000-00000C260000}"/>
    <cellStyle name="20% - Accent5 4 2 2 2 2 2" xfId="12149" xr:uid="{00000000-0005-0000-0000-00000D260000}"/>
    <cellStyle name="20% - Accent5 4 2 2 2 2 2 2" xfId="6726" xr:uid="{00000000-0005-0000-0000-00000E260000}"/>
    <cellStyle name="20% - Accent5 4 2 2 2 2 2 2 2" xfId="12197" xr:uid="{00000000-0005-0000-0000-00000F260000}"/>
    <cellStyle name="20% - Accent5 4 2 2 2 2 2 2 2 2" xfId="15254" xr:uid="{00000000-0005-0000-0000-000010260000}"/>
    <cellStyle name="20% - Accent5 4 2 2 2 2 2 2 3" xfId="5979" xr:uid="{00000000-0005-0000-0000-000011260000}"/>
    <cellStyle name="20% - Accent5 4 2 2 2 2 2 3" xfId="8252" xr:uid="{00000000-0005-0000-0000-000012260000}"/>
    <cellStyle name="20% - Accent5 4 2 2 2 2 2 3 2" xfId="13110" xr:uid="{00000000-0005-0000-0000-000013260000}"/>
    <cellStyle name="20% - Accent5 4 2 2 2 2 2 4" xfId="12207" xr:uid="{00000000-0005-0000-0000-000014260000}"/>
    <cellStyle name="20% - Accent5 4 2 2 2 2 3" xfId="10743" xr:uid="{00000000-0005-0000-0000-000015260000}"/>
    <cellStyle name="20% - Accent5 4 2 2 2 2 3 2" xfId="21584" xr:uid="{00000000-0005-0000-0000-000016260000}"/>
    <cellStyle name="20% - Accent5 4 2 2 2 2 3 2 2" xfId="12209" xr:uid="{00000000-0005-0000-0000-000017260000}"/>
    <cellStyle name="20% - Accent5 4 2 2 2 2 3 3" xfId="32054" xr:uid="{00000000-0005-0000-0000-000018260000}"/>
    <cellStyle name="20% - Accent5 4 2 2 2 2 4" xfId="29937" xr:uid="{00000000-0005-0000-0000-000019260000}"/>
    <cellStyle name="20% - Accent5 4 2 2 2 2 4 2" xfId="12210" xr:uid="{00000000-0005-0000-0000-00001A260000}"/>
    <cellStyle name="20% - Accent5 4 2 2 2 2 5" xfId="31865" xr:uid="{00000000-0005-0000-0000-00001B260000}"/>
    <cellStyle name="20% - Accent5 4 2 2 2 3" xfId="49" xr:uid="{00000000-0005-0000-0000-00001C260000}"/>
    <cellStyle name="20% - Accent5 4 2 2 2 3 2" xfId="10747" xr:uid="{00000000-0005-0000-0000-00001D260000}"/>
    <cellStyle name="20% - Accent5 4 2 2 2 3 2 2" xfId="12216" xr:uid="{00000000-0005-0000-0000-00001E260000}"/>
    <cellStyle name="20% - Accent5 4 2 2 2 3 2 2 2" xfId="18636" xr:uid="{00000000-0005-0000-0000-00001F260000}"/>
    <cellStyle name="20% - Accent5 4 2 2 2 3 2 3" xfId="12219" xr:uid="{00000000-0005-0000-0000-000020260000}"/>
    <cellStyle name="20% - Accent5 4 2 2 2 3 3" xfId="4746" xr:uid="{00000000-0005-0000-0000-000021260000}"/>
    <cellStyle name="20% - Accent5 4 2 2 2 3 3 2" xfId="32316" xr:uid="{00000000-0005-0000-0000-000022260000}"/>
    <cellStyle name="20% - Accent5 4 2 2 2 3 4" xfId="30278" xr:uid="{00000000-0005-0000-0000-000023260000}"/>
    <cellStyle name="20% - Accent5 4 2 2 2 4" xfId="10118" xr:uid="{00000000-0005-0000-0000-000024260000}"/>
    <cellStyle name="20% - Accent5 4 2 2 2 4 2" xfId="10749" xr:uid="{00000000-0005-0000-0000-000025260000}"/>
    <cellStyle name="20% - Accent5 4 2 2 2 4 2 2" xfId="12220" xr:uid="{00000000-0005-0000-0000-000026260000}"/>
    <cellStyle name="20% - Accent5 4 2 2 2 4 3" xfId="12222" xr:uid="{00000000-0005-0000-0000-000027260000}"/>
    <cellStyle name="20% - Accent5 4 2 2 2 5" xfId="10751" xr:uid="{00000000-0005-0000-0000-000028260000}"/>
    <cellStyle name="20% - Accent5 4 2 2 2 5 2" xfId="2856" xr:uid="{00000000-0005-0000-0000-000029260000}"/>
    <cellStyle name="20% - Accent5 4 2 2 2 6" xfId="9834" xr:uid="{00000000-0005-0000-0000-00002A260000}"/>
    <cellStyle name="20% - Accent5 4 2 2 3" xfId="2287" xr:uid="{00000000-0005-0000-0000-00002B260000}"/>
    <cellStyle name="20% - Accent5 4 2 2 3 2" xfId="8681" xr:uid="{00000000-0005-0000-0000-00002C260000}"/>
    <cellStyle name="20% - Accent5 4 2 2 3 2 2" xfId="10862" xr:uid="{00000000-0005-0000-0000-00002D260000}"/>
    <cellStyle name="20% - Accent5 4 2 2 3 2 2 2" xfId="9988" xr:uid="{00000000-0005-0000-0000-00002E260000}"/>
    <cellStyle name="20% - Accent5 4 2 2 3 2 2 2 2" xfId="12223" xr:uid="{00000000-0005-0000-0000-00002F260000}"/>
    <cellStyle name="20% - Accent5 4 2 2 3 2 2 3" xfId="9998" xr:uid="{00000000-0005-0000-0000-000030260000}"/>
    <cellStyle name="20% - Accent5 4 2 2 3 2 3" xfId="10873" xr:uid="{00000000-0005-0000-0000-000031260000}"/>
    <cellStyle name="20% - Accent5 4 2 2 3 2 3 2" xfId="32876" xr:uid="{00000000-0005-0000-0000-000032260000}"/>
    <cellStyle name="20% - Accent5 4 2 2 3 2 4" xfId="23855" xr:uid="{00000000-0005-0000-0000-000033260000}"/>
    <cellStyle name="20% - Accent5 4 2 2 3 3" xfId="8689" xr:uid="{00000000-0005-0000-0000-000034260000}"/>
    <cellStyle name="20% - Accent5 4 2 2 3 3 2" xfId="12820" xr:uid="{00000000-0005-0000-0000-000035260000}"/>
    <cellStyle name="20% - Accent5 4 2 2 3 3 2 2" xfId="26861" xr:uid="{00000000-0005-0000-0000-000036260000}"/>
    <cellStyle name="20% - Accent5 4 2 2 3 3 3" xfId="12224" xr:uid="{00000000-0005-0000-0000-000037260000}"/>
    <cellStyle name="20% - Accent5 4 2 2 3 4" xfId="10884" xr:uid="{00000000-0005-0000-0000-000038260000}"/>
    <cellStyle name="20% - Accent5 4 2 2 3 4 2" xfId="12234" xr:uid="{00000000-0005-0000-0000-000039260000}"/>
    <cellStyle name="20% - Accent5 4 2 2 3 5" xfId="12148" xr:uid="{00000000-0005-0000-0000-00003A260000}"/>
    <cellStyle name="20% - Accent5 4 2 2 4" xfId="1220" xr:uid="{00000000-0005-0000-0000-00003B260000}"/>
    <cellStyle name="20% - Accent5 4 2 2 4 2" xfId="8701" xr:uid="{00000000-0005-0000-0000-00003C260000}"/>
    <cellStyle name="20% - Accent5 4 2 2 4 2 2" xfId="10927" xr:uid="{00000000-0005-0000-0000-00003D260000}"/>
    <cellStyle name="20% - Accent5 4 2 2 4 2 2 2" xfId="10110" xr:uid="{00000000-0005-0000-0000-00003E260000}"/>
    <cellStyle name="20% - Accent5 4 2 2 4 2 3" xfId="12240" xr:uid="{00000000-0005-0000-0000-00003F260000}"/>
    <cellStyle name="20% - Accent5 4 2 2 4 3" xfId="21795" xr:uid="{00000000-0005-0000-0000-000040260000}"/>
    <cellStyle name="20% - Accent5 4 2 2 4 3 2" xfId="27266" xr:uid="{00000000-0005-0000-0000-000041260000}"/>
    <cellStyle name="20% - Accent5 4 2 2 4 4" xfId="12248" xr:uid="{00000000-0005-0000-0000-000042260000}"/>
    <cellStyle name="20% - Accent5 4 2 2 5" xfId="11106" xr:uid="{00000000-0005-0000-0000-000043260000}"/>
    <cellStyle name="20% - Accent5 4 2 2 5 2" xfId="21800" xr:uid="{00000000-0005-0000-0000-000044260000}"/>
    <cellStyle name="20% - Accent5 4 2 2 5 2 2" xfId="12249" xr:uid="{00000000-0005-0000-0000-000045260000}"/>
    <cellStyle name="20% - Accent5 4 2 2 5 3" xfId="12252" xr:uid="{00000000-0005-0000-0000-000046260000}"/>
    <cellStyle name="20% - Accent5 4 2 2 6" xfId="12262" xr:uid="{00000000-0005-0000-0000-000047260000}"/>
    <cellStyle name="20% - Accent5 4 2 2 6 2" xfId="12266" xr:uid="{00000000-0005-0000-0000-000048260000}"/>
    <cellStyle name="20% - Accent5 4 2 2 7" xfId="12272" xr:uid="{00000000-0005-0000-0000-000049260000}"/>
    <cellStyle name="20% - Accent5 4 2 3" xfId="12275" xr:uid="{00000000-0005-0000-0000-00004A260000}"/>
    <cellStyle name="20% - Accent5 4 2 3 2" xfId="9160" xr:uid="{00000000-0005-0000-0000-00004B260000}"/>
    <cellStyle name="20% - Accent5 4 2 3 2 2" xfId="10548" xr:uid="{00000000-0005-0000-0000-00004C260000}"/>
    <cellStyle name="20% - Accent5 4 2 3 2 2 2" xfId="331" xr:uid="{00000000-0005-0000-0000-00004D260000}"/>
    <cellStyle name="20% - Accent5 4 2 3 2 2 2 2" xfId="12454" xr:uid="{00000000-0005-0000-0000-00004E260000}"/>
    <cellStyle name="20% - Accent5 4 2 3 2 2 2 2 2" xfId="389" xr:uid="{00000000-0005-0000-0000-00004F260000}"/>
    <cellStyle name="20% - Accent5 4 2 3 2 2 2 3" xfId="4464" xr:uid="{00000000-0005-0000-0000-000050260000}"/>
    <cellStyle name="20% - Accent5 4 2 3 2 2 3" xfId="284" xr:uid="{00000000-0005-0000-0000-000051260000}"/>
    <cellStyle name="20% - Accent5 4 2 3 2 2 3 2" xfId="17803" xr:uid="{00000000-0005-0000-0000-000052260000}"/>
    <cellStyle name="20% - Accent5 4 2 3 2 2 4" xfId="13795" xr:uid="{00000000-0005-0000-0000-000053260000}"/>
    <cellStyle name="20% - Accent5 4 2 3 2 3" xfId="10529" xr:uid="{00000000-0005-0000-0000-000054260000}"/>
    <cellStyle name="20% - Accent5 4 2 3 2 3 2" xfId="338" xr:uid="{00000000-0005-0000-0000-000055260000}"/>
    <cellStyle name="20% - Accent5 4 2 3 2 3 2 2" xfId="2327" xr:uid="{00000000-0005-0000-0000-000056260000}"/>
    <cellStyle name="20% - Accent5 4 2 3 2 3 3" xfId="179" xr:uid="{00000000-0005-0000-0000-000057260000}"/>
    <cellStyle name="20% - Accent5 4 2 3 2 4" xfId="2841" xr:uid="{00000000-0005-0000-0000-000058260000}"/>
    <cellStyle name="20% - Accent5 4 2 3 2 4 2" xfId="349" xr:uid="{00000000-0005-0000-0000-000059260000}"/>
    <cellStyle name="20% - Accent5 4 2 3 2 5" xfId="5433" xr:uid="{00000000-0005-0000-0000-00005A260000}"/>
    <cellStyle name="20% - Accent5 4 2 3 3" xfId="9166" xr:uid="{00000000-0005-0000-0000-00005B260000}"/>
    <cellStyle name="20% - Accent5 4 2 3 3 2" xfId="2316" xr:uid="{00000000-0005-0000-0000-00005C260000}"/>
    <cellStyle name="20% - Accent5 4 2 3 3 2 2" xfId="6051" xr:uid="{00000000-0005-0000-0000-00005D260000}"/>
    <cellStyle name="20% - Accent5 4 2 3 3 2 2 2" xfId="12362" xr:uid="{00000000-0005-0000-0000-00005E260000}"/>
    <cellStyle name="20% - Accent5 4 2 3 3 2 3" xfId="6068" xr:uid="{00000000-0005-0000-0000-00005F260000}"/>
    <cellStyle name="20% - Accent5 4 2 3 3 3" xfId="5283" xr:uid="{00000000-0005-0000-0000-000060260000}"/>
    <cellStyle name="20% - Accent5 4 2 3 3 3 2" xfId="8489" xr:uid="{00000000-0005-0000-0000-000061260000}"/>
    <cellStyle name="20% - Accent5 4 2 3 3 4" xfId="685" xr:uid="{00000000-0005-0000-0000-000062260000}"/>
    <cellStyle name="20% - Accent5 4 2 3 4" xfId="2323" xr:uid="{00000000-0005-0000-0000-000063260000}"/>
    <cellStyle name="20% - Accent5 4 2 3 4 2" xfId="21811" xr:uid="{00000000-0005-0000-0000-000064260000}"/>
    <cellStyle name="20% - Accent5 4 2 3 4 2 2" xfId="6093" xr:uid="{00000000-0005-0000-0000-000065260000}"/>
    <cellStyle name="20% - Accent5 4 2 3 4 3" xfId="3126" xr:uid="{00000000-0005-0000-0000-000066260000}"/>
    <cellStyle name="20% - Accent5 4 2 3 5" xfId="7128" xr:uid="{00000000-0005-0000-0000-000067260000}"/>
    <cellStyle name="20% - Accent5 4 2 3 5 2" xfId="5579" xr:uid="{00000000-0005-0000-0000-000068260000}"/>
    <cellStyle name="20% - Accent5 4 2 3 6" xfId="11536" xr:uid="{00000000-0005-0000-0000-000069260000}"/>
    <cellStyle name="20% - Accent5 4 2 4" xfId="33047" xr:uid="{00000000-0005-0000-0000-00006A260000}"/>
    <cellStyle name="20% - Accent5 4 2 4 2" xfId="8770" xr:uid="{00000000-0005-0000-0000-00006B260000}"/>
    <cellStyle name="20% - Accent5 4 2 4 2 2" xfId="16576" xr:uid="{00000000-0005-0000-0000-00006C260000}"/>
    <cellStyle name="20% - Accent5 4 2 4 2 2 2" xfId="16578" xr:uid="{00000000-0005-0000-0000-00006D260000}"/>
    <cellStyle name="20% - Accent5 4 2 4 2 2 2 2" xfId="665" xr:uid="{00000000-0005-0000-0000-00006E260000}"/>
    <cellStyle name="20% - Accent5 4 2 4 2 2 3" xfId="8627" xr:uid="{00000000-0005-0000-0000-00006F260000}"/>
    <cellStyle name="20% - Accent5 4 2 4 2 3" xfId="7308" xr:uid="{00000000-0005-0000-0000-000070260000}"/>
    <cellStyle name="20% - Accent5 4 2 4 2 3 2" xfId="16583" xr:uid="{00000000-0005-0000-0000-000071260000}"/>
    <cellStyle name="20% - Accent5 4 2 4 2 4" xfId="16876" xr:uid="{00000000-0005-0000-0000-000072260000}"/>
    <cellStyle name="20% - Accent5 4 2 4 3" xfId="9189" xr:uid="{00000000-0005-0000-0000-000073260000}"/>
    <cellStyle name="20% - Accent5 4 2 4 3 2" xfId="16595" xr:uid="{00000000-0005-0000-0000-000074260000}"/>
    <cellStyle name="20% - Accent5 4 2 4 3 2 2" xfId="16600" xr:uid="{00000000-0005-0000-0000-000075260000}"/>
    <cellStyle name="20% - Accent5 4 2 4 3 3" xfId="7311" xr:uid="{00000000-0005-0000-0000-000076260000}"/>
    <cellStyle name="20% - Accent5 4 2 4 4" xfId="10029" xr:uid="{00000000-0005-0000-0000-000077260000}"/>
    <cellStyle name="20% - Accent5 4 2 4 4 2" xfId="5880" xr:uid="{00000000-0005-0000-0000-000078260000}"/>
    <cellStyle name="20% - Accent5 4 2 4 5" xfId="3288" xr:uid="{00000000-0005-0000-0000-000079260000}"/>
    <cellStyle name="20% - Accent5 4 2 5" xfId="10769" xr:uid="{00000000-0005-0000-0000-00007A260000}"/>
    <cellStyle name="20% - Accent5 4 2 5 2" xfId="12579" xr:uid="{00000000-0005-0000-0000-00007B260000}"/>
    <cellStyle name="20% - Accent5 4 2 5 2 2" xfId="18447" xr:uid="{00000000-0005-0000-0000-00007C260000}"/>
    <cellStyle name="20% - Accent5 4 2 5 2 2 2" xfId="18450" xr:uid="{00000000-0005-0000-0000-00007D260000}"/>
    <cellStyle name="20% - Accent5 4 2 5 2 3" xfId="24259" xr:uid="{00000000-0005-0000-0000-00007E260000}"/>
    <cellStyle name="20% - Accent5 4 2 5 3" xfId="7160" xr:uid="{00000000-0005-0000-0000-00007F260000}"/>
    <cellStyle name="20% - Accent5 4 2 5 3 2" xfId="32554" xr:uid="{00000000-0005-0000-0000-000080260000}"/>
    <cellStyle name="20% - Accent5 4 2 5 4" xfId="3300" xr:uid="{00000000-0005-0000-0000-000081260000}"/>
    <cellStyle name="20% - Accent5 4 2 6" xfId="11595" xr:uid="{00000000-0005-0000-0000-000082260000}"/>
    <cellStyle name="20% - Accent5 4 2 6 2" xfId="7163" xr:uid="{00000000-0005-0000-0000-000083260000}"/>
    <cellStyle name="20% - Accent5 4 2 6 2 2" xfId="9262" xr:uid="{00000000-0005-0000-0000-000084260000}"/>
    <cellStyle name="20% - Accent5 4 2 6 3" xfId="23816" xr:uid="{00000000-0005-0000-0000-000085260000}"/>
    <cellStyle name="20% - Accent5 4 2 7" xfId="12768" xr:uid="{00000000-0005-0000-0000-000086260000}"/>
    <cellStyle name="20% - Accent5 4 2 7 2" xfId="23314" xr:uid="{00000000-0005-0000-0000-000087260000}"/>
    <cellStyle name="20% - Accent5 4 2 8" xfId="12782" xr:uid="{00000000-0005-0000-0000-000088260000}"/>
    <cellStyle name="20% - Accent5 4 3" xfId="12292" xr:uid="{00000000-0005-0000-0000-000089260000}"/>
    <cellStyle name="20% - Accent5 4 3 2" xfId="12299" xr:uid="{00000000-0005-0000-0000-00008A260000}"/>
    <cellStyle name="20% - Accent5 4 3 2 2" xfId="12300" xr:uid="{00000000-0005-0000-0000-00008B260000}"/>
    <cellStyle name="20% - Accent5 4 3 2 2 2" xfId="1154" xr:uid="{00000000-0005-0000-0000-00008C260000}"/>
    <cellStyle name="20% - Accent5 4 3 2 2 2 2" xfId="2132" xr:uid="{00000000-0005-0000-0000-00008D260000}"/>
    <cellStyle name="20% - Accent5 4 3 2 2 2 2 2" xfId="2973" xr:uid="{00000000-0005-0000-0000-00008E260000}"/>
    <cellStyle name="20% - Accent5 4 3 2 2 2 2 2 2" xfId="23867" xr:uid="{00000000-0005-0000-0000-00008F260000}"/>
    <cellStyle name="20% - Accent5 4 3 2 2 2 2 3" xfId="2988" xr:uid="{00000000-0005-0000-0000-000090260000}"/>
    <cellStyle name="20% - Accent5 4 3 2 2 2 3" xfId="738" xr:uid="{00000000-0005-0000-0000-000091260000}"/>
    <cellStyle name="20% - Accent5 4 3 2 2 2 3 2" xfId="7733" xr:uid="{00000000-0005-0000-0000-000092260000}"/>
    <cellStyle name="20% - Accent5 4 3 2 2 2 4" xfId="14169" xr:uid="{00000000-0005-0000-0000-000093260000}"/>
    <cellStyle name="20% - Accent5 4 3 2 2 3" xfId="1163" xr:uid="{00000000-0005-0000-0000-000094260000}"/>
    <cellStyle name="20% - Accent5 4 3 2 2 3 2" xfId="334" xr:uid="{00000000-0005-0000-0000-000095260000}"/>
    <cellStyle name="20% - Accent5 4 3 2 2 3 2 2" xfId="12288" xr:uid="{00000000-0005-0000-0000-000096260000}"/>
    <cellStyle name="20% - Accent5 4 3 2 2 3 3" xfId="12301" xr:uid="{00000000-0005-0000-0000-000097260000}"/>
    <cellStyle name="20% - Accent5 4 3 2 2 4" xfId="1975" xr:uid="{00000000-0005-0000-0000-000098260000}"/>
    <cellStyle name="20% - Accent5 4 3 2 2 4 2" xfId="12302" xr:uid="{00000000-0005-0000-0000-000099260000}"/>
    <cellStyle name="20% - Accent5 4 3 2 2 5" xfId="8289" xr:uid="{00000000-0005-0000-0000-00009A260000}"/>
    <cellStyle name="20% - Accent5 4 3 2 3" xfId="3298" xr:uid="{00000000-0005-0000-0000-00009B260000}"/>
    <cellStyle name="20% - Accent5 4 3 2 3 2" xfId="16317" xr:uid="{00000000-0005-0000-0000-00009C260000}"/>
    <cellStyle name="20% - Accent5 4 3 2 3 2 2" xfId="6138" xr:uid="{00000000-0005-0000-0000-00009D260000}"/>
    <cellStyle name="20% - Accent5 4 3 2 3 2 2 2" xfId="3179" xr:uid="{00000000-0005-0000-0000-00009E260000}"/>
    <cellStyle name="20% - Accent5 4 3 2 3 2 3" xfId="12305" xr:uid="{00000000-0005-0000-0000-00009F260000}"/>
    <cellStyle name="20% - Accent5 4 3 2 3 3" xfId="2283" xr:uid="{00000000-0005-0000-0000-0000A0260000}"/>
    <cellStyle name="20% - Accent5 4 3 2 3 3 2" xfId="12313" xr:uid="{00000000-0005-0000-0000-0000A1260000}"/>
    <cellStyle name="20% - Accent5 4 3 2 3 4" xfId="12320" xr:uid="{00000000-0005-0000-0000-0000A2260000}"/>
    <cellStyle name="20% - Accent5 4 3 2 4" xfId="16318" xr:uid="{00000000-0005-0000-0000-0000A3260000}"/>
    <cellStyle name="20% - Accent5 4 3 2 4 2" xfId="21852" xr:uid="{00000000-0005-0000-0000-0000A4260000}"/>
    <cellStyle name="20% - Accent5 4 3 2 4 2 2" xfId="12072" xr:uid="{00000000-0005-0000-0000-0000A5260000}"/>
    <cellStyle name="20% - Accent5 4 3 2 4 3" xfId="12322" xr:uid="{00000000-0005-0000-0000-0000A6260000}"/>
    <cellStyle name="20% - Accent5 4 3 2 5" xfId="12324" xr:uid="{00000000-0005-0000-0000-0000A7260000}"/>
    <cellStyle name="20% - Accent5 4 3 2 5 2" xfId="16321" xr:uid="{00000000-0005-0000-0000-0000A8260000}"/>
    <cellStyle name="20% - Accent5 4 3 2 6" xfId="12329" xr:uid="{00000000-0005-0000-0000-0000A9260000}"/>
    <cellStyle name="20% - Accent5 4 3 3" xfId="12334" xr:uid="{00000000-0005-0000-0000-0000AA260000}"/>
    <cellStyle name="20% - Accent5 4 3 3 2" xfId="9215" xr:uid="{00000000-0005-0000-0000-0000AB260000}"/>
    <cellStyle name="20% - Accent5 4 3 3 2 2" xfId="19067" xr:uid="{00000000-0005-0000-0000-0000AC260000}"/>
    <cellStyle name="20% - Accent5 4 3 3 2 2 2" xfId="816" xr:uid="{00000000-0005-0000-0000-0000AD260000}"/>
    <cellStyle name="20% - Accent5 4 3 3 2 2 2 2" xfId="18743" xr:uid="{00000000-0005-0000-0000-0000AE260000}"/>
    <cellStyle name="20% - Accent5 4 3 3 2 2 3" xfId="27887" xr:uid="{00000000-0005-0000-0000-0000AF260000}"/>
    <cellStyle name="20% - Accent5 4 3 3 2 3" xfId="5413" xr:uid="{00000000-0005-0000-0000-0000B0260000}"/>
    <cellStyle name="20% - Accent5 4 3 3 2 3 2" xfId="216" xr:uid="{00000000-0005-0000-0000-0000B1260000}"/>
    <cellStyle name="20% - Accent5 4 3 3 2 4" xfId="967" xr:uid="{00000000-0005-0000-0000-0000B2260000}"/>
    <cellStyle name="20% - Accent5 4 3 3 3" xfId="9221" xr:uid="{00000000-0005-0000-0000-0000B3260000}"/>
    <cellStyle name="20% - Accent5 4 3 3 3 2" xfId="16325" xr:uid="{00000000-0005-0000-0000-0000B4260000}"/>
    <cellStyle name="20% - Accent5 4 3 3 3 2 2" xfId="9879" xr:uid="{00000000-0005-0000-0000-0000B5260000}"/>
    <cellStyle name="20% - Accent5 4 3 3 3 3" xfId="1057" xr:uid="{00000000-0005-0000-0000-0000B6260000}"/>
    <cellStyle name="20% - Accent5 4 3 3 4" xfId="16330" xr:uid="{00000000-0005-0000-0000-0000B7260000}"/>
    <cellStyle name="20% - Accent5 4 3 3 4 2" xfId="16334" xr:uid="{00000000-0005-0000-0000-0000B8260000}"/>
    <cellStyle name="20% - Accent5 4 3 3 5" xfId="30192" xr:uid="{00000000-0005-0000-0000-0000B9260000}"/>
    <cellStyle name="20% - Accent5 4 3 4" xfId="10581" xr:uid="{00000000-0005-0000-0000-0000BA260000}"/>
    <cellStyle name="20% - Accent5 4 3 4 2" xfId="9227" xr:uid="{00000000-0005-0000-0000-0000BB260000}"/>
    <cellStyle name="20% - Accent5 4 3 4 2 2" xfId="10503" xr:uid="{00000000-0005-0000-0000-0000BC260000}"/>
    <cellStyle name="20% - Accent5 4 3 4 2 2 2" xfId="866" xr:uid="{00000000-0005-0000-0000-0000BD260000}"/>
    <cellStyle name="20% - Accent5 4 3 4 2 3" xfId="869" xr:uid="{00000000-0005-0000-0000-0000BE260000}"/>
    <cellStyle name="20% - Accent5 4 3 4 3" xfId="16338" xr:uid="{00000000-0005-0000-0000-0000BF260000}"/>
    <cellStyle name="20% - Accent5 4 3 4 3 2" xfId="16340" xr:uid="{00000000-0005-0000-0000-0000C0260000}"/>
    <cellStyle name="20% - Accent5 4 3 4 4" xfId="16342" xr:uid="{00000000-0005-0000-0000-0000C1260000}"/>
    <cellStyle name="20% - Accent5 4 3 5" xfId="11602" xr:uid="{00000000-0005-0000-0000-0000C2260000}"/>
    <cellStyle name="20% - Accent5 4 3 5 2" xfId="7212" xr:uid="{00000000-0005-0000-0000-0000C3260000}"/>
    <cellStyle name="20% - Accent5 4 3 5 2 2" xfId="2560" xr:uid="{00000000-0005-0000-0000-0000C4260000}"/>
    <cellStyle name="20% - Accent5 4 3 5 3" xfId="7671" xr:uid="{00000000-0005-0000-0000-0000C5260000}"/>
    <cellStyle name="20% - Accent5 4 3 6" xfId="13402" xr:uid="{00000000-0005-0000-0000-0000C6260000}"/>
    <cellStyle name="20% - Accent5 4 3 6 2" xfId="926" xr:uid="{00000000-0005-0000-0000-0000C7260000}"/>
    <cellStyle name="20% - Accent5 4 3 7" xfId="12796" xr:uid="{00000000-0005-0000-0000-0000C8260000}"/>
    <cellStyle name="20% - Accent5 4 4" xfId="16386" xr:uid="{00000000-0005-0000-0000-0000C9260000}"/>
    <cellStyle name="20% - Accent5 4 4 2" xfId="23388" xr:uid="{00000000-0005-0000-0000-0000CA260000}"/>
    <cellStyle name="20% - Accent5 4 4 2 2" xfId="12337" xr:uid="{00000000-0005-0000-0000-0000CB260000}"/>
    <cellStyle name="20% - Accent5 4 4 2 2 2" xfId="9670" xr:uid="{00000000-0005-0000-0000-0000CC260000}"/>
    <cellStyle name="20% - Accent5 4 4 2 2 2 2" xfId="30596" xr:uid="{00000000-0005-0000-0000-0000CD260000}"/>
    <cellStyle name="20% - Accent5 4 4 2 2 2 2 2" xfId="13212" xr:uid="{00000000-0005-0000-0000-0000CE260000}"/>
    <cellStyle name="20% - Accent5 4 4 2 2 2 3" xfId="23505" xr:uid="{00000000-0005-0000-0000-0000CF260000}"/>
    <cellStyle name="20% - Accent5 4 4 2 2 3" xfId="18941" xr:uid="{00000000-0005-0000-0000-0000D0260000}"/>
    <cellStyle name="20% - Accent5 4 4 2 2 3 2" xfId="5751" xr:uid="{00000000-0005-0000-0000-0000D1260000}"/>
    <cellStyle name="20% - Accent5 4 4 2 2 4" xfId="5754" xr:uid="{00000000-0005-0000-0000-0000D2260000}"/>
    <cellStyle name="20% - Accent5 4 4 2 3" xfId="16357" xr:uid="{00000000-0005-0000-0000-0000D3260000}"/>
    <cellStyle name="20% - Accent5 4 4 2 3 2" xfId="16361" xr:uid="{00000000-0005-0000-0000-0000D4260000}"/>
    <cellStyle name="20% - Accent5 4 4 2 3 2 2" xfId="13024" xr:uid="{00000000-0005-0000-0000-0000D5260000}"/>
    <cellStyle name="20% - Accent5 4 4 2 3 3" xfId="5889" xr:uid="{00000000-0005-0000-0000-0000D6260000}"/>
    <cellStyle name="20% - Accent5 4 4 2 4" xfId="22214" xr:uid="{00000000-0005-0000-0000-0000D7260000}"/>
    <cellStyle name="20% - Accent5 4 4 2 4 2" xfId="16364" xr:uid="{00000000-0005-0000-0000-0000D8260000}"/>
    <cellStyle name="20% - Accent5 4 4 2 5" xfId="12339" xr:uid="{00000000-0005-0000-0000-0000D9260000}"/>
    <cellStyle name="20% - Accent5 4 4 3" xfId="12342" xr:uid="{00000000-0005-0000-0000-0000DA260000}"/>
    <cellStyle name="20% - Accent5 4 4 3 2" xfId="9241" xr:uid="{00000000-0005-0000-0000-0000DB260000}"/>
    <cellStyle name="20% - Accent5 4 4 3 2 2" xfId="8406" xr:uid="{00000000-0005-0000-0000-0000DC260000}"/>
    <cellStyle name="20% - Accent5 4 4 3 2 2 2" xfId="30499" xr:uid="{00000000-0005-0000-0000-0000DD260000}"/>
    <cellStyle name="20% - Accent5 4 4 3 2 3" xfId="1371" xr:uid="{00000000-0005-0000-0000-0000DE260000}"/>
    <cellStyle name="20% - Accent5 4 4 3 3" xfId="16369" xr:uid="{00000000-0005-0000-0000-0000DF260000}"/>
    <cellStyle name="20% - Accent5 4 4 3 3 2" xfId="16373" xr:uid="{00000000-0005-0000-0000-0000E0260000}"/>
    <cellStyle name="20% - Accent5 4 4 3 4" xfId="16375" xr:uid="{00000000-0005-0000-0000-0000E1260000}"/>
    <cellStyle name="20% - Accent5 4 4 4" xfId="12344" xr:uid="{00000000-0005-0000-0000-0000E2260000}"/>
    <cellStyle name="20% - Accent5 4 4 4 2" xfId="7238" xr:uid="{00000000-0005-0000-0000-0000E3260000}"/>
    <cellStyle name="20% - Accent5 4 4 4 2 2" xfId="1713" xr:uid="{00000000-0005-0000-0000-0000E4260000}"/>
    <cellStyle name="20% - Accent5 4 4 4 3" xfId="16379" xr:uid="{00000000-0005-0000-0000-0000E5260000}"/>
    <cellStyle name="20% - Accent5 4 4 5" xfId="12346" xr:uid="{00000000-0005-0000-0000-0000E6260000}"/>
    <cellStyle name="20% - Accent5 4 4 5 2" xfId="2939" xr:uid="{00000000-0005-0000-0000-0000E7260000}"/>
    <cellStyle name="20% - Accent5 4 4 6" xfId="26427" xr:uid="{00000000-0005-0000-0000-0000E8260000}"/>
    <cellStyle name="20% - Accent5 4 5" xfId="24150" xr:uid="{00000000-0005-0000-0000-0000E9260000}"/>
    <cellStyle name="20% - Accent5 4 5 2" xfId="301" xr:uid="{00000000-0005-0000-0000-0000EA260000}"/>
    <cellStyle name="20% - Accent5 4 5 2 2" xfId="32875" xr:uid="{00000000-0005-0000-0000-0000EB260000}"/>
    <cellStyle name="20% - Accent5 4 5 2 2 2" xfId="31015" xr:uid="{00000000-0005-0000-0000-0000EC260000}"/>
    <cellStyle name="20% - Accent5 4 5 2 2 2 2" xfId="13775" xr:uid="{00000000-0005-0000-0000-0000ED260000}"/>
    <cellStyle name="20% - Accent5 4 5 2 2 3" xfId="24169" xr:uid="{00000000-0005-0000-0000-0000EE260000}"/>
    <cellStyle name="20% - Accent5 4 5 2 3" xfId="16399" xr:uid="{00000000-0005-0000-0000-0000EF260000}"/>
    <cellStyle name="20% - Accent5 4 5 2 3 2" xfId="16401" xr:uid="{00000000-0005-0000-0000-0000F0260000}"/>
    <cellStyle name="20% - Accent5 4 5 2 4" xfId="16403" xr:uid="{00000000-0005-0000-0000-0000F1260000}"/>
    <cellStyle name="20% - Accent5 4 5 3" xfId="3843" xr:uid="{00000000-0005-0000-0000-0000F2260000}"/>
    <cellStyle name="20% - Accent5 4 5 3 2" xfId="9611" xr:uid="{00000000-0005-0000-0000-0000F3260000}"/>
    <cellStyle name="20% - Accent5 4 5 3 2 2" xfId="9553" xr:uid="{00000000-0005-0000-0000-0000F4260000}"/>
    <cellStyle name="20% - Accent5 4 5 3 3" xfId="3387" xr:uid="{00000000-0005-0000-0000-0000F5260000}"/>
    <cellStyle name="20% - Accent5 4 5 4" xfId="778" xr:uid="{00000000-0005-0000-0000-0000F6260000}"/>
    <cellStyle name="20% - Accent5 4 5 4 2" xfId="3547" xr:uid="{00000000-0005-0000-0000-0000F7260000}"/>
    <cellStyle name="20% - Accent5 4 5 5" xfId="643" xr:uid="{00000000-0005-0000-0000-0000F8260000}"/>
    <cellStyle name="20% - Accent5 4 6" xfId="255" xr:uid="{00000000-0005-0000-0000-0000F9260000}"/>
    <cellStyle name="20% - Accent5 4 6 2" xfId="11460" xr:uid="{00000000-0005-0000-0000-0000FA260000}"/>
    <cellStyle name="20% - Accent5 4 6 2 2" xfId="12349" xr:uid="{00000000-0005-0000-0000-0000FB260000}"/>
    <cellStyle name="20% - Accent5 4 6 2 2 2" xfId="1901" xr:uid="{00000000-0005-0000-0000-0000FC260000}"/>
    <cellStyle name="20% - Accent5 4 6 2 3" xfId="16422" xr:uid="{00000000-0005-0000-0000-0000FD260000}"/>
    <cellStyle name="20% - Accent5 4 6 3" xfId="4779" xr:uid="{00000000-0005-0000-0000-0000FE260000}"/>
    <cellStyle name="20% - Accent5 4 6 3 2" xfId="1493" xr:uid="{00000000-0005-0000-0000-0000FF260000}"/>
    <cellStyle name="20% - Accent5 4 6 4" xfId="399" xr:uid="{00000000-0005-0000-0000-000000270000}"/>
    <cellStyle name="20% - Accent5 4 7" xfId="2495" xr:uid="{00000000-0005-0000-0000-000001270000}"/>
    <cellStyle name="20% - Accent5 4 7 2" xfId="2045" xr:uid="{00000000-0005-0000-0000-000002270000}"/>
    <cellStyle name="20% - Accent5 4 7 2 2" xfId="12353" xr:uid="{00000000-0005-0000-0000-000003270000}"/>
    <cellStyle name="20% - Accent5 4 7 3" xfId="2055" xr:uid="{00000000-0005-0000-0000-000004270000}"/>
    <cellStyle name="20% - Accent5 4 8" xfId="2504" xr:uid="{00000000-0005-0000-0000-000005270000}"/>
    <cellStyle name="20% - Accent5 4 8 2" xfId="3048" xr:uid="{00000000-0005-0000-0000-000006270000}"/>
    <cellStyle name="20% - Accent5 4 9" xfId="11284" xr:uid="{00000000-0005-0000-0000-000007270000}"/>
    <cellStyle name="20% - Accent5 5" xfId="13263" xr:uid="{00000000-0005-0000-0000-000008270000}"/>
    <cellStyle name="20% - Accent5 5 2" xfId="12356" xr:uid="{00000000-0005-0000-0000-000009270000}"/>
    <cellStyle name="20% - Accent5 5 2 2" xfId="24193" xr:uid="{00000000-0005-0000-0000-00000A270000}"/>
    <cellStyle name="20% - Accent5 5 2 2 2" xfId="12360" xr:uid="{00000000-0005-0000-0000-00000B270000}"/>
    <cellStyle name="20% - Accent5 5 2 2 2 2" xfId="23454" xr:uid="{00000000-0005-0000-0000-00000C270000}"/>
    <cellStyle name="20% - Accent5 5 2 2 2 2 2" xfId="16431" xr:uid="{00000000-0005-0000-0000-00000D270000}"/>
    <cellStyle name="20% - Accent5 5 2 2 2 2 2 2" xfId="24918" xr:uid="{00000000-0005-0000-0000-00000E270000}"/>
    <cellStyle name="20% - Accent5 5 2 2 2 2 2 2 2" xfId="12365" xr:uid="{00000000-0005-0000-0000-00000F270000}"/>
    <cellStyle name="20% - Accent5 5 2 2 2 2 2 3" xfId="12368" xr:uid="{00000000-0005-0000-0000-000010270000}"/>
    <cellStyle name="20% - Accent5 5 2 2 2 2 3" xfId="12373" xr:uid="{00000000-0005-0000-0000-000011270000}"/>
    <cellStyle name="20% - Accent5 5 2 2 2 2 3 2" xfId="19235" xr:uid="{00000000-0005-0000-0000-000012270000}"/>
    <cellStyle name="20% - Accent5 5 2 2 2 2 4" xfId="13973" xr:uid="{00000000-0005-0000-0000-000013270000}"/>
    <cellStyle name="20% - Accent5 5 2 2 2 3" xfId="10146" xr:uid="{00000000-0005-0000-0000-000014270000}"/>
    <cellStyle name="20% - Accent5 5 2 2 2 3 2" xfId="12377" xr:uid="{00000000-0005-0000-0000-000015270000}"/>
    <cellStyle name="20% - Accent5 5 2 2 2 3 2 2" xfId="12378" xr:uid="{00000000-0005-0000-0000-000016270000}"/>
    <cellStyle name="20% - Accent5 5 2 2 2 3 3" xfId="12379" xr:uid="{00000000-0005-0000-0000-000017270000}"/>
    <cellStyle name="20% - Accent5 5 2 2 2 4" xfId="29691" xr:uid="{00000000-0005-0000-0000-000018270000}"/>
    <cellStyle name="20% - Accent5 5 2 2 2 4 2" xfId="19451" xr:uid="{00000000-0005-0000-0000-000019270000}"/>
    <cellStyle name="20% - Accent5 5 2 2 2 5" xfId="12563" xr:uid="{00000000-0005-0000-0000-00001A270000}"/>
    <cellStyle name="20% - Accent5 5 2 2 3" xfId="21" xr:uid="{00000000-0005-0000-0000-00001B270000}"/>
    <cellStyle name="20% - Accent5 5 2 2 3 2" xfId="8895" xr:uid="{00000000-0005-0000-0000-00001C270000}"/>
    <cellStyle name="20% - Accent5 5 2 2 3 2 2" xfId="31151" xr:uid="{00000000-0005-0000-0000-00001D270000}"/>
    <cellStyle name="20% - Accent5 5 2 2 3 2 2 2" xfId="33976" xr:uid="{00000000-0005-0000-0000-00001E270000}"/>
    <cellStyle name="20% - Accent5 5 2 2 3 2 3" xfId="31156" xr:uid="{00000000-0005-0000-0000-00001F270000}"/>
    <cellStyle name="20% - Accent5 5 2 2 3 3" xfId="23572" xr:uid="{00000000-0005-0000-0000-000020270000}"/>
    <cellStyle name="20% - Accent5 5 2 2 3 3 2" xfId="31162" xr:uid="{00000000-0005-0000-0000-000021270000}"/>
    <cellStyle name="20% - Accent5 5 2 2 3 4" xfId="26373" xr:uid="{00000000-0005-0000-0000-000022270000}"/>
    <cellStyle name="20% - Accent5 5 2 2 4" xfId="2349" xr:uid="{00000000-0005-0000-0000-000023270000}"/>
    <cellStyle name="20% - Accent5 5 2 2 4 2" xfId="20723" xr:uid="{00000000-0005-0000-0000-000024270000}"/>
    <cellStyle name="20% - Accent5 5 2 2 4 2 2" xfId="6312" xr:uid="{00000000-0005-0000-0000-000025270000}"/>
    <cellStyle name="20% - Accent5 5 2 2 4 3" xfId="32904" xr:uid="{00000000-0005-0000-0000-000026270000}"/>
    <cellStyle name="20% - Accent5 5 2 2 5" xfId="33199" xr:uid="{00000000-0005-0000-0000-000027270000}"/>
    <cellStyle name="20% - Accent5 5 2 2 5 2" xfId="31170" xr:uid="{00000000-0005-0000-0000-000028270000}"/>
    <cellStyle name="20% - Accent5 5 2 2 6" xfId="12395" xr:uid="{00000000-0005-0000-0000-000029270000}"/>
    <cellStyle name="20% - Accent5 5 2 3" xfId="28482" xr:uid="{00000000-0005-0000-0000-00002A270000}"/>
    <cellStyle name="20% - Accent5 5 2 3 2" xfId="25952" xr:uid="{00000000-0005-0000-0000-00002B270000}"/>
    <cellStyle name="20% - Accent5 5 2 3 2 2" xfId="6444" xr:uid="{00000000-0005-0000-0000-00002C270000}"/>
    <cellStyle name="20% - Accent5 5 2 3 2 2 2" xfId="16750" xr:uid="{00000000-0005-0000-0000-00002D270000}"/>
    <cellStyle name="20% - Accent5 5 2 3 2 2 2 2" xfId="3215" xr:uid="{00000000-0005-0000-0000-00002E270000}"/>
    <cellStyle name="20% - Accent5 5 2 3 2 2 3" xfId="1805" xr:uid="{00000000-0005-0000-0000-00002F270000}"/>
    <cellStyle name="20% - Accent5 5 2 3 2 3" xfId="9072" xr:uid="{00000000-0005-0000-0000-000030270000}"/>
    <cellStyle name="20% - Accent5 5 2 3 2 3 2" xfId="1810" xr:uid="{00000000-0005-0000-0000-000031270000}"/>
    <cellStyle name="20% - Accent5 5 2 3 2 4" xfId="1815" xr:uid="{00000000-0005-0000-0000-000032270000}"/>
    <cellStyle name="20% - Accent5 5 2 3 3" xfId="2362" xr:uid="{00000000-0005-0000-0000-000033270000}"/>
    <cellStyle name="20% - Accent5 5 2 3 3 2" xfId="8996" xr:uid="{00000000-0005-0000-0000-000034270000}"/>
    <cellStyle name="20% - Accent5 5 2 3 3 2 2" xfId="6350" xr:uid="{00000000-0005-0000-0000-000035270000}"/>
    <cellStyle name="20% - Accent5 5 2 3 3 3" xfId="2598" xr:uid="{00000000-0005-0000-0000-000036270000}"/>
    <cellStyle name="20% - Accent5 5 2 3 4" xfId="3334" xr:uid="{00000000-0005-0000-0000-000037270000}"/>
    <cellStyle name="20% - Accent5 5 2 3 4 2" xfId="5591" xr:uid="{00000000-0005-0000-0000-000038270000}"/>
    <cellStyle name="20% - Accent5 5 2 3 5" xfId="27369" xr:uid="{00000000-0005-0000-0000-000039270000}"/>
    <cellStyle name="20% - Accent5 5 2 4" xfId="12401" xr:uid="{00000000-0005-0000-0000-00003A270000}"/>
    <cellStyle name="20% - Accent5 5 2 4 2" xfId="9364" xr:uid="{00000000-0005-0000-0000-00003B270000}"/>
    <cellStyle name="20% - Accent5 5 2 4 2 2" xfId="3588" xr:uid="{00000000-0005-0000-0000-00003C270000}"/>
    <cellStyle name="20% - Accent5 5 2 4 2 2 2" xfId="3036" xr:uid="{00000000-0005-0000-0000-00003D270000}"/>
    <cellStyle name="20% - Accent5 5 2 4 2 3" xfId="4915" xr:uid="{00000000-0005-0000-0000-00003E270000}"/>
    <cellStyle name="20% - Accent5 5 2 4 3" xfId="751" xr:uid="{00000000-0005-0000-0000-00003F270000}"/>
    <cellStyle name="20% - Accent5 5 2 4 3 2" xfId="13595" xr:uid="{00000000-0005-0000-0000-000040270000}"/>
    <cellStyle name="20% - Accent5 5 2 4 4" xfId="3350" xr:uid="{00000000-0005-0000-0000-000041270000}"/>
    <cellStyle name="20% - Accent5 5 2 5" xfId="15603" xr:uid="{00000000-0005-0000-0000-000042270000}"/>
    <cellStyle name="20% - Accent5 5 2 5 2" xfId="2866" xr:uid="{00000000-0005-0000-0000-000043270000}"/>
    <cellStyle name="20% - Accent5 5 2 5 2 2" xfId="1934" xr:uid="{00000000-0005-0000-0000-000044270000}"/>
    <cellStyle name="20% - Accent5 5 2 5 3" xfId="1939" xr:uid="{00000000-0005-0000-0000-000045270000}"/>
    <cellStyle name="20% - Accent5 5 2 6" xfId="12406" xr:uid="{00000000-0005-0000-0000-000046270000}"/>
    <cellStyle name="20% - Accent5 5 2 6 2" xfId="1959" xr:uid="{00000000-0005-0000-0000-000047270000}"/>
    <cellStyle name="20% - Accent5 5 2 7" xfId="12411" xr:uid="{00000000-0005-0000-0000-000048270000}"/>
    <cellStyle name="20% - Accent5 5 3" xfId="21888" xr:uid="{00000000-0005-0000-0000-000049270000}"/>
    <cellStyle name="20% - Accent5 5 3 2" xfId="24216" xr:uid="{00000000-0005-0000-0000-00004A270000}"/>
    <cellStyle name="20% - Accent5 5 3 2 2" xfId="12420" xr:uid="{00000000-0005-0000-0000-00004B270000}"/>
    <cellStyle name="20% - Accent5 5 3 2 2 2" xfId="2047" xr:uid="{00000000-0005-0000-0000-00004C270000}"/>
    <cellStyle name="20% - Accent5 5 3 2 2 2 2" xfId="12425" xr:uid="{00000000-0005-0000-0000-00004D270000}"/>
    <cellStyle name="20% - Accent5 5 3 2 2 2 2 2" xfId="31922" xr:uid="{00000000-0005-0000-0000-00004E270000}"/>
    <cellStyle name="20% - Accent5 5 3 2 2 2 3" xfId="12427" xr:uid="{00000000-0005-0000-0000-00004F270000}"/>
    <cellStyle name="20% - Accent5 5 3 2 2 3" xfId="2051" xr:uid="{00000000-0005-0000-0000-000050270000}"/>
    <cellStyle name="20% - Accent5 5 3 2 2 3 2" xfId="12428" xr:uid="{00000000-0005-0000-0000-000051270000}"/>
    <cellStyle name="20% - Accent5 5 3 2 2 4" xfId="9097" xr:uid="{00000000-0005-0000-0000-000052270000}"/>
    <cellStyle name="20% - Accent5 5 3 2 3" xfId="16449" xr:uid="{00000000-0005-0000-0000-000053270000}"/>
    <cellStyle name="20% - Accent5 5 3 2 3 2" xfId="16454" xr:uid="{00000000-0005-0000-0000-000054270000}"/>
    <cellStyle name="20% - Accent5 5 3 2 3 2 2" xfId="30227" xr:uid="{00000000-0005-0000-0000-000055270000}"/>
    <cellStyle name="20% - Accent5 5 3 2 3 3" xfId="16456" xr:uid="{00000000-0005-0000-0000-000056270000}"/>
    <cellStyle name="20% - Accent5 5 3 2 4" xfId="16458" xr:uid="{00000000-0005-0000-0000-000057270000}"/>
    <cellStyle name="20% - Accent5 5 3 2 4 2" xfId="16460" xr:uid="{00000000-0005-0000-0000-000058270000}"/>
    <cellStyle name="20% - Accent5 5 3 2 5" xfId="21236" xr:uid="{00000000-0005-0000-0000-000059270000}"/>
    <cellStyle name="20% - Accent5 5 3 3" xfId="12431" xr:uid="{00000000-0005-0000-0000-00005A270000}"/>
    <cellStyle name="20% - Accent5 5 3 3 2" xfId="3042" xr:uid="{00000000-0005-0000-0000-00005B270000}"/>
    <cellStyle name="20% - Accent5 5 3 3 2 2" xfId="12612" xr:uid="{00000000-0005-0000-0000-00005C270000}"/>
    <cellStyle name="20% - Accent5 5 3 3 2 2 2" xfId="484" xr:uid="{00000000-0005-0000-0000-00005D270000}"/>
    <cellStyle name="20% - Accent5 5 3 3 2 3" xfId="9131" xr:uid="{00000000-0005-0000-0000-00005E270000}"/>
    <cellStyle name="20% - Accent5 5 3 3 3" xfId="16464" xr:uid="{00000000-0005-0000-0000-00005F270000}"/>
    <cellStyle name="20% - Accent5 5 3 3 3 2" xfId="16469" xr:uid="{00000000-0005-0000-0000-000060270000}"/>
    <cellStyle name="20% - Accent5 5 3 3 4" xfId="16470" xr:uid="{00000000-0005-0000-0000-000061270000}"/>
    <cellStyle name="20% - Accent5 5 3 4" xfId="12433" xr:uid="{00000000-0005-0000-0000-000062270000}"/>
    <cellStyle name="20% - Accent5 5 3 4 2" xfId="3068" xr:uid="{00000000-0005-0000-0000-000063270000}"/>
    <cellStyle name="20% - Accent5 5 3 4 2 2" xfId="2086" xr:uid="{00000000-0005-0000-0000-000064270000}"/>
    <cellStyle name="20% - Accent5 5 3 4 3" xfId="16472" xr:uid="{00000000-0005-0000-0000-000065270000}"/>
    <cellStyle name="20% - Accent5 5 3 5" xfId="22721" xr:uid="{00000000-0005-0000-0000-000066270000}"/>
    <cellStyle name="20% - Accent5 5 3 5 2" xfId="1198" xr:uid="{00000000-0005-0000-0000-000067270000}"/>
    <cellStyle name="20% - Accent5 5 3 6" xfId="12440" xr:uid="{00000000-0005-0000-0000-000068270000}"/>
    <cellStyle name="20% - Accent5 5 4" xfId="16389" xr:uid="{00000000-0005-0000-0000-000069270000}"/>
    <cellStyle name="20% - Accent5 5 4 2" xfId="29263" xr:uid="{00000000-0005-0000-0000-00006A270000}"/>
    <cellStyle name="20% - Accent5 5 4 2 2" xfId="5564" xr:uid="{00000000-0005-0000-0000-00006B270000}"/>
    <cellStyle name="20% - Accent5 5 4 2 2 2" xfId="33543" xr:uid="{00000000-0005-0000-0000-00006C270000}"/>
    <cellStyle name="20% - Accent5 5 4 2 2 2 2" xfId="30572" xr:uid="{00000000-0005-0000-0000-00006D270000}"/>
    <cellStyle name="20% - Accent5 5 4 2 2 3" xfId="8154" xr:uid="{00000000-0005-0000-0000-00006E270000}"/>
    <cellStyle name="20% - Accent5 5 4 2 3" xfId="16486" xr:uid="{00000000-0005-0000-0000-00006F270000}"/>
    <cellStyle name="20% - Accent5 5 4 2 3 2" xfId="16487" xr:uid="{00000000-0005-0000-0000-000070270000}"/>
    <cellStyle name="20% - Accent5 5 4 2 4" xfId="16491" xr:uid="{00000000-0005-0000-0000-000071270000}"/>
    <cellStyle name="20% - Accent5 5 4 3" xfId="12441" xr:uid="{00000000-0005-0000-0000-000072270000}"/>
    <cellStyle name="20% - Accent5 5 4 3 2" xfId="5577" xr:uid="{00000000-0005-0000-0000-000073270000}"/>
    <cellStyle name="20% - Accent5 5 4 3 2 2" xfId="8244" xr:uid="{00000000-0005-0000-0000-000074270000}"/>
    <cellStyle name="20% - Accent5 5 4 3 3" xfId="16493" xr:uid="{00000000-0005-0000-0000-000075270000}"/>
    <cellStyle name="20% - Accent5 5 4 4" xfId="12443" xr:uid="{00000000-0005-0000-0000-000076270000}"/>
    <cellStyle name="20% - Accent5 5 4 4 2" xfId="13299" xr:uid="{00000000-0005-0000-0000-000077270000}"/>
    <cellStyle name="20% - Accent5 5 4 5" xfId="12445" xr:uid="{00000000-0005-0000-0000-000078270000}"/>
    <cellStyle name="20% - Accent5 5 5" xfId="30985" xr:uid="{00000000-0005-0000-0000-000079270000}"/>
    <cellStyle name="20% - Accent5 5 5 2" xfId="332" xr:uid="{00000000-0005-0000-0000-00007A270000}"/>
    <cellStyle name="20% - Accent5 5 5 2 2" xfId="13484" xr:uid="{00000000-0005-0000-0000-00007B270000}"/>
    <cellStyle name="20% - Accent5 5 5 2 2 2" xfId="2772" xr:uid="{00000000-0005-0000-0000-00007C270000}"/>
    <cellStyle name="20% - Accent5 5 5 2 3" xfId="14410" xr:uid="{00000000-0005-0000-0000-00007D270000}"/>
    <cellStyle name="20% - Accent5 5 5 3" xfId="285" xr:uid="{00000000-0005-0000-0000-00007E270000}"/>
    <cellStyle name="20% - Accent5 5 5 3 2" xfId="14833" xr:uid="{00000000-0005-0000-0000-00007F270000}"/>
    <cellStyle name="20% - Accent5 5 5 4" xfId="3641" xr:uid="{00000000-0005-0000-0000-000080270000}"/>
    <cellStyle name="20% - Accent5 5 6" xfId="543" xr:uid="{00000000-0005-0000-0000-000081270000}"/>
    <cellStyle name="20% - Accent5 5 6 2" xfId="339" xr:uid="{00000000-0005-0000-0000-000082270000}"/>
    <cellStyle name="20% - Accent5 5 6 2 2" xfId="12451" xr:uid="{00000000-0005-0000-0000-000083270000}"/>
    <cellStyle name="20% - Accent5 5 6 3" xfId="180" xr:uid="{00000000-0005-0000-0000-000084270000}"/>
    <cellStyle name="20% - Accent5 5 7" xfId="3164" xr:uid="{00000000-0005-0000-0000-000085270000}"/>
    <cellStyle name="20% - Accent5 5 7 2" xfId="2210" xr:uid="{00000000-0005-0000-0000-000086270000}"/>
    <cellStyle name="20% - Accent5 5 8" xfId="2534" xr:uid="{00000000-0005-0000-0000-000087270000}"/>
    <cellStyle name="20% - Accent5 6" xfId="12453" xr:uid="{00000000-0005-0000-0000-000088270000}"/>
    <cellStyle name="20% - Accent5 6 2" xfId="12456" xr:uid="{00000000-0005-0000-0000-000089270000}"/>
    <cellStyle name="20% - Accent5 6 2 2" xfId="8064" xr:uid="{00000000-0005-0000-0000-00008A270000}"/>
    <cellStyle name="20% - Accent5 6 2 2 2" xfId="24810" xr:uid="{00000000-0005-0000-0000-00008B270000}"/>
    <cellStyle name="20% - Accent5 6 2 2 2 2" xfId="12462" xr:uid="{00000000-0005-0000-0000-00008C270000}"/>
    <cellStyle name="20% - Accent5 6 2 2 2 2 2" xfId="33302" xr:uid="{00000000-0005-0000-0000-00008D270000}"/>
    <cellStyle name="20% - Accent5 6 2 2 2 2 2 2" xfId="11597" xr:uid="{00000000-0005-0000-0000-00008E270000}"/>
    <cellStyle name="20% - Accent5 6 2 2 2 2 3" xfId="3800" xr:uid="{00000000-0005-0000-0000-00008F270000}"/>
    <cellStyle name="20% - Accent5 6 2 2 2 3" xfId="27277" xr:uid="{00000000-0005-0000-0000-000090270000}"/>
    <cellStyle name="20% - Accent5 6 2 2 2 3 2" xfId="26908" xr:uid="{00000000-0005-0000-0000-000091270000}"/>
    <cellStyle name="20% - Accent5 6 2 2 2 4" xfId="28605" xr:uid="{00000000-0005-0000-0000-000092270000}"/>
    <cellStyle name="20% - Accent5 6 2 2 3" xfId="1318" xr:uid="{00000000-0005-0000-0000-000093270000}"/>
    <cellStyle name="20% - Accent5 6 2 2 3 2" xfId="29557" xr:uid="{00000000-0005-0000-0000-000094270000}"/>
    <cellStyle name="20% - Accent5 6 2 2 3 2 2" xfId="29047" xr:uid="{00000000-0005-0000-0000-000095270000}"/>
    <cellStyle name="20% - Accent5 6 2 2 3 3" xfId="29568" xr:uid="{00000000-0005-0000-0000-000096270000}"/>
    <cellStyle name="20% - Accent5 6 2 2 4" xfId="12463" xr:uid="{00000000-0005-0000-0000-000097270000}"/>
    <cellStyle name="20% - Accent5 6 2 2 4 2" xfId="12464" xr:uid="{00000000-0005-0000-0000-000098270000}"/>
    <cellStyle name="20% - Accent5 6 2 2 5" xfId="12466" xr:uid="{00000000-0005-0000-0000-000099270000}"/>
    <cellStyle name="20% - Accent5 6 2 3" xfId="12470" xr:uid="{00000000-0005-0000-0000-00009A270000}"/>
    <cellStyle name="20% - Accent5 6 2 3 2" xfId="9473" xr:uid="{00000000-0005-0000-0000-00009B270000}"/>
    <cellStyle name="20% - Accent5 6 2 3 2 2" xfId="13738" xr:uid="{00000000-0005-0000-0000-00009C270000}"/>
    <cellStyle name="20% - Accent5 6 2 3 2 2 2" xfId="2448" xr:uid="{00000000-0005-0000-0000-00009D270000}"/>
    <cellStyle name="20% - Accent5 6 2 3 2 3" xfId="2452" xr:uid="{00000000-0005-0000-0000-00009E270000}"/>
    <cellStyle name="20% - Accent5 6 2 3 3" xfId="5528" xr:uid="{00000000-0005-0000-0000-00009F270000}"/>
    <cellStyle name="20% - Accent5 6 2 3 3 2" xfId="2481" xr:uid="{00000000-0005-0000-0000-0000A0270000}"/>
    <cellStyle name="20% - Accent5 6 2 3 4" xfId="3361" xr:uid="{00000000-0005-0000-0000-0000A1270000}"/>
    <cellStyle name="20% - Accent5 6 2 4" xfId="31222" xr:uid="{00000000-0005-0000-0000-0000A2270000}"/>
    <cellStyle name="20% - Accent5 6 2 4 2" xfId="3722" xr:uid="{00000000-0005-0000-0000-0000A3270000}"/>
    <cellStyle name="20% - Accent5 6 2 4 2 2" xfId="4605" xr:uid="{00000000-0005-0000-0000-0000A4270000}"/>
    <cellStyle name="20% - Accent5 6 2 4 3" xfId="2524" xr:uid="{00000000-0005-0000-0000-0000A5270000}"/>
    <cellStyle name="20% - Accent5 6 2 5" xfId="12474" xr:uid="{00000000-0005-0000-0000-0000A6270000}"/>
    <cellStyle name="20% - Accent5 6 2 5 2" xfId="6" xr:uid="{00000000-0005-0000-0000-0000A7270000}"/>
    <cellStyle name="20% - Accent5 6 2 6" xfId="12475" xr:uid="{00000000-0005-0000-0000-0000A8270000}"/>
    <cellStyle name="20% - Accent5 6 3" xfId="33460" xr:uid="{00000000-0005-0000-0000-0000A9270000}"/>
    <cellStyle name="20% - Accent5 6 3 2" xfId="29276" xr:uid="{00000000-0005-0000-0000-0000AA270000}"/>
    <cellStyle name="20% - Accent5 6 3 2 2" xfId="12479" xr:uid="{00000000-0005-0000-0000-0000AB270000}"/>
    <cellStyle name="20% - Accent5 6 3 2 2 2" xfId="32784" xr:uid="{00000000-0005-0000-0000-0000AC270000}"/>
    <cellStyle name="20% - Accent5 6 3 2 2 2 2" xfId="28443" xr:uid="{00000000-0005-0000-0000-0000AD270000}"/>
    <cellStyle name="20% - Accent5 6 3 2 2 3" xfId="26956" xr:uid="{00000000-0005-0000-0000-0000AE270000}"/>
    <cellStyle name="20% - Accent5 6 3 2 3" xfId="16526" xr:uid="{00000000-0005-0000-0000-0000AF270000}"/>
    <cellStyle name="20% - Accent5 6 3 2 3 2" xfId="16527" xr:uid="{00000000-0005-0000-0000-0000B0270000}"/>
    <cellStyle name="20% - Accent5 6 3 2 4" xfId="16529" xr:uid="{00000000-0005-0000-0000-0000B1270000}"/>
    <cellStyle name="20% - Accent5 6 3 3" xfId="11884" xr:uid="{00000000-0005-0000-0000-0000B2270000}"/>
    <cellStyle name="20% - Accent5 6 3 3 2" xfId="3733" xr:uid="{00000000-0005-0000-0000-0000B3270000}"/>
    <cellStyle name="20% - Accent5 6 3 3 2 2" xfId="3248" xr:uid="{00000000-0005-0000-0000-0000B4270000}"/>
    <cellStyle name="20% - Accent5 6 3 3 3" xfId="4241" xr:uid="{00000000-0005-0000-0000-0000B5270000}"/>
    <cellStyle name="20% - Accent5 6 3 4" xfId="19638" xr:uid="{00000000-0005-0000-0000-0000B6270000}"/>
    <cellStyle name="20% - Accent5 6 3 4 2" xfId="2697" xr:uid="{00000000-0005-0000-0000-0000B7270000}"/>
    <cellStyle name="20% - Accent5 6 3 5" xfId="12485" xr:uid="{00000000-0005-0000-0000-0000B8270000}"/>
    <cellStyle name="20% - Accent5 6 4" xfId="11230" xr:uid="{00000000-0005-0000-0000-0000B9270000}"/>
    <cellStyle name="20% - Accent5 6 4 2" xfId="29278" xr:uid="{00000000-0005-0000-0000-0000BA270000}"/>
    <cellStyle name="20% - Accent5 6 4 2 2" xfId="26437" xr:uid="{00000000-0005-0000-0000-0000BB270000}"/>
    <cellStyle name="20% - Accent5 6 4 2 2 2" xfId="28961" xr:uid="{00000000-0005-0000-0000-0000BC270000}"/>
    <cellStyle name="20% - Accent5 6 4 2 3" xfId="16539" xr:uid="{00000000-0005-0000-0000-0000BD270000}"/>
    <cellStyle name="20% - Accent5 6 4 3" xfId="12491" xr:uid="{00000000-0005-0000-0000-0000BE270000}"/>
    <cellStyle name="20% - Accent5 6 4 3 2" xfId="2025" xr:uid="{00000000-0005-0000-0000-0000BF270000}"/>
    <cellStyle name="20% - Accent5 6 4 4" xfId="12493" xr:uid="{00000000-0005-0000-0000-0000C0270000}"/>
    <cellStyle name="20% - Accent5 6 5" xfId="2319" xr:uid="{00000000-0005-0000-0000-0000C1270000}"/>
    <cellStyle name="20% - Accent5 6 5 2" xfId="360" xr:uid="{00000000-0005-0000-0000-0000C2270000}"/>
    <cellStyle name="20% - Accent5 6 5 2 2" xfId="13614" xr:uid="{00000000-0005-0000-0000-0000C3270000}"/>
    <cellStyle name="20% - Accent5 6 5 3" xfId="5940" xr:uid="{00000000-0005-0000-0000-0000C4270000}"/>
    <cellStyle name="20% - Accent5 6 6" xfId="664" xr:uid="{00000000-0005-0000-0000-0000C5270000}"/>
    <cellStyle name="20% - Accent5 6 6 2" xfId="2231" xr:uid="{00000000-0005-0000-0000-0000C6270000}"/>
    <cellStyle name="20% - Accent5 6 7" xfId="2559" xr:uid="{00000000-0005-0000-0000-0000C7270000}"/>
    <cellStyle name="20% - Accent5 7" xfId="4462" xr:uid="{00000000-0005-0000-0000-0000C8270000}"/>
    <cellStyle name="20% - Accent5 7 2" xfId="8083" xr:uid="{00000000-0005-0000-0000-0000C9270000}"/>
    <cellStyle name="20% - Accent5 7 2 2" xfId="10201" xr:uid="{00000000-0005-0000-0000-0000CA270000}"/>
    <cellStyle name="20% - Accent5 7 2 2 2" xfId="18238" xr:uid="{00000000-0005-0000-0000-0000CB270000}"/>
    <cellStyle name="20% - Accent5 7 2 2 2 2" xfId="5576" xr:uid="{00000000-0005-0000-0000-0000CC270000}"/>
    <cellStyle name="20% - Accent5 7 2 2 2 2 2" xfId="12498" xr:uid="{00000000-0005-0000-0000-0000CD270000}"/>
    <cellStyle name="20% - Accent5 7 2 2 2 3" xfId="12418" xr:uid="{00000000-0005-0000-0000-0000CE270000}"/>
    <cellStyle name="20% - Accent5 7 2 2 3" xfId="12501" xr:uid="{00000000-0005-0000-0000-0000CF270000}"/>
    <cellStyle name="20% - Accent5 7 2 2 3 2" xfId="12503" xr:uid="{00000000-0005-0000-0000-0000D0270000}"/>
    <cellStyle name="20% - Accent5 7 2 2 4" xfId="12506" xr:uid="{00000000-0005-0000-0000-0000D1270000}"/>
    <cellStyle name="20% - Accent5 7 2 3" xfId="12508" xr:uid="{00000000-0005-0000-0000-0000D2270000}"/>
    <cellStyle name="20% - Accent5 7 2 3 2" xfId="13439" xr:uid="{00000000-0005-0000-0000-0000D3270000}"/>
    <cellStyle name="20% - Accent5 7 2 3 2 2" xfId="2716" xr:uid="{00000000-0005-0000-0000-0000D4270000}"/>
    <cellStyle name="20% - Accent5 7 2 3 3" xfId="8105" xr:uid="{00000000-0005-0000-0000-0000D5270000}"/>
    <cellStyle name="20% - Accent5 7 2 4" xfId="12510" xr:uid="{00000000-0005-0000-0000-0000D6270000}"/>
    <cellStyle name="20% - Accent5 7 2 4 2" xfId="18399" xr:uid="{00000000-0005-0000-0000-0000D7270000}"/>
    <cellStyle name="20% - Accent5 7 2 5" xfId="12515" xr:uid="{00000000-0005-0000-0000-0000D8270000}"/>
    <cellStyle name="20% - Accent5 7 3" xfId="23494" xr:uid="{00000000-0005-0000-0000-0000D9270000}"/>
    <cellStyle name="20% - Accent5 7 3 2" xfId="4078" xr:uid="{00000000-0005-0000-0000-0000DA270000}"/>
    <cellStyle name="20% - Accent5 7 3 2 2" xfId="20085" xr:uid="{00000000-0005-0000-0000-0000DB270000}"/>
    <cellStyle name="20% - Accent5 7 3 2 2 2" xfId="9454" xr:uid="{00000000-0005-0000-0000-0000DC270000}"/>
    <cellStyle name="20% - Accent5 7 3 2 3" xfId="16569" xr:uid="{00000000-0005-0000-0000-0000DD270000}"/>
    <cellStyle name="20% - Accent5 7 3 3" xfId="567" xr:uid="{00000000-0005-0000-0000-0000DE270000}"/>
    <cellStyle name="20% - Accent5 7 3 3 2" xfId="20269" xr:uid="{00000000-0005-0000-0000-0000DF270000}"/>
    <cellStyle name="20% - Accent5 7 3 4" xfId="12520" xr:uid="{00000000-0005-0000-0000-0000E0270000}"/>
    <cellStyle name="20% - Accent5 7 4" xfId="12521" xr:uid="{00000000-0005-0000-0000-0000E1270000}"/>
    <cellStyle name="20% - Accent5 7 4 2" xfId="761" xr:uid="{00000000-0005-0000-0000-0000E2270000}"/>
    <cellStyle name="20% - Accent5 7 4 2 2" xfId="22855" xr:uid="{00000000-0005-0000-0000-0000E3270000}"/>
    <cellStyle name="20% - Accent5 7 4 3" xfId="12524" xr:uid="{00000000-0005-0000-0000-0000E4270000}"/>
    <cellStyle name="20% - Accent5 7 5" xfId="8429" xr:uid="{00000000-0005-0000-0000-0000E5270000}"/>
    <cellStyle name="20% - Accent5 7 5 2" xfId="28076" xr:uid="{00000000-0005-0000-0000-0000E6270000}"/>
    <cellStyle name="20% - Accent5 7 6" xfId="689" xr:uid="{00000000-0005-0000-0000-0000E7270000}"/>
    <cellStyle name="20% - Accent5 8" xfId="12530" xr:uid="{00000000-0005-0000-0000-0000E8270000}"/>
    <cellStyle name="20% - Accent5 8 2" xfId="12534" xr:uid="{00000000-0005-0000-0000-0000E9270000}"/>
    <cellStyle name="20% - Accent5 8 2 2" xfId="12536" xr:uid="{00000000-0005-0000-0000-0000EA270000}"/>
    <cellStyle name="20% - Accent5 8 2 2 2" xfId="12538" xr:uid="{00000000-0005-0000-0000-0000EB270000}"/>
    <cellStyle name="20% - Accent5 8 2 2 2 2" xfId="23257" xr:uid="{00000000-0005-0000-0000-0000EC270000}"/>
    <cellStyle name="20% - Accent5 8 2 2 3" xfId="12539" xr:uid="{00000000-0005-0000-0000-0000ED270000}"/>
    <cellStyle name="20% - Accent5 8 2 3" xfId="12541" xr:uid="{00000000-0005-0000-0000-0000EE270000}"/>
    <cellStyle name="20% - Accent5 8 2 3 2" xfId="2830" xr:uid="{00000000-0005-0000-0000-0000EF270000}"/>
    <cellStyle name="20% - Accent5 8 2 4" xfId="6846" xr:uid="{00000000-0005-0000-0000-0000F0270000}"/>
    <cellStyle name="20% - Accent5 8 3" xfId="29312" xr:uid="{00000000-0005-0000-0000-0000F1270000}"/>
    <cellStyle name="20% - Accent5 8 3 2" xfId="507" xr:uid="{00000000-0005-0000-0000-0000F2270000}"/>
    <cellStyle name="20% - Accent5 8 3 2 2" xfId="11923" xr:uid="{00000000-0005-0000-0000-0000F3270000}"/>
    <cellStyle name="20% - Accent5 8 3 3" xfId="12543" xr:uid="{00000000-0005-0000-0000-0000F4270000}"/>
    <cellStyle name="20% - Accent5 8 4" xfId="7579" xr:uid="{00000000-0005-0000-0000-0000F5270000}"/>
    <cellStyle name="20% - Accent5 8 4 2" xfId="30969" xr:uid="{00000000-0005-0000-0000-0000F6270000}"/>
    <cellStyle name="20% - Accent5 8 5" xfId="5584" xr:uid="{00000000-0005-0000-0000-0000F7270000}"/>
    <cellStyle name="20% - Accent5 9" xfId="12549" xr:uid="{00000000-0005-0000-0000-0000F8270000}"/>
    <cellStyle name="20% - Accent5 9 2" xfId="31699" xr:uid="{00000000-0005-0000-0000-0000F9270000}"/>
    <cellStyle name="20% - Accent5 9 2 2" xfId="27043" xr:uid="{00000000-0005-0000-0000-0000FA270000}"/>
    <cellStyle name="20% - Accent5 9 2 2 2" xfId="12552" xr:uid="{00000000-0005-0000-0000-0000FB270000}"/>
    <cellStyle name="20% - Accent5 9 2 3" xfId="897" xr:uid="{00000000-0005-0000-0000-0000FC270000}"/>
    <cellStyle name="20% - Accent5 9 3" xfId="15073" xr:uid="{00000000-0005-0000-0000-0000FD270000}"/>
    <cellStyle name="20% - Accent5 9 3 2" xfId="29322" xr:uid="{00000000-0005-0000-0000-0000FE270000}"/>
    <cellStyle name="20% - Accent5 9 4" xfId="29328" xr:uid="{00000000-0005-0000-0000-0000FF270000}"/>
    <cellStyle name="20% - Accent6 10" xfId="264" xr:uid="{00000000-0005-0000-0000-000000280000}"/>
    <cellStyle name="20% - Accent6 10 2" xfId="12553" xr:uid="{00000000-0005-0000-0000-000001280000}"/>
    <cellStyle name="20% - Accent6 10 2 2" xfId="3327" xr:uid="{00000000-0005-0000-0000-000002280000}"/>
    <cellStyle name="20% - Accent6 10 3" xfId="27013" xr:uid="{00000000-0005-0000-0000-000003280000}"/>
    <cellStyle name="20% - Accent6 11" xfId="11354" xr:uid="{00000000-0005-0000-0000-000004280000}"/>
    <cellStyle name="20% - Accent6 11 2" xfId="30" xr:uid="{00000000-0005-0000-0000-000005280000}"/>
    <cellStyle name="20% - Accent6 12" xfId="28246" xr:uid="{00000000-0005-0000-0000-000006280000}"/>
    <cellStyle name="20% - Accent6 13" xfId="30589" xr:uid="{00000000-0005-0000-0000-000007280000}"/>
    <cellStyle name="20% - Accent6 2" xfId="12285" xr:uid="{00000000-0005-0000-0000-000008280000}"/>
    <cellStyle name="20% - Accent6 2 10" xfId="27437" xr:uid="{00000000-0005-0000-0000-000009280000}"/>
    <cellStyle name="20% - Accent6 2 10 2" xfId="31705" xr:uid="{00000000-0005-0000-0000-00000A280000}"/>
    <cellStyle name="20% - Accent6 2 11" xfId="31719" xr:uid="{00000000-0005-0000-0000-00000B280000}"/>
    <cellStyle name="20% - Accent6 2 2" xfId="12923" xr:uid="{00000000-0005-0000-0000-00000C280000}"/>
    <cellStyle name="20% - Accent6 2 2 10" xfId="6750" xr:uid="{00000000-0005-0000-0000-00000D280000}"/>
    <cellStyle name="20% - Accent6 2 2 2" xfId="12564" xr:uid="{00000000-0005-0000-0000-00000E280000}"/>
    <cellStyle name="20% - Accent6 2 2 2 2" xfId="28967" xr:uid="{00000000-0005-0000-0000-00000F280000}"/>
    <cellStyle name="20% - Accent6 2 2 2 2 2" xfId="31481" xr:uid="{00000000-0005-0000-0000-000010280000}"/>
    <cellStyle name="20% - Accent6 2 2 2 2 2 2" xfId="7377" xr:uid="{00000000-0005-0000-0000-000011280000}"/>
    <cellStyle name="20% - Accent6 2 2 2 2 2 2 2" xfId="8692" xr:uid="{00000000-0005-0000-0000-000012280000}"/>
    <cellStyle name="20% - Accent6 2 2 2 2 2 2 2 2" xfId="12569" xr:uid="{00000000-0005-0000-0000-000013280000}"/>
    <cellStyle name="20% - Accent6 2 2 2 2 2 2 2 2 2" xfId="23284" xr:uid="{00000000-0005-0000-0000-000014280000}"/>
    <cellStyle name="20% - Accent6 2 2 2 2 2 2 2 2 2 2" xfId="19315" xr:uid="{00000000-0005-0000-0000-000015280000}"/>
    <cellStyle name="20% - Accent6 2 2 2 2 2 2 2 2 2 2 2" xfId="24715" xr:uid="{00000000-0005-0000-0000-000016280000}"/>
    <cellStyle name="20% - Accent6 2 2 2 2 2 2 2 2 2 3" xfId="12570" xr:uid="{00000000-0005-0000-0000-000017280000}"/>
    <cellStyle name="20% - Accent6 2 2 2 2 2 2 2 2 3" xfId="22219" xr:uid="{00000000-0005-0000-0000-000018280000}"/>
    <cellStyle name="20% - Accent6 2 2 2 2 2 2 2 2 3 2" xfId="12572" xr:uid="{00000000-0005-0000-0000-000019280000}"/>
    <cellStyle name="20% - Accent6 2 2 2 2 2 2 2 2 4" xfId="15412" xr:uid="{00000000-0005-0000-0000-00001A280000}"/>
    <cellStyle name="20% - Accent6 2 2 2 2 2 2 2 3" xfId="15269" xr:uid="{00000000-0005-0000-0000-00001B280000}"/>
    <cellStyle name="20% - Accent6 2 2 2 2 2 2 2 3 2" xfId="14639" xr:uid="{00000000-0005-0000-0000-00001C280000}"/>
    <cellStyle name="20% - Accent6 2 2 2 2 2 2 2 3 2 2" xfId="12198" xr:uid="{00000000-0005-0000-0000-00001D280000}"/>
    <cellStyle name="20% - Accent6 2 2 2 2 2 2 2 3 3" xfId="19688" xr:uid="{00000000-0005-0000-0000-00001E280000}"/>
    <cellStyle name="20% - Accent6 2 2 2 2 2 2 2 4" xfId="12576" xr:uid="{00000000-0005-0000-0000-00001F280000}"/>
    <cellStyle name="20% - Accent6 2 2 2 2 2 2 2 4 2" xfId="3913" xr:uid="{00000000-0005-0000-0000-000020280000}"/>
    <cellStyle name="20% - Accent6 2 2 2 2 2 2 2 5" xfId="12584" xr:uid="{00000000-0005-0000-0000-000021280000}"/>
    <cellStyle name="20% - Accent6 2 2 2 2 2 2 3" xfId="8703" xr:uid="{00000000-0005-0000-0000-000022280000}"/>
    <cellStyle name="20% - Accent6 2 2 2 2 2 2 3 2" xfId="12595" xr:uid="{00000000-0005-0000-0000-000023280000}"/>
    <cellStyle name="20% - Accent6 2 2 2 2 2 2 3 2 2" xfId="14707" xr:uid="{00000000-0005-0000-0000-000024280000}"/>
    <cellStyle name="20% - Accent6 2 2 2 2 2 2 3 2 2 2" xfId="12599" xr:uid="{00000000-0005-0000-0000-000025280000}"/>
    <cellStyle name="20% - Accent6 2 2 2 2 2 2 3 2 3" xfId="9609" xr:uid="{00000000-0005-0000-0000-000026280000}"/>
    <cellStyle name="20% - Accent6 2 2 2 2 2 2 3 3" xfId="12605" xr:uid="{00000000-0005-0000-0000-000027280000}"/>
    <cellStyle name="20% - Accent6 2 2 2 2 2 2 3 3 2" xfId="32744" xr:uid="{00000000-0005-0000-0000-000028280000}"/>
    <cellStyle name="20% - Accent6 2 2 2 2 2 2 3 4" xfId="12609" xr:uid="{00000000-0005-0000-0000-000029280000}"/>
    <cellStyle name="20% - Accent6 2 2 2 2 2 2 4" xfId="11280" xr:uid="{00000000-0005-0000-0000-00002A280000}"/>
    <cellStyle name="20% - Accent6 2 2 2 2 2 2 4 2" xfId="6314" xr:uid="{00000000-0005-0000-0000-00002B280000}"/>
    <cellStyle name="20% - Accent6 2 2 2 2 2 2 4 2 2" xfId="6804" xr:uid="{00000000-0005-0000-0000-00002C280000}"/>
    <cellStyle name="20% - Accent6 2 2 2 2 2 2 4 3" xfId="6319" xr:uid="{00000000-0005-0000-0000-00002D280000}"/>
    <cellStyle name="20% - Accent6 2 2 2 2 2 2 5" xfId="26590" xr:uid="{00000000-0005-0000-0000-00002E280000}"/>
    <cellStyle name="20% - Accent6 2 2 2 2 2 2 5 2" xfId="11661" xr:uid="{00000000-0005-0000-0000-00002F280000}"/>
    <cellStyle name="20% - Accent6 2 2 2 2 2 2 6" xfId="12620" xr:uid="{00000000-0005-0000-0000-000030280000}"/>
    <cellStyle name="20% - Accent6 2 2 2 2 2 3" xfId="12621" xr:uid="{00000000-0005-0000-0000-000031280000}"/>
    <cellStyle name="20% - Accent6 2 2 2 2 2 3 2" xfId="8707" xr:uid="{00000000-0005-0000-0000-000032280000}"/>
    <cellStyle name="20% - Accent6 2 2 2 2 2 3 2 2" xfId="853" xr:uid="{00000000-0005-0000-0000-000033280000}"/>
    <cellStyle name="20% - Accent6 2 2 2 2 2 3 2 2 2" xfId="14985" xr:uid="{00000000-0005-0000-0000-000034280000}"/>
    <cellStyle name="20% - Accent6 2 2 2 2 2 3 2 2 2 2" xfId="12624" xr:uid="{00000000-0005-0000-0000-000035280000}"/>
    <cellStyle name="20% - Accent6 2 2 2 2 2 3 2 2 3" xfId="15439" xr:uid="{00000000-0005-0000-0000-000036280000}"/>
    <cellStyle name="20% - Accent6 2 2 2 2 2 3 2 3" xfId="6042" xr:uid="{00000000-0005-0000-0000-000037280000}"/>
    <cellStyle name="20% - Accent6 2 2 2 2 2 3 2 3 2" xfId="18754" xr:uid="{00000000-0005-0000-0000-000038280000}"/>
    <cellStyle name="20% - Accent6 2 2 2 2 2 3 2 4" xfId="7454" xr:uid="{00000000-0005-0000-0000-000039280000}"/>
    <cellStyle name="20% - Accent6 2 2 2 2 2 3 3" xfId="30175" xr:uid="{00000000-0005-0000-0000-00003A280000}"/>
    <cellStyle name="20% - Accent6 2 2 2 2 2 3 3 2" xfId="8390" xr:uid="{00000000-0005-0000-0000-00003B280000}"/>
    <cellStyle name="20% - Accent6 2 2 2 2 2 3 3 2 2" xfId="11081" xr:uid="{00000000-0005-0000-0000-00003C280000}"/>
    <cellStyle name="20% - Accent6 2 2 2 2 2 3 3 3" xfId="1074" xr:uid="{00000000-0005-0000-0000-00003D280000}"/>
    <cellStyle name="20% - Accent6 2 2 2 2 2 3 4" xfId="30328" xr:uid="{00000000-0005-0000-0000-00003E280000}"/>
    <cellStyle name="20% - Accent6 2 2 2 2 2 3 4 2" xfId="6392" xr:uid="{00000000-0005-0000-0000-00003F280000}"/>
    <cellStyle name="20% - Accent6 2 2 2 2 2 3 5" xfId="28297" xr:uid="{00000000-0005-0000-0000-000040280000}"/>
    <cellStyle name="20% - Accent6 2 2 2 2 2 4" xfId="11683" xr:uid="{00000000-0005-0000-0000-000041280000}"/>
    <cellStyle name="20% - Accent6 2 2 2 2 2 4 2" xfId="9894" xr:uid="{00000000-0005-0000-0000-000042280000}"/>
    <cellStyle name="20% - Accent6 2 2 2 2 2 4 2 2" xfId="28169" xr:uid="{00000000-0005-0000-0000-000043280000}"/>
    <cellStyle name="20% - Accent6 2 2 2 2 2 4 2 2 2" xfId="11091" xr:uid="{00000000-0005-0000-0000-000044280000}"/>
    <cellStyle name="20% - Accent6 2 2 2 2 2 4 2 3" xfId="9882" xr:uid="{00000000-0005-0000-0000-000045280000}"/>
    <cellStyle name="20% - Accent6 2 2 2 2 2 4 3" xfId="29314" xr:uid="{00000000-0005-0000-0000-000046280000}"/>
    <cellStyle name="20% - Accent6 2 2 2 2 2 4 3 2" xfId="7789" xr:uid="{00000000-0005-0000-0000-000047280000}"/>
    <cellStyle name="20% - Accent6 2 2 2 2 2 4 4" xfId="21034" xr:uid="{00000000-0005-0000-0000-000048280000}"/>
    <cellStyle name="20% - Accent6 2 2 2 2 2 5" xfId="12627" xr:uid="{00000000-0005-0000-0000-000049280000}"/>
    <cellStyle name="20% - Accent6 2 2 2 2 2 5 2" xfId="30394" xr:uid="{00000000-0005-0000-0000-00004A280000}"/>
    <cellStyle name="20% - Accent6 2 2 2 2 2 5 2 2" xfId="4685" xr:uid="{00000000-0005-0000-0000-00004B280000}"/>
    <cellStyle name="20% - Accent6 2 2 2 2 2 5 3" xfId="30400" xr:uid="{00000000-0005-0000-0000-00004C280000}"/>
    <cellStyle name="20% - Accent6 2 2 2 2 2 6" xfId="12628" xr:uid="{00000000-0005-0000-0000-00004D280000}"/>
    <cellStyle name="20% - Accent6 2 2 2 2 2 6 2" xfId="29675" xr:uid="{00000000-0005-0000-0000-00004E280000}"/>
    <cellStyle name="20% - Accent6 2 2 2 2 2 7" xfId="19456" xr:uid="{00000000-0005-0000-0000-00004F280000}"/>
    <cellStyle name="20% - Accent6 2 2 2 2 3" xfId="30729" xr:uid="{00000000-0005-0000-0000-000050280000}"/>
    <cellStyle name="20% - Accent6 2 2 2 2 3 2" xfId="12630" xr:uid="{00000000-0005-0000-0000-000051280000}"/>
    <cellStyle name="20% - Accent6 2 2 2 2 3 2 2" xfId="7649" xr:uid="{00000000-0005-0000-0000-000052280000}"/>
    <cellStyle name="20% - Accent6 2 2 2 2 3 2 2 2" xfId="27123" xr:uid="{00000000-0005-0000-0000-000053280000}"/>
    <cellStyle name="20% - Accent6 2 2 2 2 3 2 2 2 2" xfId="24792" xr:uid="{00000000-0005-0000-0000-000054280000}"/>
    <cellStyle name="20% - Accent6 2 2 2 2 3 2 2 2 2 2" xfId="14186" xr:uid="{00000000-0005-0000-0000-000055280000}"/>
    <cellStyle name="20% - Accent6 2 2 2 2 3 2 2 2 3" xfId="9769" xr:uid="{00000000-0005-0000-0000-000056280000}"/>
    <cellStyle name="20% - Accent6 2 2 2 2 3 2 2 3" xfId="19991" xr:uid="{00000000-0005-0000-0000-000057280000}"/>
    <cellStyle name="20% - Accent6 2 2 2 2 3 2 2 3 2" xfId="11125" xr:uid="{00000000-0005-0000-0000-000058280000}"/>
    <cellStyle name="20% - Accent6 2 2 2 2 3 2 2 4" xfId="20008" xr:uid="{00000000-0005-0000-0000-000059280000}"/>
    <cellStyle name="20% - Accent6 2 2 2 2 3 2 3" xfId="7651" xr:uid="{00000000-0005-0000-0000-00005A280000}"/>
    <cellStyle name="20% - Accent6 2 2 2 2 3 2 3 2" xfId="12642" xr:uid="{00000000-0005-0000-0000-00005B280000}"/>
    <cellStyle name="20% - Accent6 2 2 2 2 3 2 3 2 2" xfId="2879" xr:uid="{00000000-0005-0000-0000-00005C280000}"/>
    <cellStyle name="20% - Accent6 2 2 2 2 3 2 3 3" xfId="12648" xr:uid="{00000000-0005-0000-0000-00005D280000}"/>
    <cellStyle name="20% - Accent6 2 2 2 2 3 2 4" xfId="12655" xr:uid="{00000000-0005-0000-0000-00005E280000}"/>
    <cellStyle name="20% - Accent6 2 2 2 2 3 2 4 2" xfId="6490" xr:uid="{00000000-0005-0000-0000-00005F280000}"/>
    <cellStyle name="20% - Accent6 2 2 2 2 3 2 5" xfId="12656" xr:uid="{00000000-0005-0000-0000-000060280000}"/>
    <cellStyle name="20% - Accent6 2 2 2 2 3 3" xfId="3886" xr:uid="{00000000-0005-0000-0000-000061280000}"/>
    <cellStyle name="20% - Accent6 2 2 2 2 3 3 2" xfId="7662" xr:uid="{00000000-0005-0000-0000-000062280000}"/>
    <cellStyle name="20% - Accent6 2 2 2 2 3 3 2 2" xfId="24504" xr:uid="{00000000-0005-0000-0000-000063280000}"/>
    <cellStyle name="20% - Accent6 2 2 2 2 3 3 2 2 2" xfId="11136" xr:uid="{00000000-0005-0000-0000-000064280000}"/>
    <cellStyle name="20% - Accent6 2 2 2 2 3 3 2 3" xfId="20030" xr:uid="{00000000-0005-0000-0000-000065280000}"/>
    <cellStyle name="20% - Accent6 2 2 2 2 3 3 3" xfId="12657" xr:uid="{00000000-0005-0000-0000-000066280000}"/>
    <cellStyle name="20% - Accent6 2 2 2 2 3 3 3 2" xfId="7857" xr:uid="{00000000-0005-0000-0000-000067280000}"/>
    <cellStyle name="20% - Accent6 2 2 2 2 3 3 4" xfId="12658" xr:uid="{00000000-0005-0000-0000-000068280000}"/>
    <cellStyle name="20% - Accent6 2 2 2 2 3 4" xfId="12659" xr:uid="{00000000-0005-0000-0000-000069280000}"/>
    <cellStyle name="20% - Accent6 2 2 2 2 3 4 2" xfId="12661" xr:uid="{00000000-0005-0000-0000-00006A280000}"/>
    <cellStyle name="20% - Accent6 2 2 2 2 3 4 2 2" xfId="16735" xr:uid="{00000000-0005-0000-0000-00006B280000}"/>
    <cellStyle name="20% - Accent6 2 2 2 2 3 4 3" xfId="12663" xr:uid="{00000000-0005-0000-0000-00006C280000}"/>
    <cellStyle name="20% - Accent6 2 2 2 2 3 5" xfId="31831" xr:uid="{00000000-0005-0000-0000-00006D280000}"/>
    <cellStyle name="20% - Accent6 2 2 2 2 3 5 2" xfId="12666" xr:uid="{00000000-0005-0000-0000-00006E280000}"/>
    <cellStyle name="20% - Accent6 2 2 2 2 3 6" xfId="11011" xr:uid="{00000000-0005-0000-0000-00006F280000}"/>
    <cellStyle name="20% - Accent6 2 2 2 2 4" xfId="12667" xr:uid="{00000000-0005-0000-0000-000070280000}"/>
    <cellStyle name="20% - Accent6 2 2 2 2 4 2" xfId="12668" xr:uid="{00000000-0005-0000-0000-000071280000}"/>
    <cellStyle name="20% - Accent6 2 2 2 2 4 2 2" xfId="7686" xr:uid="{00000000-0005-0000-0000-000072280000}"/>
    <cellStyle name="20% - Accent6 2 2 2 2 4 2 2 2" xfId="20061" xr:uid="{00000000-0005-0000-0000-000073280000}"/>
    <cellStyle name="20% - Accent6 2 2 2 2 4 2 2 2 2" xfId="11157" xr:uid="{00000000-0005-0000-0000-000074280000}"/>
    <cellStyle name="20% - Accent6 2 2 2 2 4 2 2 3" xfId="20066" xr:uid="{00000000-0005-0000-0000-000075280000}"/>
    <cellStyle name="20% - Accent6 2 2 2 2 4 2 3" xfId="12672" xr:uid="{00000000-0005-0000-0000-000076280000}"/>
    <cellStyle name="20% - Accent6 2 2 2 2 4 2 3 2" xfId="12676" xr:uid="{00000000-0005-0000-0000-000077280000}"/>
    <cellStyle name="20% - Accent6 2 2 2 2 4 2 4" xfId="5757" xr:uid="{00000000-0005-0000-0000-000078280000}"/>
    <cellStyle name="20% - Accent6 2 2 2 2 4 3" xfId="12681" xr:uid="{00000000-0005-0000-0000-000079280000}"/>
    <cellStyle name="20% - Accent6 2 2 2 2 4 3 2" xfId="12686" xr:uid="{00000000-0005-0000-0000-00007A280000}"/>
    <cellStyle name="20% - Accent6 2 2 2 2 4 3 2 2" xfId="19768" xr:uid="{00000000-0005-0000-0000-00007B280000}"/>
    <cellStyle name="20% - Accent6 2 2 2 2 4 3 3" xfId="14121" xr:uid="{00000000-0005-0000-0000-00007C280000}"/>
    <cellStyle name="20% - Accent6 2 2 2 2 4 4" xfId="10979" xr:uid="{00000000-0005-0000-0000-00007D280000}"/>
    <cellStyle name="20% - Accent6 2 2 2 2 4 4 2" xfId="22863" xr:uid="{00000000-0005-0000-0000-00007E280000}"/>
    <cellStyle name="20% - Accent6 2 2 2 2 4 5" xfId="11021" xr:uid="{00000000-0005-0000-0000-00007F280000}"/>
    <cellStyle name="20% - Accent6 2 2 2 2 5" xfId="10832" xr:uid="{00000000-0005-0000-0000-000080280000}"/>
    <cellStyle name="20% - Accent6 2 2 2 2 5 2" xfId="10836" xr:uid="{00000000-0005-0000-0000-000081280000}"/>
    <cellStyle name="20% - Accent6 2 2 2 2 5 2 2" xfId="26888" xr:uid="{00000000-0005-0000-0000-000082280000}"/>
    <cellStyle name="20% - Accent6 2 2 2 2 5 2 2 2" xfId="20072" xr:uid="{00000000-0005-0000-0000-000083280000}"/>
    <cellStyle name="20% - Accent6 2 2 2 2 5 2 3" xfId="29784" xr:uid="{00000000-0005-0000-0000-000084280000}"/>
    <cellStyle name="20% - Accent6 2 2 2 2 5 3" xfId="10844" xr:uid="{00000000-0005-0000-0000-000085280000}"/>
    <cellStyle name="20% - Accent6 2 2 2 2 5 3 2" xfId="12688" xr:uid="{00000000-0005-0000-0000-000086280000}"/>
    <cellStyle name="20% - Accent6 2 2 2 2 5 4" xfId="1302" xr:uid="{00000000-0005-0000-0000-000087280000}"/>
    <cellStyle name="20% - Accent6 2 2 2 2 6" xfId="10849" xr:uid="{00000000-0005-0000-0000-000088280000}"/>
    <cellStyle name="20% - Accent6 2 2 2 2 6 2" xfId="10852" xr:uid="{00000000-0005-0000-0000-000089280000}"/>
    <cellStyle name="20% - Accent6 2 2 2 2 6 2 2" xfId="28887" xr:uid="{00000000-0005-0000-0000-00008A280000}"/>
    <cellStyle name="20% - Accent6 2 2 2 2 6 3" xfId="18695" xr:uid="{00000000-0005-0000-0000-00008B280000}"/>
    <cellStyle name="20% - Accent6 2 2 2 2 7" xfId="10856" xr:uid="{00000000-0005-0000-0000-00008C280000}"/>
    <cellStyle name="20% - Accent6 2 2 2 2 7 2" xfId="20470" xr:uid="{00000000-0005-0000-0000-00008D280000}"/>
    <cellStyle name="20% - Accent6 2 2 2 2 8" xfId="12694" xr:uid="{00000000-0005-0000-0000-00008E280000}"/>
    <cellStyle name="20% - Accent6 2 2 2 3" xfId="2446" xr:uid="{00000000-0005-0000-0000-00008F280000}"/>
    <cellStyle name="20% - Accent6 2 2 2 3 2" xfId="2695" xr:uid="{00000000-0005-0000-0000-000090280000}"/>
    <cellStyle name="20% - Accent6 2 2 2 3 2 2" xfId="3899" xr:uid="{00000000-0005-0000-0000-000091280000}"/>
    <cellStyle name="20% - Accent6 2 2 2 3 2 2 2" xfId="31862" xr:uid="{00000000-0005-0000-0000-000092280000}"/>
    <cellStyle name="20% - Accent6 2 2 2 3 2 2 2 2" xfId="12696" xr:uid="{00000000-0005-0000-0000-000093280000}"/>
    <cellStyle name="20% - Accent6 2 2 2 3 2 2 2 2 2" xfId="14252" xr:uid="{00000000-0005-0000-0000-000094280000}"/>
    <cellStyle name="20% - Accent6 2 2 2 3 2 2 2 2 2 2" xfId="28675" xr:uid="{00000000-0005-0000-0000-000095280000}"/>
    <cellStyle name="20% - Accent6 2 2 2 3 2 2 2 2 3" xfId="32254" xr:uid="{00000000-0005-0000-0000-000096280000}"/>
    <cellStyle name="20% - Accent6 2 2 2 3 2 2 2 3" xfId="12700" xr:uid="{00000000-0005-0000-0000-000097280000}"/>
    <cellStyle name="20% - Accent6 2 2 2 3 2 2 2 3 2" xfId="11254" xr:uid="{00000000-0005-0000-0000-000098280000}"/>
    <cellStyle name="20% - Accent6 2 2 2 3 2 2 2 4" xfId="12702" xr:uid="{00000000-0005-0000-0000-000099280000}"/>
    <cellStyle name="20% - Accent6 2 2 2 3 2 2 3" xfId="8902" xr:uid="{00000000-0005-0000-0000-00009A280000}"/>
    <cellStyle name="20% - Accent6 2 2 2 3 2 2 3 2" xfId="27722" xr:uid="{00000000-0005-0000-0000-00009B280000}"/>
    <cellStyle name="20% - Accent6 2 2 2 3 2 2 3 2 2" xfId="11264" xr:uid="{00000000-0005-0000-0000-00009C280000}"/>
    <cellStyle name="20% - Accent6 2 2 2 3 2 2 3 3" xfId="12708" xr:uid="{00000000-0005-0000-0000-00009D280000}"/>
    <cellStyle name="20% - Accent6 2 2 2 3 2 2 4" xfId="12710" xr:uid="{00000000-0005-0000-0000-00009E280000}"/>
    <cellStyle name="20% - Accent6 2 2 2 3 2 2 4 2" xfId="8800" xr:uid="{00000000-0005-0000-0000-00009F280000}"/>
    <cellStyle name="20% - Accent6 2 2 2 3 2 2 5" xfId="12719" xr:uid="{00000000-0005-0000-0000-0000A0280000}"/>
    <cellStyle name="20% - Accent6 2 2 2 3 2 3" xfId="17325" xr:uid="{00000000-0005-0000-0000-0000A1280000}"/>
    <cellStyle name="20% - Accent6 2 2 2 3 2 3 2" xfId="5796" xr:uid="{00000000-0005-0000-0000-0000A2280000}"/>
    <cellStyle name="20% - Accent6 2 2 2 3 2 3 2 2" xfId="9418" xr:uid="{00000000-0005-0000-0000-0000A3280000}"/>
    <cellStyle name="20% - Accent6 2 2 2 3 2 3 2 2 2" xfId="8478" xr:uid="{00000000-0005-0000-0000-0000A4280000}"/>
    <cellStyle name="20% - Accent6 2 2 2 3 2 3 2 3" xfId="4016" xr:uid="{00000000-0005-0000-0000-0000A5280000}"/>
    <cellStyle name="20% - Accent6 2 2 2 3 2 3 3" xfId="12724" xr:uid="{00000000-0005-0000-0000-0000A6280000}"/>
    <cellStyle name="20% - Accent6 2 2 2 3 2 3 3 2" xfId="10286" xr:uid="{00000000-0005-0000-0000-0000A7280000}"/>
    <cellStyle name="20% - Accent6 2 2 2 3 2 3 4" xfId="14760" xr:uid="{00000000-0005-0000-0000-0000A8280000}"/>
    <cellStyle name="20% - Accent6 2 2 2 3 2 4" xfId="12729" xr:uid="{00000000-0005-0000-0000-0000A9280000}"/>
    <cellStyle name="20% - Accent6 2 2 2 3 2 4 2" xfId="12739" xr:uid="{00000000-0005-0000-0000-0000AA280000}"/>
    <cellStyle name="20% - Accent6 2 2 2 3 2 4 2 2" xfId="4056" xr:uid="{00000000-0005-0000-0000-0000AB280000}"/>
    <cellStyle name="20% - Accent6 2 2 2 3 2 4 3" xfId="12744" xr:uid="{00000000-0005-0000-0000-0000AC280000}"/>
    <cellStyle name="20% - Accent6 2 2 2 3 2 5" xfId="12749" xr:uid="{00000000-0005-0000-0000-0000AD280000}"/>
    <cellStyle name="20% - Accent6 2 2 2 3 2 5 2" xfId="31047" xr:uid="{00000000-0005-0000-0000-0000AE280000}"/>
    <cellStyle name="20% - Accent6 2 2 2 3 2 6" xfId="12754" xr:uid="{00000000-0005-0000-0000-0000AF280000}"/>
    <cellStyle name="20% - Accent6 2 2 2 3 3" xfId="2457" xr:uid="{00000000-0005-0000-0000-0000B0280000}"/>
    <cellStyle name="20% - Accent6 2 2 2 3 3 2" xfId="1636" xr:uid="{00000000-0005-0000-0000-0000B1280000}"/>
    <cellStyle name="20% - Accent6 2 2 2 3 3 2 2" xfId="7738" xr:uid="{00000000-0005-0000-0000-0000B2280000}"/>
    <cellStyle name="20% - Accent6 2 2 2 3 3 2 2 2" xfId="20967" xr:uid="{00000000-0005-0000-0000-0000B3280000}"/>
    <cellStyle name="20% - Accent6 2 2 2 3 3 2 2 2 2" xfId="10752" xr:uid="{00000000-0005-0000-0000-0000B4280000}"/>
    <cellStyle name="20% - Accent6 2 2 2 3 3 2 2 3" xfId="20227" xr:uid="{00000000-0005-0000-0000-0000B5280000}"/>
    <cellStyle name="20% - Accent6 2 2 2 3 3 2 3" xfId="13224" xr:uid="{00000000-0005-0000-0000-0000B6280000}"/>
    <cellStyle name="20% - Accent6 2 2 2 3 3 2 3 2" xfId="12759" xr:uid="{00000000-0005-0000-0000-0000B7280000}"/>
    <cellStyle name="20% - Accent6 2 2 2 3 3 2 4" xfId="16605" xr:uid="{00000000-0005-0000-0000-0000B8280000}"/>
    <cellStyle name="20% - Accent6 2 2 2 3 3 3" xfId="12765" xr:uid="{00000000-0005-0000-0000-0000B9280000}"/>
    <cellStyle name="20% - Accent6 2 2 2 3 3 3 2" xfId="16642" xr:uid="{00000000-0005-0000-0000-0000BA280000}"/>
    <cellStyle name="20% - Accent6 2 2 2 3 3 3 2 2" xfId="20237" xr:uid="{00000000-0005-0000-0000-0000BB280000}"/>
    <cellStyle name="20% - Accent6 2 2 2 3 3 3 3" xfId="12772" xr:uid="{00000000-0005-0000-0000-0000BC280000}"/>
    <cellStyle name="20% - Accent6 2 2 2 3 3 4" xfId="12775" xr:uid="{00000000-0005-0000-0000-0000BD280000}"/>
    <cellStyle name="20% - Accent6 2 2 2 3 3 4 2" xfId="12783" xr:uid="{00000000-0005-0000-0000-0000BE280000}"/>
    <cellStyle name="20% - Accent6 2 2 2 3 3 5" xfId="11030" xr:uid="{00000000-0005-0000-0000-0000BF280000}"/>
    <cellStyle name="20% - Accent6 2 2 2 3 4" xfId="2630" xr:uid="{00000000-0005-0000-0000-0000C0280000}"/>
    <cellStyle name="20% - Accent6 2 2 2 3 4 2" xfId="27002" xr:uid="{00000000-0005-0000-0000-0000C1280000}"/>
    <cellStyle name="20% - Accent6 2 2 2 3 4 2 2" xfId="12786" xr:uid="{00000000-0005-0000-0000-0000C2280000}"/>
    <cellStyle name="20% - Accent6 2 2 2 3 4 2 2 2" xfId="5261" xr:uid="{00000000-0005-0000-0000-0000C3280000}"/>
    <cellStyle name="20% - Accent6 2 2 2 3 4 2 3" xfId="12790" xr:uid="{00000000-0005-0000-0000-0000C4280000}"/>
    <cellStyle name="20% - Accent6 2 2 2 3 4 3" xfId="24774" xr:uid="{00000000-0005-0000-0000-0000C5280000}"/>
    <cellStyle name="20% - Accent6 2 2 2 3 4 3 2" xfId="12798" xr:uid="{00000000-0005-0000-0000-0000C6280000}"/>
    <cellStyle name="20% - Accent6 2 2 2 3 4 4" xfId="22534" xr:uid="{00000000-0005-0000-0000-0000C7280000}"/>
    <cellStyle name="20% - Accent6 2 2 2 3 5" xfId="10867" xr:uid="{00000000-0005-0000-0000-0000C8280000}"/>
    <cellStyle name="20% - Accent6 2 2 2 3 5 2" xfId="29463" xr:uid="{00000000-0005-0000-0000-0000C9280000}"/>
    <cellStyle name="20% - Accent6 2 2 2 3 5 2 2" xfId="12802" xr:uid="{00000000-0005-0000-0000-0000CA280000}"/>
    <cellStyle name="20% - Accent6 2 2 2 3 5 3" xfId="12805" xr:uid="{00000000-0005-0000-0000-0000CB280000}"/>
    <cellStyle name="20% - Accent6 2 2 2 3 6" xfId="10878" xr:uid="{00000000-0005-0000-0000-0000CC280000}"/>
    <cellStyle name="20% - Accent6 2 2 2 3 6 2" xfId="12808" xr:uid="{00000000-0005-0000-0000-0000CD280000}"/>
    <cellStyle name="20% - Accent6 2 2 2 3 7" xfId="13841" xr:uid="{00000000-0005-0000-0000-0000CE280000}"/>
    <cellStyle name="20% - Accent6 2 2 2 4" xfId="2472" xr:uid="{00000000-0005-0000-0000-0000CF280000}"/>
    <cellStyle name="20% - Accent6 2 2 2 4 2" xfId="2486" xr:uid="{00000000-0005-0000-0000-0000D0280000}"/>
    <cellStyle name="20% - Accent6 2 2 2 4 2 2" xfId="4104" xr:uid="{00000000-0005-0000-0000-0000D1280000}"/>
    <cellStyle name="20% - Accent6 2 2 2 4 2 2 2" xfId="32167" xr:uid="{00000000-0005-0000-0000-0000D2280000}"/>
    <cellStyle name="20% - Accent6 2 2 2 4 2 2 2 2" xfId="22292" xr:uid="{00000000-0005-0000-0000-0000D3280000}"/>
    <cellStyle name="20% - Accent6 2 2 2 4 2 2 2 2 2" xfId="14854" xr:uid="{00000000-0005-0000-0000-0000D4280000}"/>
    <cellStyle name="20% - Accent6 2 2 2 4 2 2 2 3" xfId="2115" xr:uid="{00000000-0005-0000-0000-0000D5280000}"/>
    <cellStyle name="20% - Accent6 2 2 2 4 2 2 3" xfId="23037" xr:uid="{00000000-0005-0000-0000-0000D6280000}"/>
    <cellStyle name="20% - Accent6 2 2 2 4 2 2 3 2" xfId="12818" xr:uid="{00000000-0005-0000-0000-0000D7280000}"/>
    <cellStyle name="20% - Accent6 2 2 2 4 2 2 4" xfId="27258" xr:uid="{00000000-0005-0000-0000-0000D8280000}"/>
    <cellStyle name="20% - Accent6 2 2 2 4 2 3" xfId="12827" xr:uid="{00000000-0005-0000-0000-0000D9280000}"/>
    <cellStyle name="20% - Accent6 2 2 2 4 2 3 2" xfId="14725" xr:uid="{00000000-0005-0000-0000-0000DA280000}"/>
    <cellStyle name="20% - Accent6 2 2 2 4 2 3 2 2" xfId="4204" xr:uid="{00000000-0005-0000-0000-0000DB280000}"/>
    <cellStyle name="20% - Accent6 2 2 2 4 2 3 3" xfId="21492" xr:uid="{00000000-0005-0000-0000-0000DC280000}"/>
    <cellStyle name="20% - Accent6 2 2 2 4 2 4" xfId="31042" xr:uid="{00000000-0005-0000-0000-0000DD280000}"/>
    <cellStyle name="20% - Accent6 2 2 2 4 2 4 2" xfId="25898" xr:uid="{00000000-0005-0000-0000-0000DE280000}"/>
    <cellStyle name="20% - Accent6 2 2 2 4 2 5" xfId="12829" xr:uid="{00000000-0005-0000-0000-0000DF280000}"/>
    <cellStyle name="20% - Accent6 2 2 2 4 3" xfId="2636" xr:uid="{00000000-0005-0000-0000-0000E0280000}"/>
    <cellStyle name="20% - Accent6 2 2 2 4 3 2" xfId="11677" xr:uid="{00000000-0005-0000-0000-0000E1280000}"/>
    <cellStyle name="20% - Accent6 2 2 2 4 3 2 2" xfId="16666" xr:uid="{00000000-0005-0000-0000-0000E2280000}"/>
    <cellStyle name="20% - Accent6 2 2 2 4 3 2 2 2" xfId="20337" xr:uid="{00000000-0005-0000-0000-0000E3280000}"/>
    <cellStyle name="20% - Accent6 2 2 2 4 3 2 3" xfId="7205" xr:uid="{00000000-0005-0000-0000-0000E4280000}"/>
    <cellStyle name="20% - Accent6 2 2 2 4 3 3" xfId="1672" xr:uid="{00000000-0005-0000-0000-0000E5280000}"/>
    <cellStyle name="20% - Accent6 2 2 2 4 3 3 2" xfId="12833" xr:uid="{00000000-0005-0000-0000-0000E6280000}"/>
    <cellStyle name="20% - Accent6 2 2 2 4 3 4" xfId="12837" xr:uid="{00000000-0005-0000-0000-0000E7280000}"/>
    <cellStyle name="20% - Accent6 2 2 2 4 4" xfId="12838" xr:uid="{00000000-0005-0000-0000-0000E8280000}"/>
    <cellStyle name="20% - Accent6 2 2 2 4 4 2" xfId="4560" xr:uid="{00000000-0005-0000-0000-0000E9280000}"/>
    <cellStyle name="20% - Accent6 2 2 2 4 4 2 2" xfId="12841" xr:uid="{00000000-0005-0000-0000-0000EA280000}"/>
    <cellStyle name="20% - Accent6 2 2 2 4 4 3" xfId="17224" xr:uid="{00000000-0005-0000-0000-0000EB280000}"/>
    <cellStyle name="20% - Accent6 2 2 2 4 5" xfId="10881" xr:uid="{00000000-0005-0000-0000-0000EC280000}"/>
    <cellStyle name="20% - Accent6 2 2 2 4 5 2" xfId="12845" xr:uid="{00000000-0005-0000-0000-0000ED280000}"/>
    <cellStyle name="20% - Accent6 2 2 2 4 6" xfId="12229" xr:uid="{00000000-0005-0000-0000-0000EE280000}"/>
    <cellStyle name="20% - Accent6 2 2 2 5" xfId="108" xr:uid="{00000000-0005-0000-0000-0000EF280000}"/>
    <cellStyle name="20% - Accent6 2 2 2 5 2" xfId="2644" xr:uid="{00000000-0005-0000-0000-0000F0280000}"/>
    <cellStyle name="20% - Accent6 2 2 2 5 2 2" xfId="2371" xr:uid="{00000000-0005-0000-0000-0000F1280000}"/>
    <cellStyle name="20% - Accent6 2 2 2 5 2 2 2" xfId="12847" xr:uid="{00000000-0005-0000-0000-0000F2280000}"/>
    <cellStyle name="20% - Accent6 2 2 2 5 2 2 2 2" xfId="12852" xr:uid="{00000000-0005-0000-0000-0000F3280000}"/>
    <cellStyle name="20% - Accent6 2 2 2 5 2 2 3" xfId="16879" xr:uid="{00000000-0005-0000-0000-0000F4280000}"/>
    <cellStyle name="20% - Accent6 2 2 2 5 2 3" xfId="12857" xr:uid="{00000000-0005-0000-0000-0000F5280000}"/>
    <cellStyle name="20% - Accent6 2 2 2 5 2 3 2" xfId="32277" xr:uid="{00000000-0005-0000-0000-0000F6280000}"/>
    <cellStyle name="20% - Accent6 2 2 2 5 2 4" xfId="17390" xr:uid="{00000000-0005-0000-0000-0000F7280000}"/>
    <cellStyle name="20% - Accent6 2 2 2 5 3" xfId="12868" xr:uid="{00000000-0005-0000-0000-0000F8280000}"/>
    <cellStyle name="20% - Accent6 2 2 2 5 3 2" xfId="3493" xr:uid="{00000000-0005-0000-0000-0000F9280000}"/>
    <cellStyle name="20% - Accent6 2 2 2 5 3 2 2" xfId="12871" xr:uid="{00000000-0005-0000-0000-0000FA280000}"/>
    <cellStyle name="20% - Accent6 2 2 2 5 3 3" xfId="12879" xr:uid="{00000000-0005-0000-0000-0000FB280000}"/>
    <cellStyle name="20% - Accent6 2 2 2 5 4" xfId="13151" xr:uid="{00000000-0005-0000-0000-0000FC280000}"/>
    <cellStyle name="20% - Accent6 2 2 2 5 4 2" xfId="18883" xr:uid="{00000000-0005-0000-0000-0000FD280000}"/>
    <cellStyle name="20% - Accent6 2 2 2 5 5" xfId="13154" xr:uid="{00000000-0005-0000-0000-0000FE280000}"/>
    <cellStyle name="20% - Accent6 2 2 2 6" xfId="2647" xr:uid="{00000000-0005-0000-0000-0000FF280000}"/>
    <cellStyle name="20% - Accent6 2 2 2 6 2" xfId="25810" xr:uid="{00000000-0005-0000-0000-000000290000}"/>
    <cellStyle name="20% - Accent6 2 2 2 6 2 2" xfId="12888" xr:uid="{00000000-0005-0000-0000-000001290000}"/>
    <cellStyle name="20% - Accent6 2 2 2 6 2 2 2" xfId="12891" xr:uid="{00000000-0005-0000-0000-000002290000}"/>
    <cellStyle name="20% - Accent6 2 2 2 6 2 3" xfId="6494" xr:uid="{00000000-0005-0000-0000-000003290000}"/>
    <cellStyle name="20% - Accent6 2 2 2 6 3" xfId="12896" xr:uid="{00000000-0005-0000-0000-000004290000}"/>
    <cellStyle name="20% - Accent6 2 2 2 6 3 2" xfId="21064" xr:uid="{00000000-0005-0000-0000-000005290000}"/>
    <cellStyle name="20% - Accent6 2 2 2 6 4" xfId="5335" xr:uid="{00000000-0005-0000-0000-000006290000}"/>
    <cellStyle name="20% - Accent6 2 2 2 7" xfId="12646" xr:uid="{00000000-0005-0000-0000-000007290000}"/>
    <cellStyle name="20% - Accent6 2 2 2 7 2" xfId="15719" xr:uid="{00000000-0005-0000-0000-000008290000}"/>
    <cellStyle name="20% - Accent6 2 2 2 7 2 2" xfId="24867" xr:uid="{00000000-0005-0000-0000-000009290000}"/>
    <cellStyle name="20% - Accent6 2 2 2 7 3" xfId="12899" xr:uid="{00000000-0005-0000-0000-00000A290000}"/>
    <cellStyle name="20% - Accent6 2 2 2 8" xfId="12902" xr:uid="{00000000-0005-0000-0000-00000B290000}"/>
    <cellStyle name="20% - Accent6 2 2 2 8 2" xfId="6831" xr:uid="{00000000-0005-0000-0000-00000C290000}"/>
    <cellStyle name="20% - Accent6 2 2 2 9" xfId="1188" xr:uid="{00000000-0005-0000-0000-00000D290000}"/>
    <cellStyle name="20% - Accent6 2 2 3" xfId="12904" xr:uid="{00000000-0005-0000-0000-00000E290000}"/>
    <cellStyle name="20% - Accent6 2 2 3 2" xfId="28148" xr:uid="{00000000-0005-0000-0000-00000F290000}"/>
    <cellStyle name="20% - Accent6 2 2 3 2 2" xfId="28615" xr:uid="{00000000-0005-0000-0000-000010290000}"/>
    <cellStyle name="20% - Accent6 2 2 3 2 2 2" xfId="14955" xr:uid="{00000000-0005-0000-0000-000011290000}"/>
    <cellStyle name="20% - Accent6 2 2 3 2 2 2 2" xfId="14191" xr:uid="{00000000-0005-0000-0000-000012290000}"/>
    <cellStyle name="20% - Accent6 2 2 3 2 2 2 2 2" xfId="12907" xr:uid="{00000000-0005-0000-0000-000013290000}"/>
    <cellStyle name="20% - Accent6 2 2 3 2 2 2 2 2 2" xfId="11476" xr:uid="{00000000-0005-0000-0000-000014290000}"/>
    <cellStyle name="20% - Accent6 2 2 3 2 2 2 2 2 2 2" xfId="29330" xr:uid="{00000000-0005-0000-0000-000015290000}"/>
    <cellStyle name="20% - Accent6 2 2 3 2 2 2 2 2 3" xfId="16039" xr:uid="{00000000-0005-0000-0000-000016290000}"/>
    <cellStyle name="20% - Accent6 2 2 3 2 2 2 2 3" xfId="14711" xr:uid="{00000000-0005-0000-0000-000017290000}"/>
    <cellStyle name="20% - Accent6 2 2 3 2 2 2 2 3 2" xfId="4081" xr:uid="{00000000-0005-0000-0000-000018290000}"/>
    <cellStyle name="20% - Accent6 2 2 3 2 2 2 2 4" xfId="28655" xr:uid="{00000000-0005-0000-0000-000019290000}"/>
    <cellStyle name="20% - Accent6 2 2 3 2 2 2 3" xfId="7954" xr:uid="{00000000-0005-0000-0000-00001A290000}"/>
    <cellStyle name="20% - Accent6 2 2 3 2 2 2 3 2" xfId="12910" xr:uid="{00000000-0005-0000-0000-00001B290000}"/>
    <cellStyle name="20% - Accent6 2 2 3 2 2 2 3 2 2" xfId="10061" xr:uid="{00000000-0005-0000-0000-00001C290000}"/>
    <cellStyle name="20% - Accent6 2 2 3 2 2 2 3 3" xfId="12912" xr:uid="{00000000-0005-0000-0000-00001D290000}"/>
    <cellStyle name="20% - Accent6 2 2 3 2 2 2 4" xfId="10536" xr:uid="{00000000-0005-0000-0000-00001E290000}"/>
    <cellStyle name="20% - Accent6 2 2 3 2 2 2 4 2" xfId="26161" xr:uid="{00000000-0005-0000-0000-00001F290000}"/>
    <cellStyle name="20% - Accent6 2 2 3 2 2 2 5" xfId="12916" xr:uid="{00000000-0005-0000-0000-000020290000}"/>
    <cellStyle name="20% - Accent6 2 2 3 2 2 3" xfId="12917" xr:uid="{00000000-0005-0000-0000-000021290000}"/>
    <cellStyle name="20% - Accent6 2 2 3 2 2 3 2" xfId="1730" xr:uid="{00000000-0005-0000-0000-000022290000}"/>
    <cellStyle name="20% - Accent6 2 2 3 2 2 3 2 2" xfId="12361" xr:uid="{00000000-0005-0000-0000-000023290000}"/>
    <cellStyle name="20% - Accent6 2 2 3 2 2 3 2 2 2" xfId="11486" xr:uid="{00000000-0005-0000-0000-000024290000}"/>
    <cellStyle name="20% - Accent6 2 2 3 2 2 3 2 3" xfId="33745" xr:uid="{00000000-0005-0000-0000-000025290000}"/>
    <cellStyle name="20% - Accent6 2 2 3 2 2 3 3" xfId="8859" xr:uid="{00000000-0005-0000-0000-000026290000}"/>
    <cellStyle name="20% - Accent6 2 2 3 2 2 3 3 2" xfId="12375" xr:uid="{00000000-0005-0000-0000-000027290000}"/>
    <cellStyle name="20% - Accent6 2 2 3 2 2 3 4" xfId="12920" xr:uid="{00000000-0005-0000-0000-000028290000}"/>
    <cellStyle name="20% - Accent6 2 2 3 2 2 4" xfId="18508" xr:uid="{00000000-0005-0000-0000-000029290000}"/>
    <cellStyle name="20% - Accent6 2 2 3 2 2 4 2" xfId="15776" xr:uid="{00000000-0005-0000-0000-00002A290000}"/>
    <cellStyle name="20% - Accent6 2 2 3 2 2 4 2 2" xfId="32894" xr:uid="{00000000-0005-0000-0000-00002B290000}"/>
    <cellStyle name="20% - Accent6 2 2 3 2 2 4 3" xfId="27522" xr:uid="{00000000-0005-0000-0000-00002C290000}"/>
    <cellStyle name="20% - Accent6 2 2 3 2 2 5" xfId="18510" xr:uid="{00000000-0005-0000-0000-00002D290000}"/>
    <cellStyle name="20% - Accent6 2 2 3 2 2 5 2" xfId="15807" xr:uid="{00000000-0005-0000-0000-00002E290000}"/>
    <cellStyle name="20% - Accent6 2 2 3 2 2 6" xfId="12924" xr:uid="{00000000-0005-0000-0000-00002F290000}"/>
    <cellStyle name="20% - Accent6 2 2 3 2 3" xfId="30594" xr:uid="{00000000-0005-0000-0000-000030290000}"/>
    <cellStyle name="20% - Accent6 2 2 3 2 3 2" xfId="31176" xr:uid="{00000000-0005-0000-0000-000031290000}"/>
    <cellStyle name="20% - Accent6 2 2 3 2 3 2 2" xfId="3115" xr:uid="{00000000-0005-0000-0000-000032290000}"/>
    <cellStyle name="20% - Accent6 2 2 3 2 3 2 2 2" xfId="14151" xr:uid="{00000000-0005-0000-0000-000033290000}"/>
    <cellStyle name="20% - Accent6 2 2 3 2 3 2 2 2 2" xfId="16467" xr:uid="{00000000-0005-0000-0000-000034290000}"/>
    <cellStyle name="20% - Accent6 2 2 3 2 3 2 2 3" xfId="33291" xr:uid="{00000000-0005-0000-0000-000035290000}"/>
    <cellStyle name="20% - Accent6 2 2 3 2 3 2 3" xfId="10590" xr:uid="{00000000-0005-0000-0000-000036290000}"/>
    <cellStyle name="20% - Accent6 2 2 3 2 3 2 3 2" xfId="12929" xr:uid="{00000000-0005-0000-0000-000037290000}"/>
    <cellStyle name="20% - Accent6 2 2 3 2 3 2 4" xfId="12936" xr:uid="{00000000-0005-0000-0000-000038290000}"/>
    <cellStyle name="20% - Accent6 2 2 3 2 3 3" xfId="30479" xr:uid="{00000000-0005-0000-0000-000039290000}"/>
    <cellStyle name="20% - Accent6 2 2 3 2 3 3 2" xfId="1615" xr:uid="{00000000-0005-0000-0000-00003A290000}"/>
    <cellStyle name="20% - Accent6 2 2 3 2 3 3 2 2" xfId="17498" xr:uid="{00000000-0005-0000-0000-00003B290000}"/>
    <cellStyle name="20% - Accent6 2 2 3 2 3 3 3" xfId="12938" xr:uid="{00000000-0005-0000-0000-00003C290000}"/>
    <cellStyle name="20% - Accent6 2 2 3 2 3 4" xfId="15740" xr:uid="{00000000-0005-0000-0000-00003D290000}"/>
    <cellStyle name="20% - Accent6 2 2 3 2 3 4 2" xfId="15869" xr:uid="{00000000-0005-0000-0000-00003E290000}"/>
    <cellStyle name="20% - Accent6 2 2 3 2 3 5" xfId="11031" xr:uid="{00000000-0005-0000-0000-00003F290000}"/>
    <cellStyle name="20% - Accent6 2 2 3 2 4" xfId="23504" xr:uid="{00000000-0005-0000-0000-000040290000}"/>
    <cellStyle name="20% - Accent6 2 2 3 2 4 2" xfId="30483" xr:uid="{00000000-0005-0000-0000-000041290000}"/>
    <cellStyle name="20% - Accent6 2 2 3 2 4 2 2" xfId="10602" xr:uid="{00000000-0005-0000-0000-000042290000}"/>
    <cellStyle name="20% - Accent6 2 2 3 2 4 2 2 2" xfId="12940" xr:uid="{00000000-0005-0000-0000-000043290000}"/>
    <cellStyle name="20% - Accent6 2 2 3 2 4 2 3" xfId="12946" xr:uid="{00000000-0005-0000-0000-000044290000}"/>
    <cellStyle name="20% - Accent6 2 2 3 2 4 3" xfId="32978" xr:uid="{00000000-0005-0000-0000-000045290000}"/>
    <cellStyle name="20% - Accent6 2 2 3 2 4 3 2" xfId="12952" xr:uid="{00000000-0005-0000-0000-000046290000}"/>
    <cellStyle name="20% - Accent6 2 2 3 2 4 4" xfId="11453" xr:uid="{00000000-0005-0000-0000-000047290000}"/>
    <cellStyle name="20% - Accent6 2 2 3 2 5" xfId="29162" xr:uid="{00000000-0005-0000-0000-000048290000}"/>
    <cellStyle name="20% - Accent6 2 2 3 2 5 2" xfId="10921" xr:uid="{00000000-0005-0000-0000-000049290000}"/>
    <cellStyle name="20% - Accent6 2 2 3 2 5 2 2" xfId="29458" xr:uid="{00000000-0005-0000-0000-00004A290000}"/>
    <cellStyle name="20% - Accent6 2 2 3 2 5 3" xfId="12954" xr:uid="{00000000-0005-0000-0000-00004B290000}"/>
    <cellStyle name="20% - Accent6 2 2 3 2 6" xfId="10923" xr:uid="{00000000-0005-0000-0000-00004C290000}"/>
    <cellStyle name="20% - Accent6 2 2 3 2 6 2" xfId="12957" xr:uid="{00000000-0005-0000-0000-00004D290000}"/>
    <cellStyle name="20% - Accent6 2 2 3 2 7" xfId="21883" xr:uid="{00000000-0005-0000-0000-00004E290000}"/>
    <cellStyle name="20% - Accent6 2 2 3 3" xfId="2516" xr:uid="{00000000-0005-0000-0000-00004F290000}"/>
    <cellStyle name="20% - Accent6 2 2 3 3 2" xfId="7465" xr:uid="{00000000-0005-0000-0000-000050290000}"/>
    <cellStyle name="20% - Accent6 2 2 3 3 2 2" xfId="4235" xr:uid="{00000000-0005-0000-0000-000051290000}"/>
    <cellStyle name="20% - Accent6 2 2 3 3 2 2 2" xfId="4523" xr:uid="{00000000-0005-0000-0000-000052290000}"/>
    <cellStyle name="20% - Accent6 2 2 3 3 2 2 2 2" xfId="20824" xr:uid="{00000000-0005-0000-0000-000053290000}"/>
    <cellStyle name="20% - Accent6 2 2 3 3 2 2 2 2 2" xfId="15583" xr:uid="{00000000-0005-0000-0000-000054290000}"/>
    <cellStyle name="20% - Accent6 2 2 3 3 2 2 2 3" xfId="882" xr:uid="{00000000-0005-0000-0000-000055290000}"/>
    <cellStyle name="20% - Accent6 2 2 3 3 2 2 3" xfId="10664" xr:uid="{00000000-0005-0000-0000-000056290000}"/>
    <cellStyle name="20% - Accent6 2 2 3 3 2 2 3 2" xfId="25877" xr:uid="{00000000-0005-0000-0000-000057290000}"/>
    <cellStyle name="20% - Accent6 2 2 3 3 2 2 4" xfId="15264" xr:uid="{00000000-0005-0000-0000-000058290000}"/>
    <cellStyle name="20% - Accent6 2 2 3 3 2 3" xfId="3608" xr:uid="{00000000-0005-0000-0000-000059290000}"/>
    <cellStyle name="20% - Accent6 2 2 3 3 2 3 2" xfId="10648" xr:uid="{00000000-0005-0000-0000-00005A290000}"/>
    <cellStyle name="20% - Accent6 2 2 3 3 2 3 2 2" xfId="3216" xr:uid="{00000000-0005-0000-0000-00005B290000}"/>
    <cellStyle name="20% - Accent6 2 2 3 3 2 3 3" xfId="10649" xr:uid="{00000000-0005-0000-0000-00005C290000}"/>
    <cellStyle name="20% - Accent6 2 2 3 3 2 4" xfId="18537" xr:uid="{00000000-0005-0000-0000-00005D290000}"/>
    <cellStyle name="20% - Accent6 2 2 3 3 2 4 2" xfId="16196" xr:uid="{00000000-0005-0000-0000-00005E290000}"/>
    <cellStyle name="20% - Accent6 2 2 3 3 2 5" xfId="8863" xr:uid="{00000000-0005-0000-0000-00005F290000}"/>
    <cellStyle name="20% - Accent6 2 2 3 3 3" xfId="5752" xr:uid="{00000000-0005-0000-0000-000060290000}"/>
    <cellStyle name="20% - Accent6 2 2 3 3 3 2" xfId="12960" xr:uid="{00000000-0005-0000-0000-000061290000}"/>
    <cellStyle name="20% - Accent6 2 2 3 3 3 2 2" xfId="10723" xr:uid="{00000000-0005-0000-0000-000062290000}"/>
    <cellStyle name="20% - Accent6 2 2 3 3 3 2 2 2" xfId="13317" xr:uid="{00000000-0005-0000-0000-000063290000}"/>
    <cellStyle name="20% - Accent6 2 2 3 3 3 2 3" xfId="12963" xr:uid="{00000000-0005-0000-0000-000064290000}"/>
    <cellStyle name="20% - Accent6 2 2 3 3 3 3" xfId="1718" xr:uid="{00000000-0005-0000-0000-000065290000}"/>
    <cellStyle name="20% - Accent6 2 2 3 3 3 3 2" xfId="29467" xr:uid="{00000000-0005-0000-0000-000066290000}"/>
    <cellStyle name="20% - Accent6 2 2 3 3 3 4" xfId="118" xr:uid="{00000000-0005-0000-0000-000067290000}"/>
    <cellStyle name="20% - Accent6 2 2 3 3 4" xfId="23511" xr:uid="{00000000-0005-0000-0000-000068290000}"/>
    <cellStyle name="20% - Accent6 2 2 3 3 4 2" xfId="12968" xr:uid="{00000000-0005-0000-0000-000069290000}"/>
    <cellStyle name="20% - Accent6 2 2 3 3 4 2 2" xfId="12973" xr:uid="{00000000-0005-0000-0000-00006A290000}"/>
    <cellStyle name="20% - Accent6 2 2 3 3 4 3" xfId="7222" xr:uid="{00000000-0005-0000-0000-00006B290000}"/>
    <cellStyle name="20% - Accent6 2 2 3 3 5" xfId="10929" xr:uid="{00000000-0005-0000-0000-00006C290000}"/>
    <cellStyle name="20% - Accent6 2 2 3 3 5 2" xfId="12976" xr:uid="{00000000-0005-0000-0000-00006D290000}"/>
    <cellStyle name="20% - Accent6 2 2 3 3 6" xfId="12244" xr:uid="{00000000-0005-0000-0000-00006E290000}"/>
    <cellStyle name="20% - Accent6 2 2 3 4" xfId="6764" xr:uid="{00000000-0005-0000-0000-00006F290000}"/>
    <cellStyle name="20% - Accent6 2 2 3 4 2" xfId="6017" xr:uid="{00000000-0005-0000-0000-000070290000}"/>
    <cellStyle name="20% - Accent6 2 2 3 4 2 2" xfId="12978" xr:uid="{00000000-0005-0000-0000-000071290000}"/>
    <cellStyle name="20% - Accent6 2 2 3 4 2 2 2" xfId="10813" xr:uid="{00000000-0005-0000-0000-000072290000}"/>
    <cellStyle name="20% - Accent6 2 2 3 4 2 2 2 2" xfId="12987" xr:uid="{00000000-0005-0000-0000-000073290000}"/>
    <cellStyle name="20% - Accent6 2 2 3 4 2 2 3" xfId="12990" xr:uid="{00000000-0005-0000-0000-000074290000}"/>
    <cellStyle name="20% - Accent6 2 2 3 4 2 3" xfId="7149" xr:uid="{00000000-0005-0000-0000-000075290000}"/>
    <cellStyle name="20% - Accent6 2 2 3 4 2 3 2" xfId="12408" xr:uid="{00000000-0005-0000-0000-000076290000}"/>
    <cellStyle name="20% - Accent6 2 2 3 4 2 4" xfId="23471" xr:uid="{00000000-0005-0000-0000-000077290000}"/>
    <cellStyle name="20% - Accent6 2 2 3 4 3" xfId="18947" xr:uid="{00000000-0005-0000-0000-000078290000}"/>
    <cellStyle name="20% - Accent6 2 2 3 4 3 2" xfId="7157" xr:uid="{00000000-0005-0000-0000-000079290000}"/>
    <cellStyle name="20% - Accent6 2 2 3 4 3 2 2" xfId="12690" xr:uid="{00000000-0005-0000-0000-00007A290000}"/>
    <cellStyle name="20% - Accent6 2 2 3 4 3 3" xfId="23479" xr:uid="{00000000-0005-0000-0000-00007B290000}"/>
    <cellStyle name="20% - Accent6 2 2 3 4 4" xfId="12991" xr:uid="{00000000-0005-0000-0000-00007C290000}"/>
    <cellStyle name="20% - Accent6 2 2 3 4 4 2" xfId="23578" xr:uid="{00000000-0005-0000-0000-00007D290000}"/>
    <cellStyle name="20% - Accent6 2 2 3 4 5" xfId="12245" xr:uid="{00000000-0005-0000-0000-00007E290000}"/>
    <cellStyle name="20% - Accent6 2 2 3 5" xfId="2670" xr:uid="{00000000-0005-0000-0000-00007F290000}"/>
    <cellStyle name="20% - Accent6 2 2 3 5 2" xfId="28990" xr:uid="{00000000-0005-0000-0000-000080290000}"/>
    <cellStyle name="20% - Accent6 2 2 3 5 2 2" xfId="12992" xr:uid="{00000000-0005-0000-0000-000081290000}"/>
    <cellStyle name="20% - Accent6 2 2 3 5 2 2 2" xfId="12995" xr:uid="{00000000-0005-0000-0000-000082290000}"/>
    <cellStyle name="20% - Accent6 2 2 3 5 2 3" xfId="23550" xr:uid="{00000000-0005-0000-0000-000083290000}"/>
    <cellStyle name="20% - Accent6 2 2 3 5 3" xfId="13001" xr:uid="{00000000-0005-0000-0000-000084290000}"/>
    <cellStyle name="20% - Accent6 2 2 3 5 3 2" xfId="13007" xr:uid="{00000000-0005-0000-0000-000085290000}"/>
    <cellStyle name="20% - Accent6 2 2 3 5 4" xfId="13302" xr:uid="{00000000-0005-0000-0000-000086290000}"/>
    <cellStyle name="20% - Accent6 2 2 3 6" xfId="74" xr:uid="{00000000-0005-0000-0000-000087290000}"/>
    <cellStyle name="20% - Accent6 2 2 3 6 2" xfId="13014" xr:uid="{00000000-0005-0000-0000-000088290000}"/>
    <cellStyle name="20% - Accent6 2 2 3 6 2 2" xfId="20409" xr:uid="{00000000-0005-0000-0000-000089290000}"/>
    <cellStyle name="20% - Accent6 2 2 3 6 3" xfId="13018" xr:uid="{00000000-0005-0000-0000-00008A290000}"/>
    <cellStyle name="20% - Accent6 2 2 3 7" xfId="27913" xr:uid="{00000000-0005-0000-0000-00008B290000}"/>
    <cellStyle name="20% - Accent6 2 2 3 7 2" xfId="23690" xr:uid="{00000000-0005-0000-0000-00008C290000}"/>
    <cellStyle name="20% - Accent6 2 2 3 8" xfId="33956" xr:uid="{00000000-0005-0000-0000-00008D290000}"/>
    <cellStyle name="20% - Accent6 2 2 4" xfId="13141" xr:uid="{00000000-0005-0000-0000-00008E290000}"/>
    <cellStyle name="20% - Accent6 2 2 4 2" xfId="13142" xr:uid="{00000000-0005-0000-0000-00008F290000}"/>
    <cellStyle name="20% - Accent6 2 2 4 2 2" xfId="13022" xr:uid="{00000000-0005-0000-0000-000090290000}"/>
    <cellStyle name="20% - Accent6 2 2 4 2 2 2" xfId="34023" xr:uid="{00000000-0005-0000-0000-000091290000}"/>
    <cellStyle name="20% - Accent6 2 2 4 2 2 2 2" xfId="7243" xr:uid="{00000000-0005-0000-0000-000092290000}"/>
    <cellStyle name="20% - Accent6 2 2 4 2 2 2 2 2" xfId="23216" xr:uid="{00000000-0005-0000-0000-000093290000}"/>
    <cellStyle name="20% - Accent6 2 2 4 2 2 2 2 2 2" xfId="11664" xr:uid="{00000000-0005-0000-0000-000094290000}"/>
    <cellStyle name="20% - Accent6 2 2 4 2 2 2 2 3" xfId="2430" xr:uid="{00000000-0005-0000-0000-000095290000}"/>
    <cellStyle name="20% - Accent6 2 2 4 2 2 2 3" xfId="3615" xr:uid="{00000000-0005-0000-0000-000096290000}"/>
    <cellStyle name="20% - Accent6 2 2 4 2 2 2 3 2" xfId="3659" xr:uid="{00000000-0005-0000-0000-000097290000}"/>
    <cellStyle name="20% - Accent6 2 2 4 2 2 2 4" xfId="8444" xr:uid="{00000000-0005-0000-0000-000098290000}"/>
    <cellStyle name="20% - Accent6 2 2 4 2 2 3" xfId="9235" xr:uid="{00000000-0005-0000-0000-000099290000}"/>
    <cellStyle name="20% - Accent6 2 2 4 2 2 3 2" xfId="7349" xr:uid="{00000000-0005-0000-0000-00009A290000}"/>
    <cellStyle name="20% - Accent6 2 2 4 2 2 3 2 2" xfId="1663" xr:uid="{00000000-0005-0000-0000-00009B290000}"/>
    <cellStyle name="20% - Accent6 2 2 4 2 2 3 3" xfId="3318" xr:uid="{00000000-0005-0000-0000-00009C290000}"/>
    <cellStyle name="20% - Accent6 2 2 4 2 2 4" xfId="18579" xr:uid="{00000000-0005-0000-0000-00009D290000}"/>
    <cellStyle name="20% - Accent6 2 2 4 2 2 4 2" xfId="17664" xr:uid="{00000000-0005-0000-0000-00009E290000}"/>
    <cellStyle name="20% - Accent6 2 2 4 2 2 5" xfId="3411" xr:uid="{00000000-0005-0000-0000-00009F290000}"/>
    <cellStyle name="20% - Accent6 2 2 4 2 3" xfId="24338" xr:uid="{00000000-0005-0000-0000-0000A0290000}"/>
    <cellStyle name="20% - Accent6 2 2 4 2 3 2" xfId="3833" xr:uid="{00000000-0005-0000-0000-0000A1290000}"/>
    <cellStyle name="20% - Accent6 2 2 4 2 3 2 2" xfId="7364" xr:uid="{00000000-0005-0000-0000-0000A2290000}"/>
    <cellStyle name="20% - Accent6 2 2 4 2 3 2 2 2" xfId="2810" xr:uid="{00000000-0005-0000-0000-0000A3290000}"/>
    <cellStyle name="20% - Accent6 2 2 4 2 3 2 3" xfId="3704" xr:uid="{00000000-0005-0000-0000-0000A4290000}"/>
    <cellStyle name="20% - Accent6 2 2 4 2 3 3" xfId="13026" xr:uid="{00000000-0005-0000-0000-0000A5290000}"/>
    <cellStyle name="20% - Accent6 2 2 4 2 3 3 2" xfId="1193" xr:uid="{00000000-0005-0000-0000-0000A6290000}"/>
    <cellStyle name="20% - Accent6 2 2 4 2 3 4" xfId="13027" xr:uid="{00000000-0005-0000-0000-0000A7290000}"/>
    <cellStyle name="20% - Accent6 2 2 4 2 4" xfId="13028" xr:uid="{00000000-0005-0000-0000-0000A8290000}"/>
    <cellStyle name="20% - Accent6 2 2 4 2 4 2" xfId="14763" xr:uid="{00000000-0005-0000-0000-0000A9290000}"/>
    <cellStyle name="20% - Accent6 2 2 4 2 4 2 2" xfId="408" xr:uid="{00000000-0005-0000-0000-0000AA290000}"/>
    <cellStyle name="20% - Accent6 2 2 4 2 4 3" xfId="13033" xr:uid="{00000000-0005-0000-0000-0000AB290000}"/>
    <cellStyle name="20% - Accent6 2 2 4 2 5" xfId="10946" xr:uid="{00000000-0005-0000-0000-0000AC290000}"/>
    <cellStyle name="20% - Accent6 2 2 4 2 5 2" xfId="5215" xr:uid="{00000000-0005-0000-0000-0000AD290000}"/>
    <cellStyle name="20% - Accent6 2 2 4 2 6" xfId="13420" xr:uid="{00000000-0005-0000-0000-0000AE290000}"/>
    <cellStyle name="20% - Accent6 2 2 4 3" xfId="6797" xr:uid="{00000000-0005-0000-0000-0000AF290000}"/>
    <cellStyle name="20% - Accent6 2 2 4 3 2" xfId="1634" xr:uid="{00000000-0005-0000-0000-0000B0290000}"/>
    <cellStyle name="20% - Accent6 2 2 4 3 2 2" xfId="33734" xr:uid="{00000000-0005-0000-0000-0000B1290000}"/>
    <cellStyle name="20% - Accent6 2 2 4 3 2 2 2" xfId="7400" xr:uid="{00000000-0005-0000-0000-0000B2290000}"/>
    <cellStyle name="20% - Accent6 2 2 4 3 2 2 2 2" xfId="5838" xr:uid="{00000000-0005-0000-0000-0000B3290000}"/>
    <cellStyle name="20% - Accent6 2 2 4 3 2 2 3" xfId="3357" xr:uid="{00000000-0005-0000-0000-0000B4290000}"/>
    <cellStyle name="20% - Accent6 2 2 4 3 2 3" xfId="3047" xr:uid="{00000000-0005-0000-0000-0000B5290000}"/>
    <cellStyle name="20% - Accent6 2 2 4 3 2 3 2" xfId="2101" xr:uid="{00000000-0005-0000-0000-0000B6290000}"/>
    <cellStyle name="20% - Accent6 2 2 4 3 2 4" xfId="1928" xr:uid="{00000000-0005-0000-0000-0000B7290000}"/>
    <cellStyle name="20% - Accent6 2 2 4 3 3" xfId="3840" xr:uid="{00000000-0005-0000-0000-0000B8290000}"/>
    <cellStyle name="20% - Accent6 2 2 4 3 3 2" xfId="13040" xr:uid="{00000000-0005-0000-0000-0000B9290000}"/>
    <cellStyle name="20% - Accent6 2 2 4 3 3 2 2" xfId="5877" xr:uid="{00000000-0005-0000-0000-0000BA290000}"/>
    <cellStyle name="20% - Accent6 2 2 4 3 3 3" xfId="10082" xr:uid="{00000000-0005-0000-0000-0000BB290000}"/>
    <cellStyle name="20% - Accent6 2 2 4 3 4" xfId="672" xr:uid="{00000000-0005-0000-0000-0000BC290000}"/>
    <cellStyle name="20% - Accent6 2 2 4 3 4 2" xfId="24146" xr:uid="{00000000-0005-0000-0000-0000BD290000}"/>
    <cellStyle name="20% - Accent6 2 2 4 3 5" xfId="12251" xr:uid="{00000000-0005-0000-0000-0000BE290000}"/>
    <cellStyle name="20% - Accent6 2 2 4 4" xfId="2676" xr:uid="{00000000-0005-0000-0000-0000BF290000}"/>
    <cellStyle name="20% - Accent6 2 2 4 4 2" xfId="13046" xr:uid="{00000000-0005-0000-0000-0000C0290000}"/>
    <cellStyle name="20% - Accent6 2 2 4 4 2 2" xfId="17965" xr:uid="{00000000-0005-0000-0000-0000C1290000}"/>
    <cellStyle name="20% - Accent6 2 2 4 4 2 2 2" xfId="2687" xr:uid="{00000000-0005-0000-0000-0000C2290000}"/>
    <cellStyle name="20% - Accent6 2 2 4 4 2 3" xfId="23722" xr:uid="{00000000-0005-0000-0000-0000C3290000}"/>
    <cellStyle name="20% - Accent6 2 2 4 4 3" xfId="13049" xr:uid="{00000000-0005-0000-0000-0000C4290000}"/>
    <cellStyle name="20% - Accent6 2 2 4 4 3 2" xfId="24093" xr:uid="{00000000-0005-0000-0000-0000C5290000}"/>
    <cellStyle name="20% - Accent6 2 2 4 4 4" xfId="13050" xr:uid="{00000000-0005-0000-0000-0000C6290000}"/>
    <cellStyle name="20% - Accent6 2 2 4 5" xfId="13052" xr:uid="{00000000-0005-0000-0000-0000C7290000}"/>
    <cellStyle name="20% - Accent6 2 2 4 5 2" xfId="13053" xr:uid="{00000000-0005-0000-0000-0000C8290000}"/>
    <cellStyle name="20% - Accent6 2 2 4 5 2 2" xfId="24178" xr:uid="{00000000-0005-0000-0000-0000C9290000}"/>
    <cellStyle name="20% - Accent6 2 2 4 5 3" xfId="9284" xr:uid="{00000000-0005-0000-0000-0000CA290000}"/>
    <cellStyle name="20% - Accent6 2 2 4 6" xfId="13056" xr:uid="{00000000-0005-0000-0000-0000CB290000}"/>
    <cellStyle name="20% - Accent6 2 2 4 6 2" xfId="12176" xr:uid="{00000000-0005-0000-0000-0000CC290000}"/>
    <cellStyle name="20% - Accent6 2 2 4 7" xfId="27903" xr:uid="{00000000-0005-0000-0000-0000CD290000}"/>
    <cellStyle name="20% - Accent6 2 2 5" xfId="13060" xr:uid="{00000000-0005-0000-0000-0000CE290000}"/>
    <cellStyle name="20% - Accent6 2 2 5 2" xfId="32843" xr:uid="{00000000-0005-0000-0000-0000CF290000}"/>
    <cellStyle name="20% - Accent6 2 2 5 2 2" xfId="6151" xr:uid="{00000000-0005-0000-0000-0000D0290000}"/>
    <cellStyle name="20% - Accent6 2 2 5 2 2 2" xfId="33161" xr:uid="{00000000-0005-0000-0000-0000D1290000}"/>
    <cellStyle name="20% - Accent6 2 2 5 2 2 2 2" xfId="1924" xr:uid="{00000000-0005-0000-0000-0000D2290000}"/>
    <cellStyle name="20% - Accent6 2 2 5 2 2 2 2 2" xfId="8268" xr:uid="{00000000-0005-0000-0000-0000D3290000}"/>
    <cellStyle name="20% - Accent6 2 2 5 2 2 2 3" xfId="4166" xr:uid="{00000000-0005-0000-0000-0000D4290000}"/>
    <cellStyle name="20% - Accent6 2 2 5 2 2 3" xfId="33168" xr:uid="{00000000-0005-0000-0000-0000D5290000}"/>
    <cellStyle name="20% - Accent6 2 2 5 2 2 3 2" xfId="4308" xr:uid="{00000000-0005-0000-0000-0000D6290000}"/>
    <cellStyle name="20% - Accent6 2 2 5 2 2 4" xfId="32068" xr:uid="{00000000-0005-0000-0000-0000D7290000}"/>
    <cellStyle name="20% - Accent6 2 2 5 2 3" xfId="3924" xr:uid="{00000000-0005-0000-0000-0000D8290000}"/>
    <cellStyle name="20% - Accent6 2 2 5 2 3 2" xfId="33518" xr:uid="{00000000-0005-0000-0000-0000D9290000}"/>
    <cellStyle name="20% - Accent6 2 2 5 2 3 2 2" xfId="4337" xr:uid="{00000000-0005-0000-0000-0000DA290000}"/>
    <cellStyle name="20% - Accent6 2 2 5 2 3 3" xfId="32663" xr:uid="{00000000-0005-0000-0000-0000DB290000}"/>
    <cellStyle name="20% - Accent6 2 2 5 2 4" xfId="15234" xr:uid="{00000000-0005-0000-0000-0000DC290000}"/>
    <cellStyle name="20% - Accent6 2 2 5 2 4 2" xfId="28041" xr:uid="{00000000-0005-0000-0000-0000DD290000}"/>
    <cellStyle name="20% - Accent6 2 2 5 2 5" xfId="20158" xr:uid="{00000000-0005-0000-0000-0000DE290000}"/>
    <cellStyle name="20% - Accent6 2 2 5 3" xfId="633" xr:uid="{00000000-0005-0000-0000-0000DF290000}"/>
    <cellStyle name="20% - Accent6 2 2 5 3 2" xfId="32195" xr:uid="{00000000-0005-0000-0000-0000E0290000}"/>
    <cellStyle name="20% - Accent6 2 2 5 3 2 2" xfId="33695" xr:uid="{00000000-0005-0000-0000-0000E1290000}"/>
    <cellStyle name="20% - Accent6 2 2 5 3 2 2 2" xfId="5668" xr:uid="{00000000-0005-0000-0000-0000E2290000}"/>
    <cellStyle name="20% - Accent6 2 2 5 3 2 3" xfId="32859" xr:uid="{00000000-0005-0000-0000-0000E3290000}"/>
    <cellStyle name="20% - Accent6 2 2 5 3 3" xfId="32801" xr:uid="{00000000-0005-0000-0000-0000E4290000}"/>
    <cellStyle name="20% - Accent6 2 2 5 3 3 2" xfId="32066" xr:uid="{00000000-0005-0000-0000-0000E5290000}"/>
    <cellStyle name="20% - Accent6 2 2 5 3 4" xfId="15242" xr:uid="{00000000-0005-0000-0000-0000E6290000}"/>
    <cellStyle name="20% - Accent6 2 2 5 4" xfId="13067" xr:uid="{00000000-0005-0000-0000-0000E7290000}"/>
    <cellStyle name="20% - Accent6 2 2 5 4 2" xfId="27084" xr:uid="{00000000-0005-0000-0000-0000E8290000}"/>
    <cellStyle name="20% - Accent6 2 2 5 4 2 2" xfId="24325" xr:uid="{00000000-0005-0000-0000-0000E9290000}"/>
    <cellStyle name="20% - Accent6 2 2 5 4 3" xfId="32868" xr:uid="{00000000-0005-0000-0000-0000EA290000}"/>
    <cellStyle name="20% - Accent6 2 2 5 5" xfId="21360" xr:uid="{00000000-0005-0000-0000-0000EB290000}"/>
    <cellStyle name="20% - Accent6 2 2 5 5 2" xfId="1393" xr:uid="{00000000-0005-0000-0000-0000EC290000}"/>
    <cellStyle name="20% - Accent6 2 2 5 6" xfId="21365" xr:uid="{00000000-0005-0000-0000-0000ED290000}"/>
    <cellStyle name="20% - Accent6 2 2 6" xfId="29595" xr:uid="{00000000-0005-0000-0000-0000EE290000}"/>
    <cellStyle name="20% - Accent6 2 2 6 2" xfId="30715" xr:uid="{00000000-0005-0000-0000-0000EF290000}"/>
    <cellStyle name="20% - Accent6 2 2 6 2 2" xfId="33006" xr:uid="{00000000-0005-0000-0000-0000F0290000}"/>
    <cellStyle name="20% - Accent6 2 2 6 2 2 2" xfId="33362" xr:uid="{00000000-0005-0000-0000-0000F1290000}"/>
    <cellStyle name="20% - Accent6 2 2 6 2 2 2 2" xfId="7336" xr:uid="{00000000-0005-0000-0000-0000F2290000}"/>
    <cellStyle name="20% - Accent6 2 2 6 2 2 3" xfId="1279" xr:uid="{00000000-0005-0000-0000-0000F3290000}"/>
    <cellStyle name="20% - Accent6 2 2 6 2 3" xfId="13078" xr:uid="{00000000-0005-0000-0000-0000F4290000}"/>
    <cellStyle name="20% - Accent6 2 2 6 2 3 2" xfId="29143" xr:uid="{00000000-0005-0000-0000-0000F5290000}"/>
    <cellStyle name="20% - Accent6 2 2 6 2 4" xfId="17087" xr:uid="{00000000-0005-0000-0000-0000F6290000}"/>
    <cellStyle name="20% - Accent6 2 2 6 3" xfId="30661" xr:uid="{00000000-0005-0000-0000-0000F7290000}"/>
    <cellStyle name="20% - Accent6 2 2 6 3 2" xfId="32888" xr:uid="{00000000-0005-0000-0000-0000F8290000}"/>
    <cellStyle name="20% - Accent6 2 2 6 3 2 2" xfId="32076" xr:uid="{00000000-0005-0000-0000-0000F9290000}"/>
    <cellStyle name="20% - Accent6 2 2 6 3 3" xfId="32881" xr:uid="{00000000-0005-0000-0000-0000FA290000}"/>
    <cellStyle name="20% - Accent6 2 2 6 4" xfId="30664" xr:uid="{00000000-0005-0000-0000-0000FB290000}"/>
    <cellStyle name="20% - Accent6 2 2 6 4 2" xfId="5405" xr:uid="{00000000-0005-0000-0000-0000FC290000}"/>
    <cellStyle name="20% - Accent6 2 2 6 5" xfId="21383" xr:uid="{00000000-0005-0000-0000-0000FD290000}"/>
    <cellStyle name="20% - Accent6 2 2 7" xfId="32775" xr:uid="{00000000-0005-0000-0000-0000FE290000}"/>
    <cellStyle name="20% - Accent6 2 2 7 2" xfId="30627" xr:uid="{00000000-0005-0000-0000-0000FF290000}"/>
    <cellStyle name="20% - Accent6 2 2 7 2 2" xfId="13079" xr:uid="{00000000-0005-0000-0000-0000002A0000}"/>
    <cellStyle name="20% - Accent6 2 2 7 2 2 2" xfId="32139" xr:uid="{00000000-0005-0000-0000-0000012A0000}"/>
    <cellStyle name="20% - Accent6 2 2 7 2 3" xfId="32891" xr:uid="{00000000-0005-0000-0000-0000022A0000}"/>
    <cellStyle name="20% - Accent6 2 2 7 3" xfId="22373" xr:uid="{00000000-0005-0000-0000-0000032A0000}"/>
    <cellStyle name="20% - Accent6 2 2 7 3 2" xfId="28277" xr:uid="{00000000-0005-0000-0000-0000042A0000}"/>
    <cellStyle name="20% - Accent6 2 2 7 4" xfId="24636" xr:uid="{00000000-0005-0000-0000-0000052A0000}"/>
    <cellStyle name="20% - Accent6 2 2 8" xfId="13080" xr:uid="{00000000-0005-0000-0000-0000062A0000}"/>
    <cellStyle name="20% - Accent6 2 2 8 2" xfId="13083" xr:uid="{00000000-0005-0000-0000-0000072A0000}"/>
    <cellStyle name="20% - Accent6 2 2 8 2 2" xfId="33644" xr:uid="{00000000-0005-0000-0000-0000082A0000}"/>
    <cellStyle name="20% - Accent6 2 2 8 3" xfId="13090" xr:uid="{00000000-0005-0000-0000-0000092A0000}"/>
    <cellStyle name="20% - Accent6 2 2 9" xfId="13094" xr:uid="{00000000-0005-0000-0000-00000A2A0000}"/>
    <cellStyle name="20% - Accent6 2 2 9 2" xfId="28945" xr:uid="{00000000-0005-0000-0000-00000B2A0000}"/>
    <cellStyle name="20% - Accent6 2 3" xfId="13096" xr:uid="{00000000-0005-0000-0000-00000C2A0000}"/>
    <cellStyle name="20% - Accent6 2 3 2" xfId="3513" xr:uid="{00000000-0005-0000-0000-00000D2A0000}"/>
    <cellStyle name="20% - Accent6 2 3 2 2" xfId="13150" xr:uid="{00000000-0005-0000-0000-00000E2A0000}"/>
    <cellStyle name="20% - Accent6 2 3 2 2 2" xfId="18879" xr:uid="{00000000-0005-0000-0000-00000F2A0000}"/>
    <cellStyle name="20% - Accent6 2 3 2 2 2 2" xfId="7947" xr:uid="{00000000-0005-0000-0000-0000102A0000}"/>
    <cellStyle name="20% - Accent6 2 3 2 2 2 2 2" xfId="7412" xr:uid="{00000000-0005-0000-0000-0000112A0000}"/>
    <cellStyle name="20% - Accent6 2 3 2 2 2 2 2 2" xfId="26642" xr:uid="{00000000-0005-0000-0000-0000122A0000}"/>
    <cellStyle name="20% - Accent6 2 3 2 2 2 2 2 2 2" xfId="11819" xr:uid="{00000000-0005-0000-0000-0000132A0000}"/>
    <cellStyle name="20% - Accent6 2 3 2 2 2 2 2 2 2 2" xfId="13099" xr:uid="{00000000-0005-0000-0000-0000142A0000}"/>
    <cellStyle name="20% - Accent6 2 3 2 2 2 2 2 2 3" xfId="17509" xr:uid="{00000000-0005-0000-0000-0000152A0000}"/>
    <cellStyle name="20% - Accent6 2 3 2 2 2 2 2 3" xfId="17373" xr:uid="{00000000-0005-0000-0000-0000162A0000}"/>
    <cellStyle name="20% - Accent6 2 3 2 2 2 2 2 3 2" xfId="11832" xr:uid="{00000000-0005-0000-0000-0000172A0000}"/>
    <cellStyle name="20% - Accent6 2 3 2 2 2 2 2 4" xfId="15949" xr:uid="{00000000-0005-0000-0000-0000182A0000}"/>
    <cellStyle name="20% - Accent6 2 3 2 2 2 2 3" xfId="7125" xr:uid="{00000000-0005-0000-0000-0000192A0000}"/>
    <cellStyle name="20% - Accent6 2 3 2 2 2 2 3 2" xfId="10658" xr:uid="{00000000-0005-0000-0000-00001A2A0000}"/>
    <cellStyle name="20% - Accent6 2 3 2 2 2 2 3 2 2" xfId="11842" xr:uid="{00000000-0005-0000-0000-00001B2A0000}"/>
    <cellStyle name="20% - Accent6 2 3 2 2 2 2 3 3" xfId="8578" xr:uid="{00000000-0005-0000-0000-00001C2A0000}"/>
    <cellStyle name="20% - Accent6 2 3 2 2 2 2 4" xfId="7763" xr:uid="{00000000-0005-0000-0000-00001D2A0000}"/>
    <cellStyle name="20% - Accent6 2 3 2 2 2 2 4 2" xfId="10644" xr:uid="{00000000-0005-0000-0000-00001E2A0000}"/>
    <cellStyle name="20% - Accent6 2 3 2 2 2 2 5" xfId="13101" xr:uid="{00000000-0005-0000-0000-00001F2A0000}"/>
    <cellStyle name="20% - Accent6 2 3 2 2 2 3" xfId="13103" xr:uid="{00000000-0005-0000-0000-0000202A0000}"/>
    <cellStyle name="20% - Accent6 2 3 2 2 2 3 2" xfId="23849" xr:uid="{00000000-0005-0000-0000-0000212A0000}"/>
    <cellStyle name="20% - Accent6 2 3 2 2 2 3 2 2" xfId="20557" xr:uid="{00000000-0005-0000-0000-0000222A0000}"/>
    <cellStyle name="20% - Accent6 2 3 2 2 2 3 2 2 2" xfId="23993" xr:uid="{00000000-0005-0000-0000-0000232A0000}"/>
    <cellStyle name="20% - Accent6 2 3 2 2 2 3 2 3" xfId="28567" xr:uid="{00000000-0005-0000-0000-0000242A0000}"/>
    <cellStyle name="20% - Accent6 2 3 2 2 2 3 3" xfId="14690" xr:uid="{00000000-0005-0000-0000-0000252A0000}"/>
    <cellStyle name="20% - Accent6 2 3 2 2 2 3 3 2" xfId="20623" xr:uid="{00000000-0005-0000-0000-0000262A0000}"/>
    <cellStyle name="20% - Accent6 2 3 2 2 2 3 4" xfId="13104" xr:uid="{00000000-0005-0000-0000-0000272A0000}"/>
    <cellStyle name="20% - Accent6 2 3 2 2 2 4" xfId="13109" xr:uid="{00000000-0005-0000-0000-0000282A0000}"/>
    <cellStyle name="20% - Accent6 2 3 2 2 2 4 2" xfId="757" xr:uid="{00000000-0005-0000-0000-0000292A0000}"/>
    <cellStyle name="20% - Accent6 2 3 2 2 2 4 2 2" xfId="20773" xr:uid="{00000000-0005-0000-0000-00002A2A0000}"/>
    <cellStyle name="20% - Accent6 2 3 2 2 2 4 3" xfId="13111" xr:uid="{00000000-0005-0000-0000-00002B2A0000}"/>
    <cellStyle name="20% - Accent6 2 3 2 2 2 5" xfId="13112" xr:uid="{00000000-0005-0000-0000-00002C2A0000}"/>
    <cellStyle name="20% - Accent6 2 3 2 2 2 5 2" xfId="14" xr:uid="{00000000-0005-0000-0000-00002D2A0000}"/>
    <cellStyle name="20% - Accent6 2 3 2 2 2 6" xfId="13115" xr:uid="{00000000-0005-0000-0000-00002E2A0000}"/>
    <cellStyle name="20% - Accent6 2 3 2 2 3" xfId="13116" xr:uid="{00000000-0005-0000-0000-00002F2A0000}"/>
    <cellStyle name="20% - Accent6 2 3 2 2 3 2" xfId="13117" xr:uid="{00000000-0005-0000-0000-0000302A0000}"/>
    <cellStyle name="20% - Accent6 2 3 2 2 3 2 2" xfId="1940" xr:uid="{00000000-0005-0000-0000-0000312A0000}"/>
    <cellStyle name="20% - Accent6 2 3 2 2 3 2 2 2" xfId="10790" xr:uid="{00000000-0005-0000-0000-0000322A0000}"/>
    <cellStyle name="20% - Accent6 2 3 2 2 3 2 2 2 2" xfId="11885" xr:uid="{00000000-0005-0000-0000-0000332A0000}"/>
    <cellStyle name="20% - Accent6 2 3 2 2 3 2 2 3" xfId="10154" xr:uid="{00000000-0005-0000-0000-0000342A0000}"/>
    <cellStyle name="20% - Accent6 2 3 2 2 3 2 3" xfId="3291" xr:uid="{00000000-0005-0000-0000-0000352A0000}"/>
    <cellStyle name="20% - Accent6 2 3 2 2 3 2 3 2" xfId="15905" xr:uid="{00000000-0005-0000-0000-0000362A0000}"/>
    <cellStyle name="20% - Accent6 2 3 2 2 3 2 4" xfId="13118" xr:uid="{00000000-0005-0000-0000-0000372A0000}"/>
    <cellStyle name="20% - Accent6 2 3 2 2 3 3" xfId="32848" xr:uid="{00000000-0005-0000-0000-0000382A0000}"/>
    <cellStyle name="20% - Accent6 2 3 2 2 3 3 2" xfId="13093" xr:uid="{00000000-0005-0000-0000-0000392A0000}"/>
    <cellStyle name="20% - Accent6 2 3 2 2 3 3 2 2" xfId="18613" xr:uid="{00000000-0005-0000-0000-00003A2A0000}"/>
    <cellStyle name="20% - Accent6 2 3 2 2 3 3 3" xfId="13120" xr:uid="{00000000-0005-0000-0000-00003B2A0000}"/>
    <cellStyle name="20% - Accent6 2 3 2 2 3 4" xfId="30263" xr:uid="{00000000-0005-0000-0000-00003C2A0000}"/>
    <cellStyle name="20% - Accent6 2 3 2 2 3 4 2" xfId="13121" xr:uid="{00000000-0005-0000-0000-00003D2A0000}"/>
    <cellStyle name="20% - Accent6 2 3 2 2 3 5" xfId="11064" xr:uid="{00000000-0005-0000-0000-00003E2A0000}"/>
    <cellStyle name="20% - Accent6 2 3 2 2 4" xfId="13122" xr:uid="{00000000-0005-0000-0000-00003F2A0000}"/>
    <cellStyle name="20% - Accent6 2 3 2 2 4 2" xfId="13124" xr:uid="{00000000-0005-0000-0000-0000402A0000}"/>
    <cellStyle name="20% - Accent6 2 3 2 2 4 2 2" xfId="31412" xr:uid="{00000000-0005-0000-0000-0000412A0000}"/>
    <cellStyle name="20% - Accent6 2 3 2 2 4 2 2 2" xfId="13421" xr:uid="{00000000-0005-0000-0000-0000422A0000}"/>
    <cellStyle name="20% - Accent6 2 3 2 2 4 2 3" xfId="11436" xr:uid="{00000000-0005-0000-0000-0000432A0000}"/>
    <cellStyle name="20% - Accent6 2 3 2 2 4 3" xfId="16046" xr:uid="{00000000-0005-0000-0000-0000442A0000}"/>
    <cellStyle name="20% - Accent6 2 3 2 2 4 3 2" xfId="11437" xr:uid="{00000000-0005-0000-0000-0000452A0000}"/>
    <cellStyle name="20% - Accent6 2 3 2 2 4 4" xfId="12281" xr:uid="{00000000-0005-0000-0000-0000462A0000}"/>
    <cellStyle name="20% - Accent6 2 3 2 2 5" xfId="12486" xr:uid="{00000000-0005-0000-0000-0000472A0000}"/>
    <cellStyle name="20% - Accent6 2 3 2 2 5 2" xfId="7513" xr:uid="{00000000-0005-0000-0000-0000482A0000}"/>
    <cellStyle name="20% - Accent6 2 3 2 2 5 2 2" xfId="11505" xr:uid="{00000000-0005-0000-0000-0000492A0000}"/>
    <cellStyle name="20% - Accent6 2 3 2 2 5 3" xfId="12489" xr:uid="{00000000-0005-0000-0000-00004A2A0000}"/>
    <cellStyle name="20% - Accent6 2 3 2 2 6" xfId="12492" xr:uid="{00000000-0005-0000-0000-00004B2A0000}"/>
    <cellStyle name="20% - Accent6 2 3 2 2 6 2" xfId="12941" xr:uid="{00000000-0005-0000-0000-00004C2A0000}"/>
    <cellStyle name="20% - Accent6 2 3 2 2 7" xfId="14563" xr:uid="{00000000-0005-0000-0000-00004D2A0000}"/>
    <cellStyle name="20% - Accent6 2 3 2 3" xfId="12925" xr:uid="{00000000-0005-0000-0000-00004E2A0000}"/>
    <cellStyle name="20% - Accent6 2 3 2 3 2" xfId="12566" xr:uid="{00000000-0005-0000-0000-00004F2A0000}"/>
    <cellStyle name="20% - Accent6 2 3 2 3 2 2" xfId="12568" xr:uid="{00000000-0005-0000-0000-0000502A0000}"/>
    <cellStyle name="20% - Accent6 2 3 2 3 2 2 2" xfId="2506" xr:uid="{00000000-0005-0000-0000-0000512A0000}"/>
    <cellStyle name="20% - Accent6 2 3 2 3 2 2 2 2" xfId="12421" xr:uid="{00000000-0005-0000-0000-0000522A0000}"/>
    <cellStyle name="20% - Accent6 2 3 2 3 2 2 2 2 2" xfId="3189" xr:uid="{00000000-0005-0000-0000-0000532A0000}"/>
    <cellStyle name="20% - Accent6 2 3 2 3 2 2 2 3" xfId="8311" xr:uid="{00000000-0005-0000-0000-0000542A0000}"/>
    <cellStyle name="20% - Accent6 2 3 2 3 2 2 3" xfId="2509" xr:uid="{00000000-0005-0000-0000-0000552A0000}"/>
    <cellStyle name="20% - Accent6 2 3 2 3 2 2 3 2" xfId="8264" xr:uid="{00000000-0005-0000-0000-0000562A0000}"/>
    <cellStyle name="20% - Accent6 2 3 2 3 2 2 4" xfId="9805" xr:uid="{00000000-0005-0000-0000-0000572A0000}"/>
    <cellStyle name="20% - Accent6 2 3 2 3 2 3" xfId="28969" xr:uid="{00000000-0005-0000-0000-0000582A0000}"/>
    <cellStyle name="20% - Accent6 2 3 2 3 2 3 2" xfId="2539" xr:uid="{00000000-0005-0000-0000-0000592A0000}"/>
    <cellStyle name="20% - Accent6 2 3 2 3 2 3 2 2" xfId="8272" xr:uid="{00000000-0005-0000-0000-00005A2A0000}"/>
    <cellStyle name="20% - Accent6 2 3 2 3 2 3 3" xfId="9830" xr:uid="{00000000-0005-0000-0000-00005B2A0000}"/>
    <cellStyle name="20% - Accent6 2 3 2 3 2 4" xfId="22144" xr:uid="{00000000-0005-0000-0000-00005C2A0000}"/>
    <cellStyle name="20% - Accent6 2 3 2 3 2 4 2" xfId="9842" xr:uid="{00000000-0005-0000-0000-00005D2A0000}"/>
    <cellStyle name="20% - Accent6 2 3 2 3 2 5" xfId="13134" xr:uid="{00000000-0005-0000-0000-00005E2A0000}"/>
    <cellStyle name="20% - Accent6 2 3 2 3 3" xfId="12906" xr:uid="{00000000-0005-0000-0000-00005F2A0000}"/>
    <cellStyle name="20% - Accent6 2 3 2 3 3 2" xfId="13136" xr:uid="{00000000-0005-0000-0000-0000602A0000}"/>
    <cellStyle name="20% - Accent6 2 3 2 3 3 2 2" xfId="1510" xr:uid="{00000000-0005-0000-0000-0000612A0000}"/>
    <cellStyle name="20% - Accent6 2 3 2 3 3 2 2 2" xfId="31607" xr:uid="{00000000-0005-0000-0000-0000622A0000}"/>
    <cellStyle name="20% - Accent6 2 3 2 3 3 2 3" xfId="14796" xr:uid="{00000000-0005-0000-0000-0000632A0000}"/>
    <cellStyle name="20% - Accent6 2 3 2 3 3 3" xfId="28982" xr:uid="{00000000-0005-0000-0000-0000642A0000}"/>
    <cellStyle name="20% - Accent6 2 3 2 3 3 3 2" xfId="9862" xr:uid="{00000000-0005-0000-0000-0000652A0000}"/>
    <cellStyle name="20% - Accent6 2 3 2 3 3 4" xfId="33083" xr:uid="{00000000-0005-0000-0000-0000662A0000}"/>
    <cellStyle name="20% - Accent6 2 3 2 3 4" xfId="13140" xr:uid="{00000000-0005-0000-0000-0000672A0000}"/>
    <cellStyle name="20% - Accent6 2 3 2 3 4 2" xfId="13146" xr:uid="{00000000-0005-0000-0000-0000682A0000}"/>
    <cellStyle name="20% - Accent6 2 3 2 3 4 2 2" xfId="9872" xr:uid="{00000000-0005-0000-0000-0000692A0000}"/>
    <cellStyle name="20% - Accent6 2 3 2 3 4 3" xfId="21169" xr:uid="{00000000-0005-0000-0000-00006A2A0000}"/>
    <cellStyle name="20% - Accent6 2 3 2 3 5" xfId="13062" xr:uid="{00000000-0005-0000-0000-00006B2A0000}"/>
    <cellStyle name="20% - Accent6 2 3 2 3 5 2" xfId="12495" xr:uid="{00000000-0005-0000-0000-00006C2A0000}"/>
    <cellStyle name="20% - Accent6 2 3 2 3 6" xfId="13071" xr:uid="{00000000-0005-0000-0000-00006D2A0000}"/>
    <cellStyle name="20% - Accent6 2 3 2 4" xfId="13097" xr:uid="{00000000-0005-0000-0000-00006E2A0000}"/>
    <cellStyle name="20% - Accent6 2 3 2 4 2" xfId="3515" xr:uid="{00000000-0005-0000-0000-00006F2A0000}"/>
    <cellStyle name="20% - Accent6 2 3 2 4 2 2" xfId="13152" xr:uid="{00000000-0005-0000-0000-0000702A0000}"/>
    <cellStyle name="20% - Accent6 2 3 2 4 2 2 2" xfId="1204" xr:uid="{00000000-0005-0000-0000-0000712A0000}"/>
    <cellStyle name="20% - Accent6 2 3 2 4 2 2 2 2" xfId="28654" xr:uid="{00000000-0005-0000-0000-0000722A0000}"/>
    <cellStyle name="20% - Accent6 2 3 2 4 2 2 3" xfId="10338" xr:uid="{00000000-0005-0000-0000-0000732A0000}"/>
    <cellStyle name="20% - Accent6 2 3 2 4 2 3" xfId="13155" xr:uid="{00000000-0005-0000-0000-0000742A0000}"/>
    <cellStyle name="20% - Accent6 2 3 2 4 2 3 2" xfId="30231" xr:uid="{00000000-0005-0000-0000-0000752A0000}"/>
    <cellStyle name="20% - Accent6 2 3 2 4 2 4" xfId="13158" xr:uid="{00000000-0005-0000-0000-0000762A0000}"/>
    <cellStyle name="20% - Accent6 2 3 2 4 3" xfId="13179" xr:uid="{00000000-0005-0000-0000-0000772A0000}"/>
    <cellStyle name="20% - Accent6 2 3 2 4 3 2" xfId="5339" xr:uid="{00000000-0005-0000-0000-0000782A0000}"/>
    <cellStyle name="20% - Accent6 2 3 2 4 3 2 2" xfId="29017" xr:uid="{00000000-0005-0000-0000-0000792A0000}"/>
    <cellStyle name="20% - Accent6 2 3 2 4 3 3" xfId="9496" xr:uid="{00000000-0005-0000-0000-00007A2A0000}"/>
    <cellStyle name="20% - Accent6 2 3 2 4 4" xfId="25769" xr:uid="{00000000-0005-0000-0000-00007B2A0000}"/>
    <cellStyle name="20% - Accent6 2 3 2 4 4 2" xfId="8940" xr:uid="{00000000-0005-0000-0000-00007C2A0000}"/>
    <cellStyle name="20% - Accent6 2 3 2 4 5" xfId="25772" xr:uid="{00000000-0005-0000-0000-00007D2A0000}"/>
    <cellStyle name="20% - Accent6 2 3 2 5" xfId="13882" xr:uid="{00000000-0005-0000-0000-00007E2A0000}"/>
    <cellStyle name="20% - Accent6 2 3 2 5 2" xfId="13297" xr:uid="{00000000-0005-0000-0000-00007F2A0000}"/>
    <cellStyle name="20% - Accent6 2 3 2 5 2 2" xfId="13303" xr:uid="{00000000-0005-0000-0000-0000802A0000}"/>
    <cellStyle name="20% - Accent6 2 3 2 5 2 2 2" xfId="10594" xr:uid="{00000000-0005-0000-0000-0000812A0000}"/>
    <cellStyle name="20% - Accent6 2 3 2 5 2 3" xfId="13161" xr:uid="{00000000-0005-0000-0000-0000822A0000}"/>
    <cellStyle name="20% - Accent6 2 3 2 5 3" xfId="13332" xr:uid="{00000000-0005-0000-0000-0000832A0000}"/>
    <cellStyle name="20% - Accent6 2 3 2 5 3 2" xfId="13337" xr:uid="{00000000-0005-0000-0000-0000842A0000}"/>
    <cellStyle name="20% - Accent6 2 3 2 5 4" xfId="25774" xr:uid="{00000000-0005-0000-0000-0000852A0000}"/>
    <cellStyle name="20% - Accent6 2 3 2 6" xfId="13892" xr:uid="{00000000-0005-0000-0000-0000862A0000}"/>
    <cellStyle name="20% - Accent6 2 3 2 6 2" xfId="13164" xr:uid="{00000000-0005-0000-0000-0000872A0000}"/>
    <cellStyle name="20% - Accent6 2 3 2 6 2 2" xfId="13167" xr:uid="{00000000-0005-0000-0000-0000882A0000}"/>
    <cellStyle name="20% - Accent6 2 3 2 6 3" xfId="13170" xr:uid="{00000000-0005-0000-0000-0000892A0000}"/>
    <cellStyle name="20% - Accent6 2 3 2 7" xfId="13172" xr:uid="{00000000-0005-0000-0000-00008A2A0000}"/>
    <cellStyle name="20% - Accent6 2 3 2 7 2" xfId="13175" xr:uid="{00000000-0005-0000-0000-00008B2A0000}"/>
    <cellStyle name="20% - Accent6 2 3 2 8" xfId="1263" xr:uid="{00000000-0005-0000-0000-00008C2A0000}"/>
    <cellStyle name="20% - Accent6 2 3 3" xfId="13177" xr:uid="{00000000-0005-0000-0000-00008D2A0000}"/>
    <cellStyle name="20% - Accent6 2 3 3 2" xfId="19619" xr:uid="{00000000-0005-0000-0000-00008E2A0000}"/>
    <cellStyle name="20% - Accent6 2 3 3 2 2" xfId="15158" xr:uid="{00000000-0005-0000-0000-00008F2A0000}"/>
    <cellStyle name="20% - Accent6 2 3 3 2 2 2" xfId="9885" xr:uid="{00000000-0005-0000-0000-0000902A0000}"/>
    <cellStyle name="20% - Accent6 2 3 3 2 2 2 2" xfId="4208" xr:uid="{00000000-0005-0000-0000-0000912A0000}"/>
    <cellStyle name="20% - Accent6 2 3 3 2 2 2 2 2" xfId="2104" xr:uid="{00000000-0005-0000-0000-0000922A0000}"/>
    <cellStyle name="20% - Accent6 2 3 3 2 2 2 2 2 2" xfId="12084" xr:uid="{00000000-0005-0000-0000-0000932A0000}"/>
    <cellStyle name="20% - Accent6 2 3 3 2 2 2 2 3" xfId="5096" xr:uid="{00000000-0005-0000-0000-0000942A0000}"/>
    <cellStyle name="20% - Accent6 2 3 3 2 2 2 3" xfId="8475" xr:uid="{00000000-0005-0000-0000-0000952A0000}"/>
    <cellStyle name="20% - Accent6 2 3 3 2 2 2 3 2" xfId="5987" xr:uid="{00000000-0005-0000-0000-0000962A0000}"/>
    <cellStyle name="20% - Accent6 2 3 3 2 2 2 4" xfId="2914" xr:uid="{00000000-0005-0000-0000-0000972A0000}"/>
    <cellStyle name="20% - Accent6 2 3 3 2 2 3" xfId="13181" xr:uid="{00000000-0005-0000-0000-0000982A0000}"/>
    <cellStyle name="20% - Accent6 2 3 3 2 2 3 2" xfId="10443" xr:uid="{00000000-0005-0000-0000-0000992A0000}"/>
    <cellStyle name="20% - Accent6 2 3 3 2 2 3 2 2" xfId="2124" xr:uid="{00000000-0005-0000-0000-00009A2A0000}"/>
    <cellStyle name="20% - Accent6 2 3 3 2 2 3 3" xfId="13182" xr:uid="{00000000-0005-0000-0000-00009B2A0000}"/>
    <cellStyle name="20% - Accent6 2 3 3 2 2 4" xfId="18639" xr:uid="{00000000-0005-0000-0000-00009C2A0000}"/>
    <cellStyle name="20% - Accent6 2 3 3 2 2 4 2" xfId="13184" xr:uid="{00000000-0005-0000-0000-00009D2A0000}"/>
    <cellStyle name="20% - Accent6 2 3 3 2 2 5" xfId="1010" xr:uid="{00000000-0005-0000-0000-00009E2A0000}"/>
    <cellStyle name="20% - Accent6 2 3 3 2 3" xfId="30498" xr:uid="{00000000-0005-0000-0000-00009F2A0000}"/>
    <cellStyle name="20% - Accent6 2 3 3 2 3 2" xfId="30501" xr:uid="{00000000-0005-0000-0000-0000A02A0000}"/>
    <cellStyle name="20% - Accent6 2 3 3 2 3 2 2" xfId="5512" xr:uid="{00000000-0005-0000-0000-0000A12A0000}"/>
    <cellStyle name="20% - Accent6 2 3 3 2 3 2 2 2" xfId="2262" xr:uid="{00000000-0005-0000-0000-0000A22A0000}"/>
    <cellStyle name="20% - Accent6 2 3 3 2 3 2 3" xfId="13188" xr:uid="{00000000-0005-0000-0000-0000A32A0000}"/>
    <cellStyle name="20% - Accent6 2 3 3 2 3 3" xfId="30287" xr:uid="{00000000-0005-0000-0000-0000A42A0000}"/>
    <cellStyle name="20% - Accent6 2 3 3 2 3 3 2" xfId="9677" xr:uid="{00000000-0005-0000-0000-0000A52A0000}"/>
    <cellStyle name="20% - Accent6 2 3 3 2 3 4" xfId="25216" xr:uid="{00000000-0005-0000-0000-0000A62A0000}"/>
    <cellStyle name="20% - Accent6 2 3 3 2 4" xfId="23542" xr:uid="{00000000-0005-0000-0000-0000A72A0000}"/>
    <cellStyle name="20% - Accent6 2 3 3 2 4 2" xfId="19609" xr:uid="{00000000-0005-0000-0000-0000A82A0000}"/>
    <cellStyle name="20% - Accent6 2 3 3 2 4 2 2" xfId="11626" xr:uid="{00000000-0005-0000-0000-0000A92A0000}"/>
    <cellStyle name="20% - Accent6 2 3 3 2 4 3" xfId="13189" xr:uid="{00000000-0005-0000-0000-0000AA2A0000}"/>
    <cellStyle name="20% - Accent6 2 3 3 2 5" xfId="5849" xr:uid="{00000000-0005-0000-0000-0000AB2A0000}"/>
    <cellStyle name="20% - Accent6 2 3 3 2 5 2" xfId="12523" xr:uid="{00000000-0005-0000-0000-0000AC2A0000}"/>
    <cellStyle name="20% - Accent6 2 3 3 2 6" xfId="12525" xr:uid="{00000000-0005-0000-0000-0000AD2A0000}"/>
    <cellStyle name="20% - Accent6 2 3 3 3" xfId="13427" xr:uid="{00000000-0005-0000-0000-0000AE2A0000}"/>
    <cellStyle name="20% - Accent6 2 3 3 3 2" xfId="13430" xr:uid="{00000000-0005-0000-0000-0000AF2A0000}"/>
    <cellStyle name="20% - Accent6 2 3 3 3 2 2" xfId="13432" xr:uid="{00000000-0005-0000-0000-0000B02A0000}"/>
    <cellStyle name="20% - Accent6 2 3 3 3 2 2 2" xfId="5762" xr:uid="{00000000-0005-0000-0000-0000B12A0000}"/>
    <cellStyle name="20% - Accent6 2 3 3 3 2 2 2 2" xfId="32595" xr:uid="{00000000-0005-0000-0000-0000B22A0000}"/>
    <cellStyle name="20% - Accent6 2 3 3 3 2 2 3" xfId="21637" xr:uid="{00000000-0005-0000-0000-0000B32A0000}"/>
    <cellStyle name="20% - Accent6 2 3 3 3 2 3" xfId="6257" xr:uid="{00000000-0005-0000-0000-0000B42A0000}"/>
    <cellStyle name="20% - Accent6 2 3 3 3 2 3 2" xfId="12276" xr:uid="{00000000-0005-0000-0000-0000B52A0000}"/>
    <cellStyle name="20% - Accent6 2 3 3 3 2 4" xfId="8379" xr:uid="{00000000-0005-0000-0000-0000B62A0000}"/>
    <cellStyle name="20% - Accent6 2 3 3 3 3" xfId="13191" xr:uid="{00000000-0005-0000-0000-0000B72A0000}"/>
    <cellStyle name="20% - Accent6 2 3 3 3 3 2" xfId="13585" xr:uid="{00000000-0005-0000-0000-0000B82A0000}"/>
    <cellStyle name="20% - Accent6 2 3 3 3 3 2 2" xfId="11739" xr:uid="{00000000-0005-0000-0000-0000B92A0000}"/>
    <cellStyle name="20% - Accent6 2 3 3 3 3 3" xfId="6863" xr:uid="{00000000-0005-0000-0000-0000BA2A0000}"/>
    <cellStyle name="20% - Accent6 2 3 3 3 4" xfId="16884" xr:uid="{00000000-0005-0000-0000-0000BB2A0000}"/>
    <cellStyle name="20% - Accent6 2 3 3 3 4 2" xfId="13197" xr:uid="{00000000-0005-0000-0000-0000BC2A0000}"/>
    <cellStyle name="20% - Accent6 2 3 3 3 5" xfId="1150" xr:uid="{00000000-0005-0000-0000-0000BD2A0000}"/>
    <cellStyle name="20% - Accent6 2 3 3 4" xfId="13319" xr:uid="{00000000-0005-0000-0000-0000BE2A0000}"/>
    <cellStyle name="20% - Accent6 2 3 3 4 2" xfId="13679" xr:uid="{00000000-0005-0000-0000-0000BF2A0000}"/>
    <cellStyle name="20% - Accent6 2 3 3 4 2 2" xfId="13684" xr:uid="{00000000-0005-0000-0000-0000C02A0000}"/>
    <cellStyle name="20% - Accent6 2 3 3 4 2 2 2" xfId="12159" xr:uid="{00000000-0005-0000-0000-0000C12A0000}"/>
    <cellStyle name="20% - Accent6 2 3 3 4 2 3" xfId="9141" xr:uid="{00000000-0005-0000-0000-0000C22A0000}"/>
    <cellStyle name="20% - Accent6 2 3 3 4 3" xfId="13200" xr:uid="{00000000-0005-0000-0000-0000C32A0000}"/>
    <cellStyle name="20% - Accent6 2 3 3 4 3 2" xfId="24746" xr:uid="{00000000-0005-0000-0000-0000C42A0000}"/>
    <cellStyle name="20% - Accent6 2 3 3 4 4" xfId="25784" xr:uid="{00000000-0005-0000-0000-0000C52A0000}"/>
    <cellStyle name="20% - Accent6 2 3 3 5" xfId="13322" xr:uid="{00000000-0005-0000-0000-0000C62A0000}"/>
    <cellStyle name="20% - Accent6 2 3 3 5 2" xfId="13780" xr:uid="{00000000-0005-0000-0000-0000C72A0000}"/>
    <cellStyle name="20% - Accent6 2 3 3 5 2 2" xfId="24799" xr:uid="{00000000-0005-0000-0000-0000C82A0000}"/>
    <cellStyle name="20% - Accent6 2 3 3 5 3" xfId="13204" xr:uid="{00000000-0005-0000-0000-0000C92A0000}"/>
    <cellStyle name="20% - Accent6 2 3 3 6" xfId="13207" xr:uid="{00000000-0005-0000-0000-0000CA2A0000}"/>
    <cellStyle name="20% - Accent6 2 3 3 6 2" xfId="8435" xr:uid="{00000000-0005-0000-0000-0000CB2A0000}"/>
    <cellStyle name="20% - Accent6 2 3 3 7" xfId="13209" xr:uid="{00000000-0005-0000-0000-0000CC2A0000}"/>
    <cellStyle name="20% - Accent6 2 3 4" xfId="860" xr:uid="{00000000-0005-0000-0000-0000CD2A0000}"/>
    <cellStyle name="20% - Accent6 2 3 4 2" xfId="8937" xr:uid="{00000000-0005-0000-0000-0000CE2A0000}"/>
    <cellStyle name="20% - Accent6 2 3 4 2 2" xfId="26946" xr:uid="{00000000-0005-0000-0000-0000CF2A0000}"/>
    <cellStyle name="20% - Accent6 2 3 4 2 2 2" xfId="4163" xr:uid="{00000000-0005-0000-0000-0000D02A0000}"/>
    <cellStyle name="20% - Accent6 2 3 4 2 2 2 2" xfId="24496" xr:uid="{00000000-0005-0000-0000-0000D12A0000}"/>
    <cellStyle name="20% - Accent6 2 3 4 2 2 2 2 2" xfId="9082" xr:uid="{00000000-0005-0000-0000-0000D22A0000}"/>
    <cellStyle name="20% - Accent6 2 3 4 2 2 2 3" xfId="31785" xr:uid="{00000000-0005-0000-0000-0000D32A0000}"/>
    <cellStyle name="20% - Accent6 2 3 4 2 2 3" xfId="13211" xr:uid="{00000000-0005-0000-0000-0000D42A0000}"/>
    <cellStyle name="20% - Accent6 2 3 4 2 2 3 2" xfId="13214" xr:uid="{00000000-0005-0000-0000-0000D52A0000}"/>
    <cellStyle name="20% - Accent6 2 3 4 2 2 4" xfId="4667" xr:uid="{00000000-0005-0000-0000-0000D62A0000}"/>
    <cellStyle name="20% - Accent6 2 3 4 2 3" xfId="30507" xr:uid="{00000000-0005-0000-0000-0000D72A0000}"/>
    <cellStyle name="20% - Accent6 2 3 4 2 3 2" xfId="13215" xr:uid="{00000000-0005-0000-0000-0000D82A0000}"/>
    <cellStyle name="20% - Accent6 2 3 4 2 3 2 2" xfId="9445" xr:uid="{00000000-0005-0000-0000-0000D92A0000}"/>
    <cellStyle name="20% - Accent6 2 3 4 2 3 3" xfId="13217" xr:uid="{00000000-0005-0000-0000-0000DA2A0000}"/>
    <cellStyle name="20% - Accent6 2 3 4 2 4" xfId="13221" xr:uid="{00000000-0005-0000-0000-0000DB2A0000}"/>
    <cellStyle name="20% - Accent6 2 3 4 2 4 2" xfId="13227" xr:uid="{00000000-0005-0000-0000-0000DC2A0000}"/>
    <cellStyle name="20% - Accent6 2 3 4 2 5" xfId="12545" xr:uid="{00000000-0005-0000-0000-0000DD2A0000}"/>
    <cellStyle name="20% - Accent6 2 3 4 3" xfId="13827" xr:uid="{00000000-0005-0000-0000-0000DE2A0000}"/>
    <cellStyle name="20% - Accent6 2 3 4 3 2" xfId="13231" xr:uid="{00000000-0005-0000-0000-0000DF2A0000}"/>
    <cellStyle name="20% - Accent6 2 3 4 3 2 2" xfId="13830" xr:uid="{00000000-0005-0000-0000-0000E02A0000}"/>
    <cellStyle name="20% - Accent6 2 3 4 3 2 2 2" xfId="13237" xr:uid="{00000000-0005-0000-0000-0000E12A0000}"/>
    <cellStyle name="20% - Accent6 2 3 4 3 2 3" xfId="10492" xr:uid="{00000000-0005-0000-0000-0000E22A0000}"/>
    <cellStyle name="20% - Accent6 2 3 4 3 3" xfId="13241" xr:uid="{00000000-0005-0000-0000-0000E32A0000}"/>
    <cellStyle name="20% - Accent6 2 3 4 3 3 2" xfId="13248" xr:uid="{00000000-0005-0000-0000-0000E42A0000}"/>
    <cellStyle name="20% - Accent6 2 3 4 3 4" xfId="13252" xr:uid="{00000000-0005-0000-0000-0000E52A0000}"/>
    <cellStyle name="20% - Accent6 2 3 4 4" xfId="13324" xr:uid="{00000000-0005-0000-0000-0000E62A0000}"/>
    <cellStyle name="20% - Accent6 2 3 4 4 2" xfId="13256" xr:uid="{00000000-0005-0000-0000-0000E72A0000}"/>
    <cellStyle name="20% - Accent6 2 3 4 4 2 2" xfId="12193" xr:uid="{00000000-0005-0000-0000-0000E82A0000}"/>
    <cellStyle name="20% - Accent6 2 3 4 4 3" xfId="13262" xr:uid="{00000000-0005-0000-0000-0000E92A0000}"/>
    <cellStyle name="20% - Accent6 2 3 4 5" xfId="13967" xr:uid="{00000000-0005-0000-0000-0000EA2A0000}"/>
    <cellStyle name="20% - Accent6 2 3 4 5 2" xfId="13969" xr:uid="{00000000-0005-0000-0000-0000EB2A0000}"/>
    <cellStyle name="20% - Accent6 2 3 4 6" xfId="13265" xr:uid="{00000000-0005-0000-0000-0000EC2A0000}"/>
    <cellStyle name="20% - Accent6 2 3 5" xfId="32251" xr:uid="{00000000-0005-0000-0000-0000ED2A0000}"/>
    <cellStyle name="20% - Accent6 2 3 5 2" xfId="31061" xr:uid="{00000000-0005-0000-0000-0000EE2A0000}"/>
    <cellStyle name="20% - Accent6 2 3 5 2 2" xfId="33467" xr:uid="{00000000-0005-0000-0000-0000EF2A0000}"/>
    <cellStyle name="20% - Accent6 2 3 5 2 2 2" xfId="30333" xr:uid="{00000000-0005-0000-0000-0000F02A0000}"/>
    <cellStyle name="20% - Accent6 2 3 5 2 2 2 2" xfId="15343" xr:uid="{00000000-0005-0000-0000-0000F12A0000}"/>
    <cellStyle name="20% - Accent6 2 3 5 2 2 3" xfId="13661" xr:uid="{00000000-0005-0000-0000-0000F22A0000}"/>
    <cellStyle name="20% - Accent6 2 3 5 2 3" xfId="13853" xr:uid="{00000000-0005-0000-0000-0000F32A0000}"/>
    <cellStyle name="20% - Accent6 2 3 5 2 3 2" xfId="31984" xr:uid="{00000000-0005-0000-0000-0000F42A0000}"/>
    <cellStyle name="20% - Accent6 2 3 5 2 4" xfId="13276" xr:uid="{00000000-0005-0000-0000-0000F52A0000}"/>
    <cellStyle name="20% - Accent6 2 3 5 3" xfId="14435" xr:uid="{00000000-0005-0000-0000-0000F62A0000}"/>
    <cellStyle name="20% - Accent6 2 3 5 3 2" xfId="13279" xr:uid="{00000000-0005-0000-0000-0000F72A0000}"/>
    <cellStyle name="20% - Accent6 2 3 5 3 2 2" xfId="14045" xr:uid="{00000000-0005-0000-0000-0000F82A0000}"/>
    <cellStyle name="20% - Accent6 2 3 5 3 3" xfId="8574" xr:uid="{00000000-0005-0000-0000-0000F92A0000}"/>
    <cellStyle name="20% - Accent6 2 3 5 4" xfId="14086" xr:uid="{00000000-0005-0000-0000-0000FA2A0000}"/>
    <cellStyle name="20% - Accent6 2 3 5 4 2" xfId="14090" xr:uid="{00000000-0005-0000-0000-0000FB2A0000}"/>
    <cellStyle name="20% - Accent6 2 3 5 5" xfId="14119" xr:uid="{00000000-0005-0000-0000-0000FC2A0000}"/>
    <cellStyle name="20% - Accent6 2 3 6" xfId="28403" xr:uid="{00000000-0005-0000-0000-0000FD2A0000}"/>
    <cellStyle name="20% - Accent6 2 3 6 2" xfId="32947" xr:uid="{00000000-0005-0000-0000-0000FE2A0000}"/>
    <cellStyle name="20% - Accent6 2 3 6 2 2" xfId="33360" xr:uid="{00000000-0005-0000-0000-0000FF2A0000}"/>
    <cellStyle name="20% - Accent6 2 3 6 2 2 2" xfId="32951" xr:uid="{00000000-0005-0000-0000-0000002B0000}"/>
    <cellStyle name="20% - Accent6 2 3 6 2 3" xfId="13744" xr:uid="{00000000-0005-0000-0000-0000012B0000}"/>
    <cellStyle name="20% - Accent6 2 3 6 3" xfId="14166" xr:uid="{00000000-0005-0000-0000-0000022B0000}"/>
    <cellStyle name="20% - Accent6 2 3 6 3 2" xfId="14172" xr:uid="{00000000-0005-0000-0000-0000032B0000}"/>
    <cellStyle name="20% - Accent6 2 3 6 4" xfId="14183" xr:uid="{00000000-0005-0000-0000-0000042B0000}"/>
    <cellStyle name="20% - Accent6 2 3 7" xfId="28186" xr:uid="{00000000-0005-0000-0000-0000052B0000}"/>
    <cellStyle name="20% - Accent6 2 3 7 2" xfId="13283" xr:uid="{00000000-0005-0000-0000-0000062B0000}"/>
    <cellStyle name="20% - Accent6 2 3 7 2 2" xfId="33668" xr:uid="{00000000-0005-0000-0000-0000072B0000}"/>
    <cellStyle name="20% - Accent6 2 3 7 3" xfId="13287" xr:uid="{00000000-0005-0000-0000-0000082B0000}"/>
    <cellStyle name="20% - Accent6 2 3 8" xfId="33581" xr:uid="{00000000-0005-0000-0000-0000092B0000}"/>
    <cellStyle name="20% - Accent6 2 3 8 2" xfId="13292" xr:uid="{00000000-0005-0000-0000-00000A2B0000}"/>
    <cellStyle name="20% - Accent6 2 3 9" xfId="13294" xr:uid="{00000000-0005-0000-0000-00000B2B0000}"/>
    <cellStyle name="20% - Accent6 2 4" xfId="13881" xr:uid="{00000000-0005-0000-0000-00000C2B0000}"/>
    <cellStyle name="20% - Accent6 2 4 2" xfId="24438" xr:uid="{00000000-0005-0000-0000-00000D2B0000}"/>
    <cellStyle name="20% - Accent6 2 4 2 2" xfId="13300" xr:uid="{00000000-0005-0000-0000-00000E2B0000}"/>
    <cellStyle name="20% - Accent6 2 4 2 2 2" xfId="14752" xr:uid="{00000000-0005-0000-0000-00000F2B0000}"/>
    <cellStyle name="20% - Accent6 2 4 2 2 2 2" xfId="11803" xr:uid="{00000000-0005-0000-0000-0000102B0000}"/>
    <cellStyle name="20% - Accent6 2 4 2 2 2 2 2" xfId="11806" xr:uid="{00000000-0005-0000-0000-0000112B0000}"/>
    <cellStyle name="20% - Accent6 2 4 2 2 2 2 2 2" xfId="30077" xr:uid="{00000000-0005-0000-0000-0000122B0000}"/>
    <cellStyle name="20% - Accent6 2 4 2 2 2 2 2 2 2" xfId="12218" xr:uid="{00000000-0005-0000-0000-0000132B0000}"/>
    <cellStyle name="20% - Accent6 2 4 2 2 2 2 2 3" xfId="19242" xr:uid="{00000000-0005-0000-0000-0000142B0000}"/>
    <cellStyle name="20% - Accent6 2 4 2 2 2 2 3" xfId="11810" xr:uid="{00000000-0005-0000-0000-0000152B0000}"/>
    <cellStyle name="20% - Accent6 2 4 2 2 2 2 3 2" xfId="5861" xr:uid="{00000000-0005-0000-0000-0000162B0000}"/>
    <cellStyle name="20% - Accent6 2 4 2 2 2 2 4" xfId="6562" xr:uid="{00000000-0005-0000-0000-0000172B0000}"/>
    <cellStyle name="20% - Accent6 2 4 2 2 2 3" xfId="13272" xr:uid="{00000000-0005-0000-0000-0000182B0000}"/>
    <cellStyle name="20% - Accent6 2 4 2 2 2 3 2" xfId="20345" xr:uid="{00000000-0005-0000-0000-0000192B0000}"/>
    <cellStyle name="20% - Accent6 2 4 2 2 2 3 2 2" xfId="768" xr:uid="{00000000-0005-0000-0000-00001A2B0000}"/>
    <cellStyle name="20% - Accent6 2 4 2 2 2 3 3" xfId="21774" xr:uid="{00000000-0005-0000-0000-00001B2B0000}"/>
    <cellStyle name="20% - Accent6 2 4 2 2 2 4" xfId="10365" xr:uid="{00000000-0005-0000-0000-00001C2B0000}"/>
    <cellStyle name="20% - Accent6 2 4 2 2 2 4 2" xfId="21783" xr:uid="{00000000-0005-0000-0000-00001D2B0000}"/>
    <cellStyle name="20% - Accent6 2 4 2 2 2 5" xfId="10379" xr:uid="{00000000-0005-0000-0000-00001E2B0000}"/>
    <cellStyle name="20% - Accent6 2 4 2 2 3" xfId="14754" xr:uid="{00000000-0005-0000-0000-00001F2B0000}"/>
    <cellStyle name="20% - Accent6 2 4 2 2 3 2" xfId="11846" xr:uid="{00000000-0005-0000-0000-0000202B0000}"/>
    <cellStyle name="20% - Accent6 2 4 2 2 3 2 2" xfId="11850" xr:uid="{00000000-0005-0000-0000-0000212B0000}"/>
    <cellStyle name="20% - Accent6 2 4 2 2 3 2 2 2" xfId="6250" xr:uid="{00000000-0005-0000-0000-0000222B0000}"/>
    <cellStyle name="20% - Accent6 2 4 2 2 3 2 3" xfId="3674" xr:uid="{00000000-0005-0000-0000-0000232B0000}"/>
    <cellStyle name="20% - Accent6 2 4 2 2 3 3" xfId="32998" xr:uid="{00000000-0005-0000-0000-0000242B0000}"/>
    <cellStyle name="20% - Accent6 2 4 2 2 3 3 2" xfId="20004" xr:uid="{00000000-0005-0000-0000-0000252B0000}"/>
    <cellStyle name="20% - Accent6 2 4 2 2 3 4" xfId="17614" xr:uid="{00000000-0005-0000-0000-0000262B0000}"/>
    <cellStyle name="20% - Accent6 2 4 2 2 4" xfId="9972" xr:uid="{00000000-0005-0000-0000-0000272B0000}"/>
    <cellStyle name="20% - Accent6 2 4 2 2 4 2" xfId="11867" xr:uid="{00000000-0005-0000-0000-0000282B0000}"/>
    <cellStyle name="20% - Accent6 2 4 2 2 4 2 2" xfId="3963" xr:uid="{00000000-0005-0000-0000-0000292B0000}"/>
    <cellStyle name="20% - Accent6 2 4 2 2 4 3" xfId="10672" xr:uid="{00000000-0005-0000-0000-00002A2B0000}"/>
    <cellStyle name="20% - Accent6 2 4 2 2 5" xfId="13306" xr:uid="{00000000-0005-0000-0000-00002B2B0000}"/>
    <cellStyle name="20% - Accent6 2 4 2 2 5 2" xfId="27857" xr:uid="{00000000-0005-0000-0000-00002C2B0000}"/>
    <cellStyle name="20% - Accent6 2 4 2 2 6" xfId="26225" xr:uid="{00000000-0005-0000-0000-00002D2B0000}"/>
    <cellStyle name="20% - Accent6 2 4 2 3" xfId="13160" xr:uid="{00000000-0005-0000-0000-00002E2B0000}"/>
    <cellStyle name="20% - Accent6 2 4 2 3 2" xfId="9008" xr:uid="{00000000-0005-0000-0000-00002F2B0000}"/>
    <cellStyle name="20% - Accent6 2 4 2 3 2 2" xfId="15173" xr:uid="{00000000-0005-0000-0000-0000302B0000}"/>
    <cellStyle name="20% - Accent6 2 4 2 3 2 2 2" xfId="11883" xr:uid="{00000000-0005-0000-0000-0000312B0000}"/>
    <cellStyle name="20% - Accent6 2 4 2 3 2 2 2 2" xfId="14415" xr:uid="{00000000-0005-0000-0000-0000322B0000}"/>
    <cellStyle name="20% - Accent6 2 4 2 3 2 2 3" xfId="419" xr:uid="{00000000-0005-0000-0000-0000332B0000}"/>
    <cellStyle name="20% - Accent6 2 4 2 3 2 3" xfId="17627" xr:uid="{00000000-0005-0000-0000-0000342B0000}"/>
    <cellStyle name="20% - Accent6 2 4 2 3 2 3 2" xfId="21835" xr:uid="{00000000-0005-0000-0000-0000352B0000}"/>
    <cellStyle name="20% - Accent6 2 4 2 3 2 4" xfId="17632" xr:uid="{00000000-0005-0000-0000-0000362B0000}"/>
    <cellStyle name="20% - Accent6 2 4 2 3 3" xfId="9975" xr:uid="{00000000-0005-0000-0000-0000372B0000}"/>
    <cellStyle name="20% - Accent6 2 4 2 3 3 2" xfId="12293" xr:uid="{00000000-0005-0000-0000-0000382B0000}"/>
    <cellStyle name="20% - Accent6 2 4 2 3 3 2 2" xfId="4444" xr:uid="{00000000-0005-0000-0000-0000392B0000}"/>
    <cellStyle name="20% - Accent6 2 4 2 3 3 3" xfId="12335" xr:uid="{00000000-0005-0000-0000-00003A2B0000}"/>
    <cellStyle name="20% - Accent6 2 4 2 3 4" xfId="17639" xr:uid="{00000000-0005-0000-0000-00003B2B0000}"/>
    <cellStyle name="20% - Accent6 2 4 2 3 4 2" xfId="12416" xr:uid="{00000000-0005-0000-0000-00003C2B0000}"/>
    <cellStyle name="20% - Accent6 2 4 2 3 5" xfId="17641" xr:uid="{00000000-0005-0000-0000-00003D2B0000}"/>
    <cellStyle name="20% - Accent6 2 4 2 4" xfId="17643" xr:uid="{00000000-0005-0000-0000-00003E2B0000}"/>
    <cellStyle name="20% - Accent6 2 4 2 4 2" xfId="9980" xr:uid="{00000000-0005-0000-0000-00003F2B0000}"/>
    <cellStyle name="20% - Accent6 2 4 2 4 2 2" xfId="14349" xr:uid="{00000000-0005-0000-0000-0000402B0000}"/>
    <cellStyle name="20% - Accent6 2 4 2 4 2 2 2" xfId="4784" xr:uid="{00000000-0005-0000-0000-0000412B0000}"/>
    <cellStyle name="20% - Accent6 2 4 2 4 2 3" xfId="17646" xr:uid="{00000000-0005-0000-0000-0000422B0000}"/>
    <cellStyle name="20% - Accent6 2 4 2 4 3" xfId="17648" xr:uid="{00000000-0005-0000-0000-0000432B0000}"/>
    <cellStyle name="20% - Accent6 2 4 2 4 3 2" xfId="14367" xr:uid="{00000000-0005-0000-0000-0000442B0000}"/>
    <cellStyle name="20% - Accent6 2 4 2 4 4" xfId="25850" xr:uid="{00000000-0005-0000-0000-0000452B0000}"/>
    <cellStyle name="20% - Accent6 2 4 2 5" xfId="17654" xr:uid="{00000000-0005-0000-0000-0000462B0000}"/>
    <cellStyle name="20% - Accent6 2 4 2 5 2" xfId="13327" xr:uid="{00000000-0005-0000-0000-0000472B0000}"/>
    <cellStyle name="20% - Accent6 2 4 2 5 2 2" xfId="17659" xr:uid="{00000000-0005-0000-0000-0000482B0000}"/>
    <cellStyle name="20% - Accent6 2 4 2 5 3" xfId="17661" xr:uid="{00000000-0005-0000-0000-0000492B0000}"/>
    <cellStyle name="20% - Accent6 2 4 2 6" xfId="17662" xr:uid="{00000000-0005-0000-0000-00004A2B0000}"/>
    <cellStyle name="20% - Accent6 2 4 2 6 2" xfId="17667" xr:uid="{00000000-0005-0000-0000-00004B2B0000}"/>
    <cellStyle name="20% - Accent6 2 4 2 7" xfId="13330" xr:uid="{00000000-0005-0000-0000-00004C2B0000}"/>
    <cellStyle name="20% - Accent6 2 4 3" xfId="23401" xr:uid="{00000000-0005-0000-0000-00004D2B0000}"/>
    <cellStyle name="20% - Accent6 2 4 3 2" xfId="13334" xr:uid="{00000000-0005-0000-0000-00004E2B0000}"/>
    <cellStyle name="20% - Accent6 2 4 3 2 2" xfId="4426" xr:uid="{00000000-0005-0000-0000-00004F2B0000}"/>
    <cellStyle name="20% - Accent6 2 4 3 2 2 2" xfId="13341" xr:uid="{00000000-0005-0000-0000-0000502B0000}"/>
    <cellStyle name="20% - Accent6 2 4 3 2 2 2 2" xfId="7089" xr:uid="{00000000-0005-0000-0000-0000512B0000}"/>
    <cellStyle name="20% - Accent6 2 4 3 2 2 2 2 2" xfId="33446" xr:uid="{00000000-0005-0000-0000-0000522B0000}"/>
    <cellStyle name="20% - Accent6 2 4 3 2 2 2 3" xfId="15969" xr:uid="{00000000-0005-0000-0000-0000532B0000}"/>
    <cellStyle name="20% - Accent6 2 4 3 2 2 3" xfId="13347" xr:uid="{00000000-0005-0000-0000-0000542B0000}"/>
    <cellStyle name="20% - Accent6 2 4 3 2 2 3 2" xfId="7870" xr:uid="{00000000-0005-0000-0000-0000552B0000}"/>
    <cellStyle name="20% - Accent6 2 4 3 2 2 4" xfId="1871" xr:uid="{00000000-0005-0000-0000-0000562B0000}"/>
    <cellStyle name="20% - Accent6 2 4 3 2 3" xfId="2161" xr:uid="{00000000-0005-0000-0000-0000572B0000}"/>
    <cellStyle name="20% - Accent6 2 4 3 2 3 2" xfId="11946" xr:uid="{00000000-0005-0000-0000-0000582B0000}"/>
    <cellStyle name="20% - Accent6 2 4 3 2 3 2 2" xfId="7880" xr:uid="{00000000-0005-0000-0000-0000592B0000}"/>
    <cellStyle name="20% - Accent6 2 4 3 2 3 3" xfId="1952" xr:uid="{00000000-0005-0000-0000-00005A2B0000}"/>
    <cellStyle name="20% - Accent6 2 4 3 2 4" xfId="6252" xr:uid="{00000000-0005-0000-0000-00005B2B0000}"/>
    <cellStyle name="20% - Accent6 2 4 3 2 4 2" xfId="1125" xr:uid="{00000000-0005-0000-0000-00005C2B0000}"/>
    <cellStyle name="20% - Accent6 2 4 3 2 5" xfId="13350" xr:uid="{00000000-0005-0000-0000-00005D2B0000}"/>
    <cellStyle name="20% - Accent6 2 4 3 3" xfId="17670" xr:uid="{00000000-0005-0000-0000-00005E2B0000}"/>
    <cellStyle name="20% - Accent6 2 4 3 3 2" xfId="9983" xr:uid="{00000000-0005-0000-0000-00005F2B0000}"/>
    <cellStyle name="20% - Accent6 2 4 3 3 2 2" xfId="17671" xr:uid="{00000000-0005-0000-0000-0000602B0000}"/>
    <cellStyle name="20% - Accent6 2 4 3 3 2 2 2" xfId="9110" xr:uid="{00000000-0005-0000-0000-0000612B0000}"/>
    <cellStyle name="20% - Accent6 2 4 3 3 2 3" xfId="17674" xr:uid="{00000000-0005-0000-0000-0000622B0000}"/>
    <cellStyle name="20% - Accent6 2 4 3 3 3" xfId="17676" xr:uid="{00000000-0005-0000-0000-0000632B0000}"/>
    <cellStyle name="20% - Accent6 2 4 3 3 3 2" xfId="7035" xr:uid="{00000000-0005-0000-0000-0000642B0000}"/>
    <cellStyle name="20% - Accent6 2 4 3 3 4" xfId="13352" xr:uid="{00000000-0005-0000-0000-0000652B0000}"/>
    <cellStyle name="20% - Accent6 2 4 3 4" xfId="17677" xr:uid="{00000000-0005-0000-0000-0000662B0000}"/>
    <cellStyle name="20% - Accent6 2 4 3 4 2" xfId="17681" xr:uid="{00000000-0005-0000-0000-0000672B0000}"/>
    <cellStyle name="20% - Accent6 2 4 3 4 2 2" xfId="22005" xr:uid="{00000000-0005-0000-0000-0000682B0000}"/>
    <cellStyle name="20% - Accent6 2 4 3 4 3" xfId="17683" xr:uid="{00000000-0005-0000-0000-0000692B0000}"/>
    <cellStyle name="20% - Accent6 2 4 3 5" xfId="17685" xr:uid="{00000000-0005-0000-0000-00006A2B0000}"/>
    <cellStyle name="20% - Accent6 2 4 3 5 2" xfId="17687" xr:uid="{00000000-0005-0000-0000-00006B2B0000}"/>
    <cellStyle name="20% - Accent6 2 4 3 6" xfId="17689" xr:uid="{00000000-0005-0000-0000-00006C2B0000}"/>
    <cellStyle name="20% - Accent6 2 4 4" xfId="25778" xr:uid="{00000000-0005-0000-0000-00006D2B0000}"/>
    <cellStyle name="20% - Accent6 2 4 4 2" xfId="28339" xr:uid="{00000000-0005-0000-0000-00006E2B0000}"/>
    <cellStyle name="20% - Accent6 2 4 4 2 2" xfId="9993" xr:uid="{00000000-0005-0000-0000-00006F2B0000}"/>
    <cellStyle name="20% - Accent6 2 4 4 2 2 2" xfId="11995" xr:uid="{00000000-0005-0000-0000-0000702B0000}"/>
    <cellStyle name="20% - Accent6 2 4 4 2 2 2 2" xfId="27315" xr:uid="{00000000-0005-0000-0000-0000712B0000}"/>
    <cellStyle name="20% - Accent6 2 4 4 2 2 3" xfId="19884" xr:uid="{00000000-0005-0000-0000-0000722B0000}"/>
    <cellStyle name="20% - Accent6 2 4 4 2 3" xfId="13365" xr:uid="{00000000-0005-0000-0000-0000732B0000}"/>
    <cellStyle name="20% - Accent6 2 4 4 2 3 2" xfId="564" xr:uid="{00000000-0005-0000-0000-0000742B0000}"/>
    <cellStyle name="20% - Accent6 2 4 4 2 4" xfId="13366" xr:uid="{00000000-0005-0000-0000-0000752B0000}"/>
    <cellStyle name="20% - Accent6 2 4 4 3" xfId="17690" xr:uid="{00000000-0005-0000-0000-0000762B0000}"/>
    <cellStyle name="20% - Accent6 2 4 4 3 2" xfId="17694" xr:uid="{00000000-0005-0000-0000-0000772B0000}"/>
    <cellStyle name="20% - Accent6 2 4 4 3 2 2" xfId="17695" xr:uid="{00000000-0005-0000-0000-0000782B0000}"/>
    <cellStyle name="20% - Accent6 2 4 4 3 3" xfId="17699" xr:uid="{00000000-0005-0000-0000-0000792B0000}"/>
    <cellStyle name="20% - Accent6 2 4 4 4" xfId="17700" xr:uid="{00000000-0005-0000-0000-00007A2B0000}"/>
    <cellStyle name="20% - Accent6 2 4 4 4 2" xfId="17704" xr:uid="{00000000-0005-0000-0000-00007B2B0000}"/>
    <cellStyle name="20% - Accent6 2 4 4 5" xfId="17707" xr:uid="{00000000-0005-0000-0000-00007C2B0000}"/>
    <cellStyle name="20% - Accent6 2 4 5" xfId="28370" xr:uid="{00000000-0005-0000-0000-00007D2B0000}"/>
    <cellStyle name="20% - Accent6 2 4 5 2" xfId="32547" xr:uid="{00000000-0005-0000-0000-00007E2B0000}"/>
    <cellStyle name="20% - Accent6 2 4 5 2 2" xfId="31261" xr:uid="{00000000-0005-0000-0000-00007F2B0000}"/>
    <cellStyle name="20% - Accent6 2 4 5 2 2 2" xfId="32990" xr:uid="{00000000-0005-0000-0000-0000802B0000}"/>
    <cellStyle name="20% - Accent6 2 4 5 2 3" xfId="31268" xr:uid="{00000000-0005-0000-0000-0000812B0000}"/>
    <cellStyle name="20% - Accent6 2 4 5 3" xfId="13377" xr:uid="{00000000-0005-0000-0000-0000822B0000}"/>
    <cellStyle name="20% - Accent6 2 4 5 3 2" xfId="17711" xr:uid="{00000000-0005-0000-0000-0000832B0000}"/>
    <cellStyle name="20% - Accent6 2 4 5 4" xfId="17714" xr:uid="{00000000-0005-0000-0000-0000842B0000}"/>
    <cellStyle name="20% - Accent6 2 4 6" xfId="13380" xr:uid="{00000000-0005-0000-0000-0000852B0000}"/>
    <cellStyle name="20% - Accent6 2 4 6 2" xfId="13383" xr:uid="{00000000-0005-0000-0000-0000862B0000}"/>
    <cellStyle name="20% - Accent6 2 4 6 2 2" xfId="31272" xr:uid="{00000000-0005-0000-0000-0000872B0000}"/>
    <cellStyle name="20% - Accent6 2 4 6 3" xfId="13384" xr:uid="{00000000-0005-0000-0000-0000882B0000}"/>
    <cellStyle name="20% - Accent6 2 4 7" xfId="9696" xr:uid="{00000000-0005-0000-0000-0000892B0000}"/>
    <cellStyle name="20% - Accent6 2 4 7 2" xfId="28381" xr:uid="{00000000-0005-0000-0000-00008A2B0000}"/>
    <cellStyle name="20% - Accent6 2 4 8" xfId="13387" xr:uid="{00000000-0005-0000-0000-00008B2B0000}"/>
    <cellStyle name="20% - Accent6 2 5" xfId="312" xr:uid="{00000000-0005-0000-0000-00008C2B0000}"/>
    <cellStyle name="20% - Accent6 2 5 2" xfId="6070" xr:uid="{00000000-0005-0000-0000-00008D2B0000}"/>
    <cellStyle name="20% - Accent6 2 5 2 2" xfId="1473" xr:uid="{00000000-0005-0000-0000-00008E2B0000}"/>
    <cellStyle name="20% - Accent6 2 5 2 2 2" xfId="13688" xr:uid="{00000000-0005-0000-0000-00008F2B0000}"/>
    <cellStyle name="20% - Accent6 2 5 2 2 2 2" xfId="21749" xr:uid="{00000000-0005-0000-0000-0000902B0000}"/>
    <cellStyle name="20% - Accent6 2 5 2 2 2 2 2" xfId="15589" xr:uid="{00000000-0005-0000-0000-0000912B0000}"/>
    <cellStyle name="20% - Accent6 2 5 2 2 2 2 2 2" xfId="4955" xr:uid="{00000000-0005-0000-0000-0000922B0000}"/>
    <cellStyle name="20% - Accent6 2 5 2 2 2 2 3" xfId="2060" xr:uid="{00000000-0005-0000-0000-0000932B0000}"/>
    <cellStyle name="20% - Accent6 2 5 2 2 2 3" xfId="11863" xr:uid="{00000000-0005-0000-0000-0000942B0000}"/>
    <cellStyle name="20% - Accent6 2 5 2 2 2 3 2" xfId="7152" xr:uid="{00000000-0005-0000-0000-0000952B0000}"/>
    <cellStyle name="20% - Accent6 2 5 2 2 2 4" xfId="11947" xr:uid="{00000000-0005-0000-0000-0000962B0000}"/>
    <cellStyle name="20% - Accent6 2 5 2 2 3" xfId="11629" xr:uid="{00000000-0005-0000-0000-0000972B0000}"/>
    <cellStyle name="20% - Accent6 2 5 2 2 3 2" xfId="15300" xr:uid="{00000000-0005-0000-0000-0000982B0000}"/>
    <cellStyle name="20% - Accent6 2 5 2 2 3 2 2" xfId="7202" xr:uid="{00000000-0005-0000-0000-0000992B0000}"/>
    <cellStyle name="20% - Accent6 2 5 2 2 3 3" xfId="12571" xr:uid="{00000000-0005-0000-0000-00009A2B0000}"/>
    <cellStyle name="20% - Accent6 2 5 2 2 4" xfId="11953" xr:uid="{00000000-0005-0000-0000-00009B2B0000}"/>
    <cellStyle name="20% - Accent6 2 5 2 2 4 2" xfId="12573" xr:uid="{00000000-0005-0000-0000-00009C2B0000}"/>
    <cellStyle name="20% - Accent6 2 5 2 2 5" xfId="11964" xr:uid="{00000000-0005-0000-0000-00009D2B0000}"/>
    <cellStyle name="20% - Accent6 2 5 2 3" xfId="4451" xr:uid="{00000000-0005-0000-0000-00009E2B0000}"/>
    <cellStyle name="20% - Accent6 2 5 2 3 2" xfId="5495" xr:uid="{00000000-0005-0000-0000-00009F2B0000}"/>
    <cellStyle name="20% - Accent6 2 5 2 3 2 2" xfId="16089" xr:uid="{00000000-0005-0000-0000-0000A02B0000}"/>
    <cellStyle name="20% - Accent6 2 5 2 3 2 2 2" xfId="2849" xr:uid="{00000000-0005-0000-0000-0000A12B0000}"/>
    <cellStyle name="20% - Accent6 2 5 2 3 2 3" xfId="17750" xr:uid="{00000000-0005-0000-0000-0000A22B0000}"/>
    <cellStyle name="20% - Accent6 2 5 2 3 3" xfId="17752" xr:uid="{00000000-0005-0000-0000-0000A32B0000}"/>
    <cellStyle name="20% - Accent6 2 5 2 3 3 2" xfId="12200" xr:uid="{00000000-0005-0000-0000-0000A42B0000}"/>
    <cellStyle name="20% - Accent6 2 5 2 3 4" xfId="17756" xr:uid="{00000000-0005-0000-0000-0000A52B0000}"/>
    <cellStyle name="20% - Accent6 2 5 2 4" xfId="17758" xr:uid="{00000000-0005-0000-0000-0000A62B0000}"/>
    <cellStyle name="20% - Accent6 2 5 2 4 2" xfId="17762" xr:uid="{00000000-0005-0000-0000-0000A72B0000}"/>
    <cellStyle name="20% - Accent6 2 5 2 4 2 2" xfId="15435" xr:uid="{00000000-0005-0000-0000-0000A82B0000}"/>
    <cellStyle name="20% - Accent6 2 5 2 4 3" xfId="17764" xr:uid="{00000000-0005-0000-0000-0000A92B0000}"/>
    <cellStyle name="20% - Accent6 2 5 2 5" xfId="17767" xr:uid="{00000000-0005-0000-0000-0000AA2B0000}"/>
    <cellStyle name="20% - Accent6 2 5 2 5 2" xfId="17772" xr:uid="{00000000-0005-0000-0000-0000AB2B0000}"/>
    <cellStyle name="20% - Accent6 2 5 2 6" xfId="22239" xr:uid="{00000000-0005-0000-0000-0000AC2B0000}"/>
    <cellStyle name="20% - Accent6 2 5 3" xfId="486" xr:uid="{00000000-0005-0000-0000-0000AD2B0000}"/>
    <cellStyle name="20% - Accent6 2 5 3 2" xfId="4786" xr:uid="{00000000-0005-0000-0000-0000AE2B0000}"/>
    <cellStyle name="20% - Accent6 2 5 3 2 2" xfId="11731" xr:uid="{00000000-0005-0000-0000-0000AF2B0000}"/>
    <cellStyle name="20% - Accent6 2 5 3 2 2 2" xfId="12000" xr:uid="{00000000-0005-0000-0000-0000B02B0000}"/>
    <cellStyle name="20% - Accent6 2 5 3 2 2 2 2" xfId="8227" xr:uid="{00000000-0005-0000-0000-0000B12B0000}"/>
    <cellStyle name="20% - Accent6 2 5 3 2 2 3" xfId="12006" xr:uid="{00000000-0005-0000-0000-0000B22B0000}"/>
    <cellStyle name="20% - Accent6 2 5 3 2 3" xfId="12011" xr:uid="{00000000-0005-0000-0000-0000B32B0000}"/>
    <cellStyle name="20% - Accent6 2 5 3 2 3 2" xfId="12600" xr:uid="{00000000-0005-0000-0000-0000B42B0000}"/>
    <cellStyle name="20% - Accent6 2 5 3 2 4" xfId="12019" xr:uid="{00000000-0005-0000-0000-0000B52B0000}"/>
    <cellStyle name="20% - Accent6 2 5 3 3" xfId="17775" xr:uid="{00000000-0005-0000-0000-0000B62B0000}"/>
    <cellStyle name="20% - Accent6 2 5 3 3 2" xfId="17778" xr:uid="{00000000-0005-0000-0000-0000B72B0000}"/>
    <cellStyle name="20% - Accent6 2 5 3 3 2 2" xfId="17782" xr:uid="{00000000-0005-0000-0000-0000B82B0000}"/>
    <cellStyle name="20% - Accent6 2 5 3 3 3" xfId="17785" xr:uid="{00000000-0005-0000-0000-0000B92B0000}"/>
    <cellStyle name="20% - Accent6 2 5 3 4" xfId="17787" xr:uid="{00000000-0005-0000-0000-0000BA2B0000}"/>
    <cellStyle name="20% - Accent6 2 5 3 4 2" xfId="17788" xr:uid="{00000000-0005-0000-0000-0000BB2B0000}"/>
    <cellStyle name="20% - Accent6 2 5 3 5" xfId="11877" xr:uid="{00000000-0005-0000-0000-0000BC2B0000}"/>
    <cellStyle name="20% - Accent6 2 5 4" xfId="2016" xr:uid="{00000000-0005-0000-0000-0000BD2B0000}"/>
    <cellStyle name="20% - Accent6 2 5 4 2" xfId="13393" xr:uid="{00000000-0005-0000-0000-0000BE2B0000}"/>
    <cellStyle name="20% - Accent6 2 5 4 2 2" xfId="12031" xr:uid="{00000000-0005-0000-0000-0000BF2B0000}"/>
    <cellStyle name="20% - Accent6 2 5 4 2 2 2" xfId="11510" xr:uid="{00000000-0005-0000-0000-0000C02B0000}"/>
    <cellStyle name="20% - Accent6 2 5 4 2 3" xfId="12036" xr:uid="{00000000-0005-0000-0000-0000C12B0000}"/>
    <cellStyle name="20% - Accent6 2 5 4 3" xfId="17792" xr:uid="{00000000-0005-0000-0000-0000C22B0000}"/>
    <cellStyle name="20% - Accent6 2 5 4 3 2" xfId="17796" xr:uid="{00000000-0005-0000-0000-0000C32B0000}"/>
    <cellStyle name="20% - Accent6 2 5 4 4" xfId="17797" xr:uid="{00000000-0005-0000-0000-0000C42B0000}"/>
    <cellStyle name="20% - Accent6 2 5 5" xfId="386" xr:uid="{00000000-0005-0000-0000-0000C52B0000}"/>
    <cellStyle name="20% - Accent6 2 5 5 2" xfId="32736" xr:uid="{00000000-0005-0000-0000-0000C62B0000}"/>
    <cellStyle name="20% - Accent6 2 5 5 2 2" xfId="31318" xr:uid="{00000000-0005-0000-0000-0000C72B0000}"/>
    <cellStyle name="20% - Accent6 2 5 5 3" xfId="17805" xr:uid="{00000000-0005-0000-0000-0000C82B0000}"/>
    <cellStyle name="20% - Accent6 2 5 6" xfId="1600" xr:uid="{00000000-0005-0000-0000-0000C92B0000}"/>
    <cellStyle name="20% - Accent6 2 5 6 2" xfId="31323" xr:uid="{00000000-0005-0000-0000-0000CA2B0000}"/>
    <cellStyle name="20% - Accent6 2 5 7" xfId="13410" xr:uid="{00000000-0005-0000-0000-0000CB2B0000}"/>
    <cellStyle name="20% - Accent6 2 6" xfId="6488" xr:uid="{00000000-0005-0000-0000-0000CC2B0000}"/>
    <cellStyle name="20% - Accent6 2 6 2" xfId="622" xr:uid="{00000000-0005-0000-0000-0000CD2B0000}"/>
    <cellStyle name="20% - Accent6 2 6 2 2" xfId="1961" xr:uid="{00000000-0005-0000-0000-0000CE2B0000}"/>
    <cellStyle name="20% - Accent6 2 6 2 2 2" xfId="7407" xr:uid="{00000000-0005-0000-0000-0000CF2B0000}"/>
    <cellStyle name="20% - Accent6 2 6 2 2 2 2" xfId="32439" xr:uid="{00000000-0005-0000-0000-0000D02B0000}"/>
    <cellStyle name="20% - Accent6 2 6 2 2 2 2 2" xfId="25783" xr:uid="{00000000-0005-0000-0000-0000D12B0000}"/>
    <cellStyle name="20% - Accent6 2 6 2 2 2 3" xfId="11274" xr:uid="{00000000-0005-0000-0000-0000D22B0000}"/>
    <cellStyle name="20% - Accent6 2 6 2 2 3" xfId="8781" xr:uid="{00000000-0005-0000-0000-0000D32B0000}"/>
    <cellStyle name="20% - Accent6 2 6 2 2 3 2" xfId="12622" xr:uid="{00000000-0005-0000-0000-0000D42B0000}"/>
    <cellStyle name="20% - Accent6 2 6 2 2 4" xfId="8790" xr:uid="{00000000-0005-0000-0000-0000D52B0000}"/>
    <cellStyle name="20% - Accent6 2 6 2 3" xfId="17827" xr:uid="{00000000-0005-0000-0000-0000D62B0000}"/>
    <cellStyle name="20% - Accent6 2 6 2 3 2" xfId="17566" xr:uid="{00000000-0005-0000-0000-0000D72B0000}"/>
    <cellStyle name="20% - Accent6 2 6 2 3 2 2" xfId="17834" xr:uid="{00000000-0005-0000-0000-0000D82B0000}"/>
    <cellStyle name="20% - Accent6 2 6 2 3 3" xfId="17575" xr:uid="{00000000-0005-0000-0000-0000D92B0000}"/>
    <cellStyle name="20% - Accent6 2 6 2 4" xfId="17837" xr:uid="{00000000-0005-0000-0000-0000DA2B0000}"/>
    <cellStyle name="20% - Accent6 2 6 2 4 2" xfId="17584" xr:uid="{00000000-0005-0000-0000-0000DB2B0000}"/>
    <cellStyle name="20% - Accent6 2 6 2 5" xfId="22257" xr:uid="{00000000-0005-0000-0000-0000DC2B0000}"/>
    <cellStyle name="20% - Accent6 2 6 3" xfId="30402" xr:uid="{00000000-0005-0000-0000-0000DD2B0000}"/>
    <cellStyle name="20% - Accent6 2 6 3 2" xfId="16141" xr:uid="{00000000-0005-0000-0000-0000DE2B0000}"/>
    <cellStyle name="20% - Accent6 2 6 3 2 2" xfId="23297" xr:uid="{00000000-0005-0000-0000-0000DF2B0000}"/>
    <cellStyle name="20% - Accent6 2 6 3 2 2 2" xfId="7458" xr:uid="{00000000-0005-0000-0000-0000E02B0000}"/>
    <cellStyle name="20% - Accent6 2 6 3 2 3" xfId="27593" xr:uid="{00000000-0005-0000-0000-0000E12B0000}"/>
    <cellStyle name="20% - Accent6 2 6 3 3" xfId="23033" xr:uid="{00000000-0005-0000-0000-0000E22B0000}"/>
    <cellStyle name="20% - Accent6 2 6 3 3 2" xfId="27231" xr:uid="{00000000-0005-0000-0000-0000E32B0000}"/>
    <cellStyle name="20% - Accent6 2 6 3 4" xfId="27256" xr:uid="{00000000-0005-0000-0000-0000E42B0000}"/>
    <cellStyle name="20% - Accent6 2 6 4" xfId="21471" xr:uid="{00000000-0005-0000-0000-0000E52B0000}"/>
    <cellStyle name="20% - Accent6 2 6 4 2" xfId="21479" xr:uid="{00000000-0005-0000-0000-0000E62B0000}"/>
    <cellStyle name="20% - Accent6 2 6 4 2 2" xfId="26705" xr:uid="{00000000-0005-0000-0000-0000E72B0000}"/>
    <cellStyle name="20% - Accent6 2 6 4 3" xfId="21489" xr:uid="{00000000-0005-0000-0000-0000E82B0000}"/>
    <cellStyle name="20% - Accent6 2 6 5" xfId="21501" xr:uid="{00000000-0005-0000-0000-0000E92B0000}"/>
    <cellStyle name="20% - Accent6 2 6 5 2" xfId="21507" xr:uid="{00000000-0005-0000-0000-0000EA2B0000}"/>
    <cellStyle name="20% - Accent6 2 6 6" xfId="18983" xr:uid="{00000000-0005-0000-0000-0000EB2B0000}"/>
    <cellStyle name="20% - Accent6 2 7" xfId="1155" xr:uid="{00000000-0005-0000-0000-0000EC2B0000}"/>
    <cellStyle name="20% - Accent6 2 7 2" xfId="4796" xr:uid="{00000000-0005-0000-0000-0000ED2B0000}"/>
    <cellStyle name="20% - Accent6 2 7 2 2" xfId="13414" xr:uid="{00000000-0005-0000-0000-0000EE2B0000}"/>
    <cellStyle name="20% - Accent6 2 7 2 2 2" xfId="8279" xr:uid="{00000000-0005-0000-0000-0000EF2B0000}"/>
    <cellStyle name="20% - Accent6 2 7 2 2 2 2" xfId="11952" xr:uid="{00000000-0005-0000-0000-0000F02B0000}"/>
    <cellStyle name="20% - Accent6 2 7 2 2 3" xfId="8871" xr:uid="{00000000-0005-0000-0000-0000F12B0000}"/>
    <cellStyle name="20% - Accent6 2 7 2 3" xfId="17868" xr:uid="{00000000-0005-0000-0000-0000F22B0000}"/>
    <cellStyle name="20% - Accent6 2 7 2 3 2" xfId="17633" xr:uid="{00000000-0005-0000-0000-0000F32B0000}"/>
    <cellStyle name="20% - Accent6 2 7 2 4" xfId="17874" xr:uid="{00000000-0005-0000-0000-0000F42B0000}"/>
    <cellStyle name="20% - Accent6 2 7 3" xfId="17560" xr:uid="{00000000-0005-0000-0000-0000F52B0000}"/>
    <cellStyle name="20% - Accent6 2 7 3 2" xfId="23043" xr:uid="{00000000-0005-0000-0000-0000F62B0000}"/>
    <cellStyle name="20% - Accent6 2 7 3 2 2" xfId="27600" xr:uid="{00000000-0005-0000-0000-0000F72B0000}"/>
    <cellStyle name="20% - Accent6 2 7 3 3" xfId="27604" xr:uid="{00000000-0005-0000-0000-0000F82B0000}"/>
    <cellStyle name="20% - Accent6 2 7 4" xfId="21516" xr:uid="{00000000-0005-0000-0000-0000F92B0000}"/>
    <cellStyle name="20% - Accent6 2 7 4 2" xfId="21523" xr:uid="{00000000-0005-0000-0000-0000FA2B0000}"/>
    <cellStyle name="20% - Accent6 2 7 5" xfId="21526" xr:uid="{00000000-0005-0000-0000-0000FB2B0000}"/>
    <cellStyle name="20% - Accent6 2 8" xfId="170" xr:uid="{00000000-0005-0000-0000-0000FC2B0000}"/>
    <cellStyle name="20% - Accent6 2 8 2" xfId="3686" xr:uid="{00000000-0005-0000-0000-0000FD2B0000}"/>
    <cellStyle name="20% - Accent6 2 8 2 2" xfId="13416" xr:uid="{00000000-0005-0000-0000-0000FE2B0000}"/>
    <cellStyle name="20% - Accent6 2 8 2 2 2" xfId="16425" xr:uid="{00000000-0005-0000-0000-0000FF2B0000}"/>
    <cellStyle name="20% - Accent6 2 8 2 3" xfId="13418" xr:uid="{00000000-0005-0000-0000-0000002C0000}"/>
    <cellStyle name="20% - Accent6 2 8 3" xfId="23047" xr:uid="{00000000-0005-0000-0000-0000012C0000}"/>
    <cellStyle name="20% - Accent6 2 8 3 2" xfId="26109" xr:uid="{00000000-0005-0000-0000-0000022C0000}"/>
    <cellStyle name="20% - Accent6 2 8 4" xfId="21535" xr:uid="{00000000-0005-0000-0000-0000032C0000}"/>
    <cellStyle name="20% - Accent6 2 9" xfId="3220" xr:uid="{00000000-0005-0000-0000-0000042C0000}"/>
    <cellStyle name="20% - Accent6 2 9 2" xfId="25677" xr:uid="{00000000-0005-0000-0000-0000052C0000}"/>
    <cellStyle name="20% - Accent6 2 9 2 2" xfId="13419" xr:uid="{00000000-0005-0000-0000-0000062C0000}"/>
    <cellStyle name="20% - Accent6 2 9 3" xfId="27611" xr:uid="{00000000-0005-0000-0000-0000072C0000}"/>
    <cellStyle name="20% - Accent6 3" xfId="12289" xr:uid="{00000000-0005-0000-0000-0000082C0000}"/>
    <cellStyle name="20% - Accent6 3 10" xfId="29790" xr:uid="{00000000-0005-0000-0000-0000092C0000}"/>
    <cellStyle name="20% - Accent6 3 2" xfId="13425" xr:uid="{00000000-0005-0000-0000-00000A2C0000}"/>
    <cellStyle name="20% - Accent6 3 2 2" xfId="13428" xr:uid="{00000000-0005-0000-0000-00000B2C0000}"/>
    <cellStyle name="20% - Accent6 3 2 2 2" xfId="13431" xr:uid="{00000000-0005-0000-0000-00000C2C0000}"/>
    <cellStyle name="20% - Accent6 3 2 2 2 2" xfId="13434" xr:uid="{00000000-0005-0000-0000-00000D2C0000}"/>
    <cellStyle name="20% - Accent6 3 2 2 2 2 2" xfId="12259" xr:uid="{00000000-0005-0000-0000-00000E2C0000}"/>
    <cellStyle name="20% - Accent6 3 2 2 2 2 2 2" xfId="3683" xr:uid="{00000000-0005-0000-0000-00000F2C0000}"/>
    <cellStyle name="20% - Accent6 3 2 2 2 2 2 2 2" xfId="10882" xr:uid="{00000000-0005-0000-0000-0000102C0000}"/>
    <cellStyle name="20% - Accent6 3 2 2 2 2 2 2 2 2" xfId="30841" xr:uid="{00000000-0005-0000-0000-0000112C0000}"/>
    <cellStyle name="20% - Accent6 3 2 2 2 2 2 2 2 2 2" xfId="12664" xr:uid="{00000000-0005-0000-0000-0000122C0000}"/>
    <cellStyle name="20% - Accent6 3 2 2 2 2 2 2 2 3" xfId="12633" xr:uid="{00000000-0005-0000-0000-0000132C0000}"/>
    <cellStyle name="20% - Accent6 3 2 2 2 2 2 2 3" xfId="12231" xr:uid="{00000000-0005-0000-0000-0000142C0000}"/>
    <cellStyle name="20% - Accent6 3 2 2 2 2 2 2 3 2" xfId="12645" xr:uid="{00000000-0005-0000-0000-0000152C0000}"/>
    <cellStyle name="20% - Accent6 3 2 2 2 2 2 2 4" xfId="13436" xr:uid="{00000000-0005-0000-0000-0000162C0000}"/>
    <cellStyle name="20% - Accent6 3 2 2 2 2 2 3" xfId="31378" xr:uid="{00000000-0005-0000-0000-0000172C0000}"/>
    <cellStyle name="20% - Accent6 3 2 2 2 2 2 3 2" xfId="12236" xr:uid="{00000000-0005-0000-0000-0000182C0000}"/>
    <cellStyle name="20% - Accent6 3 2 2 2 2 2 3 2 2" xfId="9692" xr:uid="{00000000-0005-0000-0000-0000192C0000}"/>
    <cellStyle name="20% - Accent6 3 2 2 2 2 2 3 3" xfId="13440" xr:uid="{00000000-0005-0000-0000-00001A2C0000}"/>
    <cellStyle name="20% - Accent6 3 2 2 2 2 2 4" xfId="31381" xr:uid="{00000000-0005-0000-0000-00001B2C0000}"/>
    <cellStyle name="20% - Accent6 3 2 2 2 2 2 4 2" xfId="7066" xr:uid="{00000000-0005-0000-0000-00001C2C0000}"/>
    <cellStyle name="20% - Accent6 3 2 2 2 2 2 5" xfId="13443" xr:uid="{00000000-0005-0000-0000-00001D2C0000}"/>
    <cellStyle name="20% - Accent6 3 2 2 2 2 3" xfId="13445" xr:uid="{00000000-0005-0000-0000-00001E2C0000}"/>
    <cellStyle name="20% - Accent6 3 2 2 2 2 3 2" xfId="14551" xr:uid="{00000000-0005-0000-0000-00001F2C0000}"/>
    <cellStyle name="20% - Accent6 3 2 2 2 2 3 2 2" xfId="12246" xr:uid="{00000000-0005-0000-0000-0000202C0000}"/>
    <cellStyle name="20% - Accent6 3 2 2 2 2 3 2 2 2" xfId="26773" xr:uid="{00000000-0005-0000-0000-0000212C0000}"/>
    <cellStyle name="20% - Accent6 3 2 2 2 2 3 2 3" xfId="13446" xr:uid="{00000000-0005-0000-0000-0000222C0000}"/>
    <cellStyle name="20% - Accent6 3 2 2 2 2 3 3" xfId="13449" xr:uid="{00000000-0005-0000-0000-0000232C0000}"/>
    <cellStyle name="20% - Accent6 3 2 2 2 2 3 3 2" xfId="13451" xr:uid="{00000000-0005-0000-0000-0000242C0000}"/>
    <cellStyle name="20% - Accent6 3 2 2 2 2 3 4" xfId="13454" xr:uid="{00000000-0005-0000-0000-0000252C0000}"/>
    <cellStyle name="20% - Accent6 3 2 2 2 2 4" xfId="13455" xr:uid="{00000000-0005-0000-0000-0000262C0000}"/>
    <cellStyle name="20% - Accent6 3 2 2 2 2 4 2" xfId="13456" xr:uid="{00000000-0005-0000-0000-0000272C0000}"/>
    <cellStyle name="20% - Accent6 3 2 2 2 2 4 2 2" xfId="28627" xr:uid="{00000000-0005-0000-0000-0000282C0000}"/>
    <cellStyle name="20% - Accent6 3 2 2 2 2 4 3" xfId="515" xr:uid="{00000000-0005-0000-0000-0000292C0000}"/>
    <cellStyle name="20% - Accent6 3 2 2 2 2 5" xfId="16499" xr:uid="{00000000-0005-0000-0000-00002A2C0000}"/>
    <cellStyle name="20% - Accent6 3 2 2 2 2 5 2" xfId="13463" xr:uid="{00000000-0005-0000-0000-00002B2C0000}"/>
    <cellStyle name="20% - Accent6 3 2 2 2 2 6" xfId="16502" xr:uid="{00000000-0005-0000-0000-00002C2C0000}"/>
    <cellStyle name="20% - Accent6 3 2 2 2 3" xfId="19968" xr:uid="{00000000-0005-0000-0000-00002D2C0000}"/>
    <cellStyle name="20% - Accent6 3 2 2 2 3 2" xfId="13466" xr:uid="{00000000-0005-0000-0000-00002E2C0000}"/>
    <cellStyle name="20% - Accent6 3 2 2 2 3 2 2" xfId="32925" xr:uid="{00000000-0005-0000-0000-00002F2C0000}"/>
    <cellStyle name="20% - Accent6 3 2 2 2 3 2 2 2" xfId="2232" xr:uid="{00000000-0005-0000-0000-0000302C0000}"/>
    <cellStyle name="20% - Accent6 3 2 2 2 3 2 2 2 2" xfId="21661" xr:uid="{00000000-0005-0000-0000-0000312C0000}"/>
    <cellStyle name="20% - Accent6 3 2 2 2 3 2 2 3" xfId="13469" xr:uid="{00000000-0005-0000-0000-0000322C0000}"/>
    <cellStyle name="20% - Accent6 3 2 2 2 3 2 3" xfId="17240" xr:uid="{00000000-0005-0000-0000-0000332C0000}"/>
    <cellStyle name="20% - Accent6 3 2 2 2 3 2 3 2" xfId="18908" xr:uid="{00000000-0005-0000-0000-0000342C0000}"/>
    <cellStyle name="20% - Accent6 3 2 2 2 3 2 4" xfId="17246" xr:uid="{00000000-0005-0000-0000-0000352C0000}"/>
    <cellStyle name="20% - Accent6 3 2 2 2 3 3" xfId="13470" xr:uid="{00000000-0005-0000-0000-0000362C0000}"/>
    <cellStyle name="20% - Accent6 3 2 2 2 3 3 2" xfId="13472" xr:uid="{00000000-0005-0000-0000-0000372C0000}"/>
    <cellStyle name="20% - Accent6 3 2 2 2 3 3 2 2" xfId="13481" xr:uid="{00000000-0005-0000-0000-0000382C0000}"/>
    <cellStyle name="20% - Accent6 3 2 2 2 3 3 3" xfId="9009" xr:uid="{00000000-0005-0000-0000-0000392C0000}"/>
    <cellStyle name="20% - Accent6 3 2 2 2 3 4" xfId="13483" xr:uid="{00000000-0005-0000-0000-00003A2C0000}"/>
    <cellStyle name="20% - Accent6 3 2 2 2 3 4 2" xfId="13488" xr:uid="{00000000-0005-0000-0000-00003B2C0000}"/>
    <cellStyle name="20% - Accent6 3 2 2 2 3 5" xfId="14411" xr:uid="{00000000-0005-0000-0000-00003C2C0000}"/>
    <cellStyle name="20% - Accent6 3 2 2 2 4" xfId="10217" xr:uid="{00000000-0005-0000-0000-00003D2C0000}"/>
    <cellStyle name="20% - Accent6 3 2 2 2 4 2" xfId="13491" xr:uid="{00000000-0005-0000-0000-00003E2C0000}"/>
    <cellStyle name="20% - Accent6 3 2 2 2 4 2 2" xfId="28245" xr:uid="{00000000-0005-0000-0000-00003F2C0000}"/>
    <cellStyle name="20% - Accent6 3 2 2 2 4 2 2 2" xfId="13498" xr:uid="{00000000-0005-0000-0000-0000402C0000}"/>
    <cellStyle name="20% - Accent6 3 2 2 2 4 2 3" xfId="17269" xr:uid="{00000000-0005-0000-0000-0000412C0000}"/>
    <cellStyle name="20% - Accent6 3 2 2 2 4 3" xfId="13502" xr:uid="{00000000-0005-0000-0000-0000422C0000}"/>
    <cellStyle name="20% - Accent6 3 2 2 2 4 3 2" xfId="30592" xr:uid="{00000000-0005-0000-0000-0000432C0000}"/>
    <cellStyle name="20% - Accent6 3 2 2 2 4 4" xfId="14832" xr:uid="{00000000-0005-0000-0000-0000442C0000}"/>
    <cellStyle name="20% - Accent6 3 2 2 2 5" xfId="2274" xr:uid="{00000000-0005-0000-0000-0000452C0000}"/>
    <cellStyle name="20% - Accent6 3 2 2 2 5 2" xfId="13055" xr:uid="{00000000-0005-0000-0000-0000462C0000}"/>
    <cellStyle name="20% - Accent6 3 2 2 2 5 2 2" xfId="13559" xr:uid="{00000000-0005-0000-0000-0000472C0000}"/>
    <cellStyle name="20% - Accent6 3 2 2 2 5 3" xfId="12172" xr:uid="{00000000-0005-0000-0000-0000482C0000}"/>
    <cellStyle name="20% - Accent6 3 2 2 2 6" xfId="550" xr:uid="{00000000-0005-0000-0000-0000492C0000}"/>
    <cellStyle name="20% - Accent6 3 2 2 2 6 2" xfId="12178" xr:uid="{00000000-0005-0000-0000-00004A2C0000}"/>
    <cellStyle name="20% - Accent6 3 2 2 2 7" xfId="13504" xr:uid="{00000000-0005-0000-0000-00004B2C0000}"/>
    <cellStyle name="20% - Accent6 3 2 2 3" xfId="2706" xr:uid="{00000000-0005-0000-0000-00004C2C0000}"/>
    <cellStyle name="20% - Accent6 3 2 2 3 2" xfId="2712" xr:uid="{00000000-0005-0000-0000-00004D2C0000}"/>
    <cellStyle name="20% - Accent6 3 2 2 3 2 2" xfId="6949" xr:uid="{00000000-0005-0000-0000-00004E2C0000}"/>
    <cellStyle name="20% - Accent6 3 2 2 3 2 2 2" xfId="31421" xr:uid="{00000000-0005-0000-0000-00004F2C0000}"/>
    <cellStyle name="20% - Accent6 3 2 2 3 2 2 2 2" xfId="12316" xr:uid="{00000000-0005-0000-0000-0000502C0000}"/>
    <cellStyle name="20% - Accent6 3 2 2 3 2 2 2 2 2" xfId="22037" xr:uid="{00000000-0005-0000-0000-0000512C0000}"/>
    <cellStyle name="20% - Accent6 3 2 2 3 2 2 2 3" xfId="13508" xr:uid="{00000000-0005-0000-0000-0000522C0000}"/>
    <cellStyle name="20% - Accent6 3 2 2 3 2 2 3" xfId="13509" xr:uid="{00000000-0005-0000-0000-0000532C0000}"/>
    <cellStyle name="20% - Accent6 3 2 2 3 2 2 3 2" xfId="13515" xr:uid="{00000000-0005-0000-0000-0000542C0000}"/>
    <cellStyle name="20% - Accent6 3 2 2 3 2 2 4" xfId="13516" xr:uid="{00000000-0005-0000-0000-0000552C0000}"/>
    <cellStyle name="20% - Accent6 3 2 2 3 2 3" xfId="3966" xr:uid="{00000000-0005-0000-0000-0000562C0000}"/>
    <cellStyle name="20% - Accent6 3 2 2 3 2 3 2" xfId="13505" xr:uid="{00000000-0005-0000-0000-0000572C0000}"/>
    <cellStyle name="20% - Accent6 3 2 2 3 2 3 2 2" xfId="10407" xr:uid="{00000000-0005-0000-0000-0000582C0000}"/>
    <cellStyle name="20% - Accent6 3 2 2 3 2 3 3" xfId="13525" xr:uid="{00000000-0005-0000-0000-0000592C0000}"/>
    <cellStyle name="20% - Accent6 3 2 2 3 2 4" xfId="14407" xr:uid="{00000000-0005-0000-0000-00005A2C0000}"/>
    <cellStyle name="20% - Accent6 3 2 2 3 2 4 2" xfId="22699" xr:uid="{00000000-0005-0000-0000-00005B2C0000}"/>
    <cellStyle name="20% - Accent6 3 2 2 3 2 5" xfId="6965" xr:uid="{00000000-0005-0000-0000-00005C2C0000}"/>
    <cellStyle name="20% - Accent6 3 2 2 3 3" xfId="2725" xr:uid="{00000000-0005-0000-0000-00005D2C0000}"/>
    <cellStyle name="20% - Accent6 3 2 2 3 3 2" xfId="13527" xr:uid="{00000000-0005-0000-0000-00005E2C0000}"/>
    <cellStyle name="20% - Accent6 3 2 2 3 3 2 2" xfId="29005" xr:uid="{00000000-0005-0000-0000-00005F2C0000}"/>
    <cellStyle name="20% - Accent6 3 2 2 3 3 2 2 2" xfId="9534" xr:uid="{00000000-0005-0000-0000-0000602C0000}"/>
    <cellStyle name="20% - Accent6 3 2 2 3 3 2 3" xfId="17341" xr:uid="{00000000-0005-0000-0000-0000612C0000}"/>
    <cellStyle name="20% - Accent6 3 2 2 3 3 3" xfId="4692" xr:uid="{00000000-0005-0000-0000-0000622C0000}"/>
    <cellStyle name="20% - Accent6 3 2 2 3 3 3 2" xfId="13534" xr:uid="{00000000-0005-0000-0000-0000632C0000}"/>
    <cellStyle name="20% - Accent6 3 2 2 3 3 4" xfId="12450" xr:uid="{00000000-0005-0000-0000-0000642C0000}"/>
    <cellStyle name="20% - Accent6 3 2 2 3 4" xfId="31026" xr:uid="{00000000-0005-0000-0000-0000652C0000}"/>
    <cellStyle name="20% - Accent6 3 2 2 3 4 2" xfId="13535" xr:uid="{00000000-0005-0000-0000-0000662C0000}"/>
    <cellStyle name="20% - Accent6 3 2 2 3 4 2 2" xfId="13542" xr:uid="{00000000-0005-0000-0000-0000672C0000}"/>
    <cellStyle name="20% - Accent6 3 2 2 3 4 3" xfId="8256" xr:uid="{00000000-0005-0000-0000-0000682C0000}"/>
    <cellStyle name="20% - Accent6 3 2 2 3 5" xfId="740" xr:uid="{00000000-0005-0000-0000-0000692C0000}"/>
    <cellStyle name="20% - Accent6 3 2 2 3 5 2" xfId="23972" xr:uid="{00000000-0005-0000-0000-00006A2C0000}"/>
    <cellStyle name="20% - Accent6 3 2 2 3 6" xfId="12308" xr:uid="{00000000-0005-0000-0000-00006B2C0000}"/>
    <cellStyle name="20% - Accent6 3 2 2 4" xfId="2732" xr:uid="{00000000-0005-0000-0000-00006C2C0000}"/>
    <cellStyle name="20% - Accent6 3 2 2 4 2" xfId="2743" xr:uid="{00000000-0005-0000-0000-00006D2C0000}"/>
    <cellStyle name="20% - Accent6 3 2 2 4 2 2" xfId="13543" xr:uid="{00000000-0005-0000-0000-00006E2C0000}"/>
    <cellStyle name="20% - Accent6 3 2 2 4 2 2 2" xfId="13548" xr:uid="{00000000-0005-0000-0000-00006F2C0000}"/>
    <cellStyle name="20% - Accent6 3 2 2 4 2 2 2 2" xfId="33091" xr:uid="{00000000-0005-0000-0000-0000702C0000}"/>
    <cellStyle name="20% - Accent6 3 2 2 4 2 2 3" xfId="13549" xr:uid="{00000000-0005-0000-0000-0000712C0000}"/>
    <cellStyle name="20% - Accent6 3 2 2 4 2 3" xfId="7171" xr:uid="{00000000-0005-0000-0000-0000722C0000}"/>
    <cellStyle name="20% - Accent6 3 2 2 4 2 3 2" xfId="9531" xr:uid="{00000000-0005-0000-0000-0000732C0000}"/>
    <cellStyle name="20% - Accent6 3 2 2 4 2 4" xfId="6987" xr:uid="{00000000-0005-0000-0000-0000742C0000}"/>
    <cellStyle name="20% - Accent6 3 2 2 4 3" xfId="2920" xr:uid="{00000000-0005-0000-0000-0000752C0000}"/>
    <cellStyle name="20% - Accent6 3 2 2 4 3 2" xfId="4736" xr:uid="{00000000-0005-0000-0000-0000762C0000}"/>
    <cellStyle name="20% - Accent6 3 2 2 4 3 2 2" xfId="13554" xr:uid="{00000000-0005-0000-0000-0000772C0000}"/>
    <cellStyle name="20% - Accent6 3 2 2 4 3 3" xfId="6993" xr:uid="{00000000-0005-0000-0000-0000782C0000}"/>
    <cellStyle name="20% - Accent6 3 2 2 4 4" xfId="31316" xr:uid="{00000000-0005-0000-0000-0000792C0000}"/>
    <cellStyle name="20% - Accent6 3 2 2 4 4 2" xfId="13555" xr:uid="{00000000-0005-0000-0000-00007A2C0000}"/>
    <cellStyle name="20% - Accent6 3 2 2 4 5" xfId="12317" xr:uid="{00000000-0005-0000-0000-00007B2C0000}"/>
    <cellStyle name="20% - Accent6 3 2 2 5" xfId="2747" xr:uid="{00000000-0005-0000-0000-00007C2C0000}"/>
    <cellStyle name="20% - Accent6 3 2 2 5 2" xfId="13557" xr:uid="{00000000-0005-0000-0000-00007D2C0000}"/>
    <cellStyle name="20% - Accent6 3 2 2 5 2 2" xfId="28272" xr:uid="{00000000-0005-0000-0000-00007E2C0000}"/>
    <cellStyle name="20% - Accent6 3 2 2 5 2 2 2" xfId="13564" xr:uid="{00000000-0005-0000-0000-00007F2C0000}"/>
    <cellStyle name="20% - Accent6 3 2 2 5 2 3" xfId="6999" xr:uid="{00000000-0005-0000-0000-0000802C0000}"/>
    <cellStyle name="20% - Accent6 3 2 2 5 3" xfId="31532" xr:uid="{00000000-0005-0000-0000-0000812C0000}"/>
    <cellStyle name="20% - Accent6 3 2 2 5 3 2" xfId="16396" xr:uid="{00000000-0005-0000-0000-0000822C0000}"/>
    <cellStyle name="20% - Accent6 3 2 2 5 4" xfId="14352" xr:uid="{00000000-0005-0000-0000-0000832C0000}"/>
    <cellStyle name="20% - Accent6 3 2 2 6" xfId="13569" xr:uid="{00000000-0005-0000-0000-0000842C0000}"/>
    <cellStyle name="20% - Accent6 3 2 2 6 2" xfId="13570" xr:uid="{00000000-0005-0000-0000-0000852C0000}"/>
    <cellStyle name="20% - Accent6 3 2 2 6 2 2" xfId="13572" xr:uid="{00000000-0005-0000-0000-0000862C0000}"/>
    <cellStyle name="20% - Accent6 3 2 2 6 3" xfId="13574" xr:uid="{00000000-0005-0000-0000-0000872C0000}"/>
    <cellStyle name="20% - Accent6 3 2 2 7" xfId="13576" xr:uid="{00000000-0005-0000-0000-0000882C0000}"/>
    <cellStyle name="20% - Accent6 3 2 2 7 2" xfId="13577" xr:uid="{00000000-0005-0000-0000-0000892C0000}"/>
    <cellStyle name="20% - Accent6 3 2 2 8" xfId="13581" xr:uid="{00000000-0005-0000-0000-00008A2C0000}"/>
    <cellStyle name="20% - Accent6 3 2 3" xfId="7235" xr:uid="{00000000-0005-0000-0000-00008B2C0000}"/>
    <cellStyle name="20% - Accent6 3 2 3 2" xfId="13583" xr:uid="{00000000-0005-0000-0000-00008C2C0000}"/>
    <cellStyle name="20% - Accent6 3 2 3 2 2" xfId="13588" xr:uid="{00000000-0005-0000-0000-00008D2C0000}"/>
    <cellStyle name="20% - Accent6 3 2 3 2 2 2" xfId="13593" xr:uid="{00000000-0005-0000-0000-00008E2C0000}"/>
    <cellStyle name="20% - Accent6 3 2 3 2 2 2 2" xfId="33504" xr:uid="{00000000-0005-0000-0000-00008F2C0000}"/>
    <cellStyle name="20% - Accent6 3 2 3 2 2 2 2 2" xfId="12385" xr:uid="{00000000-0005-0000-0000-0000902C0000}"/>
    <cellStyle name="20% - Accent6 3 2 3 2 2 2 2 2 2" xfId="10793" xr:uid="{00000000-0005-0000-0000-0000912C0000}"/>
    <cellStyle name="20% - Accent6 3 2 3 2 2 2 2 3" xfId="13596" xr:uid="{00000000-0005-0000-0000-0000922C0000}"/>
    <cellStyle name="20% - Accent6 3 2 3 2 2 2 3" xfId="2242" xr:uid="{00000000-0005-0000-0000-0000932C0000}"/>
    <cellStyle name="20% - Accent6 3 2 3 2 2 2 3 2" xfId="13601" xr:uid="{00000000-0005-0000-0000-0000942C0000}"/>
    <cellStyle name="20% - Accent6 3 2 3 2 2 2 4" xfId="13610" xr:uid="{00000000-0005-0000-0000-0000952C0000}"/>
    <cellStyle name="20% - Accent6 3 2 3 2 2 3" xfId="12221" xr:uid="{00000000-0005-0000-0000-0000962C0000}"/>
    <cellStyle name="20% - Accent6 3 2 3 2 2 3 2" xfId="1651" xr:uid="{00000000-0005-0000-0000-0000972C0000}"/>
    <cellStyle name="20% - Accent6 3 2 3 2 2 3 2 2" xfId="322" xr:uid="{00000000-0005-0000-0000-0000982C0000}"/>
    <cellStyle name="20% - Accent6 3 2 3 2 2 3 3" xfId="11611" xr:uid="{00000000-0005-0000-0000-0000992C0000}"/>
    <cellStyle name="20% - Accent6 3 2 3 2 2 4" xfId="26472" xr:uid="{00000000-0005-0000-0000-00009A2C0000}"/>
    <cellStyle name="20% - Accent6 3 2 3 2 2 4 2" xfId="29654" xr:uid="{00000000-0005-0000-0000-00009B2C0000}"/>
    <cellStyle name="20% - Accent6 3 2 3 2 2 5" xfId="16544" xr:uid="{00000000-0005-0000-0000-00009C2C0000}"/>
    <cellStyle name="20% - Accent6 3 2 3 2 3" xfId="32237" xr:uid="{00000000-0005-0000-0000-00009D2C0000}"/>
    <cellStyle name="20% - Accent6 3 2 3 2 3 2" xfId="30780" xr:uid="{00000000-0005-0000-0000-00009E2C0000}"/>
    <cellStyle name="20% - Accent6 3 2 3 2 3 2 2" xfId="1668" xr:uid="{00000000-0005-0000-0000-00009F2C0000}"/>
    <cellStyle name="20% - Accent6 3 2 3 2 3 2 2 2" xfId="13611" xr:uid="{00000000-0005-0000-0000-0000A02C0000}"/>
    <cellStyle name="20% - Accent6 3 2 3 2 3 2 3" xfId="17737" xr:uid="{00000000-0005-0000-0000-0000A12C0000}"/>
    <cellStyle name="20% - Accent6 3 2 3 2 3 3" xfId="13612" xr:uid="{00000000-0005-0000-0000-0000A22C0000}"/>
    <cellStyle name="20% - Accent6 3 2 3 2 3 3 2" xfId="11628" xr:uid="{00000000-0005-0000-0000-0000A32C0000}"/>
    <cellStyle name="20% - Accent6 3 2 3 2 3 4" xfId="13613" xr:uid="{00000000-0005-0000-0000-0000A42C0000}"/>
    <cellStyle name="20% - Accent6 3 2 3 2 4" xfId="24606" xr:uid="{00000000-0005-0000-0000-0000A52C0000}"/>
    <cellStyle name="20% - Accent6 3 2 3 2 4 2" xfId="13615" xr:uid="{00000000-0005-0000-0000-0000A62C0000}"/>
    <cellStyle name="20% - Accent6 3 2 3 2 4 2 2" xfId="28564" xr:uid="{00000000-0005-0000-0000-0000A72C0000}"/>
    <cellStyle name="20% - Accent6 3 2 3 2 4 3" xfId="13616" xr:uid="{00000000-0005-0000-0000-0000A82C0000}"/>
    <cellStyle name="20% - Accent6 3 2 3 2 5" xfId="2394" xr:uid="{00000000-0005-0000-0000-0000A92C0000}"/>
    <cellStyle name="20% - Accent6 3 2 3 2 5 2" xfId="13824" xr:uid="{00000000-0005-0000-0000-0000AA2C0000}"/>
    <cellStyle name="20% - Accent6 3 2 3 2 6" xfId="13618" xr:uid="{00000000-0005-0000-0000-0000AB2C0000}"/>
    <cellStyle name="20% - Accent6 3 2 3 3" xfId="6861" xr:uid="{00000000-0005-0000-0000-0000AC2C0000}"/>
    <cellStyle name="20% - Accent6 3 2 3 3 2" xfId="11474" xr:uid="{00000000-0005-0000-0000-0000AD2C0000}"/>
    <cellStyle name="20% - Accent6 3 2 3 3 2 2" xfId="13619" xr:uid="{00000000-0005-0000-0000-0000AE2C0000}"/>
    <cellStyle name="20% - Accent6 3 2 3 3 2 2 2" xfId="6856" xr:uid="{00000000-0005-0000-0000-0000AF2C0000}"/>
    <cellStyle name="20% - Accent6 3 2 3 3 2 2 2 2" xfId="16329" xr:uid="{00000000-0005-0000-0000-0000B02C0000}"/>
    <cellStyle name="20% - Accent6 3 2 3 3 2 2 3" xfId="13623" xr:uid="{00000000-0005-0000-0000-0000B12C0000}"/>
    <cellStyle name="20% - Accent6 3 2 3 3 2 3" xfId="8108" xr:uid="{00000000-0005-0000-0000-0000B22C0000}"/>
    <cellStyle name="20% - Accent6 3 2 3 3 2 3 2" xfId="11716" xr:uid="{00000000-0005-0000-0000-0000B32C0000}"/>
    <cellStyle name="20% - Accent6 3 2 3 3 2 4" xfId="7037" xr:uid="{00000000-0005-0000-0000-0000B42C0000}"/>
    <cellStyle name="20% - Accent6 3 2 3 3 3" xfId="24616" xr:uid="{00000000-0005-0000-0000-0000B52C0000}"/>
    <cellStyle name="20% - Accent6 3 2 3 3 3 2" xfId="13626" xr:uid="{00000000-0005-0000-0000-0000B62C0000}"/>
    <cellStyle name="20% - Accent6 3 2 3 3 3 2 2" xfId="13630" xr:uid="{00000000-0005-0000-0000-0000B72C0000}"/>
    <cellStyle name="20% - Accent6 3 2 3 3 3 3" xfId="1807" xr:uid="{00000000-0005-0000-0000-0000B82C0000}"/>
    <cellStyle name="20% - Accent6 3 2 3 3 4" xfId="31321" xr:uid="{00000000-0005-0000-0000-0000B92C0000}"/>
    <cellStyle name="20% - Accent6 3 2 3 3 4 2" xfId="13632" xr:uid="{00000000-0005-0000-0000-0000BA2C0000}"/>
    <cellStyle name="20% - Accent6 3 2 3 3 5" xfId="12074" xr:uid="{00000000-0005-0000-0000-0000BB2C0000}"/>
    <cellStyle name="20% - Accent6 3 2 3 4" xfId="2776" xr:uid="{00000000-0005-0000-0000-0000BC2C0000}"/>
    <cellStyle name="20% - Accent6 3 2 3 4 2" xfId="26329" xr:uid="{00000000-0005-0000-0000-0000BD2C0000}"/>
    <cellStyle name="20% - Accent6 3 2 3 4 2 2" xfId="13635" xr:uid="{00000000-0005-0000-0000-0000BE2C0000}"/>
    <cellStyle name="20% - Accent6 3 2 3 4 2 2 2" xfId="10954" xr:uid="{00000000-0005-0000-0000-0000BF2C0000}"/>
    <cellStyle name="20% - Accent6 3 2 3 4 2 3" xfId="7815" xr:uid="{00000000-0005-0000-0000-0000C02C0000}"/>
    <cellStyle name="20% - Accent6 3 2 3 4 3" xfId="24030" xr:uid="{00000000-0005-0000-0000-0000C12C0000}"/>
    <cellStyle name="20% - Accent6 3 2 3 4 3 2" xfId="25901" xr:uid="{00000000-0005-0000-0000-0000C22C0000}"/>
    <cellStyle name="20% - Accent6 3 2 3 4 4" xfId="7279" xr:uid="{00000000-0005-0000-0000-0000C32C0000}"/>
    <cellStyle name="20% - Accent6 3 2 3 5" xfId="13638" xr:uid="{00000000-0005-0000-0000-0000C42C0000}"/>
    <cellStyle name="20% - Accent6 3 2 3 5 2" xfId="5974" xr:uid="{00000000-0005-0000-0000-0000C52C0000}"/>
    <cellStyle name="20% - Accent6 3 2 3 5 2 2" xfId="26024" xr:uid="{00000000-0005-0000-0000-0000C62C0000}"/>
    <cellStyle name="20% - Accent6 3 2 3 5 3" xfId="1722" xr:uid="{00000000-0005-0000-0000-0000C72C0000}"/>
    <cellStyle name="20% - Accent6 3 2 3 6" xfId="13642" xr:uid="{00000000-0005-0000-0000-0000C82C0000}"/>
    <cellStyle name="20% - Accent6 3 2 3 6 2" xfId="5991" xr:uid="{00000000-0005-0000-0000-0000C92C0000}"/>
    <cellStyle name="20% - Accent6 3 2 3 7" xfId="23939" xr:uid="{00000000-0005-0000-0000-0000CA2C0000}"/>
    <cellStyle name="20% - Accent6 3 2 4" xfId="7246" xr:uid="{00000000-0005-0000-0000-0000CB2C0000}"/>
    <cellStyle name="20% - Accent6 3 2 4 2" xfId="13193" xr:uid="{00000000-0005-0000-0000-0000CC2C0000}"/>
    <cellStyle name="20% - Accent6 3 2 4 2 2" xfId="13643" xr:uid="{00000000-0005-0000-0000-0000CD2C0000}"/>
    <cellStyle name="20% - Accent6 3 2 4 2 2 2" xfId="24950" xr:uid="{00000000-0005-0000-0000-0000CE2C0000}"/>
    <cellStyle name="20% - Accent6 3 2 4 2 2 2 2" xfId="7762" xr:uid="{00000000-0005-0000-0000-0000CF2C0000}"/>
    <cellStyle name="20% - Accent6 3 2 4 2 2 2 2 2" xfId="14304" xr:uid="{00000000-0005-0000-0000-0000D02C0000}"/>
    <cellStyle name="20% - Accent6 3 2 4 2 2 2 3" xfId="13102" xr:uid="{00000000-0005-0000-0000-0000D12C0000}"/>
    <cellStyle name="20% - Accent6 3 2 4 2 2 3" xfId="24972" xr:uid="{00000000-0005-0000-0000-0000D22C0000}"/>
    <cellStyle name="20% - Accent6 3 2 4 2 2 3 2" xfId="13105" xr:uid="{00000000-0005-0000-0000-0000D32C0000}"/>
    <cellStyle name="20% - Accent6 3 2 4 2 2 4" xfId="24985" xr:uid="{00000000-0005-0000-0000-0000D42C0000}"/>
    <cellStyle name="20% - Accent6 3 2 4 2 3" xfId="31643" xr:uid="{00000000-0005-0000-0000-0000D52C0000}"/>
    <cellStyle name="20% - Accent6 3 2 4 2 3 2" xfId="25202" xr:uid="{00000000-0005-0000-0000-0000D62C0000}"/>
    <cellStyle name="20% - Accent6 3 2 4 2 3 2 2" xfId="13119" xr:uid="{00000000-0005-0000-0000-0000D72C0000}"/>
    <cellStyle name="20% - Accent6 3 2 4 2 3 3" xfId="25232" xr:uid="{00000000-0005-0000-0000-0000D82C0000}"/>
    <cellStyle name="20% - Accent6 3 2 4 2 4" xfId="13644" xr:uid="{00000000-0005-0000-0000-0000D92C0000}"/>
    <cellStyle name="20% - Accent6 3 2 4 2 4 2" xfId="25439" xr:uid="{00000000-0005-0000-0000-0000DA2C0000}"/>
    <cellStyle name="20% - Accent6 3 2 4 2 5" xfId="13645" xr:uid="{00000000-0005-0000-0000-0000DB2C0000}"/>
    <cellStyle name="20% - Accent6 3 2 4 3" xfId="2786" xr:uid="{00000000-0005-0000-0000-0000DC2C0000}"/>
    <cellStyle name="20% - Accent6 3 2 4 3 2" xfId="13646" xr:uid="{00000000-0005-0000-0000-0000DD2C0000}"/>
    <cellStyle name="20% - Accent6 3 2 4 3 2 2" xfId="24596" xr:uid="{00000000-0005-0000-0000-0000DE2C0000}"/>
    <cellStyle name="20% - Accent6 3 2 4 3 2 2 2" xfId="9803" xr:uid="{00000000-0005-0000-0000-0000DF2C0000}"/>
    <cellStyle name="20% - Accent6 3 2 4 3 2 3" xfId="26807" xr:uid="{00000000-0005-0000-0000-0000E02C0000}"/>
    <cellStyle name="20% - Accent6 3 2 4 3 3" xfId="27291" xr:uid="{00000000-0005-0000-0000-0000E12C0000}"/>
    <cellStyle name="20% - Accent6 3 2 4 3 3 2" xfId="30271" xr:uid="{00000000-0005-0000-0000-0000E22C0000}"/>
    <cellStyle name="20% - Accent6 3 2 4 3 4" xfId="12077" xr:uid="{00000000-0005-0000-0000-0000E32C0000}"/>
    <cellStyle name="20% - Accent6 3 2 4 4" xfId="13648" xr:uid="{00000000-0005-0000-0000-0000E42C0000}"/>
    <cellStyle name="20% - Accent6 3 2 4 4 2" xfId="13649" xr:uid="{00000000-0005-0000-0000-0000E52C0000}"/>
    <cellStyle name="20% - Accent6 3 2 4 4 2 2" xfId="30962" xr:uid="{00000000-0005-0000-0000-0000E62C0000}"/>
    <cellStyle name="20% - Accent6 3 2 4 4 3" xfId="13650" xr:uid="{00000000-0005-0000-0000-0000E72C0000}"/>
    <cellStyle name="20% - Accent6 3 2 4 5" xfId="13651" xr:uid="{00000000-0005-0000-0000-0000E82C0000}"/>
    <cellStyle name="20% - Accent6 3 2 4 5 2" xfId="1758" xr:uid="{00000000-0005-0000-0000-0000E92C0000}"/>
    <cellStyle name="20% - Accent6 3 2 4 6" xfId="13652" xr:uid="{00000000-0005-0000-0000-0000EA2C0000}"/>
    <cellStyle name="20% - Accent6 3 2 5" xfId="1147" xr:uid="{00000000-0005-0000-0000-0000EB2C0000}"/>
    <cellStyle name="20% - Accent6 3 2 5 2" xfId="30873" xr:uid="{00000000-0005-0000-0000-0000EC2C0000}"/>
    <cellStyle name="20% - Accent6 3 2 5 2 2" xfId="25536" xr:uid="{00000000-0005-0000-0000-0000ED2C0000}"/>
    <cellStyle name="20% - Accent6 3 2 5 2 2 2" xfId="29483" xr:uid="{00000000-0005-0000-0000-0000EE2C0000}"/>
    <cellStyle name="20% - Accent6 3 2 5 2 2 2 2" xfId="2915" xr:uid="{00000000-0005-0000-0000-0000EF2C0000}"/>
    <cellStyle name="20% - Accent6 3 2 5 2 2 3" xfId="33886" xr:uid="{00000000-0005-0000-0000-0000F02C0000}"/>
    <cellStyle name="20% - Accent6 3 2 5 2 3" xfId="13664" xr:uid="{00000000-0005-0000-0000-0000F12C0000}"/>
    <cellStyle name="20% - Accent6 3 2 5 2 3 2" xfId="30300" xr:uid="{00000000-0005-0000-0000-0000F22C0000}"/>
    <cellStyle name="20% - Accent6 3 2 5 2 4" xfId="15927" xr:uid="{00000000-0005-0000-0000-0000F32C0000}"/>
    <cellStyle name="20% - Accent6 3 2 5 3" xfId="30884" xr:uid="{00000000-0005-0000-0000-0000F42C0000}"/>
    <cellStyle name="20% - Accent6 3 2 5 3 2" xfId="12670" xr:uid="{00000000-0005-0000-0000-0000F52C0000}"/>
    <cellStyle name="20% - Accent6 3 2 5 3 2 2" xfId="30696" xr:uid="{00000000-0005-0000-0000-0000F62C0000}"/>
    <cellStyle name="20% - Accent6 3 2 5 3 3" xfId="30215" xr:uid="{00000000-0005-0000-0000-0000F72C0000}"/>
    <cellStyle name="20% - Accent6 3 2 5 4" xfId="29491" xr:uid="{00000000-0005-0000-0000-0000F82C0000}"/>
    <cellStyle name="20% - Accent6 3 2 5 4 2" xfId="30816" xr:uid="{00000000-0005-0000-0000-0000F92C0000}"/>
    <cellStyle name="20% - Accent6 3 2 5 5" xfId="21487" xr:uid="{00000000-0005-0000-0000-0000FA2C0000}"/>
    <cellStyle name="20% - Accent6 3 2 6" xfId="1161" xr:uid="{00000000-0005-0000-0000-0000FB2C0000}"/>
    <cellStyle name="20% - Accent6 3 2 6 2" xfId="23137" xr:uid="{00000000-0005-0000-0000-0000FC2C0000}"/>
    <cellStyle name="20% - Accent6 3 2 6 2 2" xfId="858" xr:uid="{00000000-0005-0000-0000-0000FD2C0000}"/>
    <cellStyle name="20% - Accent6 3 2 6 2 2 2" xfId="2754" xr:uid="{00000000-0005-0000-0000-0000FE2C0000}"/>
    <cellStyle name="20% - Accent6 3 2 6 2 3" xfId="863" xr:uid="{00000000-0005-0000-0000-0000FF2C0000}"/>
    <cellStyle name="20% - Accent6 3 2 6 3" xfId="29507" xr:uid="{00000000-0005-0000-0000-0000002D0000}"/>
    <cellStyle name="20% - Accent6 3 2 6 3 2" xfId="871" xr:uid="{00000000-0005-0000-0000-0000012D0000}"/>
    <cellStyle name="20% - Accent6 3 2 6 4" xfId="32128" xr:uid="{00000000-0005-0000-0000-0000022D0000}"/>
    <cellStyle name="20% - Accent6 3 2 7" xfId="7135" xr:uid="{00000000-0005-0000-0000-0000032D0000}"/>
    <cellStyle name="20% - Accent6 3 2 7 2" xfId="25696" xr:uid="{00000000-0005-0000-0000-0000042D0000}"/>
    <cellStyle name="20% - Accent6 3 2 7 2 2" xfId="2544" xr:uid="{00000000-0005-0000-0000-0000052D0000}"/>
    <cellStyle name="20% - Accent6 3 2 7 3" xfId="24394" xr:uid="{00000000-0005-0000-0000-0000062D0000}"/>
    <cellStyle name="20% - Accent6 3 2 8" xfId="8331" xr:uid="{00000000-0005-0000-0000-0000072D0000}"/>
    <cellStyle name="20% - Accent6 3 2 8 2" xfId="24771" xr:uid="{00000000-0005-0000-0000-0000082D0000}"/>
    <cellStyle name="20% - Accent6 3 2 9" xfId="13675" xr:uid="{00000000-0005-0000-0000-0000092D0000}"/>
    <cellStyle name="20% - Accent6 3 3" xfId="13316" xr:uid="{00000000-0005-0000-0000-00000A2D0000}"/>
    <cellStyle name="20% - Accent6 3 3 2" xfId="13677" xr:uid="{00000000-0005-0000-0000-00000B2D0000}"/>
    <cellStyle name="20% - Accent6 3 3 2 2" xfId="25776" xr:uid="{00000000-0005-0000-0000-00000C2D0000}"/>
    <cellStyle name="20% - Accent6 3 3 2 2 2" xfId="13685" xr:uid="{00000000-0005-0000-0000-00000D2D0000}"/>
    <cellStyle name="20% - Accent6 3 3 2 2 2 2" xfId="13694" xr:uid="{00000000-0005-0000-0000-00000E2D0000}"/>
    <cellStyle name="20% - Accent6 3 3 2 2 2 2 2" xfId="13695" xr:uid="{00000000-0005-0000-0000-00000F2D0000}"/>
    <cellStyle name="20% - Accent6 3 3 2 2 2 2 2 2" xfId="13698" xr:uid="{00000000-0005-0000-0000-0000102D0000}"/>
    <cellStyle name="20% - Accent6 3 3 2 2 2 2 2 2 2" xfId="7769" xr:uid="{00000000-0005-0000-0000-0000112D0000}"/>
    <cellStyle name="20% - Accent6 3 3 2 2 2 2 2 3" xfId="7347" xr:uid="{00000000-0005-0000-0000-0000122D0000}"/>
    <cellStyle name="20% - Accent6 3 3 2 2 2 2 3" xfId="9458" xr:uid="{00000000-0005-0000-0000-0000132D0000}"/>
    <cellStyle name="20% - Accent6 3 3 2 2 2 2 3 2" xfId="13699" xr:uid="{00000000-0005-0000-0000-0000142D0000}"/>
    <cellStyle name="20% - Accent6 3 3 2 2 2 2 4" xfId="13701" xr:uid="{00000000-0005-0000-0000-0000152D0000}"/>
    <cellStyle name="20% - Accent6 3 3 2 2 2 3" xfId="1482" xr:uid="{00000000-0005-0000-0000-0000162D0000}"/>
    <cellStyle name="20% - Accent6 3 3 2 2 2 3 2" xfId="3878" xr:uid="{00000000-0005-0000-0000-0000172D0000}"/>
    <cellStyle name="20% - Accent6 3 3 2 2 2 3 2 2" xfId="13707" xr:uid="{00000000-0005-0000-0000-0000182D0000}"/>
    <cellStyle name="20% - Accent6 3 3 2 2 2 3 3" xfId="13712" xr:uid="{00000000-0005-0000-0000-0000192D0000}"/>
    <cellStyle name="20% - Accent6 3 3 2 2 2 4" xfId="11415" xr:uid="{00000000-0005-0000-0000-00001A2D0000}"/>
    <cellStyle name="20% - Accent6 3 3 2 2 2 4 2" xfId="13714" xr:uid="{00000000-0005-0000-0000-00001B2D0000}"/>
    <cellStyle name="20% - Accent6 3 3 2 2 2 5" xfId="18387" xr:uid="{00000000-0005-0000-0000-00001C2D0000}"/>
    <cellStyle name="20% - Accent6 3 3 2 2 3" xfId="10226" xr:uid="{00000000-0005-0000-0000-00001D2D0000}"/>
    <cellStyle name="20% - Accent6 3 3 2 2 3 2" xfId="13716" xr:uid="{00000000-0005-0000-0000-00001E2D0000}"/>
    <cellStyle name="20% - Accent6 3 3 2 2 3 2 2" xfId="13717" xr:uid="{00000000-0005-0000-0000-00001F2D0000}"/>
    <cellStyle name="20% - Accent6 3 3 2 2 3 2 2 2" xfId="3582" xr:uid="{00000000-0005-0000-0000-0000202D0000}"/>
    <cellStyle name="20% - Accent6 3 3 2 2 3 2 3" xfId="22986" xr:uid="{00000000-0005-0000-0000-0000212D0000}"/>
    <cellStyle name="20% - Accent6 3 3 2 2 3 3" xfId="1537" xr:uid="{00000000-0005-0000-0000-0000222D0000}"/>
    <cellStyle name="20% - Accent6 3 3 2 2 3 3 2" xfId="13718" xr:uid="{00000000-0005-0000-0000-0000232D0000}"/>
    <cellStyle name="20% - Accent6 3 3 2 2 3 4" xfId="14135" xr:uid="{00000000-0005-0000-0000-0000242D0000}"/>
    <cellStyle name="20% - Accent6 3 3 2 2 4" xfId="13719" xr:uid="{00000000-0005-0000-0000-0000252D0000}"/>
    <cellStyle name="20% - Accent6 3 3 2 2 4 2" xfId="5381" xr:uid="{00000000-0005-0000-0000-0000262D0000}"/>
    <cellStyle name="20% - Accent6 3 3 2 2 4 2 2" xfId="13077" xr:uid="{00000000-0005-0000-0000-0000272D0000}"/>
    <cellStyle name="20% - Accent6 3 3 2 2 4 3" xfId="13720" xr:uid="{00000000-0005-0000-0000-0000282D0000}"/>
    <cellStyle name="20% - Accent6 3 3 2 2 5" xfId="889" xr:uid="{00000000-0005-0000-0000-0000292D0000}"/>
    <cellStyle name="20% - Accent6 3 3 2 2 5 2" xfId="29504" xr:uid="{00000000-0005-0000-0000-00002A2D0000}"/>
    <cellStyle name="20% - Accent6 3 3 2 2 6" xfId="31650" xr:uid="{00000000-0005-0000-0000-00002B2D0000}"/>
    <cellStyle name="20% - Accent6 3 3 2 3" xfId="17953" xr:uid="{00000000-0005-0000-0000-00002C2D0000}"/>
    <cellStyle name="20% - Accent6 3 3 2 3 2" xfId="17955" xr:uid="{00000000-0005-0000-0000-00002D2D0000}"/>
    <cellStyle name="20% - Accent6 3 3 2 3 2 2" xfId="17956" xr:uid="{00000000-0005-0000-0000-00002E2D0000}"/>
    <cellStyle name="20% - Accent6 3 3 2 3 2 2 2" xfId="13395" xr:uid="{00000000-0005-0000-0000-00002F2D0000}"/>
    <cellStyle name="20% - Accent6 3 3 2 3 2 2 2 2" xfId="13723" xr:uid="{00000000-0005-0000-0000-0000302D0000}"/>
    <cellStyle name="20% - Accent6 3 3 2 3 2 2 3" xfId="13398" xr:uid="{00000000-0005-0000-0000-0000312D0000}"/>
    <cellStyle name="20% - Accent6 3 3 2 3 2 3" xfId="17960" xr:uid="{00000000-0005-0000-0000-0000322D0000}"/>
    <cellStyle name="20% - Accent6 3 3 2 3 2 3 2" xfId="13409" xr:uid="{00000000-0005-0000-0000-0000332D0000}"/>
    <cellStyle name="20% - Accent6 3 3 2 3 2 4" xfId="17970" xr:uid="{00000000-0005-0000-0000-0000342D0000}"/>
    <cellStyle name="20% - Accent6 3 3 2 3 3" xfId="17982" xr:uid="{00000000-0005-0000-0000-0000352D0000}"/>
    <cellStyle name="20% - Accent6 3 3 2 3 3 2" xfId="32478" xr:uid="{00000000-0005-0000-0000-0000362D0000}"/>
    <cellStyle name="20% - Accent6 3 3 2 3 3 2 2" xfId="13412" xr:uid="{00000000-0005-0000-0000-0000372D0000}"/>
    <cellStyle name="20% - Accent6 3 3 2 3 3 3" xfId="8187" xr:uid="{00000000-0005-0000-0000-0000382D0000}"/>
    <cellStyle name="20% - Accent6 3 3 2 3 4" xfId="17984" xr:uid="{00000000-0005-0000-0000-0000392D0000}"/>
    <cellStyle name="20% - Accent6 3 3 2 3 4 2" xfId="13732" xr:uid="{00000000-0005-0000-0000-00003A2D0000}"/>
    <cellStyle name="20% - Accent6 3 3 2 3 5" xfId="17986" xr:uid="{00000000-0005-0000-0000-00003B2D0000}"/>
    <cellStyle name="20% - Accent6 3 3 2 4" xfId="17989" xr:uid="{00000000-0005-0000-0000-00003C2D0000}"/>
    <cellStyle name="20% - Accent6 3 3 2 4 2" xfId="17991" xr:uid="{00000000-0005-0000-0000-00003D2D0000}"/>
    <cellStyle name="20% - Accent6 3 3 2 4 2 2" xfId="17993" xr:uid="{00000000-0005-0000-0000-00003E2D0000}"/>
    <cellStyle name="20% - Accent6 3 3 2 4 2 2 2" xfId="13737" xr:uid="{00000000-0005-0000-0000-00003F2D0000}"/>
    <cellStyle name="20% - Accent6 3 3 2 4 2 3" xfId="17995" xr:uid="{00000000-0005-0000-0000-0000402D0000}"/>
    <cellStyle name="20% - Accent6 3 3 2 4 3" xfId="17997" xr:uid="{00000000-0005-0000-0000-0000412D0000}"/>
    <cellStyle name="20% - Accent6 3 3 2 4 3 2" xfId="8202" xr:uid="{00000000-0005-0000-0000-0000422D0000}"/>
    <cellStyle name="20% - Accent6 3 3 2 4 4" xfId="28935" xr:uid="{00000000-0005-0000-0000-0000432D0000}"/>
    <cellStyle name="20% - Accent6 3 3 2 5" xfId="18000" xr:uid="{00000000-0005-0000-0000-0000442D0000}"/>
    <cellStyle name="20% - Accent6 3 3 2 5 2" xfId="16613" xr:uid="{00000000-0005-0000-0000-0000452D0000}"/>
    <cellStyle name="20% - Accent6 3 3 2 5 2 2" xfId="18002" xr:uid="{00000000-0005-0000-0000-0000462D0000}"/>
    <cellStyle name="20% - Accent6 3 3 2 5 3" xfId="18004" xr:uid="{00000000-0005-0000-0000-0000472D0000}"/>
    <cellStyle name="20% - Accent6 3 3 2 6" xfId="18006" xr:uid="{00000000-0005-0000-0000-0000482D0000}"/>
    <cellStyle name="20% - Accent6 3 3 2 6 2" xfId="18011" xr:uid="{00000000-0005-0000-0000-0000492D0000}"/>
    <cellStyle name="20% - Accent6 3 3 2 7" xfId="13742" xr:uid="{00000000-0005-0000-0000-00004A2D0000}"/>
    <cellStyle name="20% - Accent6 3 3 3" xfId="5833" xr:uid="{00000000-0005-0000-0000-00004B2D0000}"/>
    <cellStyle name="20% - Accent6 3 3 3 2" xfId="24754" xr:uid="{00000000-0005-0000-0000-00004C2D0000}"/>
    <cellStyle name="20% - Accent6 3 3 3 2 2" xfId="19154" xr:uid="{00000000-0005-0000-0000-00004D2D0000}"/>
    <cellStyle name="20% - Accent6 3 3 3 2 2 2" xfId="13743" xr:uid="{00000000-0005-0000-0000-00004E2D0000}"/>
    <cellStyle name="20% - Accent6 3 3 3 2 2 2 2" xfId="33820" xr:uid="{00000000-0005-0000-0000-00004F2D0000}"/>
    <cellStyle name="20% - Accent6 3 3 3 2 2 2 2 2" xfId="13745" xr:uid="{00000000-0005-0000-0000-0000502D0000}"/>
    <cellStyle name="20% - Accent6 3 3 3 2 2 2 3" xfId="13747" xr:uid="{00000000-0005-0000-0000-0000512D0000}"/>
    <cellStyle name="20% - Accent6 3 3 3 2 2 3" xfId="7025" xr:uid="{00000000-0005-0000-0000-0000522D0000}"/>
    <cellStyle name="20% - Accent6 3 3 3 2 2 3 2" xfId="33145" xr:uid="{00000000-0005-0000-0000-0000532D0000}"/>
    <cellStyle name="20% - Accent6 3 3 3 2 2 4" xfId="1181" xr:uid="{00000000-0005-0000-0000-0000542D0000}"/>
    <cellStyle name="20% - Accent6 3 3 3 2 3" xfId="30562" xr:uid="{00000000-0005-0000-0000-0000552D0000}"/>
    <cellStyle name="20% - Accent6 3 3 3 2 3 2" xfId="13748" xr:uid="{00000000-0005-0000-0000-0000562D0000}"/>
    <cellStyle name="20% - Accent6 3 3 3 2 3 2 2" xfId="13750" xr:uid="{00000000-0005-0000-0000-0000572D0000}"/>
    <cellStyle name="20% - Accent6 3 3 3 2 3 3" xfId="13751" xr:uid="{00000000-0005-0000-0000-0000582D0000}"/>
    <cellStyle name="20% - Accent6 3 3 3 2 4" xfId="13753" xr:uid="{00000000-0005-0000-0000-0000592D0000}"/>
    <cellStyle name="20% - Accent6 3 3 3 2 4 2" xfId="12561" xr:uid="{00000000-0005-0000-0000-00005A2D0000}"/>
    <cellStyle name="20% - Accent6 3 3 3 2 5" xfId="31777" xr:uid="{00000000-0005-0000-0000-00005B2D0000}"/>
    <cellStyle name="20% - Accent6 3 3 3 3" xfId="25152" xr:uid="{00000000-0005-0000-0000-00005C2D0000}"/>
    <cellStyle name="20% - Accent6 3 3 3 3 2" xfId="18016" xr:uid="{00000000-0005-0000-0000-00005D2D0000}"/>
    <cellStyle name="20% - Accent6 3 3 3 3 2 2" xfId="18019" xr:uid="{00000000-0005-0000-0000-00005E2D0000}"/>
    <cellStyle name="20% - Accent6 3 3 3 3 2 2 2" xfId="24002" xr:uid="{00000000-0005-0000-0000-00005F2D0000}"/>
    <cellStyle name="20% - Accent6 3 3 3 3 2 3" xfId="18022" xr:uid="{00000000-0005-0000-0000-0000602D0000}"/>
    <cellStyle name="20% - Accent6 3 3 3 3 3" xfId="18026" xr:uid="{00000000-0005-0000-0000-0000612D0000}"/>
    <cellStyle name="20% - Accent6 3 3 3 3 3 2" xfId="13754" xr:uid="{00000000-0005-0000-0000-0000622D0000}"/>
    <cellStyle name="20% - Accent6 3 3 3 3 4" xfId="12087" xr:uid="{00000000-0005-0000-0000-0000632D0000}"/>
    <cellStyle name="20% - Accent6 3 3 3 4" xfId="18029" xr:uid="{00000000-0005-0000-0000-0000642D0000}"/>
    <cellStyle name="20% - Accent6 3 3 3 4 2" xfId="17014" xr:uid="{00000000-0005-0000-0000-0000652D0000}"/>
    <cellStyle name="20% - Accent6 3 3 3 4 2 2" xfId="16553" xr:uid="{00000000-0005-0000-0000-0000662D0000}"/>
    <cellStyle name="20% - Accent6 3 3 3 4 3" xfId="18031" xr:uid="{00000000-0005-0000-0000-0000672D0000}"/>
    <cellStyle name="20% - Accent6 3 3 3 5" xfId="18034" xr:uid="{00000000-0005-0000-0000-0000682D0000}"/>
    <cellStyle name="20% - Accent6 3 3 3 5 2" xfId="18036" xr:uid="{00000000-0005-0000-0000-0000692D0000}"/>
    <cellStyle name="20% - Accent6 3 3 3 6" xfId="18039" xr:uid="{00000000-0005-0000-0000-00006A2D0000}"/>
    <cellStyle name="20% - Accent6 3 3 4" xfId="31690" xr:uid="{00000000-0005-0000-0000-00006B2D0000}"/>
    <cellStyle name="20% - Accent6 3 3 4 2" xfId="13756" xr:uid="{00000000-0005-0000-0000-00006C2D0000}"/>
    <cellStyle name="20% - Accent6 3 3 4 2 2" xfId="10756" xr:uid="{00000000-0005-0000-0000-00006D2D0000}"/>
    <cellStyle name="20% - Accent6 3 3 4 2 2 2" xfId="13757" xr:uid="{00000000-0005-0000-0000-00006E2D0000}"/>
    <cellStyle name="20% - Accent6 3 3 4 2 2 2 2" xfId="6560" xr:uid="{00000000-0005-0000-0000-00006F2D0000}"/>
    <cellStyle name="20% - Accent6 3 3 4 2 2 3" xfId="13760" xr:uid="{00000000-0005-0000-0000-0000702D0000}"/>
    <cellStyle name="20% - Accent6 3 3 4 2 3" xfId="6457" xr:uid="{00000000-0005-0000-0000-0000712D0000}"/>
    <cellStyle name="20% - Accent6 3 3 4 2 3 2" xfId="13762" xr:uid="{00000000-0005-0000-0000-0000722D0000}"/>
    <cellStyle name="20% - Accent6 3 3 4 2 4" xfId="13764" xr:uid="{00000000-0005-0000-0000-0000732D0000}"/>
    <cellStyle name="20% - Accent6 3 3 4 3" xfId="18042" xr:uid="{00000000-0005-0000-0000-0000742D0000}"/>
    <cellStyle name="20% - Accent6 3 3 4 3 2" xfId="18043" xr:uid="{00000000-0005-0000-0000-0000752D0000}"/>
    <cellStyle name="20% - Accent6 3 3 4 3 2 2" xfId="18048" xr:uid="{00000000-0005-0000-0000-0000762D0000}"/>
    <cellStyle name="20% - Accent6 3 3 4 3 3" xfId="18052" xr:uid="{00000000-0005-0000-0000-0000772D0000}"/>
    <cellStyle name="20% - Accent6 3 3 4 4" xfId="18057" xr:uid="{00000000-0005-0000-0000-0000782D0000}"/>
    <cellStyle name="20% - Accent6 3 3 4 4 2" xfId="18058" xr:uid="{00000000-0005-0000-0000-0000792D0000}"/>
    <cellStyle name="20% - Accent6 3 3 4 5" xfId="18061" xr:uid="{00000000-0005-0000-0000-00007A2D0000}"/>
    <cellStyle name="20% - Accent6 3 3 5" xfId="1164" xr:uid="{00000000-0005-0000-0000-00007B2D0000}"/>
    <cellStyle name="20% - Accent6 3 3 5 2" xfId="29757" xr:uid="{00000000-0005-0000-0000-00007C2D0000}"/>
    <cellStyle name="20% - Accent6 3 3 5 2 2" xfId="32344" xr:uid="{00000000-0005-0000-0000-00007D2D0000}"/>
    <cellStyle name="20% - Accent6 3 3 5 2 2 2" xfId="27999" xr:uid="{00000000-0005-0000-0000-00007E2D0000}"/>
    <cellStyle name="20% - Accent6 3 3 5 2 3" xfId="30352" xr:uid="{00000000-0005-0000-0000-00007F2D0000}"/>
    <cellStyle name="20% - Accent6 3 3 5 3" xfId="13770" xr:uid="{00000000-0005-0000-0000-0000802D0000}"/>
    <cellStyle name="20% - Accent6 3 3 5 3 2" xfId="10833" xr:uid="{00000000-0005-0000-0000-0000812D0000}"/>
    <cellStyle name="20% - Accent6 3 3 5 4" xfId="18064" xr:uid="{00000000-0005-0000-0000-0000822D0000}"/>
    <cellStyle name="20% - Accent6 3 3 6" xfId="14054" xr:uid="{00000000-0005-0000-0000-0000832D0000}"/>
    <cellStyle name="20% - Accent6 3 3 6 2" xfId="32255" xr:uid="{00000000-0005-0000-0000-0000842D0000}"/>
    <cellStyle name="20% - Accent6 3 3 6 2 2" xfId="32708" xr:uid="{00000000-0005-0000-0000-0000852D0000}"/>
    <cellStyle name="20% - Accent6 3 3 6 3" xfId="11379" xr:uid="{00000000-0005-0000-0000-0000862D0000}"/>
    <cellStyle name="20% - Accent6 3 3 7" xfId="8334" xr:uid="{00000000-0005-0000-0000-0000872D0000}"/>
    <cellStyle name="20% - Accent6 3 3 7 2" xfId="3868" xr:uid="{00000000-0005-0000-0000-0000882D0000}"/>
    <cellStyle name="20% - Accent6 3 3 8" xfId="32426" xr:uid="{00000000-0005-0000-0000-0000892D0000}"/>
    <cellStyle name="20% - Accent6 3 4" xfId="31014" xr:uid="{00000000-0005-0000-0000-00008A2D0000}"/>
    <cellStyle name="20% - Accent6 3 4 2" xfId="13776" xr:uid="{00000000-0005-0000-0000-00008B2D0000}"/>
    <cellStyle name="20% - Accent6 3 4 2 2" xfId="24796" xr:uid="{00000000-0005-0000-0000-00008C2D0000}"/>
    <cellStyle name="20% - Accent6 3 4 2 2 2" xfId="10090" xr:uid="{00000000-0005-0000-0000-00008D2D0000}"/>
    <cellStyle name="20% - Accent6 3 4 2 2 2 2" xfId="29936" xr:uid="{00000000-0005-0000-0000-00008E2D0000}"/>
    <cellStyle name="20% - Accent6 3 4 2 2 2 2 2" xfId="12212" xr:uid="{00000000-0005-0000-0000-00008F2D0000}"/>
    <cellStyle name="20% - Accent6 3 4 2 2 2 2 2 2" xfId="15943" xr:uid="{00000000-0005-0000-0000-0000902D0000}"/>
    <cellStyle name="20% - Accent6 3 4 2 2 2 2 3" xfId="16253" xr:uid="{00000000-0005-0000-0000-0000912D0000}"/>
    <cellStyle name="20% - Accent6 3 4 2 2 2 3" xfId="31866" xr:uid="{00000000-0005-0000-0000-0000922D0000}"/>
    <cellStyle name="20% - Accent6 3 4 2 2 2 3 2" xfId="13781" xr:uid="{00000000-0005-0000-0000-0000932D0000}"/>
    <cellStyle name="20% - Accent6 3 4 2 2 2 4" xfId="29164" xr:uid="{00000000-0005-0000-0000-0000942D0000}"/>
    <cellStyle name="20% - Accent6 3 4 2 2 3" xfId="30677" xr:uid="{00000000-0005-0000-0000-0000952D0000}"/>
    <cellStyle name="20% - Accent6 3 4 2 2 3 2" xfId="30277" xr:uid="{00000000-0005-0000-0000-0000962D0000}"/>
    <cellStyle name="20% - Accent6 3 4 2 2 3 2 2" xfId="18484" xr:uid="{00000000-0005-0000-0000-0000972D0000}"/>
    <cellStyle name="20% - Accent6 3 4 2 2 3 3" xfId="31881" xr:uid="{00000000-0005-0000-0000-0000982D0000}"/>
    <cellStyle name="20% - Accent6 3 4 2 2 4" xfId="33937" xr:uid="{00000000-0005-0000-0000-0000992D0000}"/>
    <cellStyle name="20% - Accent6 3 4 2 2 4 2" xfId="31513" xr:uid="{00000000-0005-0000-0000-00009A2D0000}"/>
    <cellStyle name="20% - Accent6 3 4 2 2 5" xfId="31332" xr:uid="{00000000-0005-0000-0000-00009B2D0000}"/>
    <cellStyle name="20% - Accent6 3 4 2 3" xfId="18100" xr:uid="{00000000-0005-0000-0000-00009C2D0000}"/>
    <cellStyle name="20% - Accent6 3 4 2 3 2" xfId="11023" xr:uid="{00000000-0005-0000-0000-00009D2D0000}"/>
    <cellStyle name="20% - Accent6 3 4 2 3 2 2" xfId="18101" xr:uid="{00000000-0005-0000-0000-00009E2D0000}"/>
    <cellStyle name="20% - Accent6 3 4 2 3 2 2 2" xfId="9613" xr:uid="{00000000-0005-0000-0000-00009F2D0000}"/>
    <cellStyle name="20% - Accent6 3 4 2 3 2 3" xfId="18103" xr:uid="{00000000-0005-0000-0000-0000A02D0000}"/>
    <cellStyle name="20% - Accent6 3 4 2 3 3" xfId="18107" xr:uid="{00000000-0005-0000-0000-0000A12D0000}"/>
    <cellStyle name="20% - Accent6 3 4 2 3 3 2" xfId="13788" xr:uid="{00000000-0005-0000-0000-0000A22D0000}"/>
    <cellStyle name="20% - Accent6 3 4 2 3 4" xfId="18110" xr:uid="{00000000-0005-0000-0000-0000A32D0000}"/>
    <cellStyle name="20% - Accent6 3 4 2 4" xfId="18111" xr:uid="{00000000-0005-0000-0000-0000A42D0000}"/>
    <cellStyle name="20% - Accent6 3 4 2 4 2" xfId="18114" xr:uid="{00000000-0005-0000-0000-0000A52D0000}"/>
    <cellStyle name="20% - Accent6 3 4 2 4 2 2" xfId="18116" xr:uid="{00000000-0005-0000-0000-0000A62D0000}"/>
    <cellStyle name="20% - Accent6 3 4 2 4 3" xfId="18120" xr:uid="{00000000-0005-0000-0000-0000A72D0000}"/>
    <cellStyle name="20% - Accent6 3 4 2 5" xfId="18123" xr:uid="{00000000-0005-0000-0000-0000A82D0000}"/>
    <cellStyle name="20% - Accent6 3 4 2 5 2" xfId="18125" xr:uid="{00000000-0005-0000-0000-0000A92D0000}"/>
    <cellStyle name="20% - Accent6 3 4 2 6" xfId="32182" xr:uid="{00000000-0005-0000-0000-0000AA2D0000}"/>
    <cellStyle name="20% - Accent6 3 4 3" xfId="13201" xr:uid="{00000000-0005-0000-0000-0000AB2D0000}"/>
    <cellStyle name="20% - Accent6 3 4 3 2" xfId="13792" xr:uid="{00000000-0005-0000-0000-0000AC2D0000}"/>
    <cellStyle name="20% - Accent6 3 4 3 2 2" xfId="10098" xr:uid="{00000000-0005-0000-0000-0000AD2D0000}"/>
    <cellStyle name="20% - Accent6 3 4 3 2 2 2" xfId="13794" xr:uid="{00000000-0005-0000-0000-0000AE2D0000}"/>
    <cellStyle name="20% - Accent6 3 4 3 2 2 2 2" xfId="14256" xr:uid="{00000000-0005-0000-0000-0000AF2D0000}"/>
    <cellStyle name="20% - Accent6 3 4 3 2 2 3" xfId="31811" xr:uid="{00000000-0005-0000-0000-0000B02D0000}"/>
    <cellStyle name="20% - Accent6 3 4 3 2 3" xfId="24952" xr:uid="{00000000-0005-0000-0000-0000B12D0000}"/>
    <cellStyle name="20% - Accent6 3 4 3 2 3 2" xfId="18472" xr:uid="{00000000-0005-0000-0000-0000B22D0000}"/>
    <cellStyle name="20% - Accent6 3 4 3 2 4" xfId="18474" xr:uid="{00000000-0005-0000-0000-0000B32D0000}"/>
    <cellStyle name="20% - Accent6 3 4 3 3" xfId="18129" xr:uid="{00000000-0005-0000-0000-0000B42D0000}"/>
    <cellStyle name="20% - Accent6 3 4 3 3 2" xfId="18132" xr:uid="{00000000-0005-0000-0000-0000B52D0000}"/>
    <cellStyle name="20% - Accent6 3 4 3 3 2 2" xfId="18136" xr:uid="{00000000-0005-0000-0000-0000B62D0000}"/>
    <cellStyle name="20% - Accent6 3 4 3 3 3" xfId="18138" xr:uid="{00000000-0005-0000-0000-0000B72D0000}"/>
    <cellStyle name="20% - Accent6 3 4 3 4" xfId="18139" xr:uid="{00000000-0005-0000-0000-0000B82D0000}"/>
    <cellStyle name="20% - Accent6 3 4 3 4 2" xfId="18143" xr:uid="{00000000-0005-0000-0000-0000B92D0000}"/>
    <cellStyle name="20% - Accent6 3 4 3 5" xfId="18145" xr:uid="{00000000-0005-0000-0000-0000BA2D0000}"/>
    <cellStyle name="20% - Accent6 3 4 4" xfId="28375" xr:uid="{00000000-0005-0000-0000-0000BB2D0000}"/>
    <cellStyle name="20% - Accent6 3 4 4 2" xfId="26440" xr:uid="{00000000-0005-0000-0000-0000BC2D0000}"/>
    <cellStyle name="20% - Accent6 3 4 4 2 2" xfId="13797" xr:uid="{00000000-0005-0000-0000-0000BD2D0000}"/>
    <cellStyle name="20% - Accent6 3 4 4 2 2 2" xfId="12597" xr:uid="{00000000-0005-0000-0000-0000BE2D0000}"/>
    <cellStyle name="20% - Accent6 3 4 4 2 3" xfId="13800" xr:uid="{00000000-0005-0000-0000-0000BF2D0000}"/>
    <cellStyle name="20% - Accent6 3 4 4 3" xfId="18146" xr:uid="{00000000-0005-0000-0000-0000C02D0000}"/>
    <cellStyle name="20% - Accent6 3 4 4 3 2" xfId="18149" xr:uid="{00000000-0005-0000-0000-0000C12D0000}"/>
    <cellStyle name="20% - Accent6 3 4 4 4" xfId="18154" xr:uid="{00000000-0005-0000-0000-0000C22D0000}"/>
    <cellStyle name="20% - Accent6 3 4 5" xfId="13804" xr:uid="{00000000-0005-0000-0000-0000C32D0000}"/>
    <cellStyle name="20% - Accent6 3 4 5 2" xfId="14613" xr:uid="{00000000-0005-0000-0000-0000C42D0000}"/>
    <cellStyle name="20% - Accent6 3 4 5 2 2" xfId="31385" xr:uid="{00000000-0005-0000-0000-0000C52D0000}"/>
    <cellStyle name="20% - Accent6 3 4 5 3" xfId="18158" xr:uid="{00000000-0005-0000-0000-0000C62D0000}"/>
    <cellStyle name="20% - Accent6 3 4 6" xfId="18850" xr:uid="{00000000-0005-0000-0000-0000C72D0000}"/>
    <cellStyle name="20% - Accent6 3 4 6 2" xfId="15686" xr:uid="{00000000-0005-0000-0000-0000C82D0000}"/>
    <cellStyle name="20% - Accent6 3 4 7" xfId="18853" xr:uid="{00000000-0005-0000-0000-0000C92D0000}"/>
    <cellStyle name="20% - Accent6 3 5" xfId="24170" xr:uid="{00000000-0005-0000-0000-0000CA2D0000}"/>
    <cellStyle name="20% - Accent6 3 5 2" xfId="425" xr:uid="{00000000-0005-0000-0000-0000CB2D0000}"/>
    <cellStyle name="20% - Accent6 3 5 2 2" xfId="17802" xr:uid="{00000000-0005-0000-0000-0000CC2D0000}"/>
    <cellStyle name="20% - Accent6 3 5 2 2 2" xfId="14165" xr:uid="{00000000-0005-0000-0000-0000CD2D0000}"/>
    <cellStyle name="20% - Accent6 3 5 2 2 2 2" xfId="14170" xr:uid="{00000000-0005-0000-0000-0000CE2D0000}"/>
    <cellStyle name="20% - Accent6 3 5 2 2 2 2 2" xfId="11620" xr:uid="{00000000-0005-0000-0000-0000CF2D0000}"/>
    <cellStyle name="20% - Accent6 3 5 2 2 2 3" xfId="2145" xr:uid="{00000000-0005-0000-0000-0000D02D0000}"/>
    <cellStyle name="20% - Accent6 3 5 2 2 3" xfId="14182" xr:uid="{00000000-0005-0000-0000-0000D12D0000}"/>
    <cellStyle name="20% - Accent6 3 5 2 2 3 2" xfId="14187" xr:uid="{00000000-0005-0000-0000-0000D22D0000}"/>
    <cellStyle name="20% - Accent6 3 5 2 2 4" xfId="14194" xr:uid="{00000000-0005-0000-0000-0000D32D0000}"/>
    <cellStyle name="20% - Accent6 3 5 2 3" xfId="18175" xr:uid="{00000000-0005-0000-0000-0000D42D0000}"/>
    <cellStyle name="20% - Accent6 3 5 2 3 2" xfId="18177" xr:uid="{00000000-0005-0000-0000-0000D52D0000}"/>
    <cellStyle name="20% - Accent6 3 5 2 3 2 2" xfId="14205" xr:uid="{00000000-0005-0000-0000-0000D62D0000}"/>
    <cellStyle name="20% - Accent6 3 5 2 3 3" xfId="18179" xr:uid="{00000000-0005-0000-0000-0000D72D0000}"/>
    <cellStyle name="20% - Accent6 3 5 2 4" xfId="18181" xr:uid="{00000000-0005-0000-0000-0000D82D0000}"/>
    <cellStyle name="20% - Accent6 3 5 2 4 2" xfId="18183" xr:uid="{00000000-0005-0000-0000-0000D92D0000}"/>
    <cellStyle name="20% - Accent6 3 5 2 5" xfId="22293" xr:uid="{00000000-0005-0000-0000-0000DA2D0000}"/>
    <cellStyle name="20% - Accent6 3 5 3" xfId="28720" xr:uid="{00000000-0005-0000-0000-0000DB2D0000}"/>
    <cellStyle name="20% - Accent6 3 5 3 2" xfId="14261" xr:uid="{00000000-0005-0000-0000-0000DC2D0000}"/>
    <cellStyle name="20% - Accent6 3 5 3 2 2" xfId="6912" xr:uid="{00000000-0005-0000-0000-0000DD2D0000}"/>
    <cellStyle name="20% - Accent6 3 5 3 2 2 2" xfId="491" xr:uid="{00000000-0005-0000-0000-0000DE2D0000}"/>
    <cellStyle name="20% - Accent6 3 5 3 2 3" xfId="730" xr:uid="{00000000-0005-0000-0000-0000DF2D0000}"/>
    <cellStyle name="20% - Accent6 3 5 3 3" xfId="18185" xr:uid="{00000000-0005-0000-0000-0000E02D0000}"/>
    <cellStyle name="20% - Accent6 3 5 3 3 2" xfId="15351" xr:uid="{00000000-0005-0000-0000-0000E12D0000}"/>
    <cellStyle name="20% - Accent6 3 5 3 4" xfId="18191" xr:uid="{00000000-0005-0000-0000-0000E22D0000}"/>
    <cellStyle name="20% - Accent6 3 5 4" xfId="352" xr:uid="{00000000-0005-0000-0000-0000E32D0000}"/>
    <cellStyle name="20% - Accent6 3 5 4 2" xfId="13810" xr:uid="{00000000-0005-0000-0000-0000E42D0000}"/>
    <cellStyle name="20% - Accent6 3 5 4 2 2" xfId="759" xr:uid="{00000000-0005-0000-0000-0000E52D0000}"/>
    <cellStyle name="20% - Accent6 3 5 4 3" xfId="18192" xr:uid="{00000000-0005-0000-0000-0000E62D0000}"/>
    <cellStyle name="20% - Accent6 3 5 5" xfId="421" xr:uid="{00000000-0005-0000-0000-0000E72D0000}"/>
    <cellStyle name="20% - Accent6 3 5 5 2" xfId="33175" xr:uid="{00000000-0005-0000-0000-0000E82D0000}"/>
    <cellStyle name="20% - Accent6 3 5 6" xfId="18871" xr:uid="{00000000-0005-0000-0000-0000E92D0000}"/>
    <cellStyle name="20% - Accent6 3 6" xfId="1748" xr:uid="{00000000-0005-0000-0000-0000EA2D0000}"/>
    <cellStyle name="20% - Accent6 3 6 2" xfId="26996" xr:uid="{00000000-0005-0000-0000-0000EB2D0000}"/>
    <cellStyle name="20% - Accent6 3 6 2 2" xfId="13815" xr:uid="{00000000-0005-0000-0000-0000EC2D0000}"/>
    <cellStyle name="20% - Accent6 3 6 2 2 2" xfId="6889" xr:uid="{00000000-0005-0000-0000-0000ED2D0000}"/>
    <cellStyle name="20% - Accent6 3 6 2 2 2 2" xfId="29163" xr:uid="{00000000-0005-0000-0000-0000EE2D0000}"/>
    <cellStyle name="20% - Accent6 3 6 2 2 3" xfId="1498" xr:uid="{00000000-0005-0000-0000-0000EF2D0000}"/>
    <cellStyle name="20% - Accent6 3 6 2 3" xfId="18213" xr:uid="{00000000-0005-0000-0000-0000F02D0000}"/>
    <cellStyle name="20% - Accent6 3 6 2 3 2" xfId="17725" xr:uid="{00000000-0005-0000-0000-0000F12D0000}"/>
    <cellStyle name="20% - Accent6 3 6 2 4" xfId="18214" xr:uid="{00000000-0005-0000-0000-0000F22D0000}"/>
    <cellStyle name="20% - Accent6 3 6 3" xfId="23057" xr:uid="{00000000-0005-0000-0000-0000F32D0000}"/>
    <cellStyle name="20% - Accent6 3 6 3 2" xfId="13818" xr:uid="{00000000-0005-0000-0000-0000F42D0000}"/>
    <cellStyle name="20% - Accent6 3 6 3 2 2" xfId="27616" xr:uid="{00000000-0005-0000-0000-0000F52D0000}"/>
    <cellStyle name="20% - Accent6 3 6 3 3" xfId="27619" xr:uid="{00000000-0005-0000-0000-0000F62D0000}"/>
    <cellStyle name="20% - Accent6 3 6 4" xfId="23412" xr:uid="{00000000-0005-0000-0000-0000F72D0000}"/>
    <cellStyle name="20% - Accent6 3 6 4 2" xfId="21543" xr:uid="{00000000-0005-0000-0000-0000F82D0000}"/>
    <cellStyle name="20% - Accent6 3 6 5" xfId="21547" xr:uid="{00000000-0005-0000-0000-0000F92D0000}"/>
    <cellStyle name="20% - Accent6 3 7" xfId="2615" xr:uid="{00000000-0005-0000-0000-0000FA2D0000}"/>
    <cellStyle name="20% - Accent6 3 7 2" xfId="8141" xr:uid="{00000000-0005-0000-0000-0000FB2D0000}"/>
    <cellStyle name="20% - Accent6 3 7 2 2" xfId="8965" xr:uid="{00000000-0005-0000-0000-0000FC2D0000}"/>
    <cellStyle name="20% - Accent6 3 7 2 2 2" xfId="8665" xr:uid="{00000000-0005-0000-0000-0000FD2D0000}"/>
    <cellStyle name="20% - Accent6 3 7 2 3" xfId="17973" xr:uid="{00000000-0005-0000-0000-0000FE2D0000}"/>
    <cellStyle name="20% - Accent6 3 7 3" xfId="19221" xr:uid="{00000000-0005-0000-0000-0000FF2D0000}"/>
    <cellStyle name="20% - Accent6 3 7 3 2" xfId="27520" xr:uid="{00000000-0005-0000-0000-0000002E0000}"/>
    <cellStyle name="20% - Accent6 3 7 4" xfId="21552" xr:uid="{00000000-0005-0000-0000-0000012E0000}"/>
    <cellStyle name="20% - Accent6 3 8" xfId="2651" xr:uid="{00000000-0005-0000-0000-0000022E0000}"/>
    <cellStyle name="20% - Accent6 3 8 2" xfId="8165" xr:uid="{00000000-0005-0000-0000-0000032E0000}"/>
    <cellStyle name="20% - Accent6 3 8 2 2" xfId="8025" xr:uid="{00000000-0005-0000-0000-0000042E0000}"/>
    <cellStyle name="20% - Accent6 3 8 3" xfId="23862" xr:uid="{00000000-0005-0000-0000-0000052E0000}"/>
    <cellStyle name="20% - Accent6 3 9" xfId="3342" xr:uid="{00000000-0005-0000-0000-0000062E0000}"/>
    <cellStyle name="20% - Accent6 3 9 2" xfId="26263" xr:uid="{00000000-0005-0000-0000-0000072E0000}"/>
    <cellStyle name="20% - Accent6 4" xfId="13971" xr:uid="{00000000-0005-0000-0000-0000082E0000}"/>
    <cellStyle name="20% - Accent6 4 2" xfId="13825" xr:uid="{00000000-0005-0000-0000-0000092E0000}"/>
    <cellStyle name="20% - Accent6 4 2 2" xfId="9411" xr:uid="{00000000-0005-0000-0000-00000A2E0000}"/>
    <cellStyle name="20% - Accent6 4 2 2 2" xfId="13831" xr:uid="{00000000-0005-0000-0000-00000B2E0000}"/>
    <cellStyle name="20% - Accent6 4 2 2 2 2" xfId="13833" xr:uid="{00000000-0005-0000-0000-00000C2E0000}"/>
    <cellStyle name="20% - Accent6 4 2 2 2 2 2" xfId="13840" xr:uid="{00000000-0005-0000-0000-00000D2E0000}"/>
    <cellStyle name="20% - Accent6 4 2 2 2 2 2 2" xfId="26271" xr:uid="{00000000-0005-0000-0000-00000E2E0000}"/>
    <cellStyle name="20% - Accent6 4 2 2 2 2 2 2 2" xfId="13851" xr:uid="{00000000-0005-0000-0000-00000F2E0000}"/>
    <cellStyle name="20% - Accent6 4 2 2 2 2 2 2 2 2" xfId="3078" xr:uid="{00000000-0005-0000-0000-0000102E0000}"/>
    <cellStyle name="20% - Accent6 4 2 2 2 2 2 2 3" xfId="9402" xr:uid="{00000000-0005-0000-0000-0000112E0000}"/>
    <cellStyle name="20% - Accent6 4 2 2 2 2 2 3" xfId="31035" xr:uid="{00000000-0005-0000-0000-0000122E0000}"/>
    <cellStyle name="20% - Accent6 4 2 2 2 2 2 3 2" xfId="13857" xr:uid="{00000000-0005-0000-0000-0000132E0000}"/>
    <cellStyle name="20% - Accent6 4 2 2 2 2 2 4" xfId="13859" xr:uid="{00000000-0005-0000-0000-0000142E0000}"/>
    <cellStyle name="20% - Accent6 4 2 2 2 2 3" xfId="13860" xr:uid="{00000000-0005-0000-0000-0000152E0000}"/>
    <cellStyle name="20% - Accent6 4 2 2 2 2 3 2" xfId="13861" xr:uid="{00000000-0005-0000-0000-0000162E0000}"/>
    <cellStyle name="20% - Accent6 4 2 2 2 2 3 2 2" xfId="13864" xr:uid="{00000000-0005-0000-0000-0000172E0000}"/>
    <cellStyle name="20% - Accent6 4 2 2 2 2 3 3" xfId="13867" xr:uid="{00000000-0005-0000-0000-0000182E0000}"/>
    <cellStyle name="20% - Accent6 4 2 2 2 2 4" xfId="13868" xr:uid="{00000000-0005-0000-0000-0000192E0000}"/>
    <cellStyle name="20% - Accent6 4 2 2 2 2 4 2" xfId="13869" xr:uid="{00000000-0005-0000-0000-00001A2E0000}"/>
    <cellStyle name="20% - Accent6 4 2 2 2 2 5" xfId="13872" xr:uid="{00000000-0005-0000-0000-00001B2E0000}"/>
    <cellStyle name="20% - Accent6 4 2 2 2 3" xfId="10244" xr:uid="{00000000-0005-0000-0000-00001C2E0000}"/>
    <cellStyle name="20% - Accent6 4 2 2 2 3 2" xfId="13873" xr:uid="{00000000-0005-0000-0000-00001D2E0000}"/>
    <cellStyle name="20% - Accent6 4 2 2 2 3 2 2" xfId="33513" xr:uid="{00000000-0005-0000-0000-00001E2E0000}"/>
    <cellStyle name="20% - Accent6 4 2 2 2 3 2 2 2" xfId="18866" xr:uid="{00000000-0005-0000-0000-00001F2E0000}"/>
    <cellStyle name="20% - Accent6 4 2 2 2 3 2 3" xfId="13876" xr:uid="{00000000-0005-0000-0000-0000202E0000}"/>
    <cellStyle name="20% - Accent6 4 2 2 2 3 3" xfId="229" xr:uid="{00000000-0005-0000-0000-0000212E0000}"/>
    <cellStyle name="20% - Accent6 4 2 2 2 3 3 2" xfId="13878" xr:uid="{00000000-0005-0000-0000-0000222E0000}"/>
    <cellStyle name="20% - Accent6 4 2 2 2 3 4" xfId="13879" xr:uid="{00000000-0005-0000-0000-0000232E0000}"/>
    <cellStyle name="20% - Accent6 4 2 2 2 4" xfId="13880" xr:uid="{00000000-0005-0000-0000-0000242E0000}"/>
    <cellStyle name="20% - Accent6 4 2 2 2 4 2" xfId="13884" xr:uid="{00000000-0005-0000-0000-0000252E0000}"/>
    <cellStyle name="20% - Accent6 4 2 2 2 4 2 2" xfId="33639" xr:uid="{00000000-0005-0000-0000-0000262E0000}"/>
    <cellStyle name="20% - Accent6 4 2 2 2 4 3" xfId="13887" xr:uid="{00000000-0005-0000-0000-0000272E0000}"/>
    <cellStyle name="20% - Accent6 4 2 2 2 5" xfId="5868" xr:uid="{00000000-0005-0000-0000-0000282E0000}"/>
    <cellStyle name="20% - Accent6 4 2 2 2 5 2" xfId="13320" xr:uid="{00000000-0005-0000-0000-0000292E0000}"/>
    <cellStyle name="20% - Accent6 4 2 2 2 6" xfId="5876" xr:uid="{00000000-0005-0000-0000-00002A2E0000}"/>
    <cellStyle name="20% - Accent6 4 2 2 3" xfId="2823" xr:uid="{00000000-0005-0000-0000-00002B2E0000}"/>
    <cellStyle name="20% - Accent6 4 2 2 3 2" xfId="10524" xr:uid="{00000000-0005-0000-0000-00002C2E0000}"/>
    <cellStyle name="20% - Accent6 4 2 2 3 2 2" xfId="13894" xr:uid="{00000000-0005-0000-0000-00002D2E0000}"/>
    <cellStyle name="20% - Accent6 4 2 2 3 2 2 2" xfId="23446" xr:uid="{00000000-0005-0000-0000-00002E2E0000}"/>
    <cellStyle name="20% - Accent6 4 2 2 3 2 2 2 2" xfId="13086" xr:uid="{00000000-0005-0000-0000-00002F2E0000}"/>
    <cellStyle name="20% - Accent6 4 2 2 3 2 2 3" xfId="13900" xr:uid="{00000000-0005-0000-0000-0000302E0000}"/>
    <cellStyle name="20% - Accent6 4 2 2 3 2 3" xfId="7244" xr:uid="{00000000-0005-0000-0000-0000312E0000}"/>
    <cellStyle name="20% - Accent6 4 2 2 3 2 3 2" xfId="17419" xr:uid="{00000000-0005-0000-0000-0000322E0000}"/>
    <cellStyle name="20% - Accent6 4 2 2 3 2 4" xfId="3614" xr:uid="{00000000-0005-0000-0000-0000332E0000}"/>
    <cellStyle name="20% - Accent6 4 2 2 3 3" xfId="33694" xr:uid="{00000000-0005-0000-0000-0000342E0000}"/>
    <cellStyle name="20% - Accent6 4 2 2 3 3 2" xfId="26862" xr:uid="{00000000-0005-0000-0000-0000352E0000}"/>
    <cellStyle name="20% - Accent6 4 2 2 3 3 2 2" xfId="29311" xr:uid="{00000000-0005-0000-0000-0000362E0000}"/>
    <cellStyle name="20% - Accent6 4 2 2 3 3 3" xfId="7348" xr:uid="{00000000-0005-0000-0000-0000372E0000}"/>
    <cellStyle name="20% - Accent6 4 2 2 3 4" xfId="32858" xr:uid="{00000000-0005-0000-0000-0000382E0000}"/>
    <cellStyle name="20% - Accent6 4 2 2 3 4 2" xfId="17651" xr:uid="{00000000-0005-0000-0000-0000392E0000}"/>
    <cellStyle name="20% - Accent6 4 2 2 3 5" xfId="16432" xr:uid="{00000000-0005-0000-0000-00003A2E0000}"/>
    <cellStyle name="20% - Accent6 4 2 2 4" xfId="3021" xr:uid="{00000000-0005-0000-0000-00003B2E0000}"/>
    <cellStyle name="20% - Accent6 4 2 2 4 2" xfId="24441" xr:uid="{00000000-0005-0000-0000-00003C2E0000}"/>
    <cellStyle name="20% - Accent6 4 2 2 4 2 2" xfId="24443" xr:uid="{00000000-0005-0000-0000-00003D2E0000}"/>
    <cellStyle name="20% - Accent6 4 2 2 4 2 2 2" xfId="13907" xr:uid="{00000000-0005-0000-0000-00003E2E0000}"/>
    <cellStyle name="20% - Accent6 4 2 2 4 2 3" xfId="7362" xr:uid="{00000000-0005-0000-0000-00003F2E0000}"/>
    <cellStyle name="20% - Accent6 4 2 2 4 3" xfId="24445" xr:uid="{00000000-0005-0000-0000-0000402E0000}"/>
    <cellStyle name="20% - Accent6 4 2 2 4 3 2" xfId="13710" xr:uid="{00000000-0005-0000-0000-0000412E0000}"/>
    <cellStyle name="20% - Accent6 4 2 2 4 4" xfId="13908" xr:uid="{00000000-0005-0000-0000-0000422E0000}"/>
    <cellStyle name="20% - Accent6 4 2 2 5" xfId="13912" xr:uid="{00000000-0005-0000-0000-0000432E0000}"/>
    <cellStyle name="20% - Accent6 4 2 2 5 2" xfId="24452" xr:uid="{00000000-0005-0000-0000-0000442E0000}"/>
    <cellStyle name="20% - Accent6 4 2 2 5 2 2" xfId="31846" xr:uid="{00000000-0005-0000-0000-0000452E0000}"/>
    <cellStyle name="20% - Accent6 4 2 2 5 3" xfId="32671" xr:uid="{00000000-0005-0000-0000-0000462E0000}"/>
    <cellStyle name="20% - Accent6 4 2 2 6" xfId="13918" xr:uid="{00000000-0005-0000-0000-0000472E0000}"/>
    <cellStyle name="20% - Accent6 4 2 2 6 2" xfId="32795" xr:uid="{00000000-0005-0000-0000-0000482E0000}"/>
    <cellStyle name="20% - Accent6 4 2 2 7" xfId="13923" xr:uid="{00000000-0005-0000-0000-0000492E0000}"/>
    <cellStyle name="20% - Accent6 4 2 3" xfId="7267" xr:uid="{00000000-0005-0000-0000-00004A2E0000}"/>
    <cellStyle name="20% - Accent6 4 2 3 2" xfId="13246" xr:uid="{00000000-0005-0000-0000-00004B2E0000}"/>
    <cellStyle name="20% - Accent6 4 2 3 2 2" xfId="8196" xr:uid="{00000000-0005-0000-0000-00004C2E0000}"/>
    <cellStyle name="20% - Accent6 4 2 3 2 2 2" xfId="3539" xr:uid="{00000000-0005-0000-0000-00004D2E0000}"/>
    <cellStyle name="20% - Accent6 4 2 3 2 2 2 2" xfId="24003" xr:uid="{00000000-0005-0000-0000-00004E2E0000}"/>
    <cellStyle name="20% - Accent6 4 2 3 2 2 2 2 2" xfId="5906" xr:uid="{00000000-0005-0000-0000-00004F2E0000}"/>
    <cellStyle name="20% - Accent6 4 2 3 2 2 2 3" xfId="5926" xr:uid="{00000000-0005-0000-0000-0000502E0000}"/>
    <cellStyle name="20% - Accent6 4 2 3 2 2 3" xfId="4282" xr:uid="{00000000-0005-0000-0000-0000512E0000}"/>
    <cellStyle name="20% - Accent6 4 2 3 2 2 3 2" xfId="3551" xr:uid="{00000000-0005-0000-0000-0000522E0000}"/>
    <cellStyle name="20% - Accent6 4 2 3 2 2 4" xfId="3060" xr:uid="{00000000-0005-0000-0000-0000532E0000}"/>
    <cellStyle name="20% - Accent6 4 2 3 2 3" xfId="6026" xr:uid="{00000000-0005-0000-0000-0000542E0000}"/>
    <cellStyle name="20% - Accent6 4 2 3 2 3 2" xfId="3557" xr:uid="{00000000-0005-0000-0000-0000552E0000}"/>
    <cellStyle name="20% - Accent6 4 2 3 2 3 2 2" xfId="3559" xr:uid="{00000000-0005-0000-0000-0000562E0000}"/>
    <cellStyle name="20% - Accent6 4 2 3 2 3 3" xfId="3073" xr:uid="{00000000-0005-0000-0000-0000572E0000}"/>
    <cellStyle name="20% - Accent6 4 2 3 2 4" xfId="5008" xr:uid="{00000000-0005-0000-0000-0000582E0000}"/>
    <cellStyle name="20% - Accent6 4 2 3 2 4 2" xfId="14492" xr:uid="{00000000-0005-0000-0000-0000592E0000}"/>
    <cellStyle name="20% - Accent6 4 2 3 2 5" xfId="8179" xr:uid="{00000000-0005-0000-0000-00005A2E0000}"/>
    <cellStyle name="20% - Accent6 4 2 3 3" xfId="25905" xr:uid="{00000000-0005-0000-0000-00005B2E0000}"/>
    <cellStyle name="20% - Accent6 4 2 3 3 2" xfId="11507" xr:uid="{00000000-0005-0000-0000-00005C2E0000}"/>
    <cellStyle name="20% - Accent6 4 2 3 3 2 2" xfId="7472" xr:uid="{00000000-0005-0000-0000-00005D2E0000}"/>
    <cellStyle name="20% - Accent6 4 2 3 3 2 2 2" xfId="12053" xr:uid="{00000000-0005-0000-0000-00005E2E0000}"/>
    <cellStyle name="20% - Accent6 4 2 3 3 2 3" xfId="7398" xr:uid="{00000000-0005-0000-0000-00005F2E0000}"/>
    <cellStyle name="20% - Accent6 4 2 3 3 3" xfId="13068" xr:uid="{00000000-0005-0000-0000-0000602E0000}"/>
    <cellStyle name="20% - Accent6 4 2 3 3 3 2" xfId="3583" xr:uid="{00000000-0005-0000-0000-0000612E0000}"/>
    <cellStyle name="20% - Accent6 4 2 3 3 4" xfId="4052" xr:uid="{00000000-0005-0000-0000-0000622E0000}"/>
    <cellStyle name="20% - Accent6 4 2 3 4" xfId="8207" xr:uid="{00000000-0005-0000-0000-0000632E0000}"/>
    <cellStyle name="20% - Accent6 4 2 3 4 2" xfId="24459" xr:uid="{00000000-0005-0000-0000-0000642E0000}"/>
    <cellStyle name="20% - Accent6 4 2 3 4 2 2" xfId="10952" xr:uid="{00000000-0005-0000-0000-0000652E0000}"/>
    <cellStyle name="20% - Accent6 4 2 3 4 3" xfId="5883" xr:uid="{00000000-0005-0000-0000-0000662E0000}"/>
    <cellStyle name="20% - Accent6 4 2 3 5" xfId="7188" xr:uid="{00000000-0005-0000-0000-0000672E0000}"/>
    <cellStyle name="20% - Accent6 4 2 3 5 2" xfId="5935" xr:uid="{00000000-0005-0000-0000-0000682E0000}"/>
    <cellStyle name="20% - Accent6 4 2 3 6" xfId="3598" xr:uid="{00000000-0005-0000-0000-0000692E0000}"/>
    <cellStyle name="20% - Accent6 4 2 4" xfId="3444" xr:uid="{00000000-0005-0000-0000-00006A2E0000}"/>
    <cellStyle name="20% - Accent6 4 2 4 2" xfId="25166" xr:uid="{00000000-0005-0000-0000-00006B2E0000}"/>
    <cellStyle name="20% - Accent6 4 2 4 2 2" xfId="8231" xr:uid="{00000000-0005-0000-0000-00006C2E0000}"/>
    <cellStyle name="20% - Accent6 4 2 4 2 2 2" xfId="2662" xr:uid="{00000000-0005-0000-0000-00006D2E0000}"/>
    <cellStyle name="20% - Accent6 4 2 4 2 2 2 2" xfId="13705" xr:uid="{00000000-0005-0000-0000-00006E2E0000}"/>
    <cellStyle name="20% - Accent6 4 2 4 2 2 3" xfId="9960" xr:uid="{00000000-0005-0000-0000-00006F2E0000}"/>
    <cellStyle name="20% - Accent6 4 2 4 2 3" xfId="3754" xr:uid="{00000000-0005-0000-0000-0000702E0000}"/>
    <cellStyle name="20% - Accent6 4 2 4 2 3 2" xfId="3758" xr:uid="{00000000-0005-0000-0000-0000712E0000}"/>
    <cellStyle name="20% - Accent6 4 2 4 2 4" xfId="12943" xr:uid="{00000000-0005-0000-0000-0000722E0000}"/>
    <cellStyle name="20% - Accent6 4 2 4 3" xfId="8236" xr:uid="{00000000-0005-0000-0000-0000732E0000}"/>
    <cellStyle name="20% - Accent6 4 2 4 3 2" xfId="3769" xr:uid="{00000000-0005-0000-0000-0000742E0000}"/>
    <cellStyle name="20% - Accent6 4 2 4 3 2 2" xfId="3771" xr:uid="{00000000-0005-0000-0000-0000752E0000}"/>
    <cellStyle name="20% - Accent6 4 2 4 3 3" xfId="3774" xr:uid="{00000000-0005-0000-0000-0000762E0000}"/>
    <cellStyle name="20% - Accent6 4 2 4 4" xfId="3780" xr:uid="{00000000-0005-0000-0000-0000772E0000}"/>
    <cellStyle name="20% - Accent6 4 2 4 4 2" xfId="9303" xr:uid="{00000000-0005-0000-0000-0000782E0000}"/>
    <cellStyle name="20% - Accent6 4 2 4 5" xfId="3785" xr:uid="{00000000-0005-0000-0000-0000792E0000}"/>
    <cellStyle name="20% - Accent6 4 2 5" xfId="11610" xr:uid="{00000000-0005-0000-0000-00007A2E0000}"/>
    <cellStyle name="20% - Accent6 4 2 5 2" xfId="8248" xr:uid="{00000000-0005-0000-0000-00007B2E0000}"/>
    <cellStyle name="20% - Accent6 4 2 5 2 2" xfId="3888" xr:uid="{00000000-0005-0000-0000-00007C2E0000}"/>
    <cellStyle name="20% - Accent6 4 2 5 2 2 2" xfId="9370" xr:uid="{00000000-0005-0000-0000-00007D2E0000}"/>
    <cellStyle name="20% - Accent6 4 2 5 2 3" xfId="3892" xr:uid="{00000000-0005-0000-0000-00007E2E0000}"/>
    <cellStyle name="20% - Accent6 4 2 5 3" xfId="3901" xr:uid="{00000000-0005-0000-0000-00007F2E0000}"/>
    <cellStyle name="20% - Accent6 4 2 5 3 2" xfId="3904" xr:uid="{00000000-0005-0000-0000-0000802E0000}"/>
    <cellStyle name="20% - Accent6 4 2 5 4" xfId="3909" xr:uid="{00000000-0005-0000-0000-0000812E0000}"/>
    <cellStyle name="20% - Accent6 4 2 6" xfId="13926" xr:uid="{00000000-0005-0000-0000-0000822E0000}"/>
    <cellStyle name="20% - Accent6 4 2 6 2" xfId="3367" xr:uid="{00000000-0005-0000-0000-0000832E0000}"/>
    <cellStyle name="20% - Accent6 4 2 6 2 2" xfId="3940" xr:uid="{00000000-0005-0000-0000-0000842E0000}"/>
    <cellStyle name="20% - Accent6 4 2 6 3" xfId="3943" xr:uid="{00000000-0005-0000-0000-0000852E0000}"/>
    <cellStyle name="20% - Accent6 4 2 7" xfId="8341" xr:uid="{00000000-0005-0000-0000-0000862E0000}"/>
    <cellStyle name="20% - Accent6 4 2 7 2" xfId="13359" xr:uid="{00000000-0005-0000-0000-0000872E0000}"/>
    <cellStyle name="20% - Accent6 4 2 8" xfId="13927" xr:uid="{00000000-0005-0000-0000-0000882E0000}"/>
    <cellStyle name="20% - Accent6 4 3" xfId="13323" xr:uid="{00000000-0005-0000-0000-0000892E0000}"/>
    <cellStyle name="20% - Accent6 4 3 2" xfId="13254" xr:uid="{00000000-0005-0000-0000-00008A2E0000}"/>
    <cellStyle name="20% - Accent6 4 3 2 2" xfId="8004" xr:uid="{00000000-0005-0000-0000-00008B2E0000}"/>
    <cellStyle name="20% - Accent6 4 3 2 2 2" xfId="13929" xr:uid="{00000000-0005-0000-0000-00008C2E0000}"/>
    <cellStyle name="20% - Accent6 4 3 2 2 2 2" xfId="14216" xr:uid="{00000000-0005-0000-0000-00008D2E0000}"/>
    <cellStyle name="20% - Accent6 4 3 2 2 2 2 2" xfId="7595" xr:uid="{00000000-0005-0000-0000-00008E2E0000}"/>
    <cellStyle name="20% - Accent6 4 3 2 2 2 2 2 2" xfId="7826" xr:uid="{00000000-0005-0000-0000-00008F2E0000}"/>
    <cellStyle name="20% - Accent6 4 3 2 2 2 2 3" xfId="3308" xr:uid="{00000000-0005-0000-0000-0000902E0000}"/>
    <cellStyle name="20% - Accent6 4 3 2 2 2 3" xfId="5502" xr:uid="{00000000-0005-0000-0000-0000912E0000}"/>
    <cellStyle name="20% - Accent6 4 3 2 2 2 3 2" xfId="3377" xr:uid="{00000000-0005-0000-0000-0000922E0000}"/>
    <cellStyle name="20% - Accent6 4 3 2 2 2 4" xfId="14220" xr:uid="{00000000-0005-0000-0000-0000932E0000}"/>
    <cellStyle name="20% - Accent6 4 3 2 2 3" xfId="13930" xr:uid="{00000000-0005-0000-0000-0000942E0000}"/>
    <cellStyle name="20% - Accent6 4 3 2 2 3 2" xfId="13931" xr:uid="{00000000-0005-0000-0000-0000952E0000}"/>
    <cellStyle name="20% - Accent6 4 3 2 2 3 2 2" xfId="3398" xr:uid="{00000000-0005-0000-0000-0000962E0000}"/>
    <cellStyle name="20% - Accent6 4 3 2 2 3 3" xfId="29427" xr:uid="{00000000-0005-0000-0000-0000972E0000}"/>
    <cellStyle name="20% - Accent6 4 3 2 2 4" xfId="13933" xr:uid="{00000000-0005-0000-0000-0000982E0000}"/>
    <cellStyle name="20% - Accent6 4 3 2 2 4 2" xfId="13934" xr:uid="{00000000-0005-0000-0000-0000992E0000}"/>
    <cellStyle name="20% - Accent6 4 3 2 2 5" xfId="1293" xr:uid="{00000000-0005-0000-0000-00009A2E0000}"/>
    <cellStyle name="20% - Accent6 4 3 2 3" xfId="3908" xr:uid="{00000000-0005-0000-0000-00009B2E0000}"/>
    <cellStyle name="20% - Accent6 4 3 2 3 2" xfId="18272" xr:uid="{00000000-0005-0000-0000-00009C2E0000}"/>
    <cellStyle name="20% - Accent6 4 3 2 3 2 2" xfId="13937" xr:uid="{00000000-0005-0000-0000-00009D2E0000}"/>
    <cellStyle name="20% - Accent6 4 3 2 3 2 2 2" xfId="6588" xr:uid="{00000000-0005-0000-0000-00009E2E0000}"/>
    <cellStyle name="20% - Accent6 4 3 2 3 2 3" xfId="15036" xr:uid="{00000000-0005-0000-0000-00009F2E0000}"/>
    <cellStyle name="20% - Accent6 4 3 2 3 3" xfId="18275" xr:uid="{00000000-0005-0000-0000-0000A02E0000}"/>
    <cellStyle name="20% - Accent6 4 3 2 3 3 2" xfId="13726" xr:uid="{00000000-0005-0000-0000-0000A12E0000}"/>
    <cellStyle name="20% - Accent6 4 3 2 3 4" xfId="18278" xr:uid="{00000000-0005-0000-0000-0000A22E0000}"/>
    <cellStyle name="20% - Accent6 4 3 2 4" xfId="13941" xr:uid="{00000000-0005-0000-0000-0000A32E0000}"/>
    <cellStyle name="20% - Accent6 4 3 2 4 2" xfId="18280" xr:uid="{00000000-0005-0000-0000-0000A42E0000}"/>
    <cellStyle name="20% - Accent6 4 3 2 4 2 2" xfId="15042" xr:uid="{00000000-0005-0000-0000-0000A52E0000}"/>
    <cellStyle name="20% - Accent6 4 3 2 4 3" xfId="18286" xr:uid="{00000000-0005-0000-0000-0000A62E0000}"/>
    <cellStyle name="20% - Accent6 4 3 2 5" xfId="13944" xr:uid="{00000000-0005-0000-0000-0000A72E0000}"/>
    <cellStyle name="20% - Accent6 4 3 2 5 2" xfId="18288" xr:uid="{00000000-0005-0000-0000-0000A82E0000}"/>
    <cellStyle name="20% - Accent6 4 3 2 6" xfId="13956" xr:uid="{00000000-0005-0000-0000-0000A92E0000}"/>
    <cellStyle name="20% - Accent6 4 3 3" xfId="13260" xr:uid="{00000000-0005-0000-0000-0000AA2E0000}"/>
    <cellStyle name="20% - Accent6 4 3 3 2" xfId="9629" xr:uid="{00000000-0005-0000-0000-0000AB2E0000}"/>
    <cellStyle name="20% - Accent6 4 3 3 2 2" xfId="8261" xr:uid="{00000000-0005-0000-0000-0000AC2E0000}"/>
    <cellStyle name="20% - Accent6 4 3 3 2 2 2" xfId="4139" xr:uid="{00000000-0005-0000-0000-0000AD2E0000}"/>
    <cellStyle name="20% - Accent6 4 3 3 2 2 2 2" xfId="20672" xr:uid="{00000000-0005-0000-0000-0000AE2E0000}"/>
    <cellStyle name="20% - Accent6 4 3 3 2 2 3" xfId="4143" xr:uid="{00000000-0005-0000-0000-0000AF2E0000}"/>
    <cellStyle name="20% - Accent6 4 3 3 2 3" xfId="4150" xr:uid="{00000000-0005-0000-0000-0000B02E0000}"/>
    <cellStyle name="20% - Accent6 4 3 3 2 3 2" xfId="14680" xr:uid="{00000000-0005-0000-0000-0000B12E0000}"/>
    <cellStyle name="20% - Accent6 4 3 3 2 4" xfId="1251" xr:uid="{00000000-0005-0000-0000-0000B22E0000}"/>
    <cellStyle name="20% - Accent6 4 3 3 3" xfId="9942" xr:uid="{00000000-0005-0000-0000-0000B32E0000}"/>
    <cellStyle name="20% - Accent6 4 3 3 3 2" xfId="18289" xr:uid="{00000000-0005-0000-0000-0000B42E0000}"/>
    <cellStyle name="20% - Accent6 4 3 3 3 2 2" xfId="4159" xr:uid="{00000000-0005-0000-0000-0000B52E0000}"/>
    <cellStyle name="20% - Accent6 4 3 3 3 3" xfId="18295" xr:uid="{00000000-0005-0000-0000-0000B62E0000}"/>
    <cellStyle name="20% - Accent6 4 3 3 4" xfId="4168" xr:uid="{00000000-0005-0000-0000-0000B72E0000}"/>
    <cellStyle name="20% - Accent6 4 3 3 4 2" xfId="18297" xr:uid="{00000000-0005-0000-0000-0000B82E0000}"/>
    <cellStyle name="20% - Accent6 4 3 3 5" xfId="5771" xr:uid="{00000000-0005-0000-0000-0000B92E0000}"/>
    <cellStyle name="20% - Accent6 4 3 4" xfId="8563" xr:uid="{00000000-0005-0000-0000-0000BA2E0000}"/>
    <cellStyle name="20% - Accent6 4 3 4 2" xfId="4300" xr:uid="{00000000-0005-0000-0000-0000BB2E0000}"/>
    <cellStyle name="20% - Accent6 4 3 4 2 2" xfId="3804" xr:uid="{00000000-0005-0000-0000-0000BC2E0000}"/>
    <cellStyle name="20% - Accent6 4 3 4 2 2 2" xfId="4303" xr:uid="{00000000-0005-0000-0000-0000BD2E0000}"/>
    <cellStyle name="20% - Accent6 4 3 4 2 3" xfId="3627" xr:uid="{00000000-0005-0000-0000-0000BE2E0000}"/>
    <cellStyle name="20% - Accent6 4 3 4 3" xfId="4310" xr:uid="{00000000-0005-0000-0000-0000BF2E0000}"/>
    <cellStyle name="20% - Accent6 4 3 4 3 2" xfId="18299" xr:uid="{00000000-0005-0000-0000-0000C02E0000}"/>
    <cellStyle name="20% - Accent6 4 3 4 4" xfId="4316" xr:uid="{00000000-0005-0000-0000-0000C12E0000}"/>
    <cellStyle name="20% - Accent6 4 3 5" xfId="13961" xr:uid="{00000000-0005-0000-0000-0000C22E0000}"/>
    <cellStyle name="20% - Accent6 4 3 5 2" xfId="4400" xr:uid="{00000000-0005-0000-0000-0000C32E0000}"/>
    <cellStyle name="20% - Accent6 4 3 5 2 2" xfId="3820" xr:uid="{00000000-0005-0000-0000-0000C42E0000}"/>
    <cellStyle name="20% - Accent6 4 3 5 3" xfId="4414" xr:uid="{00000000-0005-0000-0000-0000C52E0000}"/>
    <cellStyle name="20% - Accent6 4 3 6" xfId="13963" xr:uid="{00000000-0005-0000-0000-0000C62E0000}"/>
    <cellStyle name="20% - Accent6 4 3 6 2" xfId="4445" xr:uid="{00000000-0005-0000-0000-0000C72E0000}"/>
    <cellStyle name="20% - Accent6 4 3 7" xfId="13964" xr:uid="{00000000-0005-0000-0000-0000C82E0000}"/>
    <cellStyle name="20% - Accent6 4 4" xfId="16400" xr:uid="{00000000-0005-0000-0000-0000C92E0000}"/>
    <cellStyle name="20% - Accent6 4 4 2" xfId="13968" xr:uid="{00000000-0005-0000-0000-0000CA2E0000}"/>
    <cellStyle name="20% - Accent6 4 4 2 2" xfId="23225" xr:uid="{00000000-0005-0000-0000-0000CB2E0000}"/>
    <cellStyle name="20% - Accent6 4 4 2 2 2" xfId="10135" xr:uid="{00000000-0005-0000-0000-0000CC2E0000}"/>
    <cellStyle name="20% - Accent6 4 4 2 2 2 2" xfId="13972" xr:uid="{00000000-0005-0000-0000-0000CD2E0000}"/>
    <cellStyle name="20% - Accent6 4 4 2 2 2 2 2" xfId="4058" xr:uid="{00000000-0005-0000-0000-0000CE2E0000}"/>
    <cellStyle name="20% - Accent6 4 4 2 2 2 3" xfId="13976" xr:uid="{00000000-0005-0000-0000-0000CF2E0000}"/>
    <cellStyle name="20% - Accent6 4 4 2 2 3" xfId="13978" xr:uid="{00000000-0005-0000-0000-0000D02E0000}"/>
    <cellStyle name="20% - Accent6 4 4 2 2 3 2" xfId="13981" xr:uid="{00000000-0005-0000-0000-0000D12E0000}"/>
    <cellStyle name="20% - Accent6 4 4 2 2 4" xfId="10437" xr:uid="{00000000-0005-0000-0000-0000D22E0000}"/>
    <cellStyle name="20% - Accent6 4 4 2 3" xfId="13984" xr:uid="{00000000-0005-0000-0000-0000D32E0000}"/>
    <cellStyle name="20% - Accent6 4 4 2 3 2" xfId="18316" xr:uid="{00000000-0005-0000-0000-0000D42E0000}"/>
    <cellStyle name="20% - Accent6 4 4 2 3 2 2" xfId="15802" xr:uid="{00000000-0005-0000-0000-0000D52E0000}"/>
    <cellStyle name="20% - Accent6 4 4 2 3 3" xfId="18318" xr:uid="{00000000-0005-0000-0000-0000D62E0000}"/>
    <cellStyle name="20% - Accent6 4 4 2 4" xfId="13992" xr:uid="{00000000-0005-0000-0000-0000D72E0000}"/>
    <cellStyle name="20% - Accent6 4 4 2 4 2" xfId="18319" xr:uid="{00000000-0005-0000-0000-0000D82E0000}"/>
    <cellStyle name="20% - Accent6 4 4 2 5" xfId="13997" xr:uid="{00000000-0005-0000-0000-0000D92E0000}"/>
    <cellStyle name="20% - Accent6 4 4 3" xfId="8569" xr:uid="{00000000-0005-0000-0000-0000DA2E0000}"/>
    <cellStyle name="20% - Accent6 4 4 3 2" xfId="4328" xr:uid="{00000000-0005-0000-0000-0000DB2E0000}"/>
    <cellStyle name="20% - Accent6 4 4 3 2 2" xfId="4640" xr:uid="{00000000-0005-0000-0000-0000DC2E0000}"/>
    <cellStyle name="20% - Accent6 4 4 3 2 2 2" xfId="9018" xr:uid="{00000000-0005-0000-0000-0000DD2E0000}"/>
    <cellStyle name="20% - Accent6 4 4 3 2 3" xfId="4649" xr:uid="{00000000-0005-0000-0000-0000DE2E0000}"/>
    <cellStyle name="20% - Accent6 4 4 3 3" xfId="4340" xr:uid="{00000000-0005-0000-0000-0000DF2E0000}"/>
    <cellStyle name="20% - Accent6 4 4 3 3 2" xfId="18324" xr:uid="{00000000-0005-0000-0000-0000E02E0000}"/>
    <cellStyle name="20% - Accent6 4 4 3 4" xfId="4658" xr:uid="{00000000-0005-0000-0000-0000E12E0000}"/>
    <cellStyle name="20% - Accent6 4 4 4" xfId="14001" xr:uid="{00000000-0005-0000-0000-0000E22E0000}"/>
    <cellStyle name="20% - Accent6 4 4 4 2" xfId="4353" xr:uid="{00000000-0005-0000-0000-0000E32E0000}"/>
    <cellStyle name="20% - Accent6 4 4 4 2 2" xfId="3863" xr:uid="{00000000-0005-0000-0000-0000E42E0000}"/>
    <cellStyle name="20% - Accent6 4 4 4 3" xfId="4750" xr:uid="{00000000-0005-0000-0000-0000E52E0000}"/>
    <cellStyle name="20% - Accent6 4 4 5" xfId="14003" xr:uid="{00000000-0005-0000-0000-0000E62E0000}"/>
    <cellStyle name="20% - Accent6 4 4 5 2" xfId="2243" xr:uid="{00000000-0005-0000-0000-0000E72E0000}"/>
    <cellStyle name="20% - Accent6 4 4 6" xfId="18915" xr:uid="{00000000-0005-0000-0000-0000E82E0000}"/>
    <cellStyle name="20% - Accent6 4 5" xfId="556" xr:uid="{00000000-0005-0000-0000-0000E92E0000}"/>
    <cellStyle name="20% - Accent6 4 5 2" xfId="3254" xr:uid="{00000000-0005-0000-0000-0000EA2E0000}"/>
    <cellStyle name="20% - Accent6 4 5 2 2" xfId="17184" xr:uid="{00000000-0005-0000-0000-0000EB2E0000}"/>
    <cellStyle name="20% - Accent6 4 5 2 2 2" xfId="6907" xr:uid="{00000000-0005-0000-0000-0000EC2E0000}"/>
    <cellStyle name="20% - Accent6 4 5 2 2 2 2" xfId="1811" xr:uid="{00000000-0005-0000-0000-0000ED2E0000}"/>
    <cellStyle name="20% - Accent6 4 5 2 2 3" xfId="2873" xr:uid="{00000000-0005-0000-0000-0000EE2E0000}"/>
    <cellStyle name="20% - Accent6 4 5 2 3" xfId="9536" xr:uid="{00000000-0005-0000-0000-0000EF2E0000}"/>
    <cellStyle name="20% - Accent6 4 5 2 3 2" xfId="18333" xr:uid="{00000000-0005-0000-0000-0000F02E0000}"/>
    <cellStyle name="20% - Accent6 4 5 2 4" xfId="14005" xr:uid="{00000000-0005-0000-0000-0000F12E0000}"/>
    <cellStyle name="20% - Accent6 4 5 3" xfId="1323" xr:uid="{00000000-0005-0000-0000-0000F22E0000}"/>
    <cellStyle name="20% - Accent6 4 5 3 2" xfId="4376" xr:uid="{00000000-0005-0000-0000-0000F32E0000}"/>
    <cellStyle name="20% - Accent6 4 5 3 2 2" xfId="4916" xr:uid="{00000000-0005-0000-0000-0000F42E0000}"/>
    <cellStyle name="20% - Accent6 4 5 3 3" xfId="4926" xr:uid="{00000000-0005-0000-0000-0000F52E0000}"/>
    <cellStyle name="20% - Accent6 4 5 4" xfId="1654" xr:uid="{00000000-0005-0000-0000-0000F62E0000}"/>
    <cellStyle name="20% - Accent6 4 5 4 2" xfId="4982" xr:uid="{00000000-0005-0000-0000-0000F72E0000}"/>
    <cellStyle name="20% - Accent6 4 5 5" xfId="2008" xr:uid="{00000000-0005-0000-0000-0000F82E0000}"/>
    <cellStyle name="20% - Accent6 4 6" xfId="3601" xr:uid="{00000000-0005-0000-0000-0000F92E0000}"/>
    <cellStyle name="20% - Accent6 4 6 2" xfId="3610" xr:uid="{00000000-0005-0000-0000-0000FA2E0000}"/>
    <cellStyle name="20% - Accent6 4 6 2 2" xfId="31978" xr:uid="{00000000-0005-0000-0000-0000FB2E0000}"/>
    <cellStyle name="20% - Accent6 4 6 2 2 2" xfId="9135" xr:uid="{00000000-0005-0000-0000-0000FC2E0000}"/>
    <cellStyle name="20% - Accent6 4 6 2 3" xfId="14009" xr:uid="{00000000-0005-0000-0000-0000FD2E0000}"/>
    <cellStyle name="20% - Accent6 4 6 3" xfId="23070" xr:uid="{00000000-0005-0000-0000-0000FE2E0000}"/>
    <cellStyle name="20% - Accent6 4 6 3 2" xfId="10259" xr:uid="{00000000-0005-0000-0000-0000FF2E0000}"/>
    <cellStyle name="20% - Accent6 4 6 4" xfId="21571" xr:uid="{00000000-0005-0000-0000-0000002F0000}"/>
    <cellStyle name="20% - Accent6 4 7" xfId="2150" xr:uid="{00000000-0005-0000-0000-0000012F0000}"/>
    <cellStyle name="20% - Accent6 4 7 2" xfId="8225" xr:uid="{00000000-0005-0000-0000-0000022F0000}"/>
    <cellStyle name="20% - Accent6 4 7 2 2" xfId="12778" xr:uid="{00000000-0005-0000-0000-0000032F0000}"/>
    <cellStyle name="20% - Accent6 4 7 3" xfId="27215" xr:uid="{00000000-0005-0000-0000-0000042F0000}"/>
    <cellStyle name="20% - Accent6 4 8" xfId="1507" xr:uid="{00000000-0005-0000-0000-0000052F0000}"/>
    <cellStyle name="20% - Accent6 4 8 2" xfId="7180" xr:uid="{00000000-0005-0000-0000-0000062F0000}"/>
    <cellStyle name="20% - Accent6 4 9" xfId="14016" xr:uid="{00000000-0005-0000-0000-0000072F0000}"/>
    <cellStyle name="20% - Accent6 5" xfId="14018" xr:uid="{00000000-0005-0000-0000-0000082F0000}"/>
    <cellStyle name="20% - Accent6 5 2" xfId="14434" xr:uid="{00000000-0005-0000-0000-0000092F0000}"/>
    <cellStyle name="20% - Accent6 5 2 2" xfId="13280" xr:uid="{00000000-0005-0000-0000-00000A2F0000}"/>
    <cellStyle name="20% - Accent6 5 2 2 2" xfId="14044" xr:uid="{00000000-0005-0000-0000-00000B2F0000}"/>
    <cellStyle name="20% - Accent6 5 2 2 2 2" xfId="14020" xr:uid="{00000000-0005-0000-0000-00000C2F0000}"/>
    <cellStyle name="20% - Accent6 5 2 2 2 2 2" xfId="14021" xr:uid="{00000000-0005-0000-0000-00000D2F0000}"/>
    <cellStyle name="20% - Accent6 5 2 2 2 2 2 2" xfId="323" xr:uid="{00000000-0005-0000-0000-00000E2F0000}"/>
    <cellStyle name="20% - Accent6 5 2 2 2 2 2 2 2" xfId="14023" xr:uid="{00000000-0005-0000-0000-00000F2F0000}"/>
    <cellStyle name="20% - Accent6 5 2 2 2 2 2 3" xfId="718" xr:uid="{00000000-0005-0000-0000-0000102F0000}"/>
    <cellStyle name="20% - Accent6 5 2 2 2 2 3" xfId="2027" xr:uid="{00000000-0005-0000-0000-0000112F0000}"/>
    <cellStyle name="20% - Accent6 5 2 2 2 2 3 2" xfId="18832" xr:uid="{00000000-0005-0000-0000-0000122F0000}"/>
    <cellStyle name="20% - Accent6 5 2 2 2 2 4" xfId="14024" xr:uid="{00000000-0005-0000-0000-0000132F0000}"/>
    <cellStyle name="20% - Accent6 5 2 2 2 3" xfId="14026" xr:uid="{00000000-0005-0000-0000-0000142F0000}"/>
    <cellStyle name="20% - Accent6 5 2 2 2 3 2" xfId="14027" xr:uid="{00000000-0005-0000-0000-0000152F0000}"/>
    <cellStyle name="20% - Accent6 5 2 2 2 3 2 2" xfId="6569" xr:uid="{00000000-0005-0000-0000-0000162F0000}"/>
    <cellStyle name="20% - Accent6 5 2 2 2 3 3" xfId="14032" xr:uid="{00000000-0005-0000-0000-0000172F0000}"/>
    <cellStyle name="20% - Accent6 5 2 2 2 4" xfId="14034" xr:uid="{00000000-0005-0000-0000-0000182F0000}"/>
    <cellStyle name="20% - Accent6 5 2 2 2 4 2" xfId="7276" xr:uid="{00000000-0005-0000-0000-0000192F0000}"/>
    <cellStyle name="20% - Accent6 5 2 2 2 5" xfId="7555" xr:uid="{00000000-0005-0000-0000-00001A2F0000}"/>
    <cellStyle name="20% - Accent6 5 2 2 3" xfId="27558" xr:uid="{00000000-0005-0000-0000-00001B2F0000}"/>
    <cellStyle name="20% - Accent6 5 2 2 3 2" xfId="27240" xr:uid="{00000000-0005-0000-0000-00001C2F0000}"/>
    <cellStyle name="20% - Accent6 5 2 2 3 2 2" xfId="19090" xr:uid="{00000000-0005-0000-0000-00001D2F0000}"/>
    <cellStyle name="20% - Accent6 5 2 2 3 2 2 2" xfId="14039" xr:uid="{00000000-0005-0000-0000-00001E2F0000}"/>
    <cellStyle name="20% - Accent6 5 2 2 3 2 3" xfId="24497" xr:uid="{00000000-0005-0000-0000-00001F2F0000}"/>
    <cellStyle name="20% - Accent6 5 2 2 3 3" xfId="29473" xr:uid="{00000000-0005-0000-0000-0000202F0000}"/>
    <cellStyle name="20% - Accent6 5 2 2 3 3 2" xfId="19105" xr:uid="{00000000-0005-0000-0000-0000212F0000}"/>
    <cellStyle name="20% - Accent6 5 2 2 3 4" xfId="14047" xr:uid="{00000000-0005-0000-0000-0000222F0000}"/>
    <cellStyle name="20% - Accent6 5 2 2 4" xfId="14052" xr:uid="{00000000-0005-0000-0000-0000232F0000}"/>
    <cellStyle name="20% - Accent6 5 2 2 4 2" xfId="14055" xr:uid="{00000000-0005-0000-0000-0000242F0000}"/>
    <cellStyle name="20% - Accent6 5 2 2 4 2 2" xfId="30965" xr:uid="{00000000-0005-0000-0000-0000252F0000}"/>
    <cellStyle name="20% - Accent6 5 2 2 4 3" xfId="14059" xr:uid="{00000000-0005-0000-0000-0000262F0000}"/>
    <cellStyle name="20% - Accent6 5 2 2 5" xfId="14061" xr:uid="{00000000-0005-0000-0000-0000272F0000}"/>
    <cellStyle name="20% - Accent6 5 2 2 5 2" xfId="14066" xr:uid="{00000000-0005-0000-0000-0000282F0000}"/>
    <cellStyle name="20% - Accent6 5 2 2 6" xfId="14071" xr:uid="{00000000-0005-0000-0000-0000292F0000}"/>
    <cellStyle name="20% - Accent6 5 2 3" xfId="8572" xr:uid="{00000000-0005-0000-0000-00002A2F0000}"/>
    <cellStyle name="20% - Accent6 5 2 3 2" xfId="9686" xr:uid="{00000000-0005-0000-0000-00002B2F0000}"/>
    <cellStyle name="20% - Accent6 5 2 3 2 2" xfId="8396" xr:uid="{00000000-0005-0000-0000-00002C2F0000}"/>
    <cellStyle name="20% - Accent6 5 2 3 2 2 2" xfId="5293" xr:uid="{00000000-0005-0000-0000-00002D2F0000}"/>
    <cellStyle name="20% - Accent6 5 2 3 2 2 2 2" xfId="7508" xr:uid="{00000000-0005-0000-0000-00002E2F0000}"/>
    <cellStyle name="20% - Accent6 5 2 3 2 2 3" xfId="5299" xr:uid="{00000000-0005-0000-0000-00002F2F0000}"/>
    <cellStyle name="20% - Accent6 5 2 3 2 3" xfId="5303" xr:uid="{00000000-0005-0000-0000-0000302F0000}"/>
    <cellStyle name="20% - Accent6 5 2 3 2 3 2" xfId="5307" xr:uid="{00000000-0005-0000-0000-0000312F0000}"/>
    <cellStyle name="20% - Accent6 5 2 3 2 4" xfId="5310" xr:uid="{00000000-0005-0000-0000-0000322F0000}"/>
    <cellStyle name="20% - Accent6 5 2 3 3" xfId="3621" xr:uid="{00000000-0005-0000-0000-0000332F0000}"/>
    <cellStyle name="20% - Accent6 5 2 3 3 2" xfId="5321" xr:uid="{00000000-0005-0000-0000-0000342F0000}"/>
    <cellStyle name="20% - Accent6 5 2 3 3 2 2" xfId="9573" xr:uid="{00000000-0005-0000-0000-0000352F0000}"/>
    <cellStyle name="20% - Accent6 5 2 3 3 3" xfId="20906" xr:uid="{00000000-0005-0000-0000-0000362F0000}"/>
    <cellStyle name="20% - Accent6 5 2 3 4" xfId="3375" xr:uid="{00000000-0005-0000-0000-0000372F0000}"/>
    <cellStyle name="20% - Accent6 5 2 3 4 2" xfId="8346" xr:uid="{00000000-0005-0000-0000-0000382F0000}"/>
    <cellStyle name="20% - Accent6 5 2 3 5" xfId="5348" xr:uid="{00000000-0005-0000-0000-0000392F0000}"/>
    <cellStyle name="20% - Accent6 5 2 4" xfId="8576" xr:uid="{00000000-0005-0000-0000-00003A2F0000}"/>
    <cellStyle name="20% - Accent6 5 2 4 2" xfId="5424" xr:uid="{00000000-0005-0000-0000-00003B2F0000}"/>
    <cellStyle name="20% - Accent6 5 2 4 2 2" xfId="14299" xr:uid="{00000000-0005-0000-0000-00003C2F0000}"/>
    <cellStyle name="20% - Accent6 5 2 4 2 2 2" xfId="12203" xr:uid="{00000000-0005-0000-0000-00003D2F0000}"/>
    <cellStyle name="20% - Accent6 5 2 4 2 3" xfId="5434" xr:uid="{00000000-0005-0000-0000-00003E2F0000}"/>
    <cellStyle name="20% - Accent6 5 2 4 3" xfId="5440" xr:uid="{00000000-0005-0000-0000-00003F2F0000}"/>
    <cellStyle name="20% - Accent6 5 2 4 3 2" xfId="5454" xr:uid="{00000000-0005-0000-0000-0000402F0000}"/>
    <cellStyle name="20% - Accent6 5 2 4 4" xfId="5462" xr:uid="{00000000-0005-0000-0000-0000412F0000}"/>
    <cellStyle name="20% - Accent6 5 2 5" xfId="14076" xr:uid="{00000000-0005-0000-0000-0000422F0000}"/>
    <cellStyle name="20% - Accent6 5 2 5 2" xfId="5505" xr:uid="{00000000-0005-0000-0000-0000432F0000}"/>
    <cellStyle name="20% - Accent6 5 2 5 2 2" xfId="4967" xr:uid="{00000000-0005-0000-0000-0000442F0000}"/>
    <cellStyle name="20% - Accent6 5 2 5 3" xfId="5511" xr:uid="{00000000-0005-0000-0000-0000452F0000}"/>
    <cellStyle name="20% - Accent6 5 2 6" xfId="14078" xr:uid="{00000000-0005-0000-0000-0000462F0000}"/>
    <cellStyle name="20% - Accent6 5 2 6 2" xfId="5537" xr:uid="{00000000-0005-0000-0000-0000472F0000}"/>
    <cellStyle name="20% - Accent6 5 2 7" xfId="14081" xr:uid="{00000000-0005-0000-0000-0000482F0000}"/>
    <cellStyle name="20% - Accent6 5 3" xfId="14084" xr:uid="{00000000-0005-0000-0000-0000492F0000}"/>
    <cellStyle name="20% - Accent6 5 3 2" xfId="14088" xr:uid="{00000000-0005-0000-0000-00004A2F0000}"/>
    <cellStyle name="20% - Accent6 5 3 2 2" xfId="26277" xr:uid="{00000000-0005-0000-0000-00004B2F0000}"/>
    <cellStyle name="20% - Accent6 5 3 2 2 2" xfId="9565" xr:uid="{00000000-0005-0000-0000-00004C2F0000}"/>
    <cellStyle name="20% - Accent6 5 3 2 2 2 2" xfId="14091" xr:uid="{00000000-0005-0000-0000-00004D2F0000}"/>
    <cellStyle name="20% - Accent6 5 3 2 2 2 2 2" xfId="5213" xr:uid="{00000000-0005-0000-0000-00004E2F0000}"/>
    <cellStyle name="20% - Accent6 5 3 2 2 2 3" xfId="6680" xr:uid="{00000000-0005-0000-0000-00004F2F0000}"/>
    <cellStyle name="20% - Accent6 5 3 2 2 3" xfId="9569" xr:uid="{00000000-0005-0000-0000-0000502F0000}"/>
    <cellStyle name="20% - Accent6 5 3 2 2 3 2" xfId="14097" xr:uid="{00000000-0005-0000-0000-0000512F0000}"/>
    <cellStyle name="20% - Accent6 5 3 2 2 4" xfId="14100" xr:uid="{00000000-0005-0000-0000-0000522F0000}"/>
    <cellStyle name="20% - Accent6 5 3 2 3" xfId="27544" xr:uid="{00000000-0005-0000-0000-0000532F0000}"/>
    <cellStyle name="20% - Accent6 5 3 2 3 2" xfId="18353" xr:uid="{00000000-0005-0000-0000-0000542F0000}"/>
    <cellStyle name="20% - Accent6 5 3 2 3 2 2" xfId="17168" xr:uid="{00000000-0005-0000-0000-0000552F0000}"/>
    <cellStyle name="20% - Accent6 5 3 2 3 3" xfId="18358" xr:uid="{00000000-0005-0000-0000-0000562F0000}"/>
    <cellStyle name="20% - Accent6 5 3 2 4" xfId="14101" xr:uid="{00000000-0005-0000-0000-0000572F0000}"/>
    <cellStyle name="20% - Accent6 5 3 2 4 2" xfId="18361" xr:uid="{00000000-0005-0000-0000-0000582F0000}"/>
    <cellStyle name="20% - Accent6 5 3 2 5" xfId="14107" xr:uid="{00000000-0005-0000-0000-0000592F0000}"/>
    <cellStyle name="20% - Accent6 5 3 3" xfId="8579" xr:uid="{00000000-0005-0000-0000-00005A2F0000}"/>
    <cellStyle name="20% - Accent6 5 3 3 2" xfId="19446" xr:uid="{00000000-0005-0000-0000-00005B2F0000}"/>
    <cellStyle name="20% - Accent6 5 3 3 2 2" xfId="5652" xr:uid="{00000000-0005-0000-0000-00005C2F0000}"/>
    <cellStyle name="20% - Accent6 5 3 3 2 2 2" xfId="5655" xr:uid="{00000000-0005-0000-0000-00005D2F0000}"/>
    <cellStyle name="20% - Accent6 5 3 3 2 3" xfId="5661" xr:uid="{00000000-0005-0000-0000-00005E2F0000}"/>
    <cellStyle name="20% - Accent6 5 3 3 3" xfId="8884" xr:uid="{00000000-0005-0000-0000-00005F2F0000}"/>
    <cellStyle name="20% - Accent6 5 3 3 3 2" xfId="5680" xr:uid="{00000000-0005-0000-0000-0000602F0000}"/>
    <cellStyle name="20% - Accent6 5 3 3 4" xfId="5904" xr:uid="{00000000-0005-0000-0000-0000612F0000}"/>
    <cellStyle name="20% - Accent6 5 3 4" xfId="14112" xr:uid="{00000000-0005-0000-0000-0000622F0000}"/>
    <cellStyle name="20% - Accent6 5 3 4 2" xfId="16626" xr:uid="{00000000-0005-0000-0000-0000632F0000}"/>
    <cellStyle name="20% - Accent6 5 3 4 2 2" xfId="9933" xr:uid="{00000000-0005-0000-0000-0000642F0000}"/>
    <cellStyle name="20% - Accent6 5 3 4 3" xfId="5913" xr:uid="{00000000-0005-0000-0000-0000652F0000}"/>
    <cellStyle name="20% - Accent6 5 3 5" xfId="14115" xr:uid="{00000000-0005-0000-0000-0000662F0000}"/>
    <cellStyle name="20% - Accent6 5 3 5 2" xfId="2291" xr:uid="{00000000-0005-0000-0000-0000672F0000}"/>
    <cellStyle name="20% - Accent6 5 3 6" xfId="14117" xr:uid="{00000000-0005-0000-0000-0000682F0000}"/>
    <cellStyle name="20% - Accent6 5 4" xfId="14118" xr:uid="{00000000-0005-0000-0000-0000692F0000}"/>
    <cellStyle name="20% - Accent6 5 4 2" xfId="9944" xr:uid="{00000000-0005-0000-0000-00006A2F0000}"/>
    <cellStyle name="20% - Accent6 5 4 2 2" xfId="20405" xr:uid="{00000000-0005-0000-0000-00006B2F0000}"/>
    <cellStyle name="20% - Accent6 5 4 2 2 2" xfId="9602" xr:uid="{00000000-0005-0000-0000-00006C2F0000}"/>
    <cellStyle name="20% - Accent6 5 4 2 2 2 2" xfId="14124" xr:uid="{00000000-0005-0000-0000-00006D2F0000}"/>
    <cellStyle name="20% - Accent6 5 4 2 2 3" xfId="11771" xr:uid="{00000000-0005-0000-0000-00006E2F0000}"/>
    <cellStyle name="20% - Accent6 5 4 2 3" xfId="14128" xr:uid="{00000000-0005-0000-0000-00006F2F0000}"/>
    <cellStyle name="20% - Accent6 5 4 2 3 2" xfId="18376" xr:uid="{00000000-0005-0000-0000-0000702F0000}"/>
    <cellStyle name="20% - Accent6 5 4 2 4" xfId="16951" xr:uid="{00000000-0005-0000-0000-0000712F0000}"/>
    <cellStyle name="20% - Accent6 5 4 3" xfId="14132" xr:uid="{00000000-0005-0000-0000-0000722F0000}"/>
    <cellStyle name="20% - Accent6 5 4 3 2" xfId="18747" xr:uid="{00000000-0005-0000-0000-0000732F0000}"/>
    <cellStyle name="20% - Accent6 5 4 3 2 2" xfId="5817" xr:uid="{00000000-0005-0000-0000-0000742F0000}"/>
    <cellStyle name="20% - Accent6 5 4 3 3" xfId="24626" xr:uid="{00000000-0005-0000-0000-0000752F0000}"/>
    <cellStyle name="20% - Accent6 5 4 4" xfId="14133" xr:uid="{00000000-0005-0000-0000-0000762F0000}"/>
    <cellStyle name="20% - Accent6 5 4 4 2" xfId="24474" xr:uid="{00000000-0005-0000-0000-0000772F0000}"/>
    <cellStyle name="20% - Accent6 5 4 5" xfId="15761" xr:uid="{00000000-0005-0000-0000-0000782F0000}"/>
    <cellStyle name="20% - Accent6 5 5" xfId="857" xr:uid="{00000000-0005-0000-0000-0000792F0000}"/>
    <cellStyle name="20% - Accent6 5 5 2" xfId="1404" xr:uid="{00000000-0005-0000-0000-00007A2F0000}"/>
    <cellStyle name="20% - Accent6 5 5 2 2" xfId="14136" xr:uid="{00000000-0005-0000-0000-00007B2F0000}"/>
    <cellStyle name="20% - Accent6 5 5 2 2 2" xfId="4005" xr:uid="{00000000-0005-0000-0000-00007C2F0000}"/>
    <cellStyle name="20% - Accent6 5 5 2 3" xfId="11209" xr:uid="{00000000-0005-0000-0000-00007D2F0000}"/>
    <cellStyle name="20% - Accent6 5 5 3" xfId="5021" xr:uid="{00000000-0005-0000-0000-00007E2F0000}"/>
    <cellStyle name="20% - Accent6 5 5 3 2" xfId="5034" xr:uid="{00000000-0005-0000-0000-00007F2F0000}"/>
    <cellStyle name="20% - Accent6 5 5 4" xfId="3143" xr:uid="{00000000-0005-0000-0000-0000802F0000}"/>
    <cellStyle name="20% - Accent6 5 6" xfId="9223" xr:uid="{00000000-0005-0000-0000-0000812F0000}"/>
    <cellStyle name="20% - Accent6 5 6 2" xfId="2073" xr:uid="{00000000-0005-0000-0000-0000822F0000}"/>
    <cellStyle name="20% - Accent6 5 6 2 2" xfId="14147" xr:uid="{00000000-0005-0000-0000-0000832F0000}"/>
    <cellStyle name="20% - Accent6 5 6 3" xfId="27637" xr:uid="{00000000-0005-0000-0000-0000842F0000}"/>
    <cellStyle name="20% - Accent6 5 7" xfId="2174" xr:uid="{00000000-0005-0000-0000-0000852F0000}"/>
    <cellStyle name="20% - Accent6 5 7 2" xfId="14154" xr:uid="{00000000-0005-0000-0000-0000862F0000}"/>
    <cellStyle name="20% - Accent6 5 8" xfId="14157" xr:uid="{00000000-0005-0000-0000-0000872F0000}"/>
    <cellStyle name="20% - Accent6 6" xfId="14159" xr:uid="{00000000-0005-0000-0000-0000882F0000}"/>
    <cellStyle name="20% - Accent6 6 2" xfId="14162" xr:uid="{00000000-0005-0000-0000-0000892F0000}"/>
    <cellStyle name="20% - Accent6 6 2 2" xfId="14168" xr:uid="{00000000-0005-0000-0000-00008A2F0000}"/>
    <cellStyle name="20% - Accent6 6 2 2 2" xfId="1413" xr:uid="{00000000-0005-0000-0000-00008B2F0000}"/>
    <cellStyle name="20% - Accent6 6 2 2 2 2" xfId="3269" xr:uid="{00000000-0005-0000-0000-00008C2F0000}"/>
    <cellStyle name="20% - Accent6 6 2 2 2 2 2" xfId="6509" xr:uid="{00000000-0005-0000-0000-00008D2F0000}"/>
    <cellStyle name="20% - Accent6 6 2 2 2 2 2 2" xfId="10485" xr:uid="{00000000-0005-0000-0000-00008E2F0000}"/>
    <cellStyle name="20% - Accent6 6 2 2 2 2 3" xfId="6521" xr:uid="{00000000-0005-0000-0000-00008F2F0000}"/>
    <cellStyle name="20% - Accent6 6 2 2 2 3" xfId="6530" xr:uid="{00000000-0005-0000-0000-0000902F0000}"/>
    <cellStyle name="20% - Accent6 6 2 2 2 3 2" xfId="6533" xr:uid="{00000000-0005-0000-0000-0000912F0000}"/>
    <cellStyle name="20% - Accent6 6 2 2 2 4" xfId="3007" xr:uid="{00000000-0005-0000-0000-0000922F0000}"/>
    <cellStyle name="20% - Accent6 6 2 2 3" xfId="16654" xr:uid="{00000000-0005-0000-0000-0000932F0000}"/>
    <cellStyle name="20% - Accent6 6 2 2 3 2" xfId="18247" xr:uid="{00000000-0005-0000-0000-0000942F0000}"/>
    <cellStyle name="20% - Accent6 6 2 2 3 2 2" xfId="21397" xr:uid="{00000000-0005-0000-0000-0000952F0000}"/>
    <cellStyle name="20% - Accent6 6 2 2 3 3" xfId="23658" xr:uid="{00000000-0005-0000-0000-0000962F0000}"/>
    <cellStyle name="20% - Accent6 6 2 2 4" xfId="8029" xr:uid="{00000000-0005-0000-0000-0000972F0000}"/>
    <cellStyle name="20% - Accent6 6 2 2 4 2" xfId="11032" xr:uid="{00000000-0005-0000-0000-0000982F0000}"/>
    <cellStyle name="20% - Accent6 6 2 2 5" xfId="6570" xr:uid="{00000000-0005-0000-0000-0000992F0000}"/>
    <cellStyle name="20% - Accent6 6 2 3" xfId="2144" xr:uid="{00000000-0005-0000-0000-00009A2F0000}"/>
    <cellStyle name="20% - Accent6 6 2 3 2" xfId="10213" xr:uid="{00000000-0005-0000-0000-00009B2F0000}"/>
    <cellStyle name="20% - Accent6 6 2 3 2 2" xfId="6603" xr:uid="{00000000-0005-0000-0000-00009C2F0000}"/>
    <cellStyle name="20% - Accent6 6 2 3 2 2 2" xfId="6043" xr:uid="{00000000-0005-0000-0000-00009D2F0000}"/>
    <cellStyle name="20% - Accent6 6 2 3 2 3" xfId="6608" xr:uid="{00000000-0005-0000-0000-00009E2F0000}"/>
    <cellStyle name="20% - Accent6 6 2 3 3" xfId="16659" xr:uid="{00000000-0005-0000-0000-00009F2F0000}"/>
    <cellStyle name="20% - Accent6 6 2 3 3 2" xfId="6633" xr:uid="{00000000-0005-0000-0000-0000A02F0000}"/>
    <cellStyle name="20% - Accent6 6 2 3 4" xfId="10108" xr:uid="{00000000-0005-0000-0000-0000A12F0000}"/>
    <cellStyle name="20% - Accent6 6 2 4" xfId="32544" xr:uid="{00000000-0005-0000-0000-0000A22F0000}"/>
    <cellStyle name="20% - Accent6 6 2 4 2" xfId="6660" xr:uid="{00000000-0005-0000-0000-0000A32F0000}"/>
    <cellStyle name="20% - Accent6 6 2 4 2 2" xfId="1349" xr:uid="{00000000-0005-0000-0000-0000A42F0000}"/>
    <cellStyle name="20% - Accent6 6 2 4 3" xfId="11818" xr:uid="{00000000-0005-0000-0000-0000A52F0000}"/>
    <cellStyle name="20% - Accent6 6 2 5" xfId="711" xr:uid="{00000000-0005-0000-0000-0000A62F0000}"/>
    <cellStyle name="20% - Accent6 6 2 5 2" xfId="23227" xr:uid="{00000000-0005-0000-0000-0000A72F0000}"/>
    <cellStyle name="20% - Accent6 6 2 6" xfId="14178" xr:uid="{00000000-0005-0000-0000-0000A82F0000}"/>
    <cellStyle name="20% - Accent6 6 3" xfId="14180" xr:uid="{00000000-0005-0000-0000-0000A92F0000}"/>
    <cellStyle name="20% - Accent6 6 3 2" xfId="14185" xr:uid="{00000000-0005-0000-0000-0000AA2F0000}"/>
    <cellStyle name="20% - Accent6 6 3 2 2" xfId="4096" xr:uid="{00000000-0005-0000-0000-0000AB2F0000}"/>
    <cellStyle name="20% - Accent6 6 3 2 2 2" xfId="1099" xr:uid="{00000000-0005-0000-0000-0000AC2F0000}"/>
    <cellStyle name="20% - Accent6 6 3 2 2 2 2" xfId="794" xr:uid="{00000000-0005-0000-0000-0000AD2F0000}"/>
    <cellStyle name="20% - Accent6 6 3 2 2 3" xfId="7059" xr:uid="{00000000-0005-0000-0000-0000AE2F0000}"/>
    <cellStyle name="20% - Accent6 6 3 2 3" xfId="16679" xr:uid="{00000000-0005-0000-0000-0000AF2F0000}"/>
    <cellStyle name="20% - Accent6 6 3 2 3 2" xfId="18419" xr:uid="{00000000-0005-0000-0000-0000B02F0000}"/>
    <cellStyle name="20% - Accent6 6 3 2 4" xfId="6147" xr:uid="{00000000-0005-0000-0000-0000B12F0000}"/>
    <cellStyle name="20% - Accent6 6 3 3" xfId="14188" xr:uid="{00000000-0005-0000-0000-0000B22F0000}"/>
    <cellStyle name="20% - Accent6 6 3 3 2" xfId="10220" xr:uid="{00000000-0005-0000-0000-0000B32F0000}"/>
    <cellStyle name="20% - Accent6 6 3 3 2 2" xfId="7081" xr:uid="{00000000-0005-0000-0000-0000B42F0000}"/>
    <cellStyle name="20% - Accent6 6 3 3 3" xfId="11531" xr:uid="{00000000-0005-0000-0000-0000B52F0000}"/>
    <cellStyle name="20% - Accent6 6 3 4" xfId="20075" xr:uid="{00000000-0005-0000-0000-0000B62F0000}"/>
    <cellStyle name="20% - Accent6 6 3 4 2" xfId="24291" xr:uid="{00000000-0005-0000-0000-0000B72F0000}"/>
    <cellStyle name="20% - Accent6 6 3 5" xfId="14190" xr:uid="{00000000-0005-0000-0000-0000B82F0000}"/>
    <cellStyle name="20% - Accent6 6 4" xfId="14193" xr:uid="{00000000-0005-0000-0000-0000B92F0000}"/>
    <cellStyle name="20% - Accent6 6 4 2" xfId="13310" xr:uid="{00000000-0005-0000-0000-0000BA2F0000}"/>
    <cellStyle name="20% - Accent6 6 4 2 2" xfId="10782" xr:uid="{00000000-0005-0000-0000-0000BB2F0000}"/>
    <cellStyle name="20% - Accent6 6 4 2 2 2" xfId="10787" xr:uid="{00000000-0005-0000-0000-0000BC2F0000}"/>
    <cellStyle name="20% - Accent6 6 4 2 3" xfId="10829" xr:uid="{00000000-0005-0000-0000-0000BD2F0000}"/>
    <cellStyle name="20% - Accent6 6 4 3" xfId="13311" xr:uid="{00000000-0005-0000-0000-0000BE2F0000}"/>
    <cellStyle name="20% - Accent6 6 4 3 2" xfId="24700" xr:uid="{00000000-0005-0000-0000-0000BF2F0000}"/>
    <cellStyle name="20% - Accent6 6 4 4" xfId="14195" xr:uid="{00000000-0005-0000-0000-0000C02F0000}"/>
    <cellStyle name="20% - Accent6 6 5" xfId="4500" xr:uid="{00000000-0005-0000-0000-0000C12F0000}"/>
    <cellStyle name="20% - Accent6 6 5 2" xfId="2103" xr:uid="{00000000-0005-0000-0000-0000C22F0000}"/>
    <cellStyle name="20% - Accent6 6 5 2 2" xfId="27892" xr:uid="{00000000-0005-0000-0000-0000C32F0000}"/>
    <cellStyle name="20% - Accent6 6 5 3" xfId="26842" xr:uid="{00000000-0005-0000-0000-0000C42F0000}"/>
    <cellStyle name="20% - Accent6 6 6" xfId="2395" xr:uid="{00000000-0005-0000-0000-0000C52F0000}"/>
    <cellStyle name="20% - Accent6 6 6 2" xfId="13500" xr:uid="{00000000-0005-0000-0000-0000C62F0000}"/>
    <cellStyle name="20% - Accent6 6 7" xfId="14198" xr:uid="{00000000-0005-0000-0000-0000C72F0000}"/>
    <cellStyle name="20% - Accent6 7" xfId="22450" xr:uid="{00000000-0005-0000-0000-0000C82F0000}"/>
    <cellStyle name="20% - Accent6 7 2" xfId="22454" xr:uid="{00000000-0005-0000-0000-0000C92F0000}"/>
    <cellStyle name="20% - Accent6 7 2 2" xfId="14203" xr:uid="{00000000-0005-0000-0000-0000CA2F0000}"/>
    <cellStyle name="20% - Accent6 7 2 2 2" xfId="12606" xr:uid="{00000000-0005-0000-0000-0000CB2F0000}"/>
    <cellStyle name="20% - Accent6 7 2 2 2 2" xfId="212" xr:uid="{00000000-0005-0000-0000-0000CC2F0000}"/>
    <cellStyle name="20% - Accent6 7 2 2 2 2 2" xfId="6851" xr:uid="{00000000-0005-0000-0000-0000CD2F0000}"/>
    <cellStyle name="20% - Accent6 7 2 2 2 3" xfId="14206" xr:uid="{00000000-0005-0000-0000-0000CE2F0000}"/>
    <cellStyle name="20% - Accent6 7 2 2 3" xfId="16688" xr:uid="{00000000-0005-0000-0000-0000CF2F0000}"/>
    <cellStyle name="20% - Accent6 7 2 2 3 2" xfId="30439" xr:uid="{00000000-0005-0000-0000-0000D02F0000}"/>
    <cellStyle name="20% - Accent6 7 2 2 4" xfId="30206" xr:uid="{00000000-0005-0000-0000-0000D12F0000}"/>
    <cellStyle name="20% - Accent6 7 2 3" xfId="14212" xr:uid="{00000000-0005-0000-0000-0000D22F0000}"/>
    <cellStyle name="20% - Accent6 7 2 3 2" xfId="6321" xr:uid="{00000000-0005-0000-0000-0000D32F0000}"/>
    <cellStyle name="20% - Accent6 7 2 3 2 2" xfId="6326" xr:uid="{00000000-0005-0000-0000-0000D42F0000}"/>
    <cellStyle name="20% - Accent6 7 2 3 3" xfId="6333" xr:uid="{00000000-0005-0000-0000-0000D52F0000}"/>
    <cellStyle name="20% - Accent6 7 2 4" xfId="23372" xr:uid="{00000000-0005-0000-0000-0000D62F0000}"/>
    <cellStyle name="20% - Accent6 7 2 4 2" xfId="18945" xr:uid="{00000000-0005-0000-0000-0000D72F0000}"/>
    <cellStyle name="20% - Accent6 7 2 5" xfId="17541" xr:uid="{00000000-0005-0000-0000-0000D82F0000}"/>
    <cellStyle name="20% - Accent6 7 3" xfId="22459" xr:uid="{00000000-0005-0000-0000-0000D92F0000}"/>
    <cellStyle name="20% - Accent6 7 3 2" xfId="2542" xr:uid="{00000000-0005-0000-0000-0000DA2F0000}"/>
    <cellStyle name="20% - Accent6 7 3 2 2" xfId="4113" xr:uid="{00000000-0005-0000-0000-0000DB2F0000}"/>
    <cellStyle name="20% - Accent6 7 3 2 2 2" xfId="1295" xr:uid="{00000000-0005-0000-0000-0000DC2F0000}"/>
    <cellStyle name="20% - Accent6 7 3 2 3" xfId="10968" xr:uid="{00000000-0005-0000-0000-0000DD2F0000}"/>
    <cellStyle name="20% - Accent6 7 3 3" xfId="14213" xr:uid="{00000000-0005-0000-0000-0000DE2F0000}"/>
    <cellStyle name="20% - Accent6 7 3 3 2" xfId="24733" xr:uid="{00000000-0005-0000-0000-0000DF2F0000}"/>
    <cellStyle name="20% - Accent6 7 3 4" xfId="17546" xr:uid="{00000000-0005-0000-0000-0000E02F0000}"/>
    <cellStyle name="20% - Accent6 7 4" xfId="14215" xr:uid="{00000000-0005-0000-0000-0000E12F0000}"/>
    <cellStyle name="20% - Accent6 7 4 2" xfId="13351" xr:uid="{00000000-0005-0000-0000-0000E22F0000}"/>
    <cellStyle name="20% - Accent6 7 4 2 2" xfId="13597" xr:uid="{00000000-0005-0000-0000-0000E32F0000}"/>
    <cellStyle name="20% - Accent6 7 4 3" xfId="14218" xr:uid="{00000000-0005-0000-0000-0000E42F0000}"/>
    <cellStyle name="20% - Accent6 7 5" xfId="5503" xr:uid="{00000000-0005-0000-0000-0000E52F0000}"/>
    <cellStyle name="20% - Accent6 7 5 2" xfId="32300" xr:uid="{00000000-0005-0000-0000-0000E62F0000}"/>
    <cellStyle name="20% - Accent6 7 6" xfId="14219" xr:uid="{00000000-0005-0000-0000-0000E72F0000}"/>
    <cellStyle name="20% - Accent6 8" xfId="22467" xr:uid="{00000000-0005-0000-0000-0000E82F0000}"/>
    <cellStyle name="20% - Accent6 8 2" xfId="22470" xr:uid="{00000000-0005-0000-0000-0000E92F0000}"/>
    <cellStyle name="20% - Accent6 8 2 2" xfId="14221" xr:uid="{00000000-0005-0000-0000-0000EA2F0000}"/>
    <cellStyle name="20% - Accent6 8 2 2 2" xfId="12650" xr:uid="{00000000-0005-0000-0000-0000EB2F0000}"/>
    <cellStyle name="20% - Accent6 8 2 2 2 2" xfId="12883" xr:uid="{00000000-0005-0000-0000-0000EC2F0000}"/>
    <cellStyle name="20% - Accent6 8 2 2 3" xfId="14228" xr:uid="{00000000-0005-0000-0000-0000ED2F0000}"/>
    <cellStyle name="20% - Accent6 8 2 3" xfId="14233" xr:uid="{00000000-0005-0000-0000-0000EE2F0000}"/>
    <cellStyle name="20% - Accent6 8 2 3 2" xfId="24741" xr:uid="{00000000-0005-0000-0000-0000EF2F0000}"/>
    <cellStyle name="20% - Accent6 8 2 4" xfId="17558" xr:uid="{00000000-0005-0000-0000-0000F02F0000}"/>
    <cellStyle name="20% - Accent6 8 3" xfId="5610" xr:uid="{00000000-0005-0000-0000-0000F12F0000}"/>
    <cellStyle name="20% - Accent6 8 3 2" xfId="14235" xr:uid="{00000000-0005-0000-0000-0000F22F0000}"/>
    <cellStyle name="20% - Accent6 8 3 2 2" xfId="1487" xr:uid="{00000000-0005-0000-0000-0000F32F0000}"/>
    <cellStyle name="20% - Accent6 8 3 3" xfId="14236" xr:uid="{00000000-0005-0000-0000-0000F42F0000}"/>
    <cellStyle name="20% - Accent6 8 4" xfId="13932" xr:uid="{00000000-0005-0000-0000-0000F52F0000}"/>
    <cellStyle name="20% - Accent6 8 4 2" xfId="14237" xr:uid="{00000000-0005-0000-0000-0000F62F0000}"/>
    <cellStyle name="20% - Accent6 8 5" xfId="29428" xr:uid="{00000000-0005-0000-0000-0000F72F0000}"/>
    <cellStyle name="20% - Accent6 9" xfId="14395" xr:uid="{00000000-0005-0000-0000-0000F82F0000}"/>
    <cellStyle name="20% - Accent6 9 2" xfId="14238" xr:uid="{00000000-0005-0000-0000-0000F92F0000}"/>
    <cellStyle name="20% - Accent6 9 2 2" xfId="14240" xr:uid="{00000000-0005-0000-0000-0000FA2F0000}"/>
    <cellStyle name="20% - Accent6 9 2 2 2" xfId="14245" xr:uid="{00000000-0005-0000-0000-0000FB2F0000}"/>
    <cellStyle name="20% - Accent6 9 2 3" xfId="14250" xr:uid="{00000000-0005-0000-0000-0000FC2F0000}"/>
    <cellStyle name="20% - Accent6 9 3" xfId="18616" xr:uid="{00000000-0005-0000-0000-0000FD2F0000}"/>
    <cellStyle name="20% - Accent6 9 3 2" xfId="14251" xr:uid="{00000000-0005-0000-0000-0000FE2F0000}"/>
    <cellStyle name="20% - Accent6 9 4" xfId="13935" xr:uid="{00000000-0005-0000-0000-0000FF2F0000}"/>
    <cellStyle name="40% - Accent1 10" xfId="33419" xr:uid="{00000000-0005-0000-0000-000000300000}"/>
    <cellStyle name="40% - Accent1 10 2" xfId="14262" xr:uid="{00000000-0005-0000-0000-000001300000}"/>
    <cellStyle name="40% - Accent1 10 2 2" xfId="31158" xr:uid="{00000000-0005-0000-0000-000002300000}"/>
    <cellStyle name="40% - Accent1 10 3" xfId="18793" xr:uid="{00000000-0005-0000-0000-000003300000}"/>
    <cellStyle name="40% - Accent1 11" xfId="14272" xr:uid="{00000000-0005-0000-0000-000004300000}"/>
    <cellStyle name="40% - Accent1 11 2" xfId="14275" xr:uid="{00000000-0005-0000-0000-000005300000}"/>
    <cellStyle name="40% - Accent1 12" xfId="7807" xr:uid="{00000000-0005-0000-0000-000006300000}"/>
    <cellStyle name="40% - Accent1 13" xfId="18655" xr:uid="{00000000-0005-0000-0000-000007300000}"/>
    <cellStyle name="40% - Accent1 2" xfId="30412" xr:uid="{00000000-0005-0000-0000-000008300000}"/>
    <cellStyle name="40% - Accent1 2 10" xfId="14280" xr:uid="{00000000-0005-0000-0000-000009300000}"/>
    <cellStyle name="40% - Accent1 2 10 2" xfId="24909" xr:uid="{00000000-0005-0000-0000-00000A300000}"/>
    <cellStyle name="40% - Accent1 2 11" xfId="14283" xr:uid="{00000000-0005-0000-0000-00000B300000}"/>
    <cellStyle name="40% - Accent1 2 2" xfId="14070" xr:uid="{00000000-0005-0000-0000-00000C300000}"/>
    <cellStyle name="40% - Accent1 2 2 10" xfId="13801" xr:uid="{00000000-0005-0000-0000-00000D300000}"/>
    <cellStyle name="40% - Accent1 2 2 2" xfId="31465" xr:uid="{00000000-0005-0000-0000-00000E300000}"/>
    <cellStyle name="40% - Accent1 2 2 2 2" xfId="5207" xr:uid="{00000000-0005-0000-0000-00000F300000}"/>
    <cellStyle name="40% - Accent1 2 2 2 2 2" xfId="1665" xr:uid="{00000000-0005-0000-0000-000010300000}"/>
    <cellStyle name="40% - Accent1 2 2 2 2 2 2" xfId="2011" xr:uid="{00000000-0005-0000-0000-000011300000}"/>
    <cellStyle name="40% - Accent1 2 2 2 2 2 2 2" xfId="23028" xr:uid="{00000000-0005-0000-0000-000012300000}"/>
    <cellStyle name="40% - Accent1 2 2 2 2 2 2 2 2" xfId="14287" xr:uid="{00000000-0005-0000-0000-000013300000}"/>
    <cellStyle name="40% - Accent1 2 2 2 2 2 2 2 2 2" xfId="32285" xr:uid="{00000000-0005-0000-0000-000014300000}"/>
    <cellStyle name="40% - Accent1 2 2 2 2 2 2 2 2 2 2" xfId="13953" xr:uid="{00000000-0005-0000-0000-000015300000}"/>
    <cellStyle name="40% - Accent1 2 2 2 2 2 2 2 2 2 2 2" xfId="14291" xr:uid="{00000000-0005-0000-0000-000016300000}"/>
    <cellStyle name="40% - Accent1 2 2 2 2 2 2 2 2 2 3" xfId="8228" xr:uid="{00000000-0005-0000-0000-000017300000}"/>
    <cellStyle name="40% - Accent1 2 2 2 2 2 2 2 2 3" xfId="13520" xr:uid="{00000000-0005-0000-0000-000018300000}"/>
    <cellStyle name="40% - Accent1 2 2 2 2 2 2 2 2 3 2" xfId="5696" xr:uid="{00000000-0005-0000-0000-000019300000}"/>
    <cellStyle name="40% - Accent1 2 2 2 2 2 2 2 2 4" xfId="14297" xr:uid="{00000000-0005-0000-0000-00001A300000}"/>
    <cellStyle name="40% - Accent1 2 2 2 2 2 2 2 3" xfId="7195" xr:uid="{00000000-0005-0000-0000-00001B300000}"/>
    <cellStyle name="40% - Accent1 2 2 2 2 2 2 2 3 2" xfId="18588" xr:uid="{00000000-0005-0000-0000-00001C300000}"/>
    <cellStyle name="40% - Accent1 2 2 2 2 2 2 2 3 2 2" xfId="5069" xr:uid="{00000000-0005-0000-0000-00001D300000}"/>
    <cellStyle name="40% - Accent1 2 2 2 2 2 2 2 3 3" xfId="18597" xr:uid="{00000000-0005-0000-0000-00001E300000}"/>
    <cellStyle name="40% - Accent1 2 2 2 2 2 2 2 4" xfId="3431" xr:uid="{00000000-0005-0000-0000-00001F300000}"/>
    <cellStyle name="40% - Accent1 2 2 2 2 2 2 2 4 2" xfId="18607" xr:uid="{00000000-0005-0000-0000-000020300000}"/>
    <cellStyle name="40% - Accent1 2 2 2 2 2 2 2 5" xfId="14311" xr:uid="{00000000-0005-0000-0000-000021300000}"/>
    <cellStyle name="40% - Accent1 2 2 2 2 2 2 3" xfId="14313" xr:uid="{00000000-0005-0000-0000-000022300000}"/>
    <cellStyle name="40% - Accent1 2 2 2 2 2 2 3 2" xfId="796" xr:uid="{00000000-0005-0000-0000-000023300000}"/>
    <cellStyle name="40% - Accent1 2 2 2 2 2 2 3 2 2" xfId="13530" xr:uid="{00000000-0005-0000-0000-000024300000}"/>
    <cellStyle name="40% - Accent1 2 2 2 2 2 2 3 2 2 2" xfId="7027" xr:uid="{00000000-0005-0000-0000-000025300000}"/>
    <cellStyle name="40% - Accent1 2 2 2 2 2 2 3 2 3" xfId="14317" xr:uid="{00000000-0005-0000-0000-000026300000}"/>
    <cellStyle name="40% - Accent1 2 2 2 2 2 2 3 3" xfId="4100" xr:uid="{00000000-0005-0000-0000-000027300000}"/>
    <cellStyle name="40% - Accent1 2 2 2 2 2 2 3 3 2" xfId="18678" xr:uid="{00000000-0005-0000-0000-000028300000}"/>
    <cellStyle name="40% - Accent1 2 2 2 2 2 2 3 4" xfId="7254" xr:uid="{00000000-0005-0000-0000-000029300000}"/>
    <cellStyle name="40% - Accent1 2 2 2 2 2 2 4" xfId="14325" xr:uid="{00000000-0005-0000-0000-00002A300000}"/>
    <cellStyle name="40% - Accent1 2 2 2 2 2 2 4 2" xfId="9198" xr:uid="{00000000-0005-0000-0000-00002B300000}"/>
    <cellStyle name="40% - Accent1 2 2 2 2 2 2 4 2 2" xfId="14329" xr:uid="{00000000-0005-0000-0000-00002C300000}"/>
    <cellStyle name="40% - Accent1 2 2 2 2 2 2 4 3" xfId="22948" xr:uid="{00000000-0005-0000-0000-00002D300000}"/>
    <cellStyle name="40% - Accent1 2 2 2 2 2 2 5" xfId="14331" xr:uid="{00000000-0005-0000-0000-00002E300000}"/>
    <cellStyle name="40% - Accent1 2 2 2 2 2 2 5 2" xfId="8959" xr:uid="{00000000-0005-0000-0000-00002F300000}"/>
    <cellStyle name="40% - Accent1 2 2 2 2 2 2 6" xfId="1395" xr:uid="{00000000-0005-0000-0000-000030300000}"/>
    <cellStyle name="40% - Accent1 2 2 2 2 2 3" xfId="14332" xr:uid="{00000000-0005-0000-0000-000031300000}"/>
    <cellStyle name="40% - Accent1 2 2 2 2 2 3 2" xfId="14333" xr:uid="{00000000-0005-0000-0000-000032300000}"/>
    <cellStyle name="40% - Accent1 2 2 2 2 2 3 2 2" xfId="14336" xr:uid="{00000000-0005-0000-0000-000033300000}"/>
    <cellStyle name="40% - Accent1 2 2 2 2 2 3 2 2 2" xfId="13551" xr:uid="{00000000-0005-0000-0000-000034300000}"/>
    <cellStyle name="40% - Accent1 2 2 2 2 2 3 2 2 2 2" xfId="2977" xr:uid="{00000000-0005-0000-0000-000035300000}"/>
    <cellStyle name="40% - Accent1 2 2 2 2 2 3 2 2 3" xfId="14340" xr:uid="{00000000-0005-0000-0000-000036300000}"/>
    <cellStyle name="40% - Accent1 2 2 2 2 2 3 2 3" xfId="619" xr:uid="{00000000-0005-0000-0000-000037300000}"/>
    <cellStyle name="40% - Accent1 2 2 2 2 2 3 2 3 2" xfId="14344" xr:uid="{00000000-0005-0000-0000-000038300000}"/>
    <cellStyle name="40% - Accent1 2 2 2 2 2 3 2 4" xfId="14347" xr:uid="{00000000-0005-0000-0000-000039300000}"/>
    <cellStyle name="40% - Accent1 2 2 2 2 2 3 3" xfId="9761" xr:uid="{00000000-0005-0000-0000-00003A300000}"/>
    <cellStyle name="40% - Accent1 2 2 2 2 2 3 3 2" xfId="8968" xr:uid="{00000000-0005-0000-0000-00003B300000}"/>
    <cellStyle name="40% - Accent1 2 2 2 2 2 3 3 2 2" xfId="2952" xr:uid="{00000000-0005-0000-0000-00003C300000}"/>
    <cellStyle name="40% - Accent1 2 2 2 2 2 3 3 3" xfId="8971" xr:uid="{00000000-0005-0000-0000-00003D300000}"/>
    <cellStyle name="40% - Accent1 2 2 2 2 2 3 4" xfId="9764" xr:uid="{00000000-0005-0000-0000-00003E300000}"/>
    <cellStyle name="40% - Accent1 2 2 2 2 2 3 4 2" xfId="7781" xr:uid="{00000000-0005-0000-0000-00003F300000}"/>
    <cellStyle name="40% - Accent1 2 2 2 2 2 3 5" xfId="14348" xr:uid="{00000000-0005-0000-0000-000040300000}"/>
    <cellStyle name="40% - Accent1 2 2 2 2 2 4" xfId="19879" xr:uid="{00000000-0005-0000-0000-000041300000}"/>
    <cellStyle name="40% - Accent1 2 2 2 2 2 4 2" xfId="14351" xr:uid="{00000000-0005-0000-0000-000042300000}"/>
    <cellStyle name="40% - Accent1 2 2 2 2 2 4 2 2" xfId="9178" xr:uid="{00000000-0005-0000-0000-000043300000}"/>
    <cellStyle name="40% - Accent1 2 2 2 2 2 4 2 2 2" xfId="14354" xr:uid="{00000000-0005-0000-0000-000044300000}"/>
    <cellStyle name="40% - Accent1 2 2 2 2 2 4 2 3" xfId="14361" xr:uid="{00000000-0005-0000-0000-000045300000}"/>
    <cellStyle name="40% - Accent1 2 2 2 2 2 4 3" xfId="17647" xr:uid="{00000000-0005-0000-0000-000046300000}"/>
    <cellStyle name="40% - Accent1 2 2 2 2 2 4 3 2" xfId="8973" xr:uid="{00000000-0005-0000-0000-000047300000}"/>
    <cellStyle name="40% - Accent1 2 2 2 2 2 4 4" xfId="14362" xr:uid="{00000000-0005-0000-0000-000048300000}"/>
    <cellStyle name="40% - Accent1 2 2 2 2 2 5" xfId="12383" xr:uid="{00000000-0005-0000-0000-000049300000}"/>
    <cellStyle name="40% - Accent1 2 2 2 2 2 5 2" xfId="14366" xr:uid="{00000000-0005-0000-0000-00004A300000}"/>
    <cellStyle name="40% - Accent1 2 2 2 2 2 5 2 2" xfId="1336" xr:uid="{00000000-0005-0000-0000-00004B300000}"/>
    <cellStyle name="40% - Accent1 2 2 2 2 2 5 3" xfId="14369" xr:uid="{00000000-0005-0000-0000-00004C300000}"/>
    <cellStyle name="40% - Accent1 2 2 2 2 2 6" xfId="14371" xr:uid="{00000000-0005-0000-0000-00004D300000}"/>
    <cellStyle name="40% - Accent1 2 2 2 2 2 6 2" xfId="29338" xr:uid="{00000000-0005-0000-0000-00004E300000}"/>
    <cellStyle name="40% - Accent1 2 2 2 2 2 7" xfId="31059" xr:uid="{00000000-0005-0000-0000-00004F300000}"/>
    <cellStyle name="40% - Accent1 2 2 2 2 3" xfId="2296" xr:uid="{00000000-0005-0000-0000-000050300000}"/>
    <cellStyle name="40% - Accent1 2 2 2 2 3 2" xfId="14375" xr:uid="{00000000-0005-0000-0000-000051300000}"/>
    <cellStyle name="40% - Accent1 2 2 2 2 3 2 2" xfId="14377" xr:uid="{00000000-0005-0000-0000-000052300000}"/>
    <cellStyle name="40% - Accent1 2 2 2 2 3 2 2 2" xfId="14380" xr:uid="{00000000-0005-0000-0000-000053300000}"/>
    <cellStyle name="40% - Accent1 2 2 2 2 3 2 2 2 2" xfId="13625" xr:uid="{00000000-0005-0000-0000-000054300000}"/>
    <cellStyle name="40% - Accent1 2 2 2 2 3 2 2 2 2 2" xfId="18032" xr:uid="{00000000-0005-0000-0000-000055300000}"/>
    <cellStyle name="40% - Accent1 2 2 2 2 3 2 2 2 3" xfId="14383" xr:uid="{00000000-0005-0000-0000-000056300000}"/>
    <cellStyle name="40% - Accent1 2 2 2 2 3 2 2 3" xfId="4114" xr:uid="{00000000-0005-0000-0000-000057300000}"/>
    <cellStyle name="40% - Accent1 2 2 2 2 3 2 2 3 2" xfId="28080" xr:uid="{00000000-0005-0000-0000-000058300000}"/>
    <cellStyle name="40% - Accent1 2 2 2 2 3 2 2 4" xfId="14384" xr:uid="{00000000-0005-0000-0000-000059300000}"/>
    <cellStyle name="40% - Accent1 2 2 2 2 3 2 3" xfId="5558" xr:uid="{00000000-0005-0000-0000-00005A300000}"/>
    <cellStyle name="40% - Accent1 2 2 2 2 3 2 3 2" xfId="2002" xr:uid="{00000000-0005-0000-0000-00005B300000}"/>
    <cellStyle name="40% - Accent1 2 2 2 2 3 2 3 2 2" xfId="14385" xr:uid="{00000000-0005-0000-0000-00005C300000}"/>
    <cellStyle name="40% - Accent1 2 2 2 2 3 2 3 3" xfId="1368" xr:uid="{00000000-0005-0000-0000-00005D300000}"/>
    <cellStyle name="40% - Accent1 2 2 2 2 3 2 4" xfId="13809" xr:uid="{00000000-0005-0000-0000-00005E300000}"/>
    <cellStyle name="40% - Accent1 2 2 2 2 3 2 4 2" xfId="394" xr:uid="{00000000-0005-0000-0000-00005F300000}"/>
    <cellStyle name="40% - Accent1 2 2 2 2 3 2 5" xfId="8363" xr:uid="{00000000-0005-0000-0000-000060300000}"/>
    <cellStyle name="40% - Accent1 2 2 2 2 3 3" xfId="14386" xr:uid="{00000000-0005-0000-0000-000061300000}"/>
    <cellStyle name="40% - Accent1 2 2 2 2 3 3 2" xfId="14388" xr:uid="{00000000-0005-0000-0000-000062300000}"/>
    <cellStyle name="40% - Accent1 2 2 2 2 3 3 2 2" xfId="14390" xr:uid="{00000000-0005-0000-0000-000063300000}"/>
    <cellStyle name="40% - Accent1 2 2 2 2 3 3 2 2 2" xfId="10959" xr:uid="{00000000-0005-0000-0000-000064300000}"/>
    <cellStyle name="40% - Accent1 2 2 2 2 3 3 2 3" xfId="14392" xr:uid="{00000000-0005-0000-0000-000065300000}"/>
    <cellStyle name="40% - Accent1 2 2 2 2 3 3 3" xfId="1330" xr:uid="{00000000-0005-0000-0000-000066300000}"/>
    <cellStyle name="40% - Accent1 2 2 2 2 3 3 3 2" xfId="134" xr:uid="{00000000-0005-0000-0000-000067300000}"/>
    <cellStyle name="40% - Accent1 2 2 2 2 3 3 4" xfId="17728" xr:uid="{00000000-0005-0000-0000-000068300000}"/>
    <cellStyle name="40% - Accent1 2 2 2 2 3 4" xfId="32816" xr:uid="{00000000-0005-0000-0000-000069300000}"/>
    <cellStyle name="40% - Accent1 2 2 2 2 3 4 2" xfId="17658" xr:uid="{00000000-0005-0000-0000-00006A300000}"/>
    <cellStyle name="40% - Accent1 2 2 2 2 3 4 2 2" xfId="14393" xr:uid="{00000000-0005-0000-0000-00006B300000}"/>
    <cellStyle name="40% - Accent1 2 2 2 2 3 4 3" xfId="3550" xr:uid="{00000000-0005-0000-0000-00006C300000}"/>
    <cellStyle name="40% - Accent1 2 2 2 2 3 5" xfId="13598" xr:uid="{00000000-0005-0000-0000-00006D300000}"/>
    <cellStyle name="40% - Accent1 2 2 2 2 3 5 2" xfId="14394" xr:uid="{00000000-0005-0000-0000-00006E300000}"/>
    <cellStyle name="40% - Accent1 2 2 2 2 3 6" xfId="14398" xr:uid="{00000000-0005-0000-0000-00006F300000}"/>
    <cellStyle name="40% - Accent1 2 2 2 2 4" xfId="6873" xr:uid="{00000000-0005-0000-0000-000070300000}"/>
    <cellStyle name="40% - Accent1 2 2 2 2 4 2" xfId="14403" xr:uid="{00000000-0005-0000-0000-000071300000}"/>
    <cellStyle name="40% - Accent1 2 2 2 2 4 2 2" xfId="16913" xr:uid="{00000000-0005-0000-0000-000072300000}"/>
    <cellStyle name="40% - Accent1 2 2 2 2 4 2 2 2" xfId="3037" xr:uid="{00000000-0005-0000-0000-000073300000}"/>
    <cellStyle name="40% - Accent1 2 2 2 2 4 2 2 2 2" xfId="14408" xr:uid="{00000000-0005-0000-0000-000074300000}"/>
    <cellStyle name="40% - Accent1 2 2 2 2 4 2 2 3" xfId="3430" xr:uid="{00000000-0005-0000-0000-000075300000}"/>
    <cellStyle name="40% - Accent1 2 2 2 2 4 2 3" xfId="9669" xr:uid="{00000000-0005-0000-0000-000076300000}"/>
    <cellStyle name="40% - Accent1 2 2 2 2 4 2 3 2" xfId="3064" xr:uid="{00000000-0005-0000-0000-000077300000}"/>
    <cellStyle name="40% - Accent1 2 2 2 2 4 2 4" xfId="18940" xr:uid="{00000000-0005-0000-0000-000078300000}"/>
    <cellStyle name="40% - Accent1 2 2 2 2 4 3" xfId="14648" xr:uid="{00000000-0005-0000-0000-000079300000}"/>
    <cellStyle name="40% - Accent1 2 2 2 2 4 3 2" xfId="16916" xr:uid="{00000000-0005-0000-0000-00007A300000}"/>
    <cellStyle name="40% - Accent1 2 2 2 2 4 3 2 2" xfId="3206" xr:uid="{00000000-0005-0000-0000-00007B300000}"/>
    <cellStyle name="40% - Accent1 2 2 2 2 4 3 3" xfId="5881" xr:uid="{00000000-0005-0000-0000-00007C300000}"/>
    <cellStyle name="40% - Accent1 2 2 2 2 4 4" xfId="13606" xr:uid="{00000000-0005-0000-0000-00007D300000}"/>
    <cellStyle name="40% - Accent1 2 2 2 2 4 4 2" xfId="30485" xr:uid="{00000000-0005-0000-0000-00007E300000}"/>
    <cellStyle name="40% - Accent1 2 2 2 2 4 5" xfId="14413" xr:uid="{00000000-0005-0000-0000-00007F300000}"/>
    <cellStyle name="40% - Accent1 2 2 2 2 5" xfId="6881" xr:uid="{00000000-0005-0000-0000-000080300000}"/>
    <cellStyle name="40% - Accent1 2 2 2 2 5 2" xfId="14657" xr:uid="{00000000-0005-0000-0000-000081300000}"/>
    <cellStyle name="40% - Accent1 2 2 2 2 5 2 2" xfId="2625" xr:uid="{00000000-0005-0000-0000-000082300000}"/>
    <cellStyle name="40% - Accent1 2 2 2 2 5 2 2 2" xfId="3729" xr:uid="{00000000-0005-0000-0000-000083300000}"/>
    <cellStyle name="40% - Accent1 2 2 2 2 5 2 3" xfId="30496" xr:uid="{00000000-0005-0000-0000-000084300000}"/>
    <cellStyle name="40% - Accent1 2 2 2 2 5 3" xfId="8156" xr:uid="{00000000-0005-0000-0000-000085300000}"/>
    <cellStyle name="40% - Accent1 2 2 2 2 5 3 2" xfId="30503" xr:uid="{00000000-0005-0000-0000-000086300000}"/>
    <cellStyle name="40% - Accent1 2 2 2 2 5 4" xfId="8163" xr:uid="{00000000-0005-0000-0000-000087300000}"/>
    <cellStyle name="40% - Accent1 2 2 2 2 6" xfId="14494" xr:uid="{00000000-0005-0000-0000-000088300000}"/>
    <cellStyle name="40% - Accent1 2 2 2 2 6 2" xfId="31097" xr:uid="{00000000-0005-0000-0000-000089300000}"/>
    <cellStyle name="40% - Accent1 2 2 2 2 6 2 2" xfId="29048" xr:uid="{00000000-0005-0000-0000-00008A300000}"/>
    <cellStyle name="40% - Accent1 2 2 2 2 6 3" xfId="8171" xr:uid="{00000000-0005-0000-0000-00008B300000}"/>
    <cellStyle name="40% - Accent1 2 2 2 2 7" xfId="31099" xr:uid="{00000000-0005-0000-0000-00008C300000}"/>
    <cellStyle name="40% - Accent1 2 2 2 2 7 2" xfId="33553" xr:uid="{00000000-0005-0000-0000-00008D300000}"/>
    <cellStyle name="40% - Accent1 2 2 2 2 8" xfId="12029" xr:uid="{00000000-0005-0000-0000-00008E300000}"/>
    <cellStyle name="40% - Accent1 2 2 2 3" xfId="3160" xr:uid="{00000000-0005-0000-0000-00008F300000}"/>
    <cellStyle name="40% - Accent1 2 2 2 3 2" xfId="1674" xr:uid="{00000000-0005-0000-0000-000090300000}"/>
    <cellStyle name="40% - Accent1 2 2 2 3 2 2" xfId="3016" xr:uid="{00000000-0005-0000-0000-000091300000}"/>
    <cellStyle name="40% - Accent1 2 2 2 3 2 2 2" xfId="19209" xr:uid="{00000000-0005-0000-0000-000092300000}"/>
    <cellStyle name="40% - Accent1 2 2 2 3 2 2 2 2" xfId="14430" xr:uid="{00000000-0005-0000-0000-000093300000}"/>
    <cellStyle name="40% - Accent1 2 2 2 3 2 2 2 2 2" xfId="13401" xr:uid="{00000000-0005-0000-0000-000094300000}"/>
    <cellStyle name="40% - Accent1 2 2 2 3 2 2 2 2 2 2" xfId="14437" xr:uid="{00000000-0005-0000-0000-000095300000}"/>
    <cellStyle name="40% - Accent1 2 2 2 3 2 2 2 2 3" xfId="14439" xr:uid="{00000000-0005-0000-0000-000096300000}"/>
    <cellStyle name="40% - Accent1 2 2 2 3 2 2 2 3" xfId="4267" xr:uid="{00000000-0005-0000-0000-000097300000}"/>
    <cellStyle name="40% - Accent1 2 2 2 3 2 2 2 3 2" xfId="14441" xr:uid="{00000000-0005-0000-0000-000098300000}"/>
    <cellStyle name="40% - Accent1 2 2 2 3 2 2 2 4" xfId="14443" xr:uid="{00000000-0005-0000-0000-000099300000}"/>
    <cellStyle name="40% - Accent1 2 2 2 3 2 2 3" xfId="14449" xr:uid="{00000000-0005-0000-0000-00009A300000}"/>
    <cellStyle name="40% - Accent1 2 2 2 3 2 2 3 2" xfId="10799" xr:uid="{00000000-0005-0000-0000-00009B300000}"/>
    <cellStyle name="40% - Accent1 2 2 2 3 2 2 3 2 2" xfId="173" xr:uid="{00000000-0005-0000-0000-00009C300000}"/>
    <cellStyle name="40% - Accent1 2 2 2 3 2 2 3 3" xfId="589" xr:uid="{00000000-0005-0000-0000-00009D300000}"/>
    <cellStyle name="40% - Accent1 2 2 2 3 2 2 4" xfId="14453" xr:uid="{00000000-0005-0000-0000-00009E300000}"/>
    <cellStyle name="40% - Accent1 2 2 2 3 2 2 4 2" xfId="10808" xr:uid="{00000000-0005-0000-0000-00009F300000}"/>
    <cellStyle name="40% - Accent1 2 2 2 3 2 2 5" xfId="19602" xr:uid="{00000000-0005-0000-0000-0000A0300000}"/>
    <cellStyle name="40% - Accent1 2 2 2 3 2 3" xfId="13758" xr:uid="{00000000-0005-0000-0000-0000A1300000}"/>
    <cellStyle name="40% - Accent1 2 2 2 3 2 3 2" xfId="19268" xr:uid="{00000000-0005-0000-0000-0000A2300000}"/>
    <cellStyle name="40% - Accent1 2 2 2 3 2 3 2 2" xfId="12669" xr:uid="{00000000-0005-0000-0000-0000A3300000}"/>
    <cellStyle name="40% - Accent1 2 2 2 3 2 3 2 2 2" xfId="14457" xr:uid="{00000000-0005-0000-0000-0000A4300000}"/>
    <cellStyle name="40% - Accent1 2 2 2 3 2 3 2 3" xfId="12684" xr:uid="{00000000-0005-0000-0000-0000A5300000}"/>
    <cellStyle name="40% - Accent1 2 2 2 3 2 3 3" xfId="3231" xr:uid="{00000000-0005-0000-0000-0000A6300000}"/>
    <cellStyle name="40% - Accent1 2 2 2 3 2 3 3 2" xfId="10837" xr:uid="{00000000-0005-0000-0000-0000A7300000}"/>
    <cellStyle name="40% - Accent1 2 2 2 3 2 3 4" xfId="3234" xr:uid="{00000000-0005-0000-0000-0000A8300000}"/>
    <cellStyle name="40% - Accent1 2 2 2 3 2 4" xfId="13759" xr:uid="{00000000-0005-0000-0000-0000A9300000}"/>
    <cellStyle name="40% - Accent1 2 2 2 3 2 4 2" xfId="22002" xr:uid="{00000000-0005-0000-0000-0000AA300000}"/>
    <cellStyle name="40% - Accent1 2 2 2 3 2 4 2 2" xfId="29259" xr:uid="{00000000-0005-0000-0000-0000AB300000}"/>
    <cellStyle name="40% - Accent1 2 2 2 3 2 4 3" xfId="3239" xr:uid="{00000000-0005-0000-0000-0000AC300000}"/>
    <cellStyle name="40% - Accent1 2 2 2 3 2 5" xfId="11145" xr:uid="{00000000-0005-0000-0000-0000AD300000}"/>
    <cellStyle name="40% - Accent1 2 2 2 3 2 5 2" xfId="4014" xr:uid="{00000000-0005-0000-0000-0000AE300000}"/>
    <cellStyle name="40% - Accent1 2 2 2 3 2 6" xfId="545" xr:uid="{00000000-0005-0000-0000-0000AF300000}"/>
    <cellStyle name="40% - Accent1 2 2 2 3 3" xfId="6499" xr:uid="{00000000-0005-0000-0000-0000B0300000}"/>
    <cellStyle name="40% - Accent1 2 2 2 3 3 2" xfId="5445" xr:uid="{00000000-0005-0000-0000-0000B1300000}"/>
    <cellStyle name="40% - Accent1 2 2 2 3 3 2 2" xfId="19999" xr:uid="{00000000-0005-0000-0000-0000B2300000}"/>
    <cellStyle name="40% - Accent1 2 2 2 3 3 2 2 2" xfId="14459" xr:uid="{00000000-0005-0000-0000-0000B3300000}"/>
    <cellStyle name="40% - Accent1 2 2 2 3 3 2 2 2 2" xfId="14461" xr:uid="{00000000-0005-0000-0000-0000B4300000}"/>
    <cellStyle name="40% - Accent1 2 2 2 3 3 2 2 3" xfId="14463" xr:uid="{00000000-0005-0000-0000-0000B5300000}"/>
    <cellStyle name="40% - Accent1 2 2 2 3 3 2 3" xfId="8455" xr:uid="{00000000-0005-0000-0000-0000B6300000}"/>
    <cellStyle name="40% - Accent1 2 2 2 3 3 2 3 2" xfId="10914" xr:uid="{00000000-0005-0000-0000-0000B7300000}"/>
    <cellStyle name="40% - Accent1 2 2 2 3 3 2 4" xfId="8464" xr:uid="{00000000-0005-0000-0000-0000B8300000}"/>
    <cellStyle name="40% - Accent1 2 2 2 3 3 3" xfId="13763" xr:uid="{00000000-0005-0000-0000-0000B9300000}"/>
    <cellStyle name="40% - Accent1 2 2 2 3 3 3 2" xfId="24483" xr:uid="{00000000-0005-0000-0000-0000BA300000}"/>
    <cellStyle name="40% - Accent1 2 2 2 3 3 3 2 2" xfId="12939" xr:uid="{00000000-0005-0000-0000-0000BB300000}"/>
    <cellStyle name="40% - Accent1 2 2 2 3 3 3 3" xfId="2548" xr:uid="{00000000-0005-0000-0000-0000BC300000}"/>
    <cellStyle name="40% - Accent1 2 2 2 3 3 4" xfId="28801" xr:uid="{00000000-0005-0000-0000-0000BD300000}"/>
    <cellStyle name="40% - Accent1 2 2 2 3 3 4 2" xfId="2564" xr:uid="{00000000-0005-0000-0000-0000BE300000}"/>
    <cellStyle name="40% - Accent1 2 2 2 3 3 5" xfId="719" xr:uid="{00000000-0005-0000-0000-0000BF300000}"/>
    <cellStyle name="40% - Accent1 2 2 2 3 4" xfId="3477" xr:uid="{00000000-0005-0000-0000-0000C0300000}"/>
    <cellStyle name="40% - Accent1 2 2 2 3 4 2" xfId="4837" xr:uid="{00000000-0005-0000-0000-0000C1300000}"/>
    <cellStyle name="40% - Accent1 2 2 2 3 4 2 2" xfId="22043" xr:uid="{00000000-0005-0000-0000-0000C2300000}"/>
    <cellStyle name="40% - Accent1 2 2 2 3 4 2 2 2" xfId="3815" xr:uid="{00000000-0005-0000-0000-0000C3300000}"/>
    <cellStyle name="40% - Accent1 2 2 2 3 4 2 3" xfId="31013" xr:uid="{00000000-0005-0000-0000-0000C4300000}"/>
    <cellStyle name="40% - Accent1 2 2 2 3 4 3" xfId="3500" xr:uid="{00000000-0005-0000-0000-0000C5300000}"/>
    <cellStyle name="40% - Accent1 2 2 2 3 4 3 2" xfId="2177" xr:uid="{00000000-0005-0000-0000-0000C6300000}"/>
    <cellStyle name="40% - Accent1 2 2 2 3 4 4" xfId="1465" xr:uid="{00000000-0005-0000-0000-0000C7300000}"/>
    <cellStyle name="40% - Accent1 2 2 2 3 5" xfId="4083" xr:uid="{00000000-0005-0000-0000-0000C8300000}"/>
    <cellStyle name="40% - Accent1 2 2 2 3 5 2" xfId="2589" xr:uid="{00000000-0005-0000-0000-0000C9300000}"/>
    <cellStyle name="40% - Accent1 2 2 2 3 5 2 2" xfId="30266" xr:uid="{00000000-0005-0000-0000-0000CA300000}"/>
    <cellStyle name="40% - Accent1 2 2 2 3 5 3" xfId="952" xr:uid="{00000000-0005-0000-0000-0000CB300000}"/>
    <cellStyle name="40% - Accent1 2 2 2 3 6" xfId="31101" xr:uid="{00000000-0005-0000-0000-0000CC300000}"/>
    <cellStyle name="40% - Accent1 2 2 2 3 6 2" xfId="5473" xr:uid="{00000000-0005-0000-0000-0000CD300000}"/>
    <cellStyle name="40% - Accent1 2 2 2 3 7" xfId="14468" xr:uid="{00000000-0005-0000-0000-0000CE300000}"/>
    <cellStyle name="40% - Accent1 2 2 2 4" xfId="9811" xr:uid="{00000000-0005-0000-0000-0000CF300000}"/>
    <cellStyle name="40% - Accent1 2 2 2 4 2" xfId="6697" xr:uid="{00000000-0005-0000-0000-0000D0300000}"/>
    <cellStyle name="40% - Accent1 2 2 2 4 2 2" xfId="22740" xr:uid="{00000000-0005-0000-0000-0000D1300000}"/>
    <cellStyle name="40% - Accent1 2 2 2 4 2 2 2" xfId="20847" xr:uid="{00000000-0005-0000-0000-0000D2300000}"/>
    <cellStyle name="40% - Accent1 2 2 2 4 2 2 2 2" xfId="14473" xr:uid="{00000000-0005-0000-0000-0000D3300000}"/>
    <cellStyle name="40% - Accent1 2 2 2 4 2 2 2 2 2" xfId="29233" xr:uid="{00000000-0005-0000-0000-0000D4300000}"/>
    <cellStyle name="40% - Accent1 2 2 2 4 2 2 2 3" xfId="14477" xr:uid="{00000000-0005-0000-0000-0000D5300000}"/>
    <cellStyle name="40% - Accent1 2 2 2 4 2 2 3" xfId="7480" xr:uid="{00000000-0005-0000-0000-0000D6300000}"/>
    <cellStyle name="40% - Accent1 2 2 2 4 2 2 3 2" xfId="12483" xr:uid="{00000000-0005-0000-0000-0000D7300000}"/>
    <cellStyle name="40% - Accent1 2 2 2 4 2 2 4" xfId="6016" xr:uid="{00000000-0005-0000-0000-0000D8300000}"/>
    <cellStyle name="40% - Accent1 2 2 2 4 2 3" xfId="18046" xr:uid="{00000000-0005-0000-0000-0000D9300000}"/>
    <cellStyle name="40% - Accent1 2 2 2 4 2 3 2" xfId="22123" xr:uid="{00000000-0005-0000-0000-0000DA300000}"/>
    <cellStyle name="40% - Accent1 2 2 2 4 2 3 2 2" xfId="13126" xr:uid="{00000000-0005-0000-0000-0000DB300000}"/>
    <cellStyle name="40% - Accent1 2 2 2 4 2 3 3" xfId="13896" xr:uid="{00000000-0005-0000-0000-0000DC300000}"/>
    <cellStyle name="40% - Accent1 2 2 2 4 2 4" xfId="6451" xr:uid="{00000000-0005-0000-0000-0000DD300000}"/>
    <cellStyle name="40% - Accent1 2 2 2 4 2 4 2" xfId="6605" xr:uid="{00000000-0005-0000-0000-0000DE300000}"/>
    <cellStyle name="40% - Accent1 2 2 2 4 2 5" xfId="32149" xr:uid="{00000000-0005-0000-0000-0000DF300000}"/>
    <cellStyle name="40% - Accent1 2 2 2 4 3" xfId="6701" xr:uid="{00000000-0005-0000-0000-0000E0300000}"/>
    <cellStyle name="40% - Accent1 2 2 2 4 3 2" xfId="15196" xr:uid="{00000000-0005-0000-0000-0000E1300000}"/>
    <cellStyle name="40% - Accent1 2 2 2 4 3 2 2" xfId="24886" xr:uid="{00000000-0005-0000-0000-0000E2300000}"/>
    <cellStyle name="40% - Accent1 2 2 2 4 3 2 2 2" xfId="14482" xr:uid="{00000000-0005-0000-0000-0000E3300000}"/>
    <cellStyle name="40% - Accent1 2 2 2 4 3 2 3" xfId="6100" xr:uid="{00000000-0005-0000-0000-0000E4300000}"/>
    <cellStyle name="40% - Accent1 2 2 2 4 3 3" xfId="6554" xr:uid="{00000000-0005-0000-0000-0000E5300000}"/>
    <cellStyle name="40% - Accent1 2 2 2 4 3 3 2" xfId="6647" xr:uid="{00000000-0005-0000-0000-0000E6300000}"/>
    <cellStyle name="40% - Accent1 2 2 2 4 3 4" xfId="6571" xr:uid="{00000000-0005-0000-0000-0000E7300000}"/>
    <cellStyle name="40% - Accent1 2 2 2 4 4" xfId="4095" xr:uid="{00000000-0005-0000-0000-0000E8300000}"/>
    <cellStyle name="40% - Accent1 2 2 2 4 4 2" xfId="6619" xr:uid="{00000000-0005-0000-0000-0000E9300000}"/>
    <cellStyle name="40% - Accent1 2 2 2 4 4 2 2" xfId="6122" xr:uid="{00000000-0005-0000-0000-0000EA300000}"/>
    <cellStyle name="40% - Accent1 2 2 2 4 4 3" xfId="6049" xr:uid="{00000000-0005-0000-0000-0000EB300000}"/>
    <cellStyle name="40% - Accent1 2 2 2 4 5" xfId="6913" xr:uid="{00000000-0005-0000-0000-0000EC300000}"/>
    <cellStyle name="40% - Accent1 2 2 2 4 5 2" xfId="6668" xr:uid="{00000000-0005-0000-0000-0000ED300000}"/>
    <cellStyle name="40% - Accent1 2 2 2 4 6" xfId="14485" xr:uid="{00000000-0005-0000-0000-0000EE300000}"/>
    <cellStyle name="40% - Accent1 2 2 2 5" xfId="9815" xr:uid="{00000000-0005-0000-0000-0000EF300000}"/>
    <cellStyle name="40% - Accent1 2 2 2 5 2" xfId="26815" xr:uid="{00000000-0005-0000-0000-0000F0300000}"/>
    <cellStyle name="40% - Accent1 2 2 2 5 2 2" xfId="15201" xr:uid="{00000000-0005-0000-0000-0000F1300000}"/>
    <cellStyle name="40% - Accent1 2 2 2 5 2 2 2" xfId="22184" xr:uid="{00000000-0005-0000-0000-0000F2300000}"/>
    <cellStyle name="40% - Accent1 2 2 2 5 2 2 2 2" xfId="1061" xr:uid="{00000000-0005-0000-0000-0000F3300000}"/>
    <cellStyle name="40% - Accent1 2 2 2 5 2 2 3" xfId="6171" xr:uid="{00000000-0005-0000-0000-0000F4300000}"/>
    <cellStyle name="40% - Accent1 2 2 2 5 2 3" xfId="15203" xr:uid="{00000000-0005-0000-0000-0000F5300000}"/>
    <cellStyle name="40% - Accent1 2 2 2 5 2 3 2" xfId="7071" xr:uid="{00000000-0005-0000-0000-0000F6300000}"/>
    <cellStyle name="40% - Accent1 2 2 2 5 2 4" xfId="7011" xr:uid="{00000000-0005-0000-0000-0000F7300000}"/>
    <cellStyle name="40% - Accent1 2 2 2 5 3" xfId="26716" xr:uid="{00000000-0005-0000-0000-0000F8300000}"/>
    <cellStyle name="40% - Accent1 2 2 2 5 3 2" xfId="23014" xr:uid="{00000000-0005-0000-0000-0000F9300000}"/>
    <cellStyle name="40% - Accent1 2 2 2 5 3 2 2" xfId="10767" xr:uid="{00000000-0005-0000-0000-0000FA300000}"/>
    <cellStyle name="40% - Accent1 2 2 2 5 3 3" xfId="8144" xr:uid="{00000000-0005-0000-0000-0000FB300000}"/>
    <cellStyle name="40% - Accent1 2 2 2 5 4" xfId="26728" xr:uid="{00000000-0005-0000-0000-0000FC300000}"/>
    <cellStyle name="40% - Accent1 2 2 2 5 4 2" xfId="6193" xr:uid="{00000000-0005-0000-0000-0000FD300000}"/>
    <cellStyle name="40% - Accent1 2 2 2 5 5" xfId="14486" xr:uid="{00000000-0005-0000-0000-0000FE300000}"/>
    <cellStyle name="40% - Accent1 2 2 2 6" xfId="14487" xr:uid="{00000000-0005-0000-0000-0000FF300000}"/>
    <cellStyle name="40% - Accent1 2 2 2 6 2" xfId="14495" xr:uid="{00000000-0005-0000-0000-000000310000}"/>
    <cellStyle name="40% - Accent1 2 2 2 6 2 2" xfId="14417" xr:uid="{00000000-0005-0000-0000-000001310000}"/>
    <cellStyle name="40% - Accent1 2 2 2 6 2 2 2" xfId="11935" xr:uid="{00000000-0005-0000-0000-000002310000}"/>
    <cellStyle name="40% - Accent1 2 2 2 6 2 3" xfId="13655" xr:uid="{00000000-0005-0000-0000-000003310000}"/>
    <cellStyle name="40% - Accent1 2 2 2 6 3" xfId="14425" xr:uid="{00000000-0005-0000-0000-000004310000}"/>
    <cellStyle name="40% - Accent1 2 2 2 6 3 2" xfId="18513" xr:uid="{00000000-0005-0000-0000-000005310000}"/>
    <cellStyle name="40% - Accent1 2 2 2 6 4" xfId="10152" xr:uid="{00000000-0005-0000-0000-000006310000}"/>
    <cellStyle name="40% - Accent1 2 2 2 7" xfId="14497" xr:uid="{00000000-0005-0000-0000-000007310000}"/>
    <cellStyle name="40% - Accent1 2 2 2 7 2" xfId="14502" xr:uid="{00000000-0005-0000-0000-000008310000}"/>
    <cellStyle name="40% - Accent1 2 2 2 7 2 2" xfId="18556" xr:uid="{00000000-0005-0000-0000-000009310000}"/>
    <cellStyle name="40% - Accent1 2 2 2 7 3" xfId="10160" xr:uid="{00000000-0005-0000-0000-00000A310000}"/>
    <cellStyle name="40% - Accent1 2 2 2 8" xfId="15728" xr:uid="{00000000-0005-0000-0000-00000B310000}"/>
    <cellStyle name="40% - Accent1 2 2 2 8 2" xfId="10161" xr:uid="{00000000-0005-0000-0000-00000C310000}"/>
    <cellStyle name="40% - Accent1 2 2 2 9" xfId="10052" xr:uid="{00000000-0005-0000-0000-00000D310000}"/>
    <cellStyle name="40% - Accent1 2 2 3" xfId="22125" xr:uid="{00000000-0005-0000-0000-00000E310000}"/>
    <cellStyle name="40% - Accent1 2 2 3 2" xfId="12139" xr:uid="{00000000-0005-0000-0000-00000F310000}"/>
    <cellStyle name="40% - Accent1 2 2 3 2 2" xfId="1678" xr:uid="{00000000-0005-0000-0000-000010310000}"/>
    <cellStyle name="40% - Accent1 2 2 3 2 2 2" xfId="14507" xr:uid="{00000000-0005-0000-0000-000011310000}"/>
    <cellStyle name="40% - Accent1 2 2 3 2 2 2 2" xfId="14511" xr:uid="{00000000-0005-0000-0000-000012310000}"/>
    <cellStyle name="40% - Accent1 2 2 3 2 2 2 2 2" xfId="14543" xr:uid="{00000000-0005-0000-0000-000013310000}"/>
    <cellStyle name="40% - Accent1 2 2 3 2 2 2 2 2 2" xfId="13902" xr:uid="{00000000-0005-0000-0000-000014310000}"/>
    <cellStyle name="40% - Accent1 2 2 3 2 2 2 2 2 2 2" xfId="14516" xr:uid="{00000000-0005-0000-0000-000015310000}"/>
    <cellStyle name="40% - Accent1 2 2 3 2 2 2 2 2 3" xfId="30425" xr:uid="{00000000-0005-0000-0000-000016310000}"/>
    <cellStyle name="40% - Accent1 2 2 3 2 2 2 2 3" xfId="14874" xr:uid="{00000000-0005-0000-0000-000017310000}"/>
    <cellStyle name="40% - Accent1 2 2 3 2 2 2 2 3 2" xfId="14517" xr:uid="{00000000-0005-0000-0000-000018310000}"/>
    <cellStyle name="40% - Accent1 2 2 3 2 2 2 2 4" xfId="11723" xr:uid="{00000000-0005-0000-0000-000019310000}"/>
    <cellStyle name="40% - Accent1 2 2 3 2 2 2 3" xfId="14518" xr:uid="{00000000-0005-0000-0000-00001A310000}"/>
    <cellStyle name="40% - Accent1 2 2 3 2 2 2 3 2" xfId="3153" xr:uid="{00000000-0005-0000-0000-00001B310000}"/>
    <cellStyle name="40% - Accent1 2 2 3 2 2 2 3 2 2" xfId="14520" xr:uid="{00000000-0005-0000-0000-00001C310000}"/>
    <cellStyle name="40% - Accent1 2 2 3 2 2 2 3 3" xfId="7778" xr:uid="{00000000-0005-0000-0000-00001D310000}"/>
    <cellStyle name="40% - Accent1 2 2 3 2 2 2 4" xfId="14522" xr:uid="{00000000-0005-0000-0000-00001E310000}"/>
    <cellStyle name="40% - Accent1 2 2 3 2 2 2 4 2" xfId="2905" xr:uid="{00000000-0005-0000-0000-00001F310000}"/>
    <cellStyle name="40% - Accent1 2 2 3 2 2 2 5" xfId="14523" xr:uid="{00000000-0005-0000-0000-000020310000}"/>
    <cellStyle name="40% - Accent1 2 2 3 2 2 3" xfId="14524" xr:uid="{00000000-0005-0000-0000-000021310000}"/>
    <cellStyle name="40% - Accent1 2 2 3 2 2 3 2" xfId="14525" xr:uid="{00000000-0005-0000-0000-000022310000}"/>
    <cellStyle name="40% - Accent1 2 2 3 2 2 3 2 2" xfId="14529" xr:uid="{00000000-0005-0000-0000-000023310000}"/>
    <cellStyle name="40% - Accent1 2 2 3 2 2 3 2 2 2" xfId="14531" xr:uid="{00000000-0005-0000-0000-000024310000}"/>
    <cellStyle name="40% - Accent1 2 2 3 2 2 3 2 3" xfId="14535" xr:uid="{00000000-0005-0000-0000-000025310000}"/>
    <cellStyle name="40% - Accent1 2 2 3 2 2 3 3" xfId="33222" xr:uid="{00000000-0005-0000-0000-000026310000}"/>
    <cellStyle name="40% - Accent1 2 2 3 2 2 3 3 2" xfId="6000" xr:uid="{00000000-0005-0000-0000-000027310000}"/>
    <cellStyle name="40% - Accent1 2 2 3 2 2 3 4" xfId="14537" xr:uid="{00000000-0005-0000-0000-000028310000}"/>
    <cellStyle name="40% - Accent1 2 2 3 2 2 4" xfId="10601" xr:uid="{00000000-0005-0000-0000-000029310000}"/>
    <cellStyle name="40% - Accent1 2 2 3 2 2 4 2" xfId="15433" xr:uid="{00000000-0005-0000-0000-00002A310000}"/>
    <cellStyle name="40% - Accent1 2 2 3 2 2 4 2 2" xfId="14539" xr:uid="{00000000-0005-0000-0000-00002B310000}"/>
    <cellStyle name="40% - Accent1 2 2 3 2 2 4 3" xfId="31376" xr:uid="{00000000-0005-0000-0000-00002C310000}"/>
    <cellStyle name="40% - Accent1 2 2 3 2 2 5" xfId="14547" xr:uid="{00000000-0005-0000-0000-00002D310000}"/>
    <cellStyle name="40% - Accent1 2 2 3 2 2 5 2" xfId="14549" xr:uid="{00000000-0005-0000-0000-00002E310000}"/>
    <cellStyle name="40% - Accent1 2 2 3 2 2 6" xfId="3953" xr:uid="{00000000-0005-0000-0000-00002F310000}"/>
    <cellStyle name="40% - Accent1 2 2 3 2 3" xfId="6916" xr:uid="{00000000-0005-0000-0000-000030310000}"/>
    <cellStyle name="40% - Accent1 2 2 3 2 3 2" xfId="6802" xr:uid="{00000000-0005-0000-0000-000031310000}"/>
    <cellStyle name="40% - Accent1 2 2 3 2 3 2 2" xfId="14553" xr:uid="{00000000-0005-0000-0000-000032310000}"/>
    <cellStyle name="40% - Accent1 2 2 3 2 3 2 2 2" xfId="14556" xr:uid="{00000000-0005-0000-0000-000033310000}"/>
    <cellStyle name="40% - Accent1 2 2 3 2 3 2 2 2 2" xfId="14558" xr:uid="{00000000-0005-0000-0000-000034310000}"/>
    <cellStyle name="40% - Accent1 2 2 3 2 3 2 2 3" xfId="19232" xr:uid="{00000000-0005-0000-0000-000035310000}"/>
    <cellStyle name="40% - Accent1 2 2 3 2 3 2 3" xfId="8319" xr:uid="{00000000-0005-0000-0000-000036310000}"/>
    <cellStyle name="40% - Accent1 2 2 3 2 3 2 3 2" xfId="6478" xr:uid="{00000000-0005-0000-0000-000037310000}"/>
    <cellStyle name="40% - Accent1 2 2 3 2 3 2 4" xfId="8672" xr:uid="{00000000-0005-0000-0000-000038310000}"/>
    <cellStyle name="40% - Accent1 2 2 3 2 3 3" xfId="14566" xr:uid="{00000000-0005-0000-0000-000039310000}"/>
    <cellStyle name="40% - Accent1 2 2 3 2 3 3 2" xfId="14572" xr:uid="{00000000-0005-0000-0000-00003A310000}"/>
    <cellStyle name="40% - Accent1 2 2 3 2 3 3 2 2" xfId="14576" xr:uid="{00000000-0005-0000-0000-00003B310000}"/>
    <cellStyle name="40% - Accent1 2 2 3 2 3 3 3" xfId="4385" xr:uid="{00000000-0005-0000-0000-00003C310000}"/>
    <cellStyle name="40% - Accent1 2 2 3 2 3 4" xfId="27681" xr:uid="{00000000-0005-0000-0000-00003D310000}"/>
    <cellStyle name="40% - Accent1 2 2 3 2 3 4 2" xfId="32924" xr:uid="{00000000-0005-0000-0000-00003E310000}"/>
    <cellStyle name="40% - Accent1 2 2 3 2 3 5" xfId="27820" xr:uid="{00000000-0005-0000-0000-00003F310000}"/>
    <cellStyle name="40% - Accent1 2 2 3 2 4" xfId="30878" xr:uid="{00000000-0005-0000-0000-000040310000}"/>
    <cellStyle name="40% - Accent1 2 2 3 2 4 2" xfId="14581" xr:uid="{00000000-0005-0000-0000-000041310000}"/>
    <cellStyle name="40% - Accent1 2 2 3 2 4 2 2" xfId="14585" xr:uid="{00000000-0005-0000-0000-000042310000}"/>
    <cellStyle name="40% - Accent1 2 2 3 2 4 2 2 2" xfId="3338" xr:uid="{00000000-0005-0000-0000-000043310000}"/>
    <cellStyle name="40% - Accent1 2 2 3 2 4 2 3" xfId="33542" xr:uid="{00000000-0005-0000-0000-000044310000}"/>
    <cellStyle name="40% - Accent1 2 2 3 2 4 3" xfId="27694" xr:uid="{00000000-0005-0000-0000-000045310000}"/>
    <cellStyle name="40% - Accent1 2 2 3 2 4 3 2" xfId="30124" xr:uid="{00000000-0005-0000-0000-000046310000}"/>
    <cellStyle name="40% - Accent1 2 2 3 2 4 4" xfId="30623" xr:uid="{00000000-0005-0000-0000-000047310000}"/>
    <cellStyle name="40% - Accent1 2 2 3 2 5" xfId="28346" xr:uid="{00000000-0005-0000-0000-000048310000}"/>
    <cellStyle name="40% - Accent1 2 2 3 2 5 2" xfId="29834" xr:uid="{00000000-0005-0000-0000-000049310000}"/>
    <cellStyle name="40% - Accent1 2 2 3 2 5 2 2" xfId="33450" xr:uid="{00000000-0005-0000-0000-00004A310000}"/>
    <cellStyle name="40% - Accent1 2 2 3 2 5 3" xfId="23785" xr:uid="{00000000-0005-0000-0000-00004B310000}"/>
    <cellStyle name="40% - Accent1 2 2 3 2 6" xfId="31142" xr:uid="{00000000-0005-0000-0000-00004C310000}"/>
    <cellStyle name="40% - Accent1 2 2 3 2 6 2" xfId="25914" xr:uid="{00000000-0005-0000-0000-00004D310000}"/>
    <cellStyle name="40% - Accent1 2 2 3 2 7" xfId="26540" xr:uid="{00000000-0005-0000-0000-00004E310000}"/>
    <cellStyle name="40% - Accent1 2 2 3 3" xfId="12366" xr:uid="{00000000-0005-0000-0000-00004F310000}"/>
    <cellStyle name="40% - Accent1 2 2 3 3 2" xfId="6587" xr:uid="{00000000-0005-0000-0000-000050310000}"/>
    <cellStyle name="40% - Accent1 2 2 3 3 2 2" xfId="33012" xr:uid="{00000000-0005-0000-0000-000051310000}"/>
    <cellStyle name="40% - Accent1 2 2 3 3 2 2 2" xfId="22287" xr:uid="{00000000-0005-0000-0000-000052310000}"/>
    <cellStyle name="40% - Accent1 2 2 3 3 2 2 2 2" xfId="28209" xr:uid="{00000000-0005-0000-0000-000053310000}"/>
    <cellStyle name="40% - Accent1 2 2 3 3 2 2 2 2 2" xfId="14560" xr:uid="{00000000-0005-0000-0000-000054310000}"/>
    <cellStyle name="40% - Accent1 2 2 3 3 2 2 2 3" xfId="14590" xr:uid="{00000000-0005-0000-0000-000055310000}"/>
    <cellStyle name="40% - Accent1 2 2 3 3 2 2 3" xfId="14596" xr:uid="{00000000-0005-0000-0000-000056310000}"/>
    <cellStyle name="40% - Accent1 2 2 3 3 2 2 3 2" xfId="2263" xr:uid="{00000000-0005-0000-0000-000057310000}"/>
    <cellStyle name="40% - Accent1 2 2 3 3 2 2 4" xfId="14599" xr:uid="{00000000-0005-0000-0000-000058310000}"/>
    <cellStyle name="40% - Accent1 2 2 3 3 2 3" xfId="27998" xr:uid="{00000000-0005-0000-0000-000059310000}"/>
    <cellStyle name="40% - Accent1 2 2 3 3 2 3 2" xfId="22320" xr:uid="{00000000-0005-0000-0000-00005A310000}"/>
    <cellStyle name="40% - Accent1 2 2 3 3 2 3 2 2" xfId="13494" xr:uid="{00000000-0005-0000-0000-00005B310000}"/>
    <cellStyle name="40% - Accent1 2 2 3 3 2 3 3" xfId="31405" xr:uid="{00000000-0005-0000-0000-00005C310000}"/>
    <cellStyle name="40% - Accent1 2 2 3 3 2 4" xfId="27606" xr:uid="{00000000-0005-0000-0000-00005D310000}"/>
    <cellStyle name="40% - Accent1 2 2 3 3 2 4 2" xfId="31292" xr:uid="{00000000-0005-0000-0000-00005E310000}"/>
    <cellStyle name="40% - Accent1 2 2 3 3 2 5" xfId="14602" xr:uid="{00000000-0005-0000-0000-00005F310000}"/>
    <cellStyle name="40% - Accent1 2 2 3 3 3" xfId="6597" xr:uid="{00000000-0005-0000-0000-000060310000}"/>
    <cellStyle name="40% - Accent1 2 2 3 3 3 2" xfId="33103" xr:uid="{00000000-0005-0000-0000-000061310000}"/>
    <cellStyle name="40% - Accent1 2 2 3 3 3 2 2" xfId="26302" xr:uid="{00000000-0005-0000-0000-000062310000}"/>
    <cellStyle name="40% - Accent1 2 2 3 3 3 2 2 2" xfId="14610" xr:uid="{00000000-0005-0000-0000-000063310000}"/>
    <cellStyle name="40% - Accent1 2 2 3 3 3 2 3" xfId="6785" xr:uid="{00000000-0005-0000-0000-000064310000}"/>
    <cellStyle name="40% - Accent1 2 2 3 3 3 3" xfId="27471" xr:uid="{00000000-0005-0000-0000-000065310000}"/>
    <cellStyle name="40% - Accent1 2 2 3 3 3 3 2" xfId="99" xr:uid="{00000000-0005-0000-0000-000066310000}"/>
    <cellStyle name="40% - Accent1 2 2 3 3 3 4" xfId="30706" xr:uid="{00000000-0005-0000-0000-000067310000}"/>
    <cellStyle name="40% - Accent1 2 2 3 3 4" xfId="33606" xr:uid="{00000000-0005-0000-0000-000068310000}"/>
    <cellStyle name="40% - Accent1 2 2 3 3 4 2" xfId="33782" xr:uid="{00000000-0005-0000-0000-000069310000}"/>
    <cellStyle name="40% - Accent1 2 2 3 3 4 2 2" xfId="11455" xr:uid="{00000000-0005-0000-0000-00006A310000}"/>
    <cellStyle name="40% - Accent1 2 2 3 3 4 3" xfId="5353" xr:uid="{00000000-0005-0000-0000-00006B310000}"/>
    <cellStyle name="40% - Accent1 2 2 3 3 5" xfId="22222" xr:uid="{00000000-0005-0000-0000-00006C310000}"/>
    <cellStyle name="40% - Accent1 2 2 3 3 5 2" xfId="14617" xr:uid="{00000000-0005-0000-0000-00006D310000}"/>
    <cellStyle name="40% - Accent1 2 2 3 3 6" xfId="18194" xr:uid="{00000000-0005-0000-0000-00006E310000}"/>
    <cellStyle name="40% - Accent1 2 2 3 4" xfId="9822" xr:uid="{00000000-0005-0000-0000-00006F310000}"/>
    <cellStyle name="40% - Accent1 2 2 3 4 2" xfId="6611" xr:uid="{00000000-0005-0000-0000-000070310000}"/>
    <cellStyle name="40% - Accent1 2 2 3 4 2 2" xfId="25054" xr:uid="{00000000-0005-0000-0000-000071310000}"/>
    <cellStyle name="40% - Accent1 2 2 3 4 2 2 2" xfId="24845" xr:uid="{00000000-0005-0000-0000-000072310000}"/>
    <cellStyle name="40% - Accent1 2 2 3 4 2 2 2 2" xfId="14621" xr:uid="{00000000-0005-0000-0000-000073310000}"/>
    <cellStyle name="40% - Accent1 2 2 3 4 2 2 3" xfId="6085" xr:uid="{00000000-0005-0000-0000-000074310000}"/>
    <cellStyle name="40% - Accent1 2 2 3 4 2 3" xfId="12587" xr:uid="{00000000-0005-0000-0000-000075310000}"/>
    <cellStyle name="40% - Accent1 2 2 3 4 2 3 2" xfId="6317" xr:uid="{00000000-0005-0000-0000-000076310000}"/>
    <cellStyle name="40% - Accent1 2 2 3 4 2 4" xfId="30766" xr:uid="{00000000-0005-0000-0000-000077310000}"/>
    <cellStyle name="40% - Accent1 2 2 3 4 3" xfId="14631" xr:uid="{00000000-0005-0000-0000-000078310000}"/>
    <cellStyle name="40% - Accent1 2 2 3 4 3 2" xfId="25128" xr:uid="{00000000-0005-0000-0000-000079310000}"/>
    <cellStyle name="40% - Accent1 2 2 3 4 3 2 2" xfId="6364" xr:uid="{00000000-0005-0000-0000-00007A310000}"/>
    <cellStyle name="40% - Accent1 2 2 3 4 3 3" xfId="25139" xr:uid="{00000000-0005-0000-0000-00007B310000}"/>
    <cellStyle name="40% - Accent1 2 2 3 4 4" xfId="18530" xr:uid="{00000000-0005-0000-0000-00007C310000}"/>
    <cellStyle name="40% - Accent1 2 2 3 4 4 2" xfId="6336" xr:uid="{00000000-0005-0000-0000-00007D310000}"/>
    <cellStyle name="40% - Accent1 2 2 3 4 5" xfId="33151" xr:uid="{00000000-0005-0000-0000-00007E310000}"/>
    <cellStyle name="40% - Accent1 2 2 3 5" xfId="83" xr:uid="{00000000-0005-0000-0000-00007F310000}"/>
    <cellStyle name="40% - Accent1 2 2 3 5 2" xfId="23086" xr:uid="{00000000-0005-0000-0000-000080310000}"/>
    <cellStyle name="40% - Accent1 2 2 3 5 2 2" xfId="25333" xr:uid="{00000000-0005-0000-0000-000081310000}"/>
    <cellStyle name="40% - Accent1 2 2 3 5 2 2 2" xfId="6384" xr:uid="{00000000-0005-0000-0000-000082310000}"/>
    <cellStyle name="40% - Accent1 2 2 3 5 2 3" xfId="21660" xr:uid="{00000000-0005-0000-0000-000083310000}"/>
    <cellStyle name="40% - Accent1 2 2 3 5 3" xfId="15742" xr:uid="{00000000-0005-0000-0000-000084310000}"/>
    <cellStyle name="40% - Accent1 2 2 3 5 3 2" xfId="1313" xr:uid="{00000000-0005-0000-0000-000085310000}"/>
    <cellStyle name="40% - Accent1 2 2 3 5 4" xfId="19282" xr:uid="{00000000-0005-0000-0000-000086310000}"/>
    <cellStyle name="40% - Accent1 2 2 3 6" xfId="11678" xr:uid="{00000000-0005-0000-0000-000087310000}"/>
    <cellStyle name="40% - Accent1 2 2 3 6 2" xfId="27368" xr:uid="{00000000-0005-0000-0000-000088310000}"/>
    <cellStyle name="40% - Accent1 2 2 3 6 2 2" xfId="11283" xr:uid="{00000000-0005-0000-0000-000089310000}"/>
    <cellStyle name="40% - Accent1 2 2 3 6 3" xfId="15404" xr:uid="{00000000-0005-0000-0000-00008A310000}"/>
    <cellStyle name="40% - Accent1 2 2 3 7" xfId="14642" xr:uid="{00000000-0005-0000-0000-00008B310000}"/>
    <cellStyle name="40% - Accent1 2 2 3 7 2" xfId="15411" xr:uid="{00000000-0005-0000-0000-00008C310000}"/>
    <cellStyle name="40% - Accent1 2 2 3 8" xfId="10653" xr:uid="{00000000-0005-0000-0000-00008D310000}"/>
    <cellStyle name="40% - Accent1 2 2 4" xfId="13898" xr:uid="{00000000-0005-0000-0000-00008E310000}"/>
    <cellStyle name="40% - Accent1 2 2 4 2" xfId="12140" xr:uid="{00000000-0005-0000-0000-00008F310000}"/>
    <cellStyle name="40% - Accent1 2 2 4 2 2" xfId="6927" xr:uid="{00000000-0005-0000-0000-000090310000}"/>
    <cellStyle name="40% - Accent1 2 2 4 2 2 2" xfId="22351" xr:uid="{00000000-0005-0000-0000-000091310000}"/>
    <cellStyle name="40% - Accent1 2 2 4 2 2 2 2" xfId="23316" xr:uid="{00000000-0005-0000-0000-000092310000}"/>
    <cellStyle name="40% - Accent1 2 2 4 2 2 2 2 2" xfId="26142" xr:uid="{00000000-0005-0000-0000-000093310000}"/>
    <cellStyle name="40% - Accent1 2 2 4 2 2 2 2 2 2" xfId="14645" xr:uid="{00000000-0005-0000-0000-000094310000}"/>
    <cellStyle name="40% - Accent1 2 2 4 2 2 2 2 3" xfId="21286" xr:uid="{00000000-0005-0000-0000-000095310000}"/>
    <cellStyle name="40% - Accent1 2 2 4 2 2 2 3" xfId="6890" xr:uid="{00000000-0005-0000-0000-000096310000}"/>
    <cellStyle name="40% - Accent1 2 2 4 2 2 2 3 2" xfId="4757" xr:uid="{00000000-0005-0000-0000-000097310000}"/>
    <cellStyle name="40% - Accent1 2 2 4 2 2 2 4" xfId="6894" xr:uid="{00000000-0005-0000-0000-000098310000}"/>
    <cellStyle name="40% - Accent1 2 2 4 2 2 3" xfId="14400" xr:uid="{00000000-0005-0000-0000-000099310000}"/>
    <cellStyle name="40% - Accent1 2 2 4 2 2 3 2" xfId="31602" xr:uid="{00000000-0005-0000-0000-00009A310000}"/>
    <cellStyle name="40% - Accent1 2 2 4 2 2 3 2 2" xfId="14646" xr:uid="{00000000-0005-0000-0000-00009B310000}"/>
    <cellStyle name="40% - Accent1 2 2 4 2 2 3 3" xfId="6897" xr:uid="{00000000-0005-0000-0000-00009C310000}"/>
    <cellStyle name="40% - Accent1 2 2 4 2 2 4" xfId="14652" xr:uid="{00000000-0005-0000-0000-00009D310000}"/>
    <cellStyle name="40% - Accent1 2 2 4 2 2 4 2" xfId="33503" xr:uid="{00000000-0005-0000-0000-00009E310000}"/>
    <cellStyle name="40% - Accent1 2 2 4 2 2 5" xfId="13605" xr:uid="{00000000-0005-0000-0000-00009F310000}"/>
    <cellStyle name="40% - Accent1 2 2 4 2 3" xfId="12016" xr:uid="{00000000-0005-0000-0000-0000A0310000}"/>
    <cellStyle name="40% - Accent1 2 2 4 2 3 2" xfId="15273" xr:uid="{00000000-0005-0000-0000-0000A1310000}"/>
    <cellStyle name="40% - Accent1 2 2 4 2 3 2 2" xfId="14654" xr:uid="{00000000-0005-0000-0000-0000A2310000}"/>
    <cellStyle name="40% - Accent1 2 2 4 2 3 2 2 2" xfId="14655" xr:uid="{00000000-0005-0000-0000-0000A3310000}"/>
    <cellStyle name="40% - Accent1 2 2 4 2 3 2 3" xfId="8876" xr:uid="{00000000-0005-0000-0000-0000A4310000}"/>
    <cellStyle name="40% - Accent1 2 2 4 2 3 3" xfId="14660" xr:uid="{00000000-0005-0000-0000-0000A5310000}"/>
    <cellStyle name="40% - Accent1 2 2 4 2 3 3 2" xfId="33880" xr:uid="{00000000-0005-0000-0000-0000A6310000}"/>
    <cellStyle name="40% - Accent1 2 2 4 2 3 4" xfId="14663" xr:uid="{00000000-0005-0000-0000-0000A7310000}"/>
    <cellStyle name="40% - Accent1 2 2 4 2 4" xfId="14666" xr:uid="{00000000-0005-0000-0000-0000A8310000}"/>
    <cellStyle name="40% - Accent1 2 2 4 2 4 2" xfId="15293" xr:uid="{00000000-0005-0000-0000-0000A9310000}"/>
    <cellStyle name="40% - Accent1 2 2 4 2 4 2 2" xfId="33507" xr:uid="{00000000-0005-0000-0000-0000AA310000}"/>
    <cellStyle name="40% - Accent1 2 2 4 2 4 3" xfId="14672" xr:uid="{00000000-0005-0000-0000-0000AB310000}"/>
    <cellStyle name="40% - Accent1 2 2 4 2 5" xfId="2533" xr:uid="{00000000-0005-0000-0000-0000AC310000}"/>
    <cellStyle name="40% - Accent1 2 2 4 2 5 2" xfId="5133" xr:uid="{00000000-0005-0000-0000-0000AD310000}"/>
    <cellStyle name="40% - Accent1 2 2 4 2 6" xfId="1052" xr:uid="{00000000-0005-0000-0000-0000AE310000}"/>
    <cellStyle name="40% - Accent1 2 2 4 3" xfId="12908" xr:uid="{00000000-0005-0000-0000-0000AF310000}"/>
    <cellStyle name="40% - Accent1 2 2 4 3 2" xfId="6650" xr:uid="{00000000-0005-0000-0000-0000B0310000}"/>
    <cellStyle name="40% - Accent1 2 2 4 3 2 2" xfId="14676" xr:uid="{00000000-0005-0000-0000-0000B1310000}"/>
    <cellStyle name="40% - Accent1 2 2 4 3 2 2 2" xfId="22540" xr:uid="{00000000-0005-0000-0000-0000B2310000}"/>
    <cellStyle name="40% - Accent1 2 2 4 3 2 2 2 2" xfId="14364" xr:uid="{00000000-0005-0000-0000-0000B3310000}"/>
    <cellStyle name="40% - Accent1 2 2 4 3 2 2 3" xfId="29002" xr:uid="{00000000-0005-0000-0000-0000B4310000}"/>
    <cellStyle name="40% - Accent1 2 2 4 3 2 3" xfId="14682" xr:uid="{00000000-0005-0000-0000-0000B5310000}"/>
    <cellStyle name="40% - Accent1 2 2 4 3 2 3 2" xfId="14684" xr:uid="{00000000-0005-0000-0000-0000B6310000}"/>
    <cellStyle name="40% - Accent1 2 2 4 3 2 4" xfId="14688" xr:uid="{00000000-0005-0000-0000-0000B7310000}"/>
    <cellStyle name="40% - Accent1 2 2 4 3 3" xfId="15576" xr:uid="{00000000-0005-0000-0000-0000B8310000}"/>
    <cellStyle name="40% - Accent1 2 2 4 3 3 2" xfId="14695" xr:uid="{00000000-0005-0000-0000-0000B9310000}"/>
    <cellStyle name="40% - Accent1 2 2 4 3 3 2 2" xfId="19430" xr:uid="{00000000-0005-0000-0000-0000BA310000}"/>
    <cellStyle name="40% - Accent1 2 2 4 3 3 3" xfId="14700" xr:uid="{00000000-0005-0000-0000-0000BB310000}"/>
    <cellStyle name="40% - Accent1 2 2 4 3 4" xfId="14703" xr:uid="{00000000-0005-0000-0000-0000BC310000}"/>
    <cellStyle name="40% - Accent1 2 2 4 3 4 2" xfId="14709" xr:uid="{00000000-0005-0000-0000-0000BD310000}"/>
    <cellStyle name="40% - Accent1 2 2 4 3 5" xfId="3470" xr:uid="{00000000-0005-0000-0000-0000BE310000}"/>
    <cellStyle name="40% - Accent1 2 2 4 4" xfId="33515" xr:uid="{00000000-0005-0000-0000-0000BF310000}"/>
    <cellStyle name="40% - Accent1 2 2 4 4 2" xfId="31077" xr:uid="{00000000-0005-0000-0000-0000C0310000}"/>
    <cellStyle name="40% - Accent1 2 2 4 4 2 2" xfId="12637" xr:uid="{00000000-0005-0000-0000-0000C1310000}"/>
    <cellStyle name="40% - Accent1 2 2 4 4 2 2 2" xfId="8013" xr:uid="{00000000-0005-0000-0000-0000C2310000}"/>
    <cellStyle name="40% - Accent1 2 2 4 4 2 3" xfId="15219" xr:uid="{00000000-0005-0000-0000-0000C3310000}"/>
    <cellStyle name="40% - Accent1 2 2 4 4 3" xfId="31081" xr:uid="{00000000-0005-0000-0000-0000C4310000}"/>
    <cellStyle name="40% - Accent1 2 2 4 4 3 2" xfId="20080" xr:uid="{00000000-0005-0000-0000-0000C5310000}"/>
    <cellStyle name="40% - Accent1 2 2 4 4 4" xfId="32058" xr:uid="{00000000-0005-0000-0000-0000C6310000}"/>
    <cellStyle name="40% - Accent1 2 2 4 5" xfId="28653" xr:uid="{00000000-0005-0000-0000-0000C7310000}"/>
    <cellStyle name="40% - Accent1 2 2 4 5 2" xfId="23499" xr:uid="{00000000-0005-0000-0000-0000C8310000}"/>
    <cellStyle name="40% - Accent1 2 2 4 5 2 2" xfId="2390" xr:uid="{00000000-0005-0000-0000-0000C9310000}"/>
    <cellStyle name="40% - Accent1 2 2 4 5 3" xfId="6403" xr:uid="{00000000-0005-0000-0000-0000CA310000}"/>
    <cellStyle name="40% - Accent1 2 2 4 6" xfId="25681" xr:uid="{00000000-0005-0000-0000-0000CB310000}"/>
    <cellStyle name="40% - Accent1 2 2 4 6 2" xfId="23947" xr:uid="{00000000-0005-0000-0000-0000CC310000}"/>
    <cellStyle name="40% - Accent1 2 2 4 7" xfId="30089" xr:uid="{00000000-0005-0000-0000-0000CD310000}"/>
    <cellStyle name="40% - Accent1 2 2 5" xfId="28989" xr:uid="{00000000-0005-0000-0000-0000CE310000}"/>
    <cellStyle name="40% - Accent1 2 2 5 2" xfId="29241" xr:uid="{00000000-0005-0000-0000-0000CF310000}"/>
    <cellStyle name="40% - Accent1 2 2 5 2 2" xfId="6945" xr:uid="{00000000-0005-0000-0000-0000D0310000}"/>
    <cellStyle name="40% - Accent1 2 2 5 2 2 2" xfId="15922" xr:uid="{00000000-0005-0000-0000-0000D1310000}"/>
    <cellStyle name="40% - Accent1 2 2 5 2 2 2 2" xfId="14720" xr:uid="{00000000-0005-0000-0000-0000D2310000}"/>
    <cellStyle name="40% - Accent1 2 2 5 2 2 2 2 2" xfId="26270" xr:uid="{00000000-0005-0000-0000-0000D3310000}"/>
    <cellStyle name="40% - Accent1 2 2 5 2 2 2 3" xfId="7056" xr:uid="{00000000-0005-0000-0000-0000D4310000}"/>
    <cellStyle name="40% - Accent1 2 2 5 2 2 3" xfId="14580" xr:uid="{00000000-0005-0000-0000-0000D5310000}"/>
    <cellStyle name="40% - Accent1 2 2 5 2 2 3 2" xfId="13639" xr:uid="{00000000-0005-0000-0000-0000D6310000}"/>
    <cellStyle name="40% - Accent1 2 2 5 2 2 4" xfId="14722" xr:uid="{00000000-0005-0000-0000-0000D7310000}"/>
    <cellStyle name="40% - Accent1 2 2 5 2 3" xfId="14724" xr:uid="{00000000-0005-0000-0000-0000D8310000}"/>
    <cellStyle name="40% - Accent1 2 2 5 2 3 2" xfId="15937" xr:uid="{00000000-0005-0000-0000-0000D9310000}"/>
    <cellStyle name="40% - Accent1 2 2 5 2 3 2 2" xfId="14731" xr:uid="{00000000-0005-0000-0000-0000DA310000}"/>
    <cellStyle name="40% - Accent1 2 2 5 2 3 3" xfId="14586" xr:uid="{00000000-0005-0000-0000-0000DB310000}"/>
    <cellStyle name="40% - Accent1 2 2 5 2 4" xfId="14732" xr:uid="{00000000-0005-0000-0000-0000DC310000}"/>
    <cellStyle name="40% - Accent1 2 2 5 2 4 2" xfId="15953" xr:uid="{00000000-0005-0000-0000-0000DD310000}"/>
    <cellStyle name="40% - Accent1 2 2 5 2 5" xfId="5651" xr:uid="{00000000-0005-0000-0000-0000DE310000}"/>
    <cellStyle name="40% - Accent1 2 2 5 3" xfId="23552" xr:uid="{00000000-0005-0000-0000-0000DF310000}"/>
    <cellStyle name="40% - Accent1 2 2 5 3 2" xfId="15610" xr:uid="{00000000-0005-0000-0000-0000E0310000}"/>
    <cellStyle name="40% - Accent1 2 2 5 3 2 2" xfId="12080" xr:uid="{00000000-0005-0000-0000-0000E1310000}"/>
    <cellStyle name="40% - Accent1 2 2 5 3 2 2 2" xfId="14737" xr:uid="{00000000-0005-0000-0000-0000E2310000}"/>
    <cellStyle name="40% - Accent1 2 2 5 3 2 3" xfId="14740" xr:uid="{00000000-0005-0000-0000-0000E3310000}"/>
    <cellStyle name="40% - Accent1 2 2 5 3 3" xfId="25896" xr:uid="{00000000-0005-0000-0000-0000E4310000}"/>
    <cellStyle name="40% - Accent1 2 2 5 3 3 2" xfId="11754" xr:uid="{00000000-0005-0000-0000-0000E5310000}"/>
    <cellStyle name="40% - Accent1 2 2 5 3 4" xfId="12812" xr:uid="{00000000-0005-0000-0000-0000E6310000}"/>
    <cellStyle name="40% - Accent1 2 2 5 4" xfId="12914" xr:uid="{00000000-0005-0000-0000-0000E7310000}"/>
    <cellStyle name="40% - Accent1 2 2 5 4 2" xfId="27816" xr:uid="{00000000-0005-0000-0000-0000E8310000}"/>
    <cellStyle name="40% - Accent1 2 2 5 4 2 2" xfId="32527" xr:uid="{00000000-0005-0000-0000-0000E9310000}"/>
    <cellStyle name="40% - Accent1 2 2 5 4 3" xfId="32348" xr:uid="{00000000-0005-0000-0000-0000EA310000}"/>
    <cellStyle name="40% - Accent1 2 2 5 5" xfId="28697" xr:uid="{00000000-0005-0000-0000-0000EB310000}"/>
    <cellStyle name="40% - Accent1 2 2 5 5 2" xfId="27826" xr:uid="{00000000-0005-0000-0000-0000EC310000}"/>
    <cellStyle name="40% - Accent1 2 2 5 6" xfId="28705" xr:uid="{00000000-0005-0000-0000-0000ED310000}"/>
    <cellStyle name="40% - Accent1 2 2 6" xfId="13002" xr:uid="{00000000-0005-0000-0000-0000EE310000}"/>
    <cellStyle name="40% - Accent1 2 2 6 2" xfId="13009" xr:uid="{00000000-0005-0000-0000-0000EF310000}"/>
    <cellStyle name="40% - Accent1 2 2 6 2 2" xfId="14745" xr:uid="{00000000-0005-0000-0000-0000F0310000}"/>
    <cellStyle name="40% - Accent1 2 2 6 2 2 2" xfId="16273" xr:uid="{00000000-0005-0000-0000-0000F1310000}"/>
    <cellStyle name="40% - Accent1 2 2 6 2 2 2 2" xfId="14746" xr:uid="{00000000-0005-0000-0000-0000F2310000}"/>
    <cellStyle name="40% - Accent1 2 2 6 2 2 3" xfId="14670" xr:uid="{00000000-0005-0000-0000-0000F3310000}"/>
    <cellStyle name="40% - Accent1 2 2 6 2 3" xfId="12831" xr:uid="{00000000-0005-0000-0000-0000F4310000}"/>
    <cellStyle name="40% - Accent1 2 2 6 2 3 2" xfId="16284" xr:uid="{00000000-0005-0000-0000-0000F5310000}"/>
    <cellStyle name="40% - Accent1 2 2 6 2 4" xfId="11499" xr:uid="{00000000-0005-0000-0000-0000F6310000}"/>
    <cellStyle name="40% - Accent1 2 2 6 3" xfId="26158" xr:uid="{00000000-0005-0000-0000-0000F7310000}"/>
    <cellStyle name="40% - Accent1 2 2 6 3 2" xfId="14747" xr:uid="{00000000-0005-0000-0000-0000F8310000}"/>
    <cellStyle name="40% - Accent1 2 2 6 3 2 2" xfId="14749" xr:uid="{00000000-0005-0000-0000-0000F9310000}"/>
    <cellStyle name="40% - Accent1 2 2 6 3 3" xfId="13073" xr:uid="{00000000-0005-0000-0000-0000FA310000}"/>
    <cellStyle name="40% - Accent1 2 2 6 4" xfId="10966" xr:uid="{00000000-0005-0000-0000-0000FB310000}"/>
    <cellStyle name="40% - Accent1 2 2 6 4 2" xfId="14506" xr:uid="{00000000-0005-0000-0000-0000FC310000}"/>
    <cellStyle name="40% - Accent1 2 2 6 5" xfId="552" xr:uid="{00000000-0005-0000-0000-0000FD310000}"/>
    <cellStyle name="40% - Accent1 2 2 7" xfId="13298" xr:uid="{00000000-0005-0000-0000-0000FE310000}"/>
    <cellStyle name="40% - Accent1 2 2 7 2" xfId="14751" xr:uid="{00000000-0005-0000-0000-0000FF310000}"/>
    <cellStyle name="40% - Accent1 2 2 7 2 2" xfId="11804" xr:uid="{00000000-0005-0000-0000-000000320000}"/>
    <cellStyle name="40% - Accent1 2 2 7 2 2 2" xfId="16416" xr:uid="{00000000-0005-0000-0000-000001320000}"/>
    <cellStyle name="40% - Accent1 2 2 7 2 3" xfId="13274" xr:uid="{00000000-0005-0000-0000-000002320000}"/>
    <cellStyle name="40% - Accent1 2 2 7 3" xfId="14753" xr:uid="{00000000-0005-0000-0000-000003320000}"/>
    <cellStyle name="40% - Accent1 2 2 7 3 2" xfId="11847" xr:uid="{00000000-0005-0000-0000-000004320000}"/>
    <cellStyle name="40% - Accent1 2 2 7 4" xfId="9970" xr:uid="{00000000-0005-0000-0000-000005320000}"/>
    <cellStyle name="40% - Accent1 2 2 8" xfId="2021" xr:uid="{00000000-0005-0000-0000-000006320000}"/>
    <cellStyle name="40% - Accent1 2 2 8 2" xfId="2354" xr:uid="{00000000-0005-0000-0000-000007320000}"/>
    <cellStyle name="40% - Accent1 2 2 8 2 2" xfId="27417" xr:uid="{00000000-0005-0000-0000-000008320000}"/>
    <cellStyle name="40% - Accent1 2 2 8 3" xfId="9976" xr:uid="{00000000-0005-0000-0000-000009320000}"/>
    <cellStyle name="40% - Accent1 2 2 9" xfId="5128" xr:uid="{00000000-0005-0000-0000-00000A320000}"/>
    <cellStyle name="40% - Accent1 2 2 9 2" xfId="9981" xr:uid="{00000000-0005-0000-0000-00000B320000}"/>
    <cellStyle name="40% - Accent1 2 3" xfId="14762" xr:uid="{00000000-0005-0000-0000-00000C320000}"/>
    <cellStyle name="40% - Accent1 2 3 2" xfId="28264" xr:uid="{00000000-0005-0000-0000-00000D320000}"/>
    <cellStyle name="40% - Accent1 2 3 2 2" xfId="14768" xr:uid="{00000000-0005-0000-0000-00000E320000}"/>
    <cellStyle name="40% - Accent1 2 3 2 2 2" xfId="14769" xr:uid="{00000000-0005-0000-0000-00000F320000}"/>
    <cellStyle name="40% - Accent1 2 3 2 2 2 2" xfId="14770" xr:uid="{00000000-0005-0000-0000-000010320000}"/>
    <cellStyle name="40% - Accent1 2 3 2 2 2 2 2" xfId="14771" xr:uid="{00000000-0005-0000-0000-000011320000}"/>
    <cellStyle name="40% - Accent1 2 3 2 2 2 2 2 2" xfId="5388" xr:uid="{00000000-0005-0000-0000-000012320000}"/>
    <cellStyle name="40% - Accent1 2 3 2 2 2 2 2 2 2" xfId="25583" xr:uid="{00000000-0005-0000-0000-000013320000}"/>
    <cellStyle name="40% - Accent1 2 3 2 2 2 2 2 2 2 2" xfId="10717" xr:uid="{00000000-0005-0000-0000-000014320000}"/>
    <cellStyle name="40% - Accent1 2 3 2 2 2 2 2 2 3" xfId="33485" xr:uid="{00000000-0005-0000-0000-000015320000}"/>
    <cellStyle name="40% - Accent1 2 3 2 2 2 2 2 3" xfId="14772" xr:uid="{00000000-0005-0000-0000-000016320000}"/>
    <cellStyle name="40% - Accent1 2 3 2 2 2 2 2 3 2" xfId="6908" xr:uid="{00000000-0005-0000-0000-000017320000}"/>
    <cellStyle name="40% - Accent1 2 3 2 2 2 2 2 4" xfId="14773" xr:uid="{00000000-0005-0000-0000-000018320000}"/>
    <cellStyle name="40% - Accent1 2 3 2 2 2 2 3" xfId="14775" xr:uid="{00000000-0005-0000-0000-000019320000}"/>
    <cellStyle name="40% - Accent1 2 3 2 2 2 2 3 2" xfId="14776" xr:uid="{00000000-0005-0000-0000-00001A320000}"/>
    <cellStyle name="40% - Accent1 2 3 2 2 2 2 3 2 2" xfId="14777" xr:uid="{00000000-0005-0000-0000-00001B320000}"/>
    <cellStyle name="40% - Accent1 2 3 2 2 2 2 3 3" xfId="14781" xr:uid="{00000000-0005-0000-0000-00001C320000}"/>
    <cellStyle name="40% - Accent1 2 3 2 2 2 2 4" xfId="14782" xr:uid="{00000000-0005-0000-0000-00001D320000}"/>
    <cellStyle name="40% - Accent1 2 3 2 2 2 2 4 2" xfId="33131" xr:uid="{00000000-0005-0000-0000-00001E320000}"/>
    <cellStyle name="40% - Accent1 2 3 2 2 2 2 5" xfId="14786" xr:uid="{00000000-0005-0000-0000-00001F320000}"/>
    <cellStyle name="40% - Accent1 2 3 2 2 2 3" xfId="14789" xr:uid="{00000000-0005-0000-0000-000020320000}"/>
    <cellStyle name="40% - Accent1 2 3 2 2 2 3 2" xfId="14790" xr:uid="{00000000-0005-0000-0000-000021320000}"/>
    <cellStyle name="40% - Accent1 2 3 2 2 2 3 2 2" xfId="14791" xr:uid="{00000000-0005-0000-0000-000022320000}"/>
    <cellStyle name="40% - Accent1 2 3 2 2 2 3 2 2 2" xfId="26610" xr:uid="{00000000-0005-0000-0000-000023320000}"/>
    <cellStyle name="40% - Accent1 2 3 2 2 2 3 2 3" xfId="14792" xr:uid="{00000000-0005-0000-0000-000024320000}"/>
    <cellStyle name="40% - Accent1 2 3 2 2 2 3 3" xfId="14793" xr:uid="{00000000-0005-0000-0000-000025320000}"/>
    <cellStyle name="40% - Accent1 2 3 2 2 2 3 3 2" xfId="14794" xr:uid="{00000000-0005-0000-0000-000026320000}"/>
    <cellStyle name="40% - Accent1 2 3 2 2 2 3 4" xfId="32494" xr:uid="{00000000-0005-0000-0000-000027320000}"/>
    <cellStyle name="40% - Accent1 2 3 2 2 2 4" xfId="12213" xr:uid="{00000000-0005-0000-0000-000028320000}"/>
    <cellStyle name="40% - Accent1 2 3 2 2 2 4 2" xfId="18117" xr:uid="{00000000-0005-0000-0000-000029320000}"/>
    <cellStyle name="40% - Accent1 2 3 2 2 2 4 2 2" xfId="14795" xr:uid="{00000000-0005-0000-0000-00002A320000}"/>
    <cellStyle name="40% - Accent1 2 3 2 2 2 4 3" xfId="10165" xr:uid="{00000000-0005-0000-0000-00002B320000}"/>
    <cellStyle name="40% - Accent1 2 3 2 2 2 5" xfId="16254" xr:uid="{00000000-0005-0000-0000-00002C320000}"/>
    <cellStyle name="40% - Accent1 2 3 2 2 2 5 2" xfId="28156" xr:uid="{00000000-0005-0000-0000-00002D320000}"/>
    <cellStyle name="40% - Accent1 2 3 2 2 2 6" xfId="12184" xr:uid="{00000000-0005-0000-0000-00002E320000}"/>
    <cellStyle name="40% - Accent1 2 3 2 2 3" xfId="14798" xr:uid="{00000000-0005-0000-0000-00002F320000}"/>
    <cellStyle name="40% - Accent1 2 3 2 2 3 2" xfId="14801" xr:uid="{00000000-0005-0000-0000-000030320000}"/>
    <cellStyle name="40% - Accent1 2 3 2 2 3 2 2" xfId="14803" xr:uid="{00000000-0005-0000-0000-000031320000}"/>
    <cellStyle name="40% - Accent1 2 3 2 2 3 2 2 2" xfId="14804" xr:uid="{00000000-0005-0000-0000-000032320000}"/>
    <cellStyle name="40% - Accent1 2 3 2 2 3 2 2 2 2" xfId="14805" xr:uid="{00000000-0005-0000-0000-000033320000}"/>
    <cellStyle name="40% - Accent1 2 3 2 2 3 2 2 3" xfId="14808" xr:uid="{00000000-0005-0000-0000-000034320000}"/>
    <cellStyle name="40% - Accent1 2 3 2 2 3 2 3" xfId="14809" xr:uid="{00000000-0005-0000-0000-000035320000}"/>
    <cellStyle name="40% - Accent1 2 3 2 2 3 2 3 2" xfId="14810" xr:uid="{00000000-0005-0000-0000-000036320000}"/>
    <cellStyle name="40% - Accent1 2 3 2 2 3 2 4" xfId="14812" xr:uid="{00000000-0005-0000-0000-000037320000}"/>
    <cellStyle name="40% - Accent1 2 3 2 2 3 3" xfId="14815" xr:uid="{00000000-0005-0000-0000-000038320000}"/>
    <cellStyle name="40% - Accent1 2 3 2 2 3 3 2" xfId="14817" xr:uid="{00000000-0005-0000-0000-000039320000}"/>
    <cellStyle name="40% - Accent1 2 3 2 2 3 3 2 2" xfId="14818" xr:uid="{00000000-0005-0000-0000-00003A320000}"/>
    <cellStyle name="40% - Accent1 2 3 2 2 3 3 3" xfId="14819" xr:uid="{00000000-0005-0000-0000-00003B320000}"/>
    <cellStyle name="40% - Accent1 2 3 2 2 3 4" xfId="13783" xr:uid="{00000000-0005-0000-0000-00003C320000}"/>
    <cellStyle name="40% - Accent1 2 3 2 2 3 4 2" xfId="24643" xr:uid="{00000000-0005-0000-0000-00003D320000}"/>
    <cellStyle name="40% - Accent1 2 3 2 2 3 5" xfId="16262" xr:uid="{00000000-0005-0000-0000-00003E320000}"/>
    <cellStyle name="40% - Accent1 2 3 2 2 4" xfId="14821" xr:uid="{00000000-0005-0000-0000-00003F320000}"/>
    <cellStyle name="40% - Accent1 2 3 2 2 4 2" xfId="15007" xr:uid="{00000000-0005-0000-0000-000040320000}"/>
    <cellStyle name="40% - Accent1 2 3 2 2 4 2 2" xfId="14828" xr:uid="{00000000-0005-0000-0000-000041320000}"/>
    <cellStyle name="40% - Accent1 2 3 2 2 4 2 2 2" xfId="14831" xr:uid="{00000000-0005-0000-0000-000042320000}"/>
    <cellStyle name="40% - Accent1 2 3 2 2 4 2 3" xfId="10136" xr:uid="{00000000-0005-0000-0000-000043320000}"/>
    <cellStyle name="40% - Accent1 2 3 2 2 4 3" xfId="32187" xr:uid="{00000000-0005-0000-0000-000044320000}"/>
    <cellStyle name="40% - Accent1 2 3 2 2 4 3 2" xfId="14840" xr:uid="{00000000-0005-0000-0000-000045320000}"/>
    <cellStyle name="40% - Accent1 2 3 2 2 4 4" xfId="14574" xr:uid="{00000000-0005-0000-0000-000046320000}"/>
    <cellStyle name="40% - Accent1 2 3 2 2 5" xfId="14844" xr:uid="{00000000-0005-0000-0000-000047320000}"/>
    <cellStyle name="40% - Accent1 2 3 2 2 5 2" xfId="15018" xr:uid="{00000000-0005-0000-0000-000048320000}"/>
    <cellStyle name="40% - Accent1 2 3 2 2 5 2 2" xfId="14847" xr:uid="{00000000-0005-0000-0000-000049320000}"/>
    <cellStyle name="40% - Accent1 2 3 2 2 5 3" xfId="14848" xr:uid="{00000000-0005-0000-0000-00004A320000}"/>
    <cellStyle name="40% - Accent1 2 3 2 2 6" xfId="31278" xr:uid="{00000000-0005-0000-0000-00004B320000}"/>
    <cellStyle name="40% - Accent1 2 3 2 2 6 2" xfId="31584" xr:uid="{00000000-0005-0000-0000-00004C320000}"/>
    <cellStyle name="40% - Accent1 2 3 2 2 7" xfId="14859" xr:uid="{00000000-0005-0000-0000-00004D320000}"/>
    <cellStyle name="40% - Accent1 2 3 2 3" xfId="14860" xr:uid="{00000000-0005-0000-0000-00004E320000}"/>
    <cellStyle name="40% - Accent1 2 3 2 3 2" xfId="14862" xr:uid="{00000000-0005-0000-0000-00004F320000}"/>
    <cellStyle name="40% - Accent1 2 3 2 3 2 2" xfId="14863" xr:uid="{00000000-0005-0000-0000-000050320000}"/>
    <cellStyle name="40% - Accent1 2 3 2 3 2 2 2" xfId="14865" xr:uid="{00000000-0005-0000-0000-000051320000}"/>
    <cellStyle name="40% - Accent1 2 3 2 3 2 2 2 2" xfId="6545" xr:uid="{00000000-0005-0000-0000-000052320000}"/>
    <cellStyle name="40% - Accent1 2 3 2 3 2 2 2 2 2" xfId="10465" xr:uid="{00000000-0005-0000-0000-000053320000}"/>
    <cellStyle name="40% - Accent1 2 3 2 3 2 2 2 3" xfId="21752" xr:uid="{00000000-0005-0000-0000-000054320000}"/>
    <cellStyle name="40% - Accent1 2 3 2 3 2 2 3" xfId="14868" xr:uid="{00000000-0005-0000-0000-000055320000}"/>
    <cellStyle name="40% - Accent1 2 3 2 3 2 2 3 2" xfId="2816" xr:uid="{00000000-0005-0000-0000-000056320000}"/>
    <cellStyle name="40% - Accent1 2 3 2 3 2 2 4" xfId="14877" xr:uid="{00000000-0005-0000-0000-000057320000}"/>
    <cellStyle name="40% - Accent1 2 3 2 3 2 3" xfId="12598" xr:uid="{00000000-0005-0000-0000-000058320000}"/>
    <cellStyle name="40% - Accent1 2 3 2 3 2 3 2" xfId="29221" xr:uid="{00000000-0005-0000-0000-000059320000}"/>
    <cellStyle name="40% - Accent1 2 3 2 3 2 3 2 2" xfId="3294" xr:uid="{00000000-0005-0000-0000-00005A320000}"/>
    <cellStyle name="40% - Accent1 2 3 2 3 2 3 3" xfId="14880" xr:uid="{00000000-0005-0000-0000-00005B320000}"/>
    <cellStyle name="40% - Accent1 2 3 2 3 2 4" xfId="18487" xr:uid="{00000000-0005-0000-0000-00005C320000}"/>
    <cellStyle name="40% - Accent1 2 3 2 3 2 4 2" xfId="26972" xr:uid="{00000000-0005-0000-0000-00005D320000}"/>
    <cellStyle name="40% - Accent1 2 3 2 3 2 5" xfId="16289" xr:uid="{00000000-0005-0000-0000-00005E320000}"/>
    <cellStyle name="40% - Accent1 2 3 2 3 3" xfId="9581" xr:uid="{00000000-0005-0000-0000-00005F320000}"/>
    <cellStyle name="40% - Accent1 2 3 2 3 3 2" xfId="9955" xr:uid="{00000000-0005-0000-0000-000060320000}"/>
    <cellStyle name="40% - Accent1 2 3 2 3 3 2 2" xfId="8568" xr:uid="{00000000-0005-0000-0000-000061320000}"/>
    <cellStyle name="40% - Accent1 2 3 2 3 3 2 2 2" xfId="3976" xr:uid="{00000000-0005-0000-0000-000062320000}"/>
    <cellStyle name="40% - Accent1 2 3 2 3 3 2 3" xfId="11746" xr:uid="{00000000-0005-0000-0000-000063320000}"/>
    <cellStyle name="40% - Accent1 2 3 2 3 3 3" xfId="3743" xr:uid="{00000000-0005-0000-0000-000064320000}"/>
    <cellStyle name="40% - Accent1 2 3 2 3 3 3 2" xfId="19015" xr:uid="{00000000-0005-0000-0000-000065320000}"/>
    <cellStyle name="40% - Accent1 2 3 2 3 3 4" xfId="12190" xr:uid="{00000000-0005-0000-0000-000066320000}"/>
    <cellStyle name="40% - Accent1 2 3 2 3 4" xfId="14883" xr:uid="{00000000-0005-0000-0000-000067320000}"/>
    <cellStyle name="40% - Accent1 2 3 2 3 4 2" xfId="15026" xr:uid="{00000000-0005-0000-0000-000068320000}"/>
    <cellStyle name="40% - Accent1 2 3 2 3 4 2 2" xfId="9001" xr:uid="{00000000-0005-0000-0000-000069320000}"/>
    <cellStyle name="40% - Accent1 2 3 2 3 4 3" xfId="14887" xr:uid="{00000000-0005-0000-0000-00006A320000}"/>
    <cellStyle name="40% - Accent1 2 3 2 3 5" xfId="1531" xr:uid="{00000000-0005-0000-0000-00006B320000}"/>
    <cellStyle name="40% - Accent1 2 3 2 3 5 2" xfId="14895" xr:uid="{00000000-0005-0000-0000-00006C320000}"/>
    <cellStyle name="40% - Accent1 2 3 2 3 6" xfId="14898" xr:uid="{00000000-0005-0000-0000-00006D320000}"/>
    <cellStyle name="40% - Accent1 2 3 2 4" xfId="14899" xr:uid="{00000000-0005-0000-0000-00006E320000}"/>
    <cellStyle name="40% - Accent1 2 3 2 4 2" xfId="14900" xr:uid="{00000000-0005-0000-0000-00006F320000}"/>
    <cellStyle name="40% - Accent1 2 3 2 4 2 2" xfId="1755" xr:uid="{00000000-0005-0000-0000-000070320000}"/>
    <cellStyle name="40% - Accent1 2 3 2 4 2 2 2" xfId="17261" xr:uid="{00000000-0005-0000-0000-000071320000}"/>
    <cellStyle name="40% - Accent1 2 3 2 4 2 2 2 2" xfId="8969" xr:uid="{00000000-0005-0000-0000-000072320000}"/>
    <cellStyle name="40% - Accent1 2 3 2 4 2 2 3" xfId="14902" xr:uid="{00000000-0005-0000-0000-000073320000}"/>
    <cellStyle name="40% - Accent1 2 3 2 4 2 3" xfId="3999" xr:uid="{00000000-0005-0000-0000-000074320000}"/>
    <cellStyle name="40% - Accent1 2 3 2 4 2 3 2" xfId="17281" xr:uid="{00000000-0005-0000-0000-000075320000}"/>
    <cellStyle name="40% - Accent1 2 3 2 4 2 4" xfId="7030" xr:uid="{00000000-0005-0000-0000-000076320000}"/>
    <cellStyle name="40% - Accent1 2 3 2 4 3" xfId="14906" xr:uid="{00000000-0005-0000-0000-000077320000}"/>
    <cellStyle name="40% - Accent1 2 3 2 4 3 2" xfId="292" xr:uid="{00000000-0005-0000-0000-000078320000}"/>
    <cellStyle name="40% - Accent1 2 3 2 4 3 2 2" xfId="14839" xr:uid="{00000000-0005-0000-0000-000079320000}"/>
    <cellStyle name="40% - Accent1 2 3 2 4 3 3" xfId="1795" xr:uid="{00000000-0005-0000-0000-00007A320000}"/>
    <cellStyle name="40% - Accent1 2 3 2 4 4" xfId="27349" xr:uid="{00000000-0005-0000-0000-00007B320000}"/>
    <cellStyle name="40% - Accent1 2 3 2 4 4 2" xfId="1814" xr:uid="{00000000-0005-0000-0000-00007C320000}"/>
    <cellStyle name="40% - Accent1 2 3 2 4 5" xfId="14908" xr:uid="{00000000-0005-0000-0000-00007D320000}"/>
    <cellStyle name="40% - Accent1 2 3 2 5" xfId="14909" xr:uid="{00000000-0005-0000-0000-00007E320000}"/>
    <cellStyle name="40% - Accent1 2 3 2 5 2" xfId="20612" xr:uid="{00000000-0005-0000-0000-00007F320000}"/>
    <cellStyle name="40% - Accent1 2 3 2 5 2 2" xfId="23906" xr:uid="{00000000-0005-0000-0000-000080320000}"/>
    <cellStyle name="40% - Accent1 2 3 2 5 2 2 2" xfId="17745" xr:uid="{00000000-0005-0000-0000-000081320000}"/>
    <cellStyle name="40% - Accent1 2 3 2 5 2 3" xfId="7476" xr:uid="{00000000-0005-0000-0000-000082320000}"/>
    <cellStyle name="40% - Accent1 2 3 2 5 3" xfId="22074" xr:uid="{00000000-0005-0000-0000-000083320000}"/>
    <cellStyle name="40% - Accent1 2 3 2 5 3 2" xfId="4900" xr:uid="{00000000-0005-0000-0000-000084320000}"/>
    <cellStyle name="40% - Accent1 2 3 2 5 4" xfId="14910" xr:uid="{00000000-0005-0000-0000-000085320000}"/>
    <cellStyle name="40% - Accent1 2 3 2 6" xfId="11689" xr:uid="{00000000-0005-0000-0000-000086320000}"/>
    <cellStyle name="40% - Accent1 2 3 2 6 2" xfId="14858" xr:uid="{00000000-0005-0000-0000-000087320000}"/>
    <cellStyle name="40% - Accent1 2 3 2 6 2 2" xfId="23928" xr:uid="{00000000-0005-0000-0000-000088320000}"/>
    <cellStyle name="40% - Accent1 2 3 2 6 3" xfId="4179" xr:uid="{00000000-0005-0000-0000-000089320000}"/>
    <cellStyle name="40% - Accent1 2 3 2 7" xfId="15126" xr:uid="{00000000-0005-0000-0000-00008A320000}"/>
    <cellStyle name="40% - Accent1 2 3 2 7 2" xfId="10266" xr:uid="{00000000-0005-0000-0000-00008B320000}"/>
    <cellStyle name="40% - Accent1 2 3 2 8" xfId="10270" xr:uid="{00000000-0005-0000-0000-00008C320000}"/>
    <cellStyle name="40% - Accent1 2 3 3" xfId="6936" xr:uid="{00000000-0005-0000-0000-00008D320000}"/>
    <cellStyle name="40% - Accent1 2 3 3 2" xfId="14911" xr:uid="{00000000-0005-0000-0000-00008E320000}"/>
    <cellStyle name="40% - Accent1 2 3 3 2 2" xfId="14912" xr:uid="{00000000-0005-0000-0000-00008F320000}"/>
    <cellStyle name="40% - Accent1 2 3 3 2 2 2" xfId="14913" xr:uid="{00000000-0005-0000-0000-000090320000}"/>
    <cellStyle name="40% - Accent1 2 3 3 2 2 2 2" xfId="23460" xr:uid="{00000000-0005-0000-0000-000091320000}"/>
    <cellStyle name="40% - Accent1 2 3 3 2 2 2 2 2" xfId="3873" xr:uid="{00000000-0005-0000-0000-000092320000}"/>
    <cellStyle name="40% - Accent1 2 3 3 2 2 2 2 2 2" xfId="9344" xr:uid="{00000000-0005-0000-0000-000093320000}"/>
    <cellStyle name="40% - Accent1 2 3 3 2 2 2 2 3" xfId="12638" xr:uid="{00000000-0005-0000-0000-000094320000}"/>
    <cellStyle name="40% - Accent1 2 3 3 2 2 2 3" xfId="14914" xr:uid="{00000000-0005-0000-0000-000095320000}"/>
    <cellStyle name="40% - Accent1 2 3 3 2 2 2 3 2" xfId="14917" xr:uid="{00000000-0005-0000-0000-000096320000}"/>
    <cellStyle name="40% - Accent1 2 3 3 2 2 2 4" xfId="14920" xr:uid="{00000000-0005-0000-0000-000097320000}"/>
    <cellStyle name="40% - Accent1 2 3 3 2 2 3" xfId="14922" xr:uid="{00000000-0005-0000-0000-000098320000}"/>
    <cellStyle name="40% - Accent1 2 3 3 2 2 3 2" xfId="17349" xr:uid="{00000000-0005-0000-0000-000099320000}"/>
    <cellStyle name="40% - Accent1 2 3 3 2 2 3 2 2" xfId="14925" xr:uid="{00000000-0005-0000-0000-00009A320000}"/>
    <cellStyle name="40% - Accent1 2 3 3 2 2 3 3" xfId="14927" xr:uid="{00000000-0005-0000-0000-00009B320000}"/>
    <cellStyle name="40% - Accent1 2 3 3 2 2 4" xfId="9614" xr:uid="{00000000-0005-0000-0000-00009C320000}"/>
    <cellStyle name="40% - Accent1 2 3 3 2 2 4 2" xfId="20130" xr:uid="{00000000-0005-0000-0000-00009D320000}"/>
    <cellStyle name="40% - Accent1 2 3 3 2 2 5" xfId="10866" xr:uid="{00000000-0005-0000-0000-00009E320000}"/>
    <cellStyle name="40% - Accent1 2 3 3 2 3" xfId="14930" xr:uid="{00000000-0005-0000-0000-00009F320000}"/>
    <cellStyle name="40% - Accent1 2 3 3 2 3 2" xfId="14934" xr:uid="{00000000-0005-0000-0000-0000A0320000}"/>
    <cellStyle name="40% - Accent1 2 3 3 2 3 2 2" xfId="14938" xr:uid="{00000000-0005-0000-0000-0000A1320000}"/>
    <cellStyle name="40% - Accent1 2 3 3 2 3 2 2 2" xfId="14940" xr:uid="{00000000-0005-0000-0000-0000A2320000}"/>
    <cellStyle name="40% - Accent1 2 3 3 2 3 2 3" xfId="14942" xr:uid="{00000000-0005-0000-0000-0000A3320000}"/>
    <cellStyle name="40% - Accent1 2 3 3 2 3 3" xfId="14943" xr:uid="{00000000-0005-0000-0000-0000A4320000}"/>
    <cellStyle name="40% - Accent1 2 3 3 2 3 3 2" xfId="14946" xr:uid="{00000000-0005-0000-0000-0000A5320000}"/>
    <cellStyle name="40% - Accent1 2 3 3 2 3 4" xfId="3548" xr:uid="{00000000-0005-0000-0000-0000A6320000}"/>
    <cellStyle name="40% - Accent1 2 3 3 2 4" xfId="14947" xr:uid="{00000000-0005-0000-0000-0000A7320000}"/>
    <cellStyle name="40% - Accent1 2 3 3 2 4 2" xfId="22888" xr:uid="{00000000-0005-0000-0000-0000A8320000}"/>
    <cellStyle name="40% - Accent1 2 3 3 2 4 2 2" xfId="14959" xr:uid="{00000000-0005-0000-0000-0000A9320000}"/>
    <cellStyle name="40% - Accent1 2 3 3 2 4 3" xfId="22900" xr:uid="{00000000-0005-0000-0000-0000AA320000}"/>
    <cellStyle name="40% - Accent1 2 3 3 2 5" xfId="15429" xr:uid="{00000000-0005-0000-0000-0000AB320000}"/>
    <cellStyle name="40% - Accent1 2 3 3 2 5 2" xfId="21680" xr:uid="{00000000-0005-0000-0000-0000AC320000}"/>
    <cellStyle name="40% - Accent1 2 3 3 2 6" xfId="14962" xr:uid="{00000000-0005-0000-0000-0000AD320000}"/>
    <cellStyle name="40% - Accent1 2 3 3 3" xfId="14963" xr:uid="{00000000-0005-0000-0000-0000AE320000}"/>
    <cellStyle name="40% - Accent1 2 3 3 3 2" xfId="262" xr:uid="{00000000-0005-0000-0000-0000AF320000}"/>
    <cellStyle name="40% - Accent1 2 3 3 3 2 2" xfId="7943" xr:uid="{00000000-0005-0000-0000-0000B0320000}"/>
    <cellStyle name="40% - Accent1 2 3 3 3 2 2 2" xfId="15307" xr:uid="{00000000-0005-0000-0000-0000B1320000}"/>
    <cellStyle name="40% - Accent1 2 3 3 3 2 2 2 2" xfId="14964" xr:uid="{00000000-0005-0000-0000-0000B2320000}"/>
    <cellStyle name="40% - Accent1 2 3 3 3 2 2 3" xfId="14975" xr:uid="{00000000-0005-0000-0000-0000B3320000}"/>
    <cellStyle name="40% - Accent1 2 3 3 3 2 3" xfId="3276" xr:uid="{00000000-0005-0000-0000-0000B4320000}"/>
    <cellStyle name="40% - Accent1 2 3 3 3 2 3 2" xfId="15335" xr:uid="{00000000-0005-0000-0000-0000B5320000}"/>
    <cellStyle name="40% - Accent1 2 3 3 3 2 4" xfId="1494" xr:uid="{00000000-0005-0000-0000-0000B6320000}"/>
    <cellStyle name="40% - Accent1 2 3 3 3 3" xfId="10634" xr:uid="{00000000-0005-0000-0000-0000B7320000}"/>
    <cellStyle name="40% - Accent1 2 3 3 3 3 2" xfId="14976" xr:uid="{00000000-0005-0000-0000-0000B8320000}"/>
    <cellStyle name="40% - Accent1 2 3 3 3 3 2 2" xfId="15960" xr:uid="{00000000-0005-0000-0000-0000B9320000}"/>
    <cellStyle name="40% - Accent1 2 3 3 3 3 3" xfId="14980" xr:uid="{00000000-0005-0000-0000-0000BA320000}"/>
    <cellStyle name="40% - Accent1 2 3 3 3 4" xfId="14981" xr:uid="{00000000-0005-0000-0000-0000BB320000}"/>
    <cellStyle name="40% - Accent1 2 3 3 3 4 2" xfId="23050" xr:uid="{00000000-0005-0000-0000-0000BC320000}"/>
    <cellStyle name="40% - Accent1 2 3 3 3 5" xfId="14988" xr:uid="{00000000-0005-0000-0000-0000BD320000}"/>
    <cellStyle name="40% - Accent1 2 3 3 4" xfId="8815" xr:uid="{00000000-0005-0000-0000-0000BE320000}"/>
    <cellStyle name="40% - Accent1 2 3 3 4 2" xfId="10640" xr:uid="{00000000-0005-0000-0000-0000BF320000}"/>
    <cellStyle name="40% - Accent1 2 3 3 4 2 2" xfId="2033" xr:uid="{00000000-0005-0000-0000-0000C0320000}"/>
    <cellStyle name="40% - Accent1 2 3 3 4 2 2 2" xfId="27209" xr:uid="{00000000-0005-0000-0000-0000C1320000}"/>
    <cellStyle name="40% - Accent1 2 3 3 4 2 3" xfId="6002" xr:uid="{00000000-0005-0000-0000-0000C2320000}"/>
    <cellStyle name="40% - Accent1 2 3 3 4 3" xfId="1697" xr:uid="{00000000-0005-0000-0000-0000C3320000}"/>
    <cellStyle name="40% - Accent1 2 3 3 4 3 2" xfId="30456" xr:uid="{00000000-0005-0000-0000-0000C4320000}"/>
    <cellStyle name="40% - Accent1 2 3 3 4 4" xfId="17358" xr:uid="{00000000-0005-0000-0000-0000C5320000}"/>
    <cellStyle name="40% - Accent1 2 3 3 5" xfId="22693" xr:uid="{00000000-0005-0000-0000-0000C6320000}"/>
    <cellStyle name="40% - Accent1 2 3 3 5 2" xfId="20661" xr:uid="{00000000-0005-0000-0000-0000C7320000}"/>
    <cellStyle name="40% - Accent1 2 3 3 5 2 2" xfId="5060" xr:uid="{00000000-0005-0000-0000-0000C8320000}"/>
    <cellStyle name="40% - Accent1 2 3 3 5 3" xfId="14990" xr:uid="{00000000-0005-0000-0000-0000C9320000}"/>
    <cellStyle name="40% - Accent1 2 3 3 6" xfId="14244" xr:uid="{00000000-0005-0000-0000-0000CA320000}"/>
    <cellStyle name="40% - Accent1 2 3 3 6 2" xfId="12382" xr:uid="{00000000-0005-0000-0000-0000CB320000}"/>
    <cellStyle name="40% - Accent1 2 3 3 7" xfId="11224" xr:uid="{00000000-0005-0000-0000-0000CC320000}"/>
    <cellStyle name="40% - Accent1 2 3 4" xfId="14991" xr:uid="{00000000-0005-0000-0000-0000CD320000}"/>
    <cellStyle name="40% - Accent1 2 3 4 2" xfId="14993" xr:uid="{00000000-0005-0000-0000-0000CE320000}"/>
    <cellStyle name="40% - Accent1 2 3 4 2 2" xfId="2885" xr:uid="{00000000-0005-0000-0000-0000CF320000}"/>
    <cellStyle name="40% - Accent1 2 3 4 2 2 2" xfId="17339" xr:uid="{00000000-0005-0000-0000-0000D0320000}"/>
    <cellStyle name="40% - Accent1 2 3 4 2 2 2 2" xfId="14995" xr:uid="{00000000-0005-0000-0000-0000D1320000}"/>
    <cellStyle name="40% - Accent1 2 3 4 2 2 2 2 2" xfId="14999" xr:uid="{00000000-0005-0000-0000-0000D2320000}"/>
    <cellStyle name="40% - Accent1 2 3 4 2 2 2 3" xfId="15003" xr:uid="{00000000-0005-0000-0000-0000D3320000}"/>
    <cellStyle name="40% - Accent1 2 3 4 2 2 3" xfId="15006" xr:uid="{00000000-0005-0000-0000-0000D4320000}"/>
    <cellStyle name="40% - Accent1 2 3 4 2 2 3 2" xfId="15011" xr:uid="{00000000-0005-0000-0000-0000D5320000}"/>
    <cellStyle name="40% - Accent1 2 3 4 2 2 4" xfId="14836" xr:uid="{00000000-0005-0000-0000-0000D6320000}"/>
    <cellStyle name="40% - Accent1 2 3 4 2 3" xfId="5195" xr:uid="{00000000-0005-0000-0000-0000D7320000}"/>
    <cellStyle name="40% - Accent1 2 3 4 2 3 2" xfId="17382" xr:uid="{00000000-0005-0000-0000-0000D8320000}"/>
    <cellStyle name="40% - Accent1 2 3 4 2 3 2 2" xfId="15015" xr:uid="{00000000-0005-0000-0000-0000D9320000}"/>
    <cellStyle name="40% - Accent1 2 3 4 2 3 3" xfId="15017" xr:uid="{00000000-0005-0000-0000-0000DA320000}"/>
    <cellStyle name="40% - Accent1 2 3 4 2 4" xfId="873" xr:uid="{00000000-0005-0000-0000-0000DB320000}"/>
    <cellStyle name="40% - Accent1 2 3 4 2 4 2" xfId="22316" xr:uid="{00000000-0005-0000-0000-0000DC320000}"/>
    <cellStyle name="40% - Accent1 2 3 4 2 5" xfId="15021" xr:uid="{00000000-0005-0000-0000-0000DD320000}"/>
    <cellStyle name="40% - Accent1 2 3 4 3" xfId="12363" xr:uid="{00000000-0005-0000-0000-0000DE320000}"/>
    <cellStyle name="40% - Accent1 2 3 4 3 2" xfId="27976" xr:uid="{00000000-0005-0000-0000-0000DF320000}"/>
    <cellStyle name="40% - Accent1 2 3 4 3 2 2" xfId="15024" xr:uid="{00000000-0005-0000-0000-0000E0320000}"/>
    <cellStyle name="40% - Accent1 2 3 4 3 2 2 2" xfId="19384" xr:uid="{00000000-0005-0000-0000-0000E1320000}"/>
    <cellStyle name="40% - Accent1 2 3 4 3 2 3" xfId="15030" xr:uid="{00000000-0005-0000-0000-0000E2320000}"/>
    <cellStyle name="40% - Accent1 2 3 4 3 3" xfId="645" xr:uid="{00000000-0005-0000-0000-0000E3320000}"/>
    <cellStyle name="40% - Accent1 2 3 4 3 3 2" xfId="17436" xr:uid="{00000000-0005-0000-0000-0000E4320000}"/>
    <cellStyle name="40% - Accent1 2 3 4 3 4" xfId="15035" xr:uid="{00000000-0005-0000-0000-0000E5320000}"/>
    <cellStyle name="40% - Accent1 2 3 4 4" xfId="33746" xr:uid="{00000000-0005-0000-0000-0000E6320000}"/>
    <cellStyle name="40% - Accent1 2 3 4 4 2" xfId="7507" xr:uid="{00000000-0005-0000-0000-0000E7320000}"/>
    <cellStyle name="40% - Accent1 2 3 4 4 2 2" xfId="2070" xr:uid="{00000000-0005-0000-0000-0000E8320000}"/>
    <cellStyle name="40% - Accent1 2 3 4 4 3" xfId="7509" xr:uid="{00000000-0005-0000-0000-0000E9320000}"/>
    <cellStyle name="40% - Accent1 2 3 4 5" xfId="29152" xr:uid="{00000000-0005-0000-0000-0000EA320000}"/>
    <cellStyle name="40% - Accent1 2 3 4 5 2" xfId="7514" xr:uid="{00000000-0005-0000-0000-0000EB320000}"/>
    <cellStyle name="40% - Accent1 2 3 4 6" xfId="10273" xr:uid="{00000000-0005-0000-0000-0000EC320000}"/>
    <cellStyle name="40% - Accent1 2 3 5" xfId="13016" xr:uid="{00000000-0005-0000-0000-0000ED320000}"/>
    <cellStyle name="40% - Accent1 2 3 5 2" xfId="20411" xr:uid="{00000000-0005-0000-0000-0000EE320000}"/>
    <cellStyle name="40% - Accent1 2 3 5 2 2" xfId="11100" xr:uid="{00000000-0005-0000-0000-0000EF320000}"/>
    <cellStyle name="40% - Accent1 2 3 5 2 2 2" xfId="17821" xr:uid="{00000000-0005-0000-0000-0000F0320000}"/>
    <cellStyle name="40% - Accent1 2 3 5 2 2 2 2" xfId="11788" xr:uid="{00000000-0005-0000-0000-0000F1320000}"/>
    <cellStyle name="40% - Accent1 2 3 5 2 2 3" xfId="14954" xr:uid="{00000000-0005-0000-0000-0000F2320000}"/>
    <cellStyle name="40% - Accent1 2 3 5 2 3" xfId="12861" xr:uid="{00000000-0005-0000-0000-0000F3320000}"/>
    <cellStyle name="40% - Accent1 2 3 5 2 3 2" xfId="17836" xr:uid="{00000000-0005-0000-0000-0000F4320000}"/>
    <cellStyle name="40% - Accent1 2 3 5 2 4" xfId="15038" xr:uid="{00000000-0005-0000-0000-0000F5320000}"/>
    <cellStyle name="40% - Accent1 2 3 5 3" xfId="12376" xr:uid="{00000000-0005-0000-0000-0000F6320000}"/>
    <cellStyle name="40% - Accent1 2 3 5 3 2" xfId="7995" xr:uid="{00000000-0005-0000-0000-0000F7320000}"/>
    <cellStyle name="40% - Accent1 2 3 5 3 2 2" xfId="17861" xr:uid="{00000000-0005-0000-0000-0000F8320000}"/>
    <cellStyle name="40% - Accent1 2 3 5 3 3" xfId="15040" xr:uid="{00000000-0005-0000-0000-0000F9320000}"/>
    <cellStyle name="40% - Accent1 2 3 5 4" xfId="21674" xr:uid="{00000000-0005-0000-0000-0000FA320000}"/>
    <cellStyle name="40% - Accent1 2 3 5 4 2" xfId="9192" xr:uid="{00000000-0005-0000-0000-0000FB320000}"/>
    <cellStyle name="40% - Accent1 2 3 5 5" xfId="29191" xr:uid="{00000000-0005-0000-0000-0000FC320000}"/>
    <cellStyle name="40% - Accent1 2 3 6" xfId="13020" xr:uid="{00000000-0005-0000-0000-0000FD320000}"/>
    <cellStyle name="40% - Accent1 2 3 6 2" xfId="26269" xr:uid="{00000000-0005-0000-0000-0000FE320000}"/>
    <cellStyle name="40% - Accent1 2 3 6 2 2" xfId="10306" xr:uid="{00000000-0005-0000-0000-0000FF320000}"/>
    <cellStyle name="40% - Accent1 2 3 6 2 2 2" xfId="18206" xr:uid="{00000000-0005-0000-0000-000000330000}"/>
    <cellStyle name="40% - Accent1 2 3 6 2 3" xfId="15044" xr:uid="{00000000-0005-0000-0000-000001330000}"/>
    <cellStyle name="40% - Accent1 2 3 6 3" xfId="30531" xr:uid="{00000000-0005-0000-0000-000002330000}"/>
    <cellStyle name="40% - Accent1 2 3 6 3 2" xfId="15046" xr:uid="{00000000-0005-0000-0000-000003330000}"/>
    <cellStyle name="40% - Accent1 2 3 6 4" xfId="24027" xr:uid="{00000000-0005-0000-0000-000004330000}"/>
    <cellStyle name="40% - Accent1 2 3 7" xfId="13336" xr:uid="{00000000-0005-0000-0000-000005330000}"/>
    <cellStyle name="40% - Accent1 2 3 7 2" xfId="4427" xr:uid="{00000000-0005-0000-0000-000006330000}"/>
    <cellStyle name="40% - Accent1 2 3 7 2 2" xfId="13346" xr:uid="{00000000-0005-0000-0000-000007330000}"/>
    <cellStyle name="40% - Accent1 2 3 7 3" xfId="2162" xr:uid="{00000000-0005-0000-0000-000008330000}"/>
    <cellStyle name="40% - Accent1 2 3 8" xfId="11504" xr:uid="{00000000-0005-0000-0000-000009330000}"/>
    <cellStyle name="40% - Accent1 2 3 8 2" xfId="9984" xr:uid="{00000000-0005-0000-0000-00000A330000}"/>
    <cellStyle name="40% - Accent1 2 3 9" xfId="17679" xr:uid="{00000000-0005-0000-0000-00000B330000}"/>
    <cellStyle name="40% - Accent1 2 4" xfId="13562" xr:uid="{00000000-0005-0000-0000-00000C330000}"/>
    <cellStyle name="40% - Accent1 2 4 2" xfId="28276" xr:uid="{00000000-0005-0000-0000-00000D330000}"/>
    <cellStyle name="40% - Accent1 2 4 2 2" xfId="15048" xr:uid="{00000000-0005-0000-0000-00000E330000}"/>
    <cellStyle name="40% - Accent1 2 4 2 2 2" xfId="13266" xr:uid="{00000000-0005-0000-0000-00000F330000}"/>
    <cellStyle name="40% - Accent1 2 4 2 2 2 2" xfId="8874" xr:uid="{00000000-0005-0000-0000-000010330000}"/>
    <cellStyle name="40% - Accent1 2 4 2 2 2 2 2" xfId="15049" xr:uid="{00000000-0005-0000-0000-000011330000}"/>
    <cellStyle name="40% - Accent1 2 4 2 2 2 2 2 2" xfId="31734" xr:uid="{00000000-0005-0000-0000-000012330000}"/>
    <cellStyle name="40% - Accent1 2 4 2 2 2 2 2 2 2" xfId="15859" xr:uid="{00000000-0005-0000-0000-000013330000}"/>
    <cellStyle name="40% - Accent1 2 4 2 2 2 2 2 3" xfId="30475" xr:uid="{00000000-0005-0000-0000-000014330000}"/>
    <cellStyle name="40% - Accent1 2 4 2 2 2 2 3" xfId="15050" xr:uid="{00000000-0005-0000-0000-000015330000}"/>
    <cellStyle name="40% - Accent1 2 4 2 2 2 2 3 2" xfId="30481" xr:uid="{00000000-0005-0000-0000-000016330000}"/>
    <cellStyle name="40% - Accent1 2 4 2 2 2 2 4" xfId="32197" xr:uid="{00000000-0005-0000-0000-000017330000}"/>
    <cellStyle name="40% - Accent1 2 4 2 2 2 3" xfId="15051" xr:uid="{00000000-0005-0000-0000-000018330000}"/>
    <cellStyle name="40% - Accent1 2 4 2 2 2 3 2" xfId="5996" xr:uid="{00000000-0005-0000-0000-000019330000}"/>
    <cellStyle name="40% - Accent1 2 4 2 2 2 3 2 2" xfId="5444" xr:uid="{00000000-0005-0000-0000-00001A330000}"/>
    <cellStyle name="40% - Accent1 2 4 2 2 2 3 3" xfId="31667" xr:uid="{00000000-0005-0000-0000-00001B330000}"/>
    <cellStyle name="40% - Accent1 2 4 2 2 2 4" xfId="14257" xr:uid="{00000000-0005-0000-0000-00001C330000}"/>
    <cellStyle name="40% - Accent1 2 4 2 2 2 4 2" xfId="19880" xr:uid="{00000000-0005-0000-0000-00001D330000}"/>
    <cellStyle name="40% - Accent1 2 4 2 2 2 5" xfId="18187" xr:uid="{00000000-0005-0000-0000-00001E330000}"/>
    <cellStyle name="40% - Accent1 2 4 2 2 3" xfId="15236" xr:uid="{00000000-0005-0000-0000-00001F330000}"/>
    <cellStyle name="40% - Accent1 2 4 2 2 3 2" xfId="15056" xr:uid="{00000000-0005-0000-0000-000020330000}"/>
    <cellStyle name="40% - Accent1 2 4 2 2 3 2 2" xfId="15059" xr:uid="{00000000-0005-0000-0000-000021330000}"/>
    <cellStyle name="40% - Accent1 2 4 2 2 3 2 2 2" xfId="15060" xr:uid="{00000000-0005-0000-0000-000022330000}"/>
    <cellStyle name="40% - Accent1 2 4 2 2 3 2 3" xfId="2978" xr:uid="{00000000-0005-0000-0000-000023330000}"/>
    <cellStyle name="40% - Accent1 2 4 2 2 3 3" xfId="15062" xr:uid="{00000000-0005-0000-0000-000024330000}"/>
    <cellStyle name="40% - Accent1 2 4 2 2 3 3 2" xfId="17096" xr:uid="{00000000-0005-0000-0000-000025330000}"/>
    <cellStyle name="40% - Accent1 2 4 2 2 3 4" xfId="13811" xr:uid="{00000000-0005-0000-0000-000026330000}"/>
    <cellStyle name="40% - Accent1 2 4 2 2 4" xfId="15069" xr:uid="{00000000-0005-0000-0000-000027330000}"/>
    <cellStyle name="40% - Accent1 2 4 2 2 4 2" xfId="15188" xr:uid="{00000000-0005-0000-0000-000028330000}"/>
    <cellStyle name="40% - Accent1 2 4 2 2 4 2 2" xfId="32293" xr:uid="{00000000-0005-0000-0000-000029330000}"/>
    <cellStyle name="40% - Accent1 2 4 2 2 4 3" xfId="32093" xr:uid="{00000000-0005-0000-0000-00002A330000}"/>
    <cellStyle name="40% - Accent1 2 4 2 2 5" xfId="15076" xr:uid="{00000000-0005-0000-0000-00002B330000}"/>
    <cellStyle name="40% - Accent1 2 4 2 2 5 2" xfId="15079" xr:uid="{00000000-0005-0000-0000-00002C330000}"/>
    <cellStyle name="40% - Accent1 2 4 2 2 6" xfId="13464" xr:uid="{00000000-0005-0000-0000-00002D330000}"/>
    <cellStyle name="40% - Accent1 2 4 2 3" xfId="15084" xr:uid="{00000000-0005-0000-0000-00002E330000}"/>
    <cellStyle name="40% - Accent1 2 4 2 3 2" xfId="30852" xr:uid="{00000000-0005-0000-0000-00002F330000}"/>
    <cellStyle name="40% - Accent1 2 4 2 3 2 2" xfId="15085" xr:uid="{00000000-0005-0000-0000-000030330000}"/>
    <cellStyle name="40% - Accent1 2 4 2 3 2 2 2" xfId="15088" xr:uid="{00000000-0005-0000-0000-000031330000}"/>
    <cellStyle name="40% - Accent1 2 4 2 3 2 2 2 2" xfId="15089" xr:uid="{00000000-0005-0000-0000-000032330000}"/>
    <cellStyle name="40% - Accent1 2 4 2 3 2 2 3" xfId="15093" xr:uid="{00000000-0005-0000-0000-000033330000}"/>
    <cellStyle name="40% - Accent1 2 4 2 3 2 3" xfId="3875" xr:uid="{00000000-0005-0000-0000-000034330000}"/>
    <cellStyle name="40% - Accent1 2 4 2 3 2 3 2" xfId="6165" xr:uid="{00000000-0005-0000-0000-000035330000}"/>
    <cellStyle name="40% - Accent1 2 4 2 3 2 4" xfId="13819" xr:uid="{00000000-0005-0000-0000-000036330000}"/>
    <cellStyle name="40% - Accent1 2 4 2 3 3" xfId="26308" xr:uid="{00000000-0005-0000-0000-000037330000}"/>
    <cellStyle name="40% - Accent1 2 4 2 3 3 2" xfId="15095" xr:uid="{00000000-0005-0000-0000-000038330000}"/>
    <cellStyle name="40% - Accent1 2 4 2 3 3 2 2" xfId="26397" xr:uid="{00000000-0005-0000-0000-000039330000}"/>
    <cellStyle name="40% - Accent1 2 4 2 3 3 3" xfId="15099" xr:uid="{00000000-0005-0000-0000-00003A330000}"/>
    <cellStyle name="40% - Accent1 2 4 2 3 4" xfId="15102" xr:uid="{00000000-0005-0000-0000-00003B330000}"/>
    <cellStyle name="40% - Accent1 2 4 2 3 4 2" xfId="15105" xr:uid="{00000000-0005-0000-0000-00003C330000}"/>
    <cellStyle name="40% - Accent1 2 4 2 3 5" xfId="903" xr:uid="{00000000-0005-0000-0000-00003D330000}"/>
    <cellStyle name="40% - Accent1 2 4 2 4" xfId="17051" xr:uid="{00000000-0005-0000-0000-00003E330000}"/>
    <cellStyle name="40% - Accent1 2 4 2 4 2" xfId="30860" xr:uid="{00000000-0005-0000-0000-00003F330000}"/>
    <cellStyle name="40% - Accent1 2 4 2 4 2 2" xfId="142" xr:uid="{00000000-0005-0000-0000-000040330000}"/>
    <cellStyle name="40% - Accent1 2 4 2 4 2 2 2" xfId="15108" xr:uid="{00000000-0005-0000-0000-000041330000}"/>
    <cellStyle name="40% - Accent1 2 4 2 4 2 3" xfId="6059" xr:uid="{00000000-0005-0000-0000-000042330000}"/>
    <cellStyle name="40% - Accent1 2 4 2 4 3" xfId="15110" xr:uid="{00000000-0005-0000-0000-000043330000}"/>
    <cellStyle name="40% - Accent1 2 4 2 4 3 2" xfId="2440" xr:uid="{00000000-0005-0000-0000-000044330000}"/>
    <cellStyle name="40% - Accent1 2 4 2 4 4" xfId="15113" xr:uid="{00000000-0005-0000-0000-000045330000}"/>
    <cellStyle name="40% - Accent1 2 4 2 5" xfId="15115" xr:uid="{00000000-0005-0000-0000-000046330000}"/>
    <cellStyle name="40% - Accent1 2 4 2 5 2" xfId="15118" xr:uid="{00000000-0005-0000-0000-000047330000}"/>
    <cellStyle name="40% - Accent1 2 4 2 5 2 2" xfId="4905" xr:uid="{00000000-0005-0000-0000-000048330000}"/>
    <cellStyle name="40% - Accent1 2 4 2 5 3" xfId="15128" xr:uid="{00000000-0005-0000-0000-000049330000}"/>
    <cellStyle name="40% - Accent1 2 4 2 6" xfId="5810" xr:uid="{00000000-0005-0000-0000-00004A330000}"/>
    <cellStyle name="40% - Accent1 2 4 2 6 2" xfId="10355" xr:uid="{00000000-0005-0000-0000-00004B330000}"/>
    <cellStyle name="40% - Accent1 2 4 2 7" xfId="11235" xr:uid="{00000000-0005-0000-0000-00004C330000}"/>
    <cellStyle name="40% - Accent1 2 4 3" xfId="15130" xr:uid="{00000000-0005-0000-0000-00004D330000}"/>
    <cellStyle name="40% - Accent1 2 4 3 2" xfId="15132" xr:uid="{00000000-0005-0000-0000-00004E330000}"/>
    <cellStyle name="40% - Accent1 2 4 3 2 2" xfId="15133" xr:uid="{00000000-0005-0000-0000-00004F330000}"/>
    <cellStyle name="40% - Accent1 2 4 3 2 2 2" xfId="32757" xr:uid="{00000000-0005-0000-0000-000050330000}"/>
    <cellStyle name="40% - Accent1 2 4 3 2 2 2 2" xfId="6727" xr:uid="{00000000-0005-0000-0000-000051330000}"/>
    <cellStyle name="40% - Accent1 2 4 3 2 2 2 2 2" xfId="33489" xr:uid="{00000000-0005-0000-0000-000052330000}"/>
    <cellStyle name="40% - Accent1 2 4 3 2 2 2 3" xfId="8253" xr:uid="{00000000-0005-0000-0000-000053330000}"/>
    <cellStyle name="40% - Accent1 2 4 3 2 2 3" xfId="15138" xr:uid="{00000000-0005-0000-0000-000054330000}"/>
    <cellStyle name="40% - Accent1 2 4 3 2 2 3 2" xfId="21585" xr:uid="{00000000-0005-0000-0000-000055330000}"/>
    <cellStyle name="40% - Accent1 2 4 3 2 2 4" xfId="4377" xr:uid="{00000000-0005-0000-0000-000056330000}"/>
    <cellStyle name="40% - Accent1 2 4 3 2 3" xfId="26343" xr:uid="{00000000-0005-0000-0000-000057330000}"/>
    <cellStyle name="40% - Accent1 2 4 3 2 3 2" xfId="15147" xr:uid="{00000000-0005-0000-0000-000058330000}"/>
    <cellStyle name="40% - Accent1 2 4 3 2 3 2 2" xfId="28624" xr:uid="{00000000-0005-0000-0000-000059330000}"/>
    <cellStyle name="40% - Accent1 2 4 3 2 3 3" xfId="15150" xr:uid="{00000000-0005-0000-0000-00005A330000}"/>
    <cellStyle name="40% - Accent1 2 4 3 2 4" xfId="15154" xr:uid="{00000000-0005-0000-0000-00005B330000}"/>
    <cellStyle name="40% - Accent1 2 4 3 2 4 2" xfId="22403" xr:uid="{00000000-0005-0000-0000-00005C330000}"/>
    <cellStyle name="40% - Accent1 2 4 3 2 5" xfId="15160" xr:uid="{00000000-0005-0000-0000-00005D330000}"/>
    <cellStyle name="40% - Accent1 2 4 3 3" xfId="15161" xr:uid="{00000000-0005-0000-0000-00005E330000}"/>
    <cellStyle name="40% - Accent1 2 4 3 3 2" xfId="33317" xr:uid="{00000000-0005-0000-0000-00005F330000}"/>
    <cellStyle name="40% - Accent1 2 4 3 3 2 2" xfId="15163" xr:uid="{00000000-0005-0000-0000-000060330000}"/>
    <cellStyle name="40% - Accent1 2 4 3 3 2 2 2" xfId="9990" xr:uid="{00000000-0005-0000-0000-000061330000}"/>
    <cellStyle name="40% - Accent1 2 4 3 3 2 3" xfId="29482" xr:uid="{00000000-0005-0000-0000-000062330000}"/>
    <cellStyle name="40% - Accent1 2 4 3 3 3" xfId="15167" xr:uid="{00000000-0005-0000-0000-000063330000}"/>
    <cellStyle name="40% - Accent1 2 4 3 3 3 2" xfId="15171" xr:uid="{00000000-0005-0000-0000-000064330000}"/>
    <cellStyle name="40% - Accent1 2 4 3 3 4" xfId="15177" xr:uid="{00000000-0005-0000-0000-000065330000}"/>
    <cellStyle name="40% - Accent1 2 4 3 4" xfId="17059" xr:uid="{00000000-0005-0000-0000-000066330000}"/>
    <cellStyle name="40% - Accent1 2 4 3 4 2" xfId="28" xr:uid="{00000000-0005-0000-0000-000067330000}"/>
    <cellStyle name="40% - Accent1 2 4 3 4 2 2" xfId="2666" xr:uid="{00000000-0005-0000-0000-000068330000}"/>
    <cellStyle name="40% - Accent1 2 4 3 4 3" xfId="15178" xr:uid="{00000000-0005-0000-0000-000069330000}"/>
    <cellStyle name="40% - Accent1 2 4 3 5" xfId="15181" xr:uid="{00000000-0005-0000-0000-00006A330000}"/>
    <cellStyle name="40% - Accent1 2 4 3 5 2" xfId="15183" xr:uid="{00000000-0005-0000-0000-00006B330000}"/>
    <cellStyle name="40% - Accent1 2 4 3 6" xfId="10359" xr:uid="{00000000-0005-0000-0000-00006C330000}"/>
    <cellStyle name="40% - Accent1 2 4 4" xfId="15185" xr:uid="{00000000-0005-0000-0000-00006D330000}"/>
    <cellStyle name="40% - Accent1 2 4 4 2" xfId="15186" xr:uid="{00000000-0005-0000-0000-00006E330000}"/>
    <cellStyle name="40% - Accent1 2 4 4 2 2" xfId="5241" xr:uid="{00000000-0005-0000-0000-00006F330000}"/>
    <cellStyle name="40% - Accent1 2 4 4 2 2 2" xfId="17845" xr:uid="{00000000-0005-0000-0000-000070330000}"/>
    <cellStyle name="40% - Accent1 2 4 4 2 2 2 2" xfId="12455" xr:uid="{00000000-0005-0000-0000-000071330000}"/>
    <cellStyle name="40% - Accent1 2 4 4 2 2 3" xfId="15192" xr:uid="{00000000-0005-0000-0000-000072330000}"/>
    <cellStyle name="40% - Accent1 2 4 4 2 3" xfId="5245" xr:uid="{00000000-0005-0000-0000-000073330000}"/>
    <cellStyle name="40% - Accent1 2 4 4 2 3 2" xfId="17881" xr:uid="{00000000-0005-0000-0000-000074330000}"/>
    <cellStyle name="40% - Accent1 2 4 4 2 4" xfId="673" xr:uid="{00000000-0005-0000-0000-000075330000}"/>
    <cellStyle name="40% - Accent1 2 4 4 3" xfId="28394" xr:uid="{00000000-0005-0000-0000-000076330000}"/>
    <cellStyle name="40% - Accent1 2 4 4 3 2" xfId="5253" xr:uid="{00000000-0005-0000-0000-000077330000}"/>
    <cellStyle name="40% - Accent1 2 4 4 3 2 2" xfId="18219" xr:uid="{00000000-0005-0000-0000-000078330000}"/>
    <cellStyle name="40% - Accent1 2 4 4 3 3" xfId="532" xr:uid="{00000000-0005-0000-0000-000079330000}"/>
    <cellStyle name="40% - Accent1 2 4 4 4" xfId="31095" xr:uid="{00000000-0005-0000-0000-00007A330000}"/>
    <cellStyle name="40% - Accent1 2 4 4 4 2" xfId="3787" xr:uid="{00000000-0005-0000-0000-00007B330000}"/>
    <cellStyle name="40% - Accent1 2 4 4 5" xfId="15886" xr:uid="{00000000-0005-0000-0000-00007C330000}"/>
    <cellStyle name="40% - Accent1 2 4 5" xfId="23692" xr:uid="{00000000-0005-0000-0000-00007D330000}"/>
    <cellStyle name="40% - Accent1 2 4 5 2" xfId="26467" xr:uid="{00000000-0005-0000-0000-00007E330000}"/>
    <cellStyle name="40% - Accent1 2 4 5 2 2" xfId="13460" xr:uid="{00000000-0005-0000-0000-00007F330000}"/>
    <cellStyle name="40% - Accent1 2 4 5 2 2 2" xfId="19746" xr:uid="{00000000-0005-0000-0000-000080330000}"/>
    <cellStyle name="40% - Accent1 2 4 5 2 3" xfId="15206" xr:uid="{00000000-0005-0000-0000-000081330000}"/>
    <cellStyle name="40% - Accent1 2 4 5 3" xfId="28610" xr:uid="{00000000-0005-0000-0000-000082330000}"/>
    <cellStyle name="40% - Accent1 2 4 5 3 2" xfId="15207" xr:uid="{00000000-0005-0000-0000-000083330000}"/>
    <cellStyle name="40% - Accent1 2 4 5 4" xfId="24100" xr:uid="{00000000-0005-0000-0000-000084330000}"/>
    <cellStyle name="40% - Accent1 2 4 6" xfId="6837" xr:uid="{00000000-0005-0000-0000-000085330000}"/>
    <cellStyle name="40% - Accent1 2 4 6 2" xfId="15372" xr:uid="{00000000-0005-0000-0000-000086330000}"/>
    <cellStyle name="40% - Accent1 2 4 6 2 2" xfId="13602" xr:uid="{00000000-0005-0000-0000-000087330000}"/>
    <cellStyle name="40% - Accent1 2 4 6 3" xfId="30539" xr:uid="{00000000-0005-0000-0000-000088330000}"/>
    <cellStyle name="40% - Accent1 2 4 7" xfId="13361" xr:uid="{00000000-0005-0000-0000-000089330000}"/>
    <cellStyle name="40% - Accent1 2 4 7 2" xfId="9994" xr:uid="{00000000-0005-0000-0000-00008A330000}"/>
    <cellStyle name="40% - Accent1 2 4 8" xfId="13370" xr:uid="{00000000-0005-0000-0000-00008B330000}"/>
    <cellStyle name="40% - Accent1 2 5" xfId="7001" xr:uid="{00000000-0005-0000-0000-00008C330000}"/>
    <cellStyle name="40% - Accent1 2 5 2" xfId="15208" xr:uid="{00000000-0005-0000-0000-00008D330000}"/>
    <cellStyle name="40% - Accent1 2 5 2 2" xfId="22348" xr:uid="{00000000-0005-0000-0000-00008E330000}"/>
    <cellStyle name="40% - Accent1 2 5 2 2 2" xfId="17591" xr:uid="{00000000-0005-0000-0000-00008F330000}"/>
    <cellStyle name="40% - Accent1 2 5 2 2 2 2" xfId="4773" xr:uid="{00000000-0005-0000-0000-000090330000}"/>
    <cellStyle name="40% - Accent1 2 5 2 2 2 2 2" xfId="15210" xr:uid="{00000000-0005-0000-0000-000091330000}"/>
    <cellStyle name="40% - Accent1 2 5 2 2 2 2 2 2" xfId="15212" xr:uid="{00000000-0005-0000-0000-000092330000}"/>
    <cellStyle name="40% - Accent1 2 5 2 2 2 2 3" xfId="15218" xr:uid="{00000000-0005-0000-0000-000093330000}"/>
    <cellStyle name="40% - Accent1 2 5 2 2 2 3" xfId="2062" xr:uid="{00000000-0005-0000-0000-000094330000}"/>
    <cellStyle name="40% - Accent1 2 5 2 2 2 3 2" xfId="15222" xr:uid="{00000000-0005-0000-0000-000095330000}"/>
    <cellStyle name="40% - Accent1 2 5 2 2 2 4" xfId="15223" xr:uid="{00000000-0005-0000-0000-000096330000}"/>
    <cellStyle name="40% - Accent1 2 5 2 2 3" xfId="28741" xr:uid="{00000000-0005-0000-0000-000097330000}"/>
    <cellStyle name="40% - Accent1 2 5 2 2 3 2" xfId="7154" xr:uid="{00000000-0005-0000-0000-000098330000}"/>
    <cellStyle name="40% - Accent1 2 5 2 2 3 2 2" xfId="15225" xr:uid="{00000000-0005-0000-0000-000099330000}"/>
    <cellStyle name="40% - Accent1 2 5 2 2 3 3" xfId="29686" xr:uid="{00000000-0005-0000-0000-00009A330000}"/>
    <cellStyle name="40% - Accent1 2 5 2 2 4" xfId="28303" xr:uid="{00000000-0005-0000-0000-00009B330000}"/>
    <cellStyle name="40% - Accent1 2 5 2 2 4 2" xfId="15227" xr:uid="{00000000-0005-0000-0000-00009C330000}"/>
    <cellStyle name="40% - Accent1 2 5 2 2 5" xfId="15230" xr:uid="{00000000-0005-0000-0000-00009D330000}"/>
    <cellStyle name="40% - Accent1 2 5 2 3" xfId="22352" xr:uid="{00000000-0005-0000-0000-00009E330000}"/>
    <cellStyle name="40% - Accent1 2 5 2 3 2" xfId="15233" xr:uid="{00000000-0005-0000-0000-00009F330000}"/>
    <cellStyle name="40% - Accent1 2 5 2 3 2 2" xfId="7203" xr:uid="{00000000-0005-0000-0000-0000A0330000}"/>
    <cellStyle name="40% - Accent1 2 5 2 3 2 2 2" xfId="21533" xr:uid="{00000000-0005-0000-0000-0000A1330000}"/>
    <cellStyle name="40% - Accent1 2 5 2 3 2 3" xfId="15238" xr:uid="{00000000-0005-0000-0000-0000A2330000}"/>
    <cellStyle name="40% - Accent1 2 5 2 3 3" xfId="26102" xr:uid="{00000000-0005-0000-0000-0000A3330000}"/>
    <cellStyle name="40% - Accent1 2 5 2 3 3 2" xfId="15240" xr:uid="{00000000-0005-0000-0000-0000A4330000}"/>
    <cellStyle name="40% - Accent1 2 5 2 3 4" xfId="15241" xr:uid="{00000000-0005-0000-0000-0000A5330000}"/>
    <cellStyle name="40% - Accent1 2 5 2 4" xfId="14399" xr:uid="{00000000-0005-0000-0000-0000A6330000}"/>
    <cellStyle name="40% - Accent1 2 5 2 4 2" xfId="15245" xr:uid="{00000000-0005-0000-0000-0000A7330000}"/>
    <cellStyle name="40% - Accent1 2 5 2 4 2 2" xfId="97" xr:uid="{00000000-0005-0000-0000-0000A8330000}"/>
    <cellStyle name="40% - Accent1 2 5 2 4 3" xfId="15247" xr:uid="{00000000-0005-0000-0000-0000A9330000}"/>
    <cellStyle name="40% - Accent1 2 5 2 5" xfId="14650" xr:uid="{00000000-0005-0000-0000-0000AA330000}"/>
    <cellStyle name="40% - Accent1 2 5 2 5 2" xfId="25224" xr:uid="{00000000-0005-0000-0000-0000AB330000}"/>
    <cellStyle name="40% - Accent1 2 5 2 6" xfId="13604" xr:uid="{00000000-0005-0000-0000-0000AC330000}"/>
    <cellStyle name="40% - Accent1 2 5 3" xfId="15249" xr:uid="{00000000-0005-0000-0000-0000AD330000}"/>
    <cellStyle name="40% - Accent1 2 5 3 2" xfId="22379" xr:uid="{00000000-0005-0000-0000-0000AE330000}"/>
    <cellStyle name="40% - Accent1 2 5 3 2 2" xfId="15251" xr:uid="{00000000-0005-0000-0000-0000AF330000}"/>
    <cellStyle name="40% - Accent1 2 5 3 2 2 2" xfId="2850" xr:uid="{00000000-0005-0000-0000-0000B0330000}"/>
    <cellStyle name="40% - Accent1 2 5 3 2 2 2 2" xfId="2974" xr:uid="{00000000-0005-0000-0000-0000B1330000}"/>
    <cellStyle name="40% - Accent1 2 5 3 2 2 3" xfId="15259" xr:uid="{00000000-0005-0000-0000-0000B2330000}"/>
    <cellStyle name="40% - Accent1 2 5 3 2 3" xfId="15265" xr:uid="{00000000-0005-0000-0000-0000B3330000}"/>
    <cellStyle name="40% - Accent1 2 5 3 2 3 2" xfId="15268" xr:uid="{00000000-0005-0000-0000-0000B4330000}"/>
    <cellStyle name="40% - Accent1 2 5 3 2 4" xfId="15271" xr:uid="{00000000-0005-0000-0000-0000B5330000}"/>
    <cellStyle name="40% - Accent1 2 5 3 3" xfId="15274" xr:uid="{00000000-0005-0000-0000-0000B6330000}"/>
    <cellStyle name="40% - Accent1 2 5 3 3 2" xfId="15279" xr:uid="{00000000-0005-0000-0000-0000B7330000}"/>
    <cellStyle name="40% - Accent1 2 5 3 3 2 2" xfId="15281" xr:uid="{00000000-0005-0000-0000-0000B8330000}"/>
    <cellStyle name="40% - Accent1 2 5 3 3 3" xfId="15283" xr:uid="{00000000-0005-0000-0000-0000B9330000}"/>
    <cellStyle name="40% - Accent1 2 5 3 4" xfId="14659" xr:uid="{00000000-0005-0000-0000-0000BA330000}"/>
    <cellStyle name="40% - Accent1 2 5 3 4 2" xfId="15285" xr:uid="{00000000-0005-0000-0000-0000BB330000}"/>
    <cellStyle name="40% - Accent1 2 5 3 5" xfId="14664" xr:uid="{00000000-0005-0000-0000-0000BC330000}"/>
    <cellStyle name="40% - Accent1 2 5 4" xfId="15288" xr:uid="{00000000-0005-0000-0000-0000BD330000}"/>
    <cellStyle name="40% - Accent1 2 5 4 2" xfId="15289" xr:uid="{00000000-0005-0000-0000-0000BE330000}"/>
    <cellStyle name="40% - Accent1 2 5 4 2 2" xfId="10905" xr:uid="{00000000-0005-0000-0000-0000BF330000}"/>
    <cellStyle name="40% - Accent1 2 5 4 2 2 2" xfId="21766" xr:uid="{00000000-0005-0000-0000-0000C0330000}"/>
    <cellStyle name="40% - Accent1 2 5 4 2 3" xfId="15291" xr:uid="{00000000-0005-0000-0000-0000C1330000}"/>
    <cellStyle name="40% - Accent1 2 5 4 3" xfId="15294" xr:uid="{00000000-0005-0000-0000-0000C2330000}"/>
    <cellStyle name="40% - Accent1 2 5 4 3 2" xfId="15297" xr:uid="{00000000-0005-0000-0000-0000C3330000}"/>
    <cellStyle name="40% - Accent1 2 5 4 4" xfId="14671" xr:uid="{00000000-0005-0000-0000-0000C4330000}"/>
    <cellStyle name="40% - Accent1 2 5 5" xfId="6839" xr:uid="{00000000-0005-0000-0000-0000C5330000}"/>
    <cellStyle name="40% - Accent1 2 5 5 2" xfId="378" xr:uid="{00000000-0005-0000-0000-0000C6330000}"/>
    <cellStyle name="40% - Accent1 2 5 5 2 2" xfId="19628" xr:uid="{00000000-0005-0000-0000-0000C7330000}"/>
    <cellStyle name="40% - Accent1 2 5 5 3" xfId="5132" xr:uid="{00000000-0005-0000-0000-0000C8330000}"/>
    <cellStyle name="40% - Accent1 2 5 6" xfId="27924" xr:uid="{00000000-0005-0000-0000-0000C9330000}"/>
    <cellStyle name="40% - Accent1 2 5 6 2" xfId="5041" xr:uid="{00000000-0005-0000-0000-0000CA330000}"/>
    <cellStyle name="40% - Accent1 2 5 7" xfId="29222" xr:uid="{00000000-0005-0000-0000-0000CB330000}"/>
    <cellStyle name="40% - Accent1 2 6" xfId="27236" xr:uid="{00000000-0005-0000-0000-0000CC330000}"/>
    <cellStyle name="40% - Accent1 2 6 2" xfId="15308" xr:uid="{00000000-0005-0000-0000-0000CD330000}"/>
    <cellStyle name="40% - Accent1 2 6 2 2" xfId="15310" xr:uid="{00000000-0005-0000-0000-0000CE330000}"/>
    <cellStyle name="40% - Accent1 2 6 2 2 2" xfId="15312" xr:uid="{00000000-0005-0000-0000-0000CF330000}"/>
    <cellStyle name="40% - Accent1 2 6 2 2 2 2" xfId="8229" xr:uid="{00000000-0005-0000-0000-0000D0330000}"/>
    <cellStyle name="40% - Accent1 2 6 2 2 2 2 2" xfId="9236" xr:uid="{00000000-0005-0000-0000-0000D1330000}"/>
    <cellStyle name="40% - Accent1 2 6 2 2 2 3" xfId="8303" xr:uid="{00000000-0005-0000-0000-0000D2330000}"/>
    <cellStyle name="40% - Accent1 2 6 2 2 3" xfId="15315" xr:uid="{00000000-0005-0000-0000-0000D3330000}"/>
    <cellStyle name="40% - Accent1 2 6 2 2 3 2" xfId="15319" xr:uid="{00000000-0005-0000-0000-0000D4330000}"/>
    <cellStyle name="40% - Accent1 2 6 2 2 4" xfId="15321" xr:uid="{00000000-0005-0000-0000-0000D5330000}"/>
    <cellStyle name="40% - Accent1 2 6 2 3" xfId="14675" xr:uid="{00000000-0005-0000-0000-0000D6330000}"/>
    <cellStyle name="40% - Accent1 2 6 2 3 2" xfId="9701" xr:uid="{00000000-0005-0000-0000-0000D7330000}"/>
    <cellStyle name="40% - Accent1 2 6 2 3 2 2" xfId="7177" xr:uid="{00000000-0005-0000-0000-0000D8330000}"/>
    <cellStyle name="40% - Accent1 2 6 2 3 3" xfId="463" xr:uid="{00000000-0005-0000-0000-0000D9330000}"/>
    <cellStyle name="40% - Accent1 2 6 2 4" xfId="14681" xr:uid="{00000000-0005-0000-0000-0000DA330000}"/>
    <cellStyle name="40% - Accent1 2 6 2 4 2" xfId="3603" xr:uid="{00000000-0005-0000-0000-0000DB330000}"/>
    <cellStyle name="40% - Accent1 2 6 2 5" xfId="14686" xr:uid="{00000000-0005-0000-0000-0000DC330000}"/>
    <cellStyle name="40% - Accent1 2 6 3" xfId="2768" xr:uid="{00000000-0005-0000-0000-0000DD330000}"/>
    <cellStyle name="40% - Accent1 2 6 3 2" xfId="3203" xr:uid="{00000000-0005-0000-0000-0000DE330000}"/>
    <cellStyle name="40% - Accent1 2 6 3 2 2" xfId="15322" xr:uid="{00000000-0005-0000-0000-0000DF330000}"/>
    <cellStyle name="40% - Accent1 2 6 3 2 2 2" xfId="15324" xr:uid="{00000000-0005-0000-0000-0000E0330000}"/>
    <cellStyle name="40% - Accent1 2 6 3 2 3" xfId="15327" xr:uid="{00000000-0005-0000-0000-0000E1330000}"/>
    <cellStyle name="40% - Accent1 2 6 3 3" xfId="14694" xr:uid="{00000000-0005-0000-0000-0000E2330000}"/>
    <cellStyle name="40% - Accent1 2 6 3 3 2" xfId="1232" xr:uid="{00000000-0005-0000-0000-0000E3330000}"/>
    <cellStyle name="40% - Accent1 2 6 3 4" xfId="14702" xr:uid="{00000000-0005-0000-0000-0000E4330000}"/>
    <cellStyle name="40% - Accent1 2 6 4" xfId="15329" xr:uid="{00000000-0005-0000-0000-0000E5330000}"/>
    <cellStyle name="40% - Accent1 2 6 4 2" xfId="342" xr:uid="{00000000-0005-0000-0000-0000E6330000}"/>
    <cellStyle name="40% - Accent1 2 6 4 2 2" xfId="15330" xr:uid="{00000000-0005-0000-0000-0000E7330000}"/>
    <cellStyle name="40% - Accent1 2 6 4 3" xfId="14708" xr:uid="{00000000-0005-0000-0000-0000E8330000}"/>
    <cellStyle name="40% - Accent1 2 6 5" xfId="27927" xr:uid="{00000000-0005-0000-0000-0000E9330000}"/>
    <cellStyle name="40% - Accent1 2 6 5 2" xfId="3968" xr:uid="{00000000-0005-0000-0000-0000EA330000}"/>
    <cellStyle name="40% - Accent1 2 6 6" xfId="33415" xr:uid="{00000000-0005-0000-0000-0000EB330000}"/>
    <cellStyle name="40% - Accent1 2 7" xfId="15336" xr:uid="{00000000-0005-0000-0000-0000EC330000}"/>
    <cellStyle name="40% - Accent1 2 7 2" xfId="919" xr:uid="{00000000-0005-0000-0000-0000ED330000}"/>
    <cellStyle name="40% - Accent1 2 7 2 2" xfId="716" xr:uid="{00000000-0005-0000-0000-0000EE330000}"/>
    <cellStyle name="40% - Accent1 2 7 2 2 2" xfId="330" xr:uid="{00000000-0005-0000-0000-0000EF330000}"/>
    <cellStyle name="40% - Accent1 2 7 2 2 2 2" xfId="26037" xr:uid="{00000000-0005-0000-0000-0000F0330000}"/>
    <cellStyle name="40% - Accent1 2 7 2 2 3" xfId="282" xr:uid="{00000000-0005-0000-0000-0000F1330000}"/>
    <cellStyle name="40% - Accent1 2 7 2 3" xfId="12636" xr:uid="{00000000-0005-0000-0000-0000F2330000}"/>
    <cellStyle name="40% - Accent1 2 7 2 3 2" xfId="3853" xr:uid="{00000000-0005-0000-0000-0000F3330000}"/>
    <cellStyle name="40% - Accent1 2 7 2 4" xfId="15220" xr:uid="{00000000-0005-0000-0000-0000F4330000}"/>
    <cellStyle name="40% - Accent1 2 7 3" xfId="1989" xr:uid="{00000000-0005-0000-0000-0000F5330000}"/>
    <cellStyle name="40% - Accent1 2 7 3 2" xfId="2315" xr:uid="{00000000-0005-0000-0000-0000F6330000}"/>
    <cellStyle name="40% - Accent1 2 7 3 2 2" xfId="359" xr:uid="{00000000-0005-0000-0000-0000F7330000}"/>
    <cellStyle name="40% - Accent1 2 7 3 3" xfId="20081" xr:uid="{00000000-0005-0000-0000-0000F8330000}"/>
    <cellStyle name="40% - Accent1 2 7 4" xfId="8677" xr:uid="{00000000-0005-0000-0000-0000F9330000}"/>
    <cellStyle name="40% - Accent1 2 7 4 2" xfId="668" xr:uid="{00000000-0005-0000-0000-0000FA330000}"/>
    <cellStyle name="40% - Accent1 2 7 5" xfId="5178" xr:uid="{00000000-0005-0000-0000-0000FB330000}"/>
    <cellStyle name="40% - Accent1 2 8" xfId="15338" xr:uid="{00000000-0005-0000-0000-0000FC330000}"/>
    <cellStyle name="40% - Accent1 2 8 2" xfId="8767" xr:uid="{00000000-0005-0000-0000-0000FD330000}"/>
    <cellStyle name="40% - Accent1 2 8 2 2" xfId="856" xr:uid="{00000000-0005-0000-0000-0000FE330000}"/>
    <cellStyle name="40% - Accent1 2 8 2 2 2" xfId="18964" xr:uid="{00000000-0005-0000-0000-0000FF330000}"/>
    <cellStyle name="40% - Accent1 2 8 2 3" xfId="2389" xr:uid="{00000000-0005-0000-0000-000000340000}"/>
    <cellStyle name="40% - Accent1 2 8 3" xfId="4494" xr:uid="{00000000-0005-0000-0000-000001340000}"/>
    <cellStyle name="40% - Accent1 2 8 3 2" xfId="4499" xr:uid="{00000000-0005-0000-0000-000002340000}"/>
    <cellStyle name="40% - Accent1 2 8 4" xfId="4823" xr:uid="{00000000-0005-0000-0000-000003340000}"/>
    <cellStyle name="40% - Accent1 2 9" xfId="7341" xr:uid="{00000000-0005-0000-0000-000004340000}"/>
    <cellStyle name="40% - Accent1 2 9 2" xfId="30251" xr:uid="{00000000-0005-0000-0000-000005340000}"/>
    <cellStyle name="40% - Accent1 2 9 2 2" xfId="12986" xr:uid="{00000000-0005-0000-0000-000006340000}"/>
    <cellStyle name="40% - Accent1 2 9 3" xfId="1379" xr:uid="{00000000-0005-0000-0000-000007340000}"/>
    <cellStyle name="40% - Accent1 3" xfId="4080" xr:uid="{00000000-0005-0000-0000-000008340000}"/>
    <cellStyle name="40% - Accent1 3 10" xfId="17923" xr:uid="{00000000-0005-0000-0000-000009340000}"/>
    <cellStyle name="40% - Accent1 3 2" xfId="15339" xr:uid="{00000000-0005-0000-0000-00000A340000}"/>
    <cellStyle name="40% - Accent1 3 2 2" xfId="7077" xr:uid="{00000000-0005-0000-0000-00000B340000}"/>
    <cellStyle name="40% - Accent1 3 2 2 2" xfId="15340" xr:uid="{00000000-0005-0000-0000-00000C340000}"/>
    <cellStyle name="40% - Accent1 3 2 2 2 2" xfId="31760" xr:uid="{00000000-0005-0000-0000-00000D340000}"/>
    <cellStyle name="40% - Accent1 3 2 2 2 2 2" xfId="33893" xr:uid="{00000000-0005-0000-0000-00000E340000}"/>
    <cellStyle name="40% - Accent1 3 2 2 2 2 2 2" xfId="26432" xr:uid="{00000000-0005-0000-0000-00000F340000}"/>
    <cellStyle name="40% - Accent1 3 2 2 2 2 2 2 2" xfId="15341" xr:uid="{00000000-0005-0000-0000-000010340000}"/>
    <cellStyle name="40% - Accent1 3 2 2 2 2 2 2 2 2" xfId="15344" xr:uid="{00000000-0005-0000-0000-000011340000}"/>
    <cellStyle name="40% - Accent1 3 2 2 2 2 2 2 2 2 2" xfId="28756" xr:uid="{00000000-0005-0000-0000-000012340000}"/>
    <cellStyle name="40% - Accent1 3 2 2 2 2 2 2 2 3" xfId="33817" xr:uid="{00000000-0005-0000-0000-000013340000}"/>
    <cellStyle name="40% - Accent1 3 2 2 2 2 2 2 3" xfId="9246" xr:uid="{00000000-0005-0000-0000-000014340000}"/>
    <cellStyle name="40% - Accent1 3 2 2 2 2 2 2 3 2" xfId="4627" xr:uid="{00000000-0005-0000-0000-000015340000}"/>
    <cellStyle name="40% - Accent1 3 2 2 2 2 2 2 4" xfId="24226" xr:uid="{00000000-0005-0000-0000-000016340000}"/>
    <cellStyle name="40% - Accent1 3 2 2 2 2 2 3" xfId="28736" xr:uid="{00000000-0005-0000-0000-000017340000}"/>
    <cellStyle name="40% - Accent1 3 2 2 2 2 2 3 2" xfId="15346" xr:uid="{00000000-0005-0000-0000-000018340000}"/>
    <cellStyle name="40% - Accent1 3 2 2 2 2 2 3 2 2" xfId="15348" xr:uid="{00000000-0005-0000-0000-000019340000}"/>
    <cellStyle name="40% - Accent1 3 2 2 2 2 2 3 3" xfId="24233" xr:uid="{00000000-0005-0000-0000-00001A340000}"/>
    <cellStyle name="40% - Accent1 3 2 2 2 2 2 4" xfId="15659" xr:uid="{00000000-0005-0000-0000-00001B340000}"/>
    <cellStyle name="40% - Accent1 3 2 2 2 2 2 4 2" xfId="15352" xr:uid="{00000000-0005-0000-0000-00001C340000}"/>
    <cellStyle name="40% - Accent1 3 2 2 2 2 2 5" xfId="15353" xr:uid="{00000000-0005-0000-0000-00001D340000}"/>
    <cellStyle name="40% - Accent1 3 2 2 2 2 3" xfId="29380" xr:uid="{00000000-0005-0000-0000-00001E340000}"/>
    <cellStyle name="40% - Accent1 3 2 2 2 2 3 2" xfId="15355" xr:uid="{00000000-0005-0000-0000-00001F340000}"/>
    <cellStyle name="40% - Accent1 3 2 2 2 2 3 2 2" xfId="15359" xr:uid="{00000000-0005-0000-0000-000020340000}"/>
    <cellStyle name="40% - Accent1 3 2 2 2 2 3 2 2 2" xfId="15361" xr:uid="{00000000-0005-0000-0000-000021340000}"/>
    <cellStyle name="40% - Accent1 3 2 2 2 2 3 2 3" xfId="15363" xr:uid="{00000000-0005-0000-0000-000022340000}"/>
    <cellStyle name="40% - Accent1 3 2 2 2 2 3 3" xfId="21588" xr:uid="{00000000-0005-0000-0000-000023340000}"/>
    <cellStyle name="40% - Accent1 3 2 2 2 2 3 3 2" xfId="28421" xr:uid="{00000000-0005-0000-0000-000024340000}"/>
    <cellStyle name="40% - Accent1 3 2 2 2 2 3 4" xfId="15367" xr:uid="{00000000-0005-0000-0000-000025340000}"/>
    <cellStyle name="40% - Accent1 3 2 2 2 2 4" xfId="15369" xr:uid="{00000000-0005-0000-0000-000026340000}"/>
    <cellStyle name="40% - Accent1 3 2 2 2 2 4 2" xfId="25079" xr:uid="{00000000-0005-0000-0000-000027340000}"/>
    <cellStyle name="40% - Accent1 3 2 2 2 2 4 2 2" xfId="24734" xr:uid="{00000000-0005-0000-0000-000028340000}"/>
    <cellStyle name="40% - Accent1 3 2 2 2 2 4 3" xfId="15378" xr:uid="{00000000-0005-0000-0000-000029340000}"/>
    <cellStyle name="40% - Accent1 3 2 2 2 2 5" xfId="15381" xr:uid="{00000000-0005-0000-0000-00002A340000}"/>
    <cellStyle name="40% - Accent1 3 2 2 2 2 5 2" xfId="32231" xr:uid="{00000000-0005-0000-0000-00002B340000}"/>
    <cellStyle name="40% - Accent1 3 2 2 2 2 6" xfId="15386" xr:uid="{00000000-0005-0000-0000-00002C340000}"/>
    <cellStyle name="40% - Accent1 3 2 2 2 3" xfId="33386" xr:uid="{00000000-0005-0000-0000-00002D340000}"/>
    <cellStyle name="40% - Accent1 3 2 2 2 3 2" xfId="21618" xr:uid="{00000000-0005-0000-0000-00002E340000}"/>
    <cellStyle name="40% - Accent1 3 2 2 2 3 2 2" xfId="26489" xr:uid="{00000000-0005-0000-0000-00002F340000}"/>
    <cellStyle name="40% - Accent1 3 2 2 2 3 2 2 2" xfId="15388" xr:uid="{00000000-0005-0000-0000-000030340000}"/>
    <cellStyle name="40% - Accent1 3 2 2 2 3 2 2 2 2" xfId="1431" xr:uid="{00000000-0005-0000-0000-000031340000}"/>
    <cellStyle name="40% - Accent1 3 2 2 2 3 2 2 3" xfId="24251" xr:uid="{00000000-0005-0000-0000-000032340000}"/>
    <cellStyle name="40% - Accent1 3 2 2 2 3 2 3" xfId="31075" xr:uid="{00000000-0005-0000-0000-000033340000}"/>
    <cellStyle name="40% - Accent1 3 2 2 2 3 2 3 2" xfId="15390" xr:uid="{00000000-0005-0000-0000-000034340000}"/>
    <cellStyle name="40% - Accent1 3 2 2 2 3 2 4" xfId="32282" xr:uid="{00000000-0005-0000-0000-000035340000}"/>
    <cellStyle name="40% - Accent1 3 2 2 2 3 3" xfId="21620" xr:uid="{00000000-0005-0000-0000-000036340000}"/>
    <cellStyle name="40% - Accent1 3 2 2 2 3 3 2" xfId="21672" xr:uid="{00000000-0005-0000-0000-000037340000}"/>
    <cellStyle name="40% - Accent1 3 2 2 2 3 3 2 2" xfId="15391" xr:uid="{00000000-0005-0000-0000-000038340000}"/>
    <cellStyle name="40% - Accent1 3 2 2 2 3 3 3" xfId="33115" xr:uid="{00000000-0005-0000-0000-000039340000}"/>
    <cellStyle name="40% - Accent1 3 2 2 2 3 4" xfId="12613" xr:uid="{00000000-0005-0000-0000-00003A340000}"/>
    <cellStyle name="40% - Accent1 3 2 2 2 3 4 2" xfId="25111" xr:uid="{00000000-0005-0000-0000-00003B340000}"/>
    <cellStyle name="40% - Accent1 3 2 2 2 3 5" xfId="14208" xr:uid="{00000000-0005-0000-0000-00003C340000}"/>
    <cellStyle name="40% - Accent1 3 2 2 2 4" xfId="28345" xr:uid="{00000000-0005-0000-0000-00003D340000}"/>
    <cellStyle name="40% - Accent1 3 2 2 2 4 2" xfId="15392" xr:uid="{00000000-0005-0000-0000-00003E340000}"/>
    <cellStyle name="40% - Accent1 3 2 2 2 4 2 2" xfId="14758" xr:uid="{00000000-0005-0000-0000-00003F340000}"/>
    <cellStyle name="40% - Accent1 3 2 2 2 4 2 2 2" xfId="21630" xr:uid="{00000000-0005-0000-0000-000040340000}"/>
    <cellStyle name="40% - Accent1 3 2 2 2 4 2 3" xfId="9973" xr:uid="{00000000-0005-0000-0000-000041340000}"/>
    <cellStyle name="40% - Accent1 3 2 2 2 4 3" xfId="6323" xr:uid="{00000000-0005-0000-0000-000042340000}"/>
    <cellStyle name="40% - Accent1 3 2 2 2 4 3 2" xfId="9978" xr:uid="{00000000-0005-0000-0000-000043340000}"/>
    <cellStyle name="40% - Accent1 3 2 2 2 4 4" xfId="17571" xr:uid="{00000000-0005-0000-0000-000044340000}"/>
    <cellStyle name="40% - Accent1 3 2 2 2 5" xfId="29414" xr:uid="{00000000-0005-0000-0000-000045340000}"/>
    <cellStyle name="40% - Accent1 3 2 2 2 5 2" xfId="15396" xr:uid="{00000000-0005-0000-0000-000046340000}"/>
    <cellStyle name="40% - Accent1 3 2 2 2 5 2 2" xfId="2163" xr:uid="{00000000-0005-0000-0000-000047340000}"/>
    <cellStyle name="40% - Accent1 3 2 2 2 5 3" xfId="6365" xr:uid="{00000000-0005-0000-0000-000048340000}"/>
    <cellStyle name="40% - Accent1 3 2 2 2 6" xfId="29417" xr:uid="{00000000-0005-0000-0000-000049340000}"/>
    <cellStyle name="40% - Accent1 3 2 2 2 6 2" xfId="15398" xr:uid="{00000000-0005-0000-0000-00004A340000}"/>
    <cellStyle name="40% - Accent1 3 2 2 2 7" xfId="29430" xr:uid="{00000000-0005-0000-0000-00004B340000}"/>
    <cellStyle name="40% - Accent1 3 2 2 3" xfId="19394" xr:uid="{00000000-0005-0000-0000-00004C340000}"/>
    <cellStyle name="40% - Accent1 3 2 2 3 2" xfId="20699" xr:uid="{00000000-0005-0000-0000-00004D340000}"/>
    <cellStyle name="40% - Accent1 3 2 2 3 2 2" xfId="15400" xr:uid="{00000000-0005-0000-0000-00004E340000}"/>
    <cellStyle name="40% - Accent1 3 2 2 3 2 2 2" xfId="23220" xr:uid="{00000000-0005-0000-0000-00004F340000}"/>
    <cellStyle name="40% - Accent1 3 2 2 3 2 2 2 2" xfId="15401" xr:uid="{00000000-0005-0000-0000-000050340000}"/>
    <cellStyle name="40% - Accent1 3 2 2 3 2 2 2 2 2" xfId="15402" xr:uid="{00000000-0005-0000-0000-000051340000}"/>
    <cellStyle name="40% - Accent1 3 2 2 3 2 2 2 3" xfId="24380" xr:uid="{00000000-0005-0000-0000-000052340000}"/>
    <cellStyle name="40% - Accent1 3 2 2 3 2 2 3" xfId="27367" xr:uid="{00000000-0005-0000-0000-000053340000}"/>
    <cellStyle name="40% - Accent1 3 2 2 3 2 2 3 2" xfId="14861" xr:uid="{00000000-0005-0000-0000-000054340000}"/>
    <cellStyle name="40% - Accent1 3 2 2 3 2 2 4" xfId="15405" xr:uid="{00000000-0005-0000-0000-000055340000}"/>
    <cellStyle name="40% - Accent1 3 2 2 3 2 3" xfId="4304" xr:uid="{00000000-0005-0000-0000-000056340000}"/>
    <cellStyle name="40% - Accent1 3 2 2 3 2 3 2" xfId="22221" xr:uid="{00000000-0005-0000-0000-000057340000}"/>
    <cellStyle name="40% - Accent1 3 2 2 3 2 3 2 2" xfId="15407" xr:uid="{00000000-0005-0000-0000-000058340000}"/>
    <cellStyle name="40% - Accent1 3 2 2 3 2 3 3" xfId="15410" xr:uid="{00000000-0005-0000-0000-000059340000}"/>
    <cellStyle name="40% - Accent1 3 2 2 3 2 4" xfId="10860" xr:uid="{00000000-0005-0000-0000-00005A340000}"/>
    <cellStyle name="40% - Accent1 3 2 2 3 2 4 2" xfId="19686" xr:uid="{00000000-0005-0000-0000-00005B340000}"/>
    <cellStyle name="40% - Accent1 3 2 2 3 2 5" xfId="15414" xr:uid="{00000000-0005-0000-0000-00005C340000}"/>
    <cellStyle name="40% - Accent1 3 2 2 3 3" xfId="4302" xr:uid="{00000000-0005-0000-0000-00005D340000}"/>
    <cellStyle name="40% - Accent1 3 2 2 3 3 2" xfId="15417" xr:uid="{00000000-0005-0000-0000-00005E340000}"/>
    <cellStyle name="40% - Accent1 3 2 2 3 3 2 2" xfId="6731" xr:uid="{00000000-0005-0000-0000-00005F340000}"/>
    <cellStyle name="40% - Accent1 3 2 2 3 3 2 2 2" xfId="15419" xr:uid="{00000000-0005-0000-0000-000060340000}"/>
    <cellStyle name="40% - Accent1 3 2 2 3 3 2 3" xfId="23948" xr:uid="{00000000-0005-0000-0000-000061340000}"/>
    <cellStyle name="40% - Accent1 3 2 2 3 3 3" xfId="6483" xr:uid="{00000000-0005-0000-0000-000062340000}"/>
    <cellStyle name="40% - Accent1 3 2 2 3 3 3 2" xfId="9610" xr:uid="{00000000-0005-0000-0000-000063340000}"/>
    <cellStyle name="40% - Accent1 3 2 2 3 3 4" xfId="10971" xr:uid="{00000000-0005-0000-0000-000064340000}"/>
    <cellStyle name="40% - Accent1 3 2 2 3 4" xfId="31824" xr:uid="{00000000-0005-0000-0000-000065340000}"/>
    <cellStyle name="40% - Accent1 3 2 2 3 4 2" xfId="15422" xr:uid="{00000000-0005-0000-0000-000066340000}"/>
    <cellStyle name="40% - Accent1 3 2 2 3 4 2 2" xfId="11633" xr:uid="{00000000-0005-0000-0000-000067340000}"/>
    <cellStyle name="40% - Accent1 3 2 2 3 4 3" xfId="6396" xr:uid="{00000000-0005-0000-0000-000068340000}"/>
    <cellStyle name="40% - Accent1 3 2 2 3 5" xfId="15424" xr:uid="{00000000-0005-0000-0000-000069340000}"/>
    <cellStyle name="40% - Accent1 3 2 2 3 5 2" xfId="15426" xr:uid="{00000000-0005-0000-0000-00006A340000}"/>
    <cellStyle name="40% - Accent1 3 2 2 3 6" xfId="33563" xr:uid="{00000000-0005-0000-0000-00006B340000}"/>
    <cellStyle name="40% - Accent1 3 2 2 4" xfId="19402" xr:uid="{00000000-0005-0000-0000-00006C340000}"/>
    <cellStyle name="40% - Accent1 3 2 2 4 2" xfId="15428" xr:uid="{00000000-0005-0000-0000-00006D340000}"/>
    <cellStyle name="40% - Accent1 3 2 2 4 2 2" xfId="11967" xr:uid="{00000000-0005-0000-0000-00006E340000}"/>
    <cellStyle name="40% - Accent1 3 2 2 4 2 2 2" xfId="15430" xr:uid="{00000000-0005-0000-0000-00006F340000}"/>
    <cellStyle name="40% - Accent1 3 2 2 4 2 2 2 2" xfId="15436" xr:uid="{00000000-0005-0000-0000-000070340000}"/>
    <cellStyle name="40% - Accent1 3 2 2 4 2 2 3" xfId="12381" xr:uid="{00000000-0005-0000-0000-000071340000}"/>
    <cellStyle name="40% - Accent1 3 2 2 4 2 3" xfId="4956" xr:uid="{00000000-0005-0000-0000-000072340000}"/>
    <cellStyle name="40% - Accent1 3 2 2 4 2 3 2" xfId="15438" xr:uid="{00000000-0005-0000-0000-000073340000}"/>
    <cellStyle name="40% - Accent1 3 2 2 4 2 4" xfId="12728" xr:uid="{00000000-0005-0000-0000-000074340000}"/>
    <cellStyle name="40% - Accent1 3 2 2 4 3" xfId="15440" xr:uid="{00000000-0005-0000-0000-000075340000}"/>
    <cellStyle name="40% - Accent1 3 2 2 4 3 2" xfId="4995" xr:uid="{00000000-0005-0000-0000-000076340000}"/>
    <cellStyle name="40% - Accent1 3 2 2 4 3 2 2" xfId="7320" xr:uid="{00000000-0005-0000-0000-000077340000}"/>
    <cellStyle name="40% - Accent1 3 2 2 4 3 3" xfId="4128" xr:uid="{00000000-0005-0000-0000-000078340000}"/>
    <cellStyle name="40% - Accent1 3 2 2 4 4" xfId="15441" xr:uid="{00000000-0005-0000-0000-000079340000}"/>
    <cellStyle name="40% - Accent1 3 2 2 4 4 2" xfId="5005" xr:uid="{00000000-0005-0000-0000-00007A340000}"/>
    <cellStyle name="40% - Accent1 3 2 2 4 5" xfId="15442" xr:uid="{00000000-0005-0000-0000-00007B340000}"/>
    <cellStyle name="40% - Accent1 3 2 2 5" xfId="15443" xr:uid="{00000000-0005-0000-0000-00007C340000}"/>
    <cellStyle name="40% - Accent1 3 2 2 5 2" xfId="15444" xr:uid="{00000000-0005-0000-0000-00007D340000}"/>
    <cellStyle name="40% - Accent1 3 2 2 5 2 2" xfId="4187" xr:uid="{00000000-0005-0000-0000-00007E340000}"/>
    <cellStyle name="40% - Accent1 3 2 2 5 2 2 2" xfId="15445" xr:uid="{00000000-0005-0000-0000-00007F340000}"/>
    <cellStyle name="40% - Accent1 3 2 2 5 2 3" xfId="33971" xr:uid="{00000000-0005-0000-0000-000080340000}"/>
    <cellStyle name="40% - Accent1 3 2 2 5 3" xfId="15446" xr:uid="{00000000-0005-0000-0000-000081340000}"/>
    <cellStyle name="40% - Accent1 3 2 2 5 3 2" xfId="4220" xr:uid="{00000000-0005-0000-0000-000082340000}"/>
    <cellStyle name="40% - Accent1 3 2 2 5 4" xfId="15447" xr:uid="{00000000-0005-0000-0000-000083340000}"/>
    <cellStyle name="40% - Accent1 3 2 2 6" xfId="10120" xr:uid="{00000000-0005-0000-0000-000084340000}"/>
    <cellStyle name="40% - Accent1 3 2 2 6 2" xfId="3379" xr:uid="{00000000-0005-0000-0000-000085340000}"/>
    <cellStyle name="40% - Accent1 3 2 2 6 2 2" xfId="3649" xr:uid="{00000000-0005-0000-0000-000086340000}"/>
    <cellStyle name="40% - Accent1 3 2 2 6 3" xfId="32625" xr:uid="{00000000-0005-0000-0000-000087340000}"/>
    <cellStyle name="40% - Accent1 3 2 2 7" xfId="9621" xr:uid="{00000000-0005-0000-0000-000088340000}"/>
    <cellStyle name="40% - Accent1 3 2 2 7 2" xfId="32639" xr:uid="{00000000-0005-0000-0000-000089340000}"/>
    <cellStyle name="40% - Accent1 3 2 2 8" xfId="10233" xr:uid="{00000000-0005-0000-0000-00008A340000}"/>
    <cellStyle name="40% - Accent1 3 2 3" xfId="20932" xr:uid="{00000000-0005-0000-0000-00008B340000}"/>
    <cellStyle name="40% - Accent1 3 2 3 2" xfId="15448" xr:uid="{00000000-0005-0000-0000-00008C340000}"/>
    <cellStyle name="40% - Accent1 3 2 3 2 2" xfId="14138" xr:uid="{00000000-0005-0000-0000-00008D340000}"/>
    <cellStyle name="40% - Accent1 3 2 3 2 2 2" xfId="15450" xr:uid="{00000000-0005-0000-0000-00008E340000}"/>
    <cellStyle name="40% - Accent1 3 2 3 2 2 2 2" xfId="15455" xr:uid="{00000000-0005-0000-0000-00008F340000}"/>
    <cellStyle name="40% - Accent1 3 2 3 2 2 2 2 2" xfId="23922" xr:uid="{00000000-0005-0000-0000-000090340000}"/>
    <cellStyle name="40% - Accent1 3 2 3 2 2 2 2 2 2" xfId="44" xr:uid="{00000000-0005-0000-0000-000091340000}"/>
    <cellStyle name="40% - Accent1 3 2 3 2 2 2 2 3" xfId="15461" xr:uid="{00000000-0005-0000-0000-000092340000}"/>
    <cellStyle name="40% - Accent1 3 2 3 2 2 2 3" xfId="26073" xr:uid="{00000000-0005-0000-0000-000093340000}"/>
    <cellStyle name="40% - Accent1 3 2 3 2 2 2 3 2" xfId="15468" xr:uid="{00000000-0005-0000-0000-000094340000}"/>
    <cellStyle name="40% - Accent1 3 2 3 2 2 2 4" xfId="15472" xr:uid="{00000000-0005-0000-0000-000095340000}"/>
    <cellStyle name="40% - Accent1 3 2 3 2 2 3" xfId="15475" xr:uid="{00000000-0005-0000-0000-000096340000}"/>
    <cellStyle name="40% - Accent1 3 2 3 2 2 3 2" xfId="15476" xr:uid="{00000000-0005-0000-0000-000097340000}"/>
    <cellStyle name="40% - Accent1 3 2 3 2 2 3 2 2" xfId="25022" xr:uid="{00000000-0005-0000-0000-000098340000}"/>
    <cellStyle name="40% - Accent1 3 2 3 2 2 3 3" xfId="15479" xr:uid="{00000000-0005-0000-0000-000099340000}"/>
    <cellStyle name="40% - Accent1 3 2 3 2 2 4" xfId="15485" xr:uid="{00000000-0005-0000-0000-00009A340000}"/>
    <cellStyle name="40% - Accent1 3 2 3 2 2 4 2" xfId="16060" xr:uid="{00000000-0005-0000-0000-00009B340000}"/>
    <cellStyle name="40% - Accent1 3 2 3 2 2 5" xfId="15490" xr:uid="{00000000-0005-0000-0000-00009C340000}"/>
    <cellStyle name="40% - Accent1 3 2 3 2 3" xfId="11211" xr:uid="{00000000-0005-0000-0000-00009D340000}"/>
    <cellStyle name="40% - Accent1 3 2 3 2 3 2" xfId="15496" xr:uid="{00000000-0005-0000-0000-00009E340000}"/>
    <cellStyle name="40% - Accent1 3 2 3 2 3 2 2" xfId="26125" xr:uid="{00000000-0005-0000-0000-00009F340000}"/>
    <cellStyle name="40% - Accent1 3 2 3 2 3 2 2 2" xfId="33670" xr:uid="{00000000-0005-0000-0000-0000A0340000}"/>
    <cellStyle name="40% - Accent1 3 2 3 2 3 2 3" xfId="15502" xr:uid="{00000000-0005-0000-0000-0000A1340000}"/>
    <cellStyle name="40% - Accent1 3 2 3 2 3 3" xfId="12653" xr:uid="{00000000-0005-0000-0000-0000A2340000}"/>
    <cellStyle name="40% - Accent1 3 2 3 2 3 3 2" xfId="15504" xr:uid="{00000000-0005-0000-0000-0000A3340000}"/>
    <cellStyle name="40% - Accent1 3 2 3 2 3 4" xfId="14224" xr:uid="{00000000-0005-0000-0000-0000A4340000}"/>
    <cellStyle name="40% - Accent1 3 2 3 2 4" xfId="15505" xr:uid="{00000000-0005-0000-0000-0000A5340000}"/>
    <cellStyle name="40% - Accent1 3 2 3 2 4 2" xfId="15509" xr:uid="{00000000-0005-0000-0000-0000A6340000}"/>
    <cellStyle name="40% - Accent1 3 2 3 2 4 2 2" xfId="29766" xr:uid="{00000000-0005-0000-0000-0000A7340000}"/>
    <cellStyle name="40% - Accent1 3 2 3 2 4 3" xfId="11513" xr:uid="{00000000-0005-0000-0000-0000A8340000}"/>
    <cellStyle name="40% - Accent1 3 2 3 2 5" xfId="15512" xr:uid="{00000000-0005-0000-0000-0000A9340000}"/>
    <cellStyle name="40% - Accent1 3 2 3 2 5 2" xfId="15517" xr:uid="{00000000-0005-0000-0000-0000AA340000}"/>
    <cellStyle name="40% - Accent1 3 2 3 2 6" xfId="15519" xr:uid="{00000000-0005-0000-0000-0000AB340000}"/>
    <cellStyle name="40% - Accent1 3 2 3 3" xfId="18202" xr:uid="{00000000-0005-0000-0000-0000AC340000}"/>
    <cellStyle name="40% - Accent1 3 2 3 3 2" xfId="11102" xr:uid="{00000000-0005-0000-0000-0000AD340000}"/>
    <cellStyle name="40% - Accent1 3 2 3 3 2 2" xfId="10950" xr:uid="{00000000-0005-0000-0000-0000AE340000}"/>
    <cellStyle name="40% - Accent1 3 2 3 3 2 2 2" xfId="26341" xr:uid="{00000000-0005-0000-0000-0000AF340000}"/>
    <cellStyle name="40% - Accent1 3 2 3 3 2 2 2 2" xfId="15521" xr:uid="{00000000-0005-0000-0000-0000B0340000}"/>
    <cellStyle name="40% - Accent1 3 2 3 3 2 2 3" xfId="11557" xr:uid="{00000000-0005-0000-0000-0000B1340000}"/>
    <cellStyle name="40% - Accent1 3 2 3 3 2 3" xfId="12256" xr:uid="{00000000-0005-0000-0000-0000B2340000}"/>
    <cellStyle name="40% - Accent1 3 2 3 3 2 3 2" xfId="9768" xr:uid="{00000000-0005-0000-0000-0000B3340000}"/>
    <cellStyle name="40% - Accent1 3 2 3 3 2 4" xfId="15525" xr:uid="{00000000-0005-0000-0000-0000B4340000}"/>
    <cellStyle name="40% - Accent1 3 2 3 3 3" xfId="12264" xr:uid="{00000000-0005-0000-0000-0000B5340000}"/>
    <cellStyle name="40% - Accent1 3 2 3 3 3 2" xfId="12269" xr:uid="{00000000-0005-0000-0000-0000B6340000}"/>
    <cellStyle name="40% - Accent1 3 2 3 3 3 2 2" xfId="33462" xr:uid="{00000000-0005-0000-0000-0000B7340000}"/>
    <cellStyle name="40% - Accent1 3 2 3 3 3 3" xfId="11526" xr:uid="{00000000-0005-0000-0000-0000B8340000}"/>
    <cellStyle name="40% - Accent1 3 2 3 3 4" xfId="12274" xr:uid="{00000000-0005-0000-0000-0000B9340000}"/>
    <cellStyle name="40% - Accent1 3 2 3 3 4 2" xfId="15527" xr:uid="{00000000-0005-0000-0000-0000BA340000}"/>
    <cellStyle name="40% - Accent1 3 2 3 3 5" xfId="15531" xr:uid="{00000000-0005-0000-0000-0000BB340000}"/>
    <cellStyle name="40% - Accent1 3 2 3 4" xfId="15534" xr:uid="{00000000-0005-0000-0000-0000BC340000}"/>
    <cellStyle name="40% - Accent1 3 2 3 4 2" xfId="5183" xr:uid="{00000000-0005-0000-0000-0000BD340000}"/>
    <cellStyle name="40% - Accent1 3 2 3 4 2 2" xfId="5582" xr:uid="{00000000-0005-0000-0000-0000BE340000}"/>
    <cellStyle name="40% - Accent1 3 2 3 4 2 2 2" xfId="15535" xr:uid="{00000000-0005-0000-0000-0000BF340000}"/>
    <cellStyle name="40% - Accent1 3 2 3 4 2 3" xfId="14730" xr:uid="{00000000-0005-0000-0000-0000C0340000}"/>
    <cellStyle name="40% - Accent1 3 2 3 4 3" xfId="11534" xr:uid="{00000000-0005-0000-0000-0000C1340000}"/>
    <cellStyle name="40% - Accent1 3 2 3 4 3 2" xfId="11539" xr:uid="{00000000-0005-0000-0000-0000C2340000}"/>
    <cellStyle name="40% - Accent1 3 2 3 4 4" xfId="24816" xr:uid="{00000000-0005-0000-0000-0000C3340000}"/>
    <cellStyle name="40% - Accent1 3 2 3 5" xfId="15537" xr:uid="{00000000-0005-0000-0000-0000C4340000}"/>
    <cellStyle name="40% - Accent1 3 2 3 5 2" xfId="11547" xr:uid="{00000000-0005-0000-0000-0000C5340000}"/>
    <cellStyle name="40% - Accent1 3 2 3 5 2 2" xfId="11551" xr:uid="{00000000-0005-0000-0000-0000C6340000}"/>
    <cellStyle name="40% - Accent1 3 2 3 5 3" xfId="15538" xr:uid="{00000000-0005-0000-0000-0000C7340000}"/>
    <cellStyle name="40% - Accent1 3 2 3 6" xfId="11555" xr:uid="{00000000-0005-0000-0000-0000C8340000}"/>
    <cellStyle name="40% - Accent1 3 2 3 6 2" xfId="11556" xr:uid="{00000000-0005-0000-0000-0000C9340000}"/>
    <cellStyle name="40% - Accent1 3 2 3 7" xfId="7678" xr:uid="{00000000-0005-0000-0000-0000CA340000}"/>
    <cellStyle name="40% - Accent1 3 2 4" xfId="15541" xr:uid="{00000000-0005-0000-0000-0000CB340000}"/>
    <cellStyle name="40% - Accent1 3 2 4 2" xfId="15542" xr:uid="{00000000-0005-0000-0000-0000CC340000}"/>
    <cellStyle name="40% - Accent1 3 2 4 2 2" xfId="14146" xr:uid="{00000000-0005-0000-0000-0000CD340000}"/>
    <cellStyle name="40% - Accent1 3 2 4 2 2 2" xfId="15545" xr:uid="{00000000-0005-0000-0000-0000CE340000}"/>
    <cellStyle name="40% - Accent1 3 2 4 2 2 2 2" xfId="14784" xr:uid="{00000000-0005-0000-0000-0000CF340000}"/>
    <cellStyle name="40% - Accent1 3 2 4 2 2 2 2 2" xfId="21263" xr:uid="{00000000-0005-0000-0000-0000D0340000}"/>
    <cellStyle name="40% - Accent1 3 2 4 2 2 2 3" xfId="14787" xr:uid="{00000000-0005-0000-0000-0000D1340000}"/>
    <cellStyle name="40% - Accent1 3 2 4 2 2 3" xfId="15550" xr:uid="{00000000-0005-0000-0000-0000D2340000}"/>
    <cellStyle name="40% - Accent1 3 2 4 2 2 3 2" xfId="32495" xr:uid="{00000000-0005-0000-0000-0000D3340000}"/>
    <cellStyle name="40% - Accent1 3 2 4 2 2 4" xfId="15552" xr:uid="{00000000-0005-0000-0000-0000D4340000}"/>
    <cellStyle name="40% - Accent1 3 2 4 2 3" xfId="15558" xr:uid="{00000000-0005-0000-0000-0000D5340000}"/>
    <cellStyle name="40% - Accent1 3 2 4 2 3 2" xfId="15560" xr:uid="{00000000-0005-0000-0000-0000D6340000}"/>
    <cellStyle name="40% - Accent1 3 2 4 2 3 2 2" xfId="14814" xr:uid="{00000000-0005-0000-0000-0000D7340000}"/>
    <cellStyle name="40% - Accent1 3 2 4 2 3 3" xfId="14247" xr:uid="{00000000-0005-0000-0000-0000D8340000}"/>
    <cellStyle name="40% - Accent1 3 2 4 2 4" xfId="15565" xr:uid="{00000000-0005-0000-0000-0000D9340000}"/>
    <cellStyle name="40% - Accent1 3 2 4 2 4 2" xfId="15572" xr:uid="{00000000-0005-0000-0000-0000DA340000}"/>
    <cellStyle name="40% - Accent1 3 2 4 2 5" xfId="15579" xr:uid="{00000000-0005-0000-0000-0000DB340000}"/>
    <cellStyle name="40% - Accent1 3 2 4 3" xfId="14153" xr:uid="{00000000-0005-0000-0000-0000DC340000}"/>
    <cellStyle name="40% - Accent1 3 2 4 3 2" xfId="12327" xr:uid="{00000000-0005-0000-0000-0000DD340000}"/>
    <cellStyle name="40% - Accent1 3 2 4 3 2 2" xfId="4259" xr:uid="{00000000-0005-0000-0000-0000DE340000}"/>
    <cellStyle name="40% - Accent1 3 2 4 3 2 2 2" xfId="21940" xr:uid="{00000000-0005-0000-0000-0000DF340000}"/>
    <cellStyle name="40% - Accent1 3 2 4 3 2 3" xfId="15582" xr:uid="{00000000-0005-0000-0000-0000E0340000}"/>
    <cellStyle name="40% - Accent1 3 2 4 3 3" xfId="12332" xr:uid="{00000000-0005-0000-0000-0000E1340000}"/>
    <cellStyle name="40% - Accent1 3 2 4 3 3 2" xfId="15584" xr:uid="{00000000-0005-0000-0000-0000E2340000}"/>
    <cellStyle name="40% - Accent1 3 2 4 3 4" xfId="15590" xr:uid="{00000000-0005-0000-0000-0000E3340000}"/>
    <cellStyle name="40% - Accent1 3 2 4 4" xfId="12927" xr:uid="{00000000-0005-0000-0000-0000E4340000}"/>
    <cellStyle name="40% - Accent1 3 2 4 4 2" xfId="8442" xr:uid="{00000000-0005-0000-0000-0000E5340000}"/>
    <cellStyle name="40% - Accent1 3 2 4 4 2 2" xfId="20496" xr:uid="{00000000-0005-0000-0000-0000E6340000}"/>
    <cellStyle name="40% - Accent1 3 2 4 4 3" xfId="15592" xr:uid="{00000000-0005-0000-0000-0000E7340000}"/>
    <cellStyle name="40% - Accent1 3 2 4 5" xfId="15595" xr:uid="{00000000-0005-0000-0000-0000E8340000}"/>
    <cellStyle name="40% - Accent1 3 2 4 5 2" xfId="7518" xr:uid="{00000000-0005-0000-0000-0000E9340000}"/>
    <cellStyle name="40% - Accent1 3 2 4 6" xfId="11585" xr:uid="{00000000-0005-0000-0000-0000EA340000}"/>
    <cellStyle name="40% - Accent1 3 2 5" xfId="13054" xr:uid="{00000000-0005-0000-0000-0000EB340000}"/>
    <cellStyle name="40% - Accent1 3 2 5 2" xfId="14155" xr:uid="{00000000-0005-0000-0000-0000EC340000}"/>
    <cellStyle name="40% - Accent1 3 2 5 2 2" xfId="15597" xr:uid="{00000000-0005-0000-0000-0000ED340000}"/>
    <cellStyle name="40% - Accent1 3 2 5 2 2 2" xfId="15600" xr:uid="{00000000-0005-0000-0000-0000EE340000}"/>
    <cellStyle name="40% - Accent1 3 2 5 2 2 2 2" xfId="14921" xr:uid="{00000000-0005-0000-0000-0000EF340000}"/>
    <cellStyle name="40% - Accent1 3 2 5 2 2 3" xfId="15601" xr:uid="{00000000-0005-0000-0000-0000F0340000}"/>
    <cellStyle name="40% - Accent1 3 2 5 2 3" xfId="12409" xr:uid="{00000000-0005-0000-0000-0000F1340000}"/>
    <cellStyle name="40% - Accent1 3 2 5 2 3 2" xfId="15604" xr:uid="{00000000-0005-0000-0000-0000F2340000}"/>
    <cellStyle name="40% - Accent1 3 2 5 2 4" xfId="15609" xr:uid="{00000000-0005-0000-0000-0000F3340000}"/>
    <cellStyle name="40% - Accent1 3 2 5 3" xfId="21075" xr:uid="{00000000-0005-0000-0000-0000F4340000}"/>
    <cellStyle name="40% - Accent1 3 2 5 3 2" xfId="12340" xr:uid="{00000000-0005-0000-0000-0000F5340000}"/>
    <cellStyle name="40% - Accent1 3 2 5 3 2 2" xfId="16970" xr:uid="{00000000-0005-0000-0000-0000F6340000}"/>
    <cellStyle name="40% - Accent1 3 2 5 3 3" xfId="15613" xr:uid="{00000000-0005-0000-0000-0000F7340000}"/>
    <cellStyle name="40% - Accent1 3 2 5 4" xfId="15615" xr:uid="{00000000-0005-0000-0000-0000F8340000}"/>
    <cellStyle name="40% - Accent1 3 2 5 4 2" xfId="15617" xr:uid="{00000000-0005-0000-0000-0000F9340000}"/>
    <cellStyle name="40% - Accent1 3 2 5 5" xfId="15619" xr:uid="{00000000-0005-0000-0000-0000FA340000}"/>
    <cellStyle name="40% - Accent1 3 2 6" xfId="12171" xr:uid="{00000000-0005-0000-0000-0000FB340000}"/>
    <cellStyle name="40% - Accent1 3 2 6 2" xfId="15034" xr:uid="{00000000-0005-0000-0000-0000FC340000}"/>
    <cellStyle name="40% - Accent1 3 2 6 2 2" xfId="1121" xr:uid="{00000000-0005-0000-0000-0000FD340000}"/>
    <cellStyle name="40% - Accent1 3 2 6 2 2 2" xfId="15623" xr:uid="{00000000-0005-0000-0000-0000FE340000}"/>
    <cellStyle name="40% - Accent1 3 2 6 2 3" xfId="11615" xr:uid="{00000000-0005-0000-0000-0000FF340000}"/>
    <cellStyle name="40% - Accent1 3 2 6 3" xfId="11619" xr:uid="{00000000-0005-0000-0000-000000350000}"/>
    <cellStyle name="40% - Accent1 3 2 6 3 2" xfId="11621" xr:uid="{00000000-0005-0000-0000-000001350000}"/>
    <cellStyle name="40% - Accent1 3 2 6 4" xfId="11625" xr:uid="{00000000-0005-0000-0000-000002350000}"/>
    <cellStyle name="40% - Accent1 3 2 7" xfId="747" xr:uid="{00000000-0005-0000-0000-000003350000}"/>
    <cellStyle name="40% - Accent1 3 2 7 2" xfId="13692" xr:uid="{00000000-0005-0000-0000-000004350000}"/>
    <cellStyle name="40% - Accent1 3 2 7 2 2" xfId="11942" xr:uid="{00000000-0005-0000-0000-000005350000}"/>
    <cellStyle name="40% - Accent1 3 2 7 3" xfId="11635" xr:uid="{00000000-0005-0000-0000-000006350000}"/>
    <cellStyle name="40% - Accent1 3 2 8" xfId="639" xr:uid="{00000000-0005-0000-0000-000007350000}"/>
    <cellStyle name="40% - Accent1 3 2 8 2" xfId="11637" xr:uid="{00000000-0005-0000-0000-000008350000}"/>
    <cellStyle name="40% - Accent1 3 2 9" xfId="17760" xr:uid="{00000000-0005-0000-0000-000009350000}"/>
    <cellStyle name="40% - Accent1 3 3" xfId="29454" xr:uid="{00000000-0005-0000-0000-00000A350000}"/>
    <cellStyle name="40% - Accent1 3 3 2" xfId="33525" xr:uid="{00000000-0005-0000-0000-00000B350000}"/>
    <cellStyle name="40% - Accent1 3 3 2 2" xfId="15625" xr:uid="{00000000-0005-0000-0000-00000C350000}"/>
    <cellStyle name="40% - Accent1 3 3 2 2 2" xfId="15627" xr:uid="{00000000-0005-0000-0000-00000D350000}"/>
    <cellStyle name="40% - Accent1 3 3 2 2 2 2" xfId="15628" xr:uid="{00000000-0005-0000-0000-00000E350000}"/>
    <cellStyle name="40% - Accent1 3 3 2 2 2 2 2" xfId="15630" xr:uid="{00000000-0005-0000-0000-00000F350000}"/>
    <cellStyle name="40% - Accent1 3 3 2 2 2 2 2 2" xfId="34000" xr:uid="{00000000-0005-0000-0000-000010350000}"/>
    <cellStyle name="40% - Accent1 3 3 2 2 2 2 2 2 2" xfId="15632" xr:uid="{00000000-0005-0000-0000-000011350000}"/>
    <cellStyle name="40% - Accent1 3 3 2 2 2 2 2 3" xfId="26354" xr:uid="{00000000-0005-0000-0000-000012350000}"/>
    <cellStyle name="40% - Accent1 3 3 2 2 2 2 3" xfId="15633" xr:uid="{00000000-0005-0000-0000-000013350000}"/>
    <cellStyle name="40% - Accent1 3 3 2 2 2 2 3 2" xfId="12042" xr:uid="{00000000-0005-0000-0000-000014350000}"/>
    <cellStyle name="40% - Accent1 3 3 2 2 2 2 4" xfId="16738" xr:uid="{00000000-0005-0000-0000-000015350000}"/>
    <cellStyle name="40% - Accent1 3 3 2 2 2 3" xfId="15635" xr:uid="{00000000-0005-0000-0000-000016350000}"/>
    <cellStyle name="40% - Accent1 3 3 2 2 2 3 2" xfId="4381" xr:uid="{00000000-0005-0000-0000-000017350000}"/>
    <cellStyle name="40% - Accent1 3 3 2 2 2 3 2 2" xfId="27226" xr:uid="{00000000-0005-0000-0000-000018350000}"/>
    <cellStyle name="40% - Accent1 3 3 2 2 2 3 3" xfId="4934" xr:uid="{00000000-0005-0000-0000-000019350000}"/>
    <cellStyle name="40% - Accent1 3 3 2 2 2 4" xfId="11042" xr:uid="{00000000-0005-0000-0000-00001A350000}"/>
    <cellStyle name="40% - Accent1 3 3 2 2 2 4 2" xfId="4986" xr:uid="{00000000-0005-0000-0000-00001B350000}"/>
    <cellStyle name="40% - Accent1 3 3 2 2 2 5" xfId="15641" xr:uid="{00000000-0005-0000-0000-00001C350000}"/>
    <cellStyle name="40% - Accent1 3 3 2 2 3" xfId="9923" xr:uid="{00000000-0005-0000-0000-00001D350000}"/>
    <cellStyle name="40% - Accent1 3 3 2 2 3 2" xfId="15644" xr:uid="{00000000-0005-0000-0000-00001E350000}"/>
    <cellStyle name="40% - Accent1 3 3 2 2 3 2 2" xfId="15646" xr:uid="{00000000-0005-0000-0000-00001F350000}"/>
    <cellStyle name="40% - Accent1 3 3 2 2 3 2 2 2" xfId="1380" xr:uid="{00000000-0005-0000-0000-000020350000}"/>
    <cellStyle name="40% - Accent1 3 3 2 2 3 2 3" xfId="31349" xr:uid="{00000000-0005-0000-0000-000021350000}"/>
    <cellStyle name="40% - Accent1 3 3 2 2 3 3" xfId="24330" xr:uid="{00000000-0005-0000-0000-000022350000}"/>
    <cellStyle name="40% - Accent1 3 3 2 2 3 3 2" xfId="5090" xr:uid="{00000000-0005-0000-0000-000023350000}"/>
    <cellStyle name="40% - Accent1 3 3 2 2 3 4" xfId="15652" xr:uid="{00000000-0005-0000-0000-000024350000}"/>
    <cellStyle name="40% - Accent1 3 3 2 2 4" xfId="15654" xr:uid="{00000000-0005-0000-0000-000025350000}"/>
    <cellStyle name="40% - Accent1 3 3 2 2 4 2" xfId="15660" xr:uid="{00000000-0005-0000-0000-000026350000}"/>
    <cellStyle name="40% - Accent1 3 3 2 2 4 2 2" xfId="15663" xr:uid="{00000000-0005-0000-0000-000027350000}"/>
    <cellStyle name="40% - Accent1 3 3 2 2 4 3" xfId="15664" xr:uid="{00000000-0005-0000-0000-000028350000}"/>
    <cellStyle name="40% - Accent1 3 3 2 2 5" xfId="15665" xr:uid="{00000000-0005-0000-0000-000029350000}"/>
    <cellStyle name="40% - Accent1 3 3 2 2 5 2" xfId="15670" xr:uid="{00000000-0005-0000-0000-00002A350000}"/>
    <cellStyle name="40% - Accent1 3 3 2 2 6" xfId="30185" xr:uid="{00000000-0005-0000-0000-00002B350000}"/>
    <cellStyle name="40% - Accent1 3 3 2 3" xfId="19406" xr:uid="{00000000-0005-0000-0000-00002C350000}"/>
    <cellStyle name="40% - Accent1 3 3 2 3 2" xfId="15672" xr:uid="{00000000-0005-0000-0000-00002D350000}"/>
    <cellStyle name="40% - Accent1 3 3 2 3 2 2" xfId="15673" xr:uid="{00000000-0005-0000-0000-00002E350000}"/>
    <cellStyle name="40% - Accent1 3 3 2 3 2 2 2" xfId="15675" xr:uid="{00000000-0005-0000-0000-00002F350000}"/>
    <cellStyle name="40% - Accent1 3 3 2 3 2 2 2 2" xfId="27941" xr:uid="{00000000-0005-0000-0000-000030350000}"/>
    <cellStyle name="40% - Accent1 3 3 2 3 2 2 3" xfId="15680" xr:uid="{00000000-0005-0000-0000-000031350000}"/>
    <cellStyle name="40% - Accent1 3 3 2 3 2 3" xfId="4292" xr:uid="{00000000-0005-0000-0000-000032350000}"/>
    <cellStyle name="40% - Accent1 3 3 2 3 2 3 2" xfId="32253" xr:uid="{00000000-0005-0000-0000-000033350000}"/>
    <cellStyle name="40% - Accent1 3 3 2 3 2 4" xfId="15691" xr:uid="{00000000-0005-0000-0000-000034350000}"/>
    <cellStyle name="40% - Accent1 3 3 2 3 3" xfId="15693" xr:uid="{00000000-0005-0000-0000-000035350000}"/>
    <cellStyle name="40% - Accent1 3 3 2 3 3 2" xfId="27251" xr:uid="{00000000-0005-0000-0000-000036350000}"/>
    <cellStyle name="40% - Accent1 3 3 2 3 3 2 2" xfId="4485" xr:uid="{00000000-0005-0000-0000-000037350000}"/>
    <cellStyle name="40% - Accent1 3 3 2 3 3 3" xfId="15694" xr:uid="{00000000-0005-0000-0000-000038350000}"/>
    <cellStyle name="40% - Accent1 3 3 2 3 4" xfId="15695" xr:uid="{00000000-0005-0000-0000-000039350000}"/>
    <cellStyle name="40% - Accent1 3 3 2 3 4 2" xfId="15698" xr:uid="{00000000-0005-0000-0000-00003A350000}"/>
    <cellStyle name="40% - Accent1 3 3 2 3 5" xfId="15699" xr:uid="{00000000-0005-0000-0000-00003B350000}"/>
    <cellStyle name="40% - Accent1 3 3 2 4" xfId="15700" xr:uid="{00000000-0005-0000-0000-00003C350000}"/>
    <cellStyle name="40% - Accent1 3 3 2 4 2" xfId="15701" xr:uid="{00000000-0005-0000-0000-00003D350000}"/>
    <cellStyle name="40% - Accent1 3 3 2 4 2 2" xfId="5256" xr:uid="{00000000-0005-0000-0000-00003E350000}"/>
    <cellStyle name="40% - Accent1 3 3 2 4 2 2 2" xfId="31929" xr:uid="{00000000-0005-0000-0000-00003F350000}"/>
    <cellStyle name="40% - Accent1 3 3 2 4 2 3" xfId="6141" xr:uid="{00000000-0005-0000-0000-000040350000}"/>
    <cellStyle name="40% - Accent1 3 3 2 4 3" xfId="15702" xr:uid="{00000000-0005-0000-0000-000041350000}"/>
    <cellStyle name="40% - Accent1 3 3 2 4 3 2" xfId="5287" xr:uid="{00000000-0005-0000-0000-000042350000}"/>
    <cellStyle name="40% - Accent1 3 3 2 4 4" xfId="15703" xr:uid="{00000000-0005-0000-0000-000043350000}"/>
    <cellStyle name="40% - Accent1 3 3 2 5" xfId="15704" xr:uid="{00000000-0005-0000-0000-000044350000}"/>
    <cellStyle name="40% - Accent1 3 3 2 5 2" xfId="15706" xr:uid="{00000000-0005-0000-0000-000045350000}"/>
    <cellStyle name="40% - Accent1 3 3 2 5 2 2" xfId="8765" xr:uid="{00000000-0005-0000-0000-000046350000}"/>
    <cellStyle name="40% - Accent1 3 3 2 5 3" xfId="15707" xr:uid="{00000000-0005-0000-0000-000047350000}"/>
    <cellStyle name="40% - Accent1 3 3 2 6" xfId="1946" xr:uid="{00000000-0005-0000-0000-000048350000}"/>
    <cellStyle name="40% - Accent1 3 3 2 6 2" xfId="33731" xr:uid="{00000000-0005-0000-0000-000049350000}"/>
    <cellStyle name="40% - Accent1 3 3 2 7" xfId="1087" xr:uid="{00000000-0005-0000-0000-00004A350000}"/>
    <cellStyle name="40% - Accent1 3 3 3" xfId="15709" xr:uid="{00000000-0005-0000-0000-00004B350000}"/>
    <cellStyle name="40% - Accent1 3 3 3 2" xfId="15710" xr:uid="{00000000-0005-0000-0000-00004C350000}"/>
    <cellStyle name="40% - Accent1 3 3 3 2 2" xfId="28896" xr:uid="{00000000-0005-0000-0000-00004D350000}"/>
    <cellStyle name="40% - Accent1 3 3 3 2 2 2" xfId="15715" xr:uid="{00000000-0005-0000-0000-00004E350000}"/>
    <cellStyle name="40% - Accent1 3 3 3 2 2 2 2" xfId="25827" xr:uid="{00000000-0005-0000-0000-00004F350000}"/>
    <cellStyle name="40% - Accent1 3 3 3 2 2 2 2 2" xfId="15717" xr:uid="{00000000-0005-0000-0000-000050350000}"/>
    <cellStyle name="40% - Accent1 3 3 3 2 2 2 3" xfId="15720" xr:uid="{00000000-0005-0000-0000-000051350000}"/>
    <cellStyle name="40% - Accent1 3 3 3 2 2 3" xfId="15726" xr:uid="{00000000-0005-0000-0000-000052350000}"/>
    <cellStyle name="40% - Accent1 3 3 3 2 2 3 2" xfId="5606" xr:uid="{00000000-0005-0000-0000-000053350000}"/>
    <cellStyle name="40% - Accent1 3 3 3 2 2 4" xfId="15731" xr:uid="{00000000-0005-0000-0000-000054350000}"/>
    <cellStyle name="40% - Accent1 3 3 3 2 3" xfId="15737" xr:uid="{00000000-0005-0000-0000-000055350000}"/>
    <cellStyle name="40% - Accent1 3 3 3 2 3 2" xfId="26617" xr:uid="{00000000-0005-0000-0000-000056350000}"/>
    <cellStyle name="40% - Accent1 3 3 3 2 3 2 2" xfId="2649" xr:uid="{00000000-0005-0000-0000-000057350000}"/>
    <cellStyle name="40% - Accent1 3 3 3 2 3 3" xfId="15745" xr:uid="{00000000-0005-0000-0000-000058350000}"/>
    <cellStyle name="40% - Accent1 3 3 3 2 4" xfId="15748" xr:uid="{00000000-0005-0000-0000-000059350000}"/>
    <cellStyle name="40% - Accent1 3 3 3 2 4 2" xfId="26544" xr:uid="{00000000-0005-0000-0000-00005A350000}"/>
    <cellStyle name="40% - Accent1 3 3 3 2 5" xfId="15753" xr:uid="{00000000-0005-0000-0000-00005B350000}"/>
    <cellStyle name="40% - Accent1 3 3 3 3" xfId="27538" xr:uid="{00000000-0005-0000-0000-00005C350000}"/>
    <cellStyle name="40% - Accent1 3 3 3 3 2" xfId="12389" xr:uid="{00000000-0005-0000-0000-00005D350000}"/>
    <cellStyle name="40% - Accent1 3 3 3 3 2 2" xfId="30165" xr:uid="{00000000-0005-0000-0000-00005E350000}"/>
    <cellStyle name="40% - Accent1 3 3 3 3 2 2 2" xfId="27728" xr:uid="{00000000-0005-0000-0000-00005F350000}"/>
    <cellStyle name="40% - Accent1 3 3 3 3 2 3" xfId="15757" xr:uid="{00000000-0005-0000-0000-000060350000}"/>
    <cellStyle name="40% - Accent1 3 3 3 3 3" xfId="12397" xr:uid="{00000000-0005-0000-0000-000061350000}"/>
    <cellStyle name="40% - Accent1 3 3 3 3 3 2" xfId="15763" xr:uid="{00000000-0005-0000-0000-000062350000}"/>
    <cellStyle name="40% - Accent1 3 3 3 3 4" xfId="15767" xr:uid="{00000000-0005-0000-0000-000063350000}"/>
    <cellStyle name="40% - Accent1 3 3 3 4" xfId="15769" xr:uid="{00000000-0005-0000-0000-000064350000}"/>
    <cellStyle name="40% - Accent1 3 3 3 4 2" xfId="11695" xr:uid="{00000000-0005-0000-0000-000065350000}"/>
    <cellStyle name="40% - Accent1 3 3 3 4 2 2" xfId="9526" xr:uid="{00000000-0005-0000-0000-000066350000}"/>
    <cellStyle name="40% - Accent1 3 3 3 4 3" xfId="15772" xr:uid="{00000000-0005-0000-0000-000067350000}"/>
    <cellStyle name="40% - Accent1 3 3 3 5" xfId="15775" xr:uid="{00000000-0005-0000-0000-000068350000}"/>
    <cellStyle name="40% - Accent1 3 3 3 5 2" xfId="15779" xr:uid="{00000000-0005-0000-0000-000069350000}"/>
    <cellStyle name="40% - Accent1 3 3 3 6" xfId="12922" xr:uid="{00000000-0005-0000-0000-00006A350000}"/>
    <cellStyle name="40% - Accent1 3 3 4" xfId="15781" xr:uid="{00000000-0005-0000-0000-00006B350000}"/>
    <cellStyle name="40% - Accent1 3 3 4 2" xfId="15782" xr:uid="{00000000-0005-0000-0000-00006C350000}"/>
    <cellStyle name="40% - Accent1 3 3 4 2 2" xfId="5362" xr:uid="{00000000-0005-0000-0000-00006D350000}"/>
    <cellStyle name="40% - Accent1 3 3 4 2 2 2" xfId="16996" xr:uid="{00000000-0005-0000-0000-00006E350000}"/>
    <cellStyle name="40% - Accent1 3 3 4 2 2 2 2" xfId="32198" xr:uid="{00000000-0005-0000-0000-00006F350000}"/>
    <cellStyle name="40% - Accent1 3 3 4 2 2 3" xfId="15785" xr:uid="{00000000-0005-0000-0000-000070350000}"/>
    <cellStyle name="40% - Accent1 3 3 4 2 3" xfId="5545" xr:uid="{00000000-0005-0000-0000-000071350000}"/>
    <cellStyle name="40% - Accent1 3 3 4 2 3 2" xfId="15788" xr:uid="{00000000-0005-0000-0000-000072350000}"/>
    <cellStyle name="40% - Accent1 3 3 4 2 4" xfId="15790" xr:uid="{00000000-0005-0000-0000-000073350000}"/>
    <cellStyle name="40% - Accent1 3 3 4 3" xfId="11869" xr:uid="{00000000-0005-0000-0000-000074350000}"/>
    <cellStyle name="40% - Accent1 3 3 4 3 2" xfId="12429" xr:uid="{00000000-0005-0000-0000-000075350000}"/>
    <cellStyle name="40% - Accent1 3 3 4 3 2 2" xfId="15797" xr:uid="{00000000-0005-0000-0000-000076350000}"/>
    <cellStyle name="40% - Accent1 3 3 4 3 3" xfId="15801" xr:uid="{00000000-0005-0000-0000-000077350000}"/>
    <cellStyle name="40% - Accent1 3 3 4 4" xfId="15805" xr:uid="{00000000-0005-0000-0000-000078350000}"/>
    <cellStyle name="40% - Accent1 3 3 4 4 2" xfId="11710" xr:uid="{00000000-0005-0000-0000-000079350000}"/>
    <cellStyle name="40% - Accent1 3 3 4 5" xfId="15808" xr:uid="{00000000-0005-0000-0000-00007A350000}"/>
    <cellStyle name="40% - Accent1 3 3 5" xfId="12179" xr:uid="{00000000-0005-0000-0000-00007B350000}"/>
    <cellStyle name="40% - Accent1 3 3 5 2" xfId="32994" xr:uid="{00000000-0005-0000-0000-00007C350000}"/>
    <cellStyle name="40% - Accent1 3 3 5 2 2" xfId="8589" xr:uid="{00000000-0005-0000-0000-00007D350000}"/>
    <cellStyle name="40% - Accent1 3 3 5 2 2 2" xfId="9810" xr:uid="{00000000-0005-0000-0000-00007E350000}"/>
    <cellStyle name="40% - Accent1 3 3 5 2 3" xfId="15810" xr:uid="{00000000-0005-0000-0000-00007F350000}"/>
    <cellStyle name="40% - Accent1 3 3 5 3" xfId="15813" xr:uid="{00000000-0005-0000-0000-000080350000}"/>
    <cellStyle name="40% - Accent1 3 3 5 3 2" xfId="15815" xr:uid="{00000000-0005-0000-0000-000081350000}"/>
    <cellStyle name="40% - Accent1 3 3 5 4" xfId="24279" xr:uid="{00000000-0005-0000-0000-000082350000}"/>
    <cellStyle name="40% - Accent1 3 3 6" xfId="8793" xr:uid="{00000000-0005-0000-0000-000083350000}"/>
    <cellStyle name="40% - Accent1 3 3 6 2" xfId="11719" xr:uid="{00000000-0005-0000-0000-000084350000}"/>
    <cellStyle name="40% - Accent1 3 3 6 2 2" xfId="11720" xr:uid="{00000000-0005-0000-0000-000085350000}"/>
    <cellStyle name="40% - Accent1 3 3 6 3" xfId="11725" xr:uid="{00000000-0005-0000-0000-000086350000}"/>
    <cellStyle name="40% - Accent1 3 3 7" xfId="298" xr:uid="{00000000-0005-0000-0000-000087350000}"/>
    <cellStyle name="40% - Accent1 3 3 7 2" xfId="11732" xr:uid="{00000000-0005-0000-0000-000088350000}"/>
    <cellStyle name="40% - Accent1 3 3 8" xfId="17777" xr:uid="{00000000-0005-0000-0000-000089350000}"/>
    <cellStyle name="40% - Accent1 3 4" xfId="16397" xr:uid="{00000000-0005-0000-0000-00008A350000}"/>
    <cellStyle name="40% - Accent1 3 4 2" xfId="30200" xr:uid="{00000000-0005-0000-0000-00008B350000}"/>
    <cellStyle name="40% - Accent1 3 4 2 2" xfId="28823" xr:uid="{00000000-0005-0000-0000-00008C350000}"/>
    <cellStyle name="40% - Accent1 3 4 2 2 2" xfId="15817" xr:uid="{00000000-0005-0000-0000-00008D350000}"/>
    <cellStyle name="40% - Accent1 3 4 2 2 2 2" xfId="9393" xr:uid="{00000000-0005-0000-0000-00008E350000}"/>
    <cellStyle name="40% - Accent1 3 4 2 2 2 2 2" xfId="32180" xr:uid="{00000000-0005-0000-0000-00008F350000}"/>
    <cellStyle name="40% - Accent1 3 4 2 2 2 2 2 2" xfId="27096" xr:uid="{00000000-0005-0000-0000-000090350000}"/>
    <cellStyle name="40% - Accent1 3 4 2 2 2 2 3" xfId="15818" xr:uid="{00000000-0005-0000-0000-000091350000}"/>
    <cellStyle name="40% - Accent1 3 4 2 2 2 3" xfId="15820" xr:uid="{00000000-0005-0000-0000-000092350000}"/>
    <cellStyle name="40% - Accent1 3 4 2 2 2 3 2" xfId="15822" xr:uid="{00000000-0005-0000-0000-000093350000}"/>
    <cellStyle name="40% - Accent1 3 4 2 2 2 4" xfId="15824" xr:uid="{00000000-0005-0000-0000-000094350000}"/>
    <cellStyle name="40% - Accent1 3 4 2 2 3" xfId="30153" xr:uid="{00000000-0005-0000-0000-000095350000}"/>
    <cellStyle name="40% - Accent1 3 4 2 2 3 2" xfId="26110" xr:uid="{00000000-0005-0000-0000-000096350000}"/>
    <cellStyle name="40% - Accent1 3 4 2 2 3 2 2" xfId="15826" xr:uid="{00000000-0005-0000-0000-000097350000}"/>
    <cellStyle name="40% - Accent1 3 4 2 2 3 3" xfId="16836" xr:uid="{00000000-0005-0000-0000-000098350000}"/>
    <cellStyle name="40% - Accent1 3 4 2 2 4" xfId="15827" xr:uid="{00000000-0005-0000-0000-000099350000}"/>
    <cellStyle name="40% - Accent1 3 4 2 2 4 2" xfId="28648" xr:uid="{00000000-0005-0000-0000-00009A350000}"/>
    <cellStyle name="40% - Accent1 3 4 2 2 5" xfId="15830" xr:uid="{00000000-0005-0000-0000-00009B350000}"/>
    <cellStyle name="40% - Accent1 3 4 2 3" xfId="15831" xr:uid="{00000000-0005-0000-0000-00009C350000}"/>
    <cellStyle name="40% - Accent1 3 4 2 3 2" xfId="15833" xr:uid="{00000000-0005-0000-0000-00009D350000}"/>
    <cellStyle name="40% - Accent1 3 4 2 3 2 2" xfId="19206" xr:uid="{00000000-0005-0000-0000-00009E350000}"/>
    <cellStyle name="40% - Accent1 3 4 2 3 2 2 2" xfId="15836" xr:uid="{00000000-0005-0000-0000-00009F350000}"/>
    <cellStyle name="40% - Accent1 3 4 2 3 2 3" xfId="33944" xr:uid="{00000000-0005-0000-0000-0000A0350000}"/>
    <cellStyle name="40% - Accent1 3 4 2 3 3" xfId="15837" xr:uid="{00000000-0005-0000-0000-0000A1350000}"/>
    <cellStyle name="40% - Accent1 3 4 2 3 3 2" xfId="3224" xr:uid="{00000000-0005-0000-0000-0000A2350000}"/>
    <cellStyle name="40% - Accent1 3 4 2 3 4" xfId="15839" xr:uid="{00000000-0005-0000-0000-0000A3350000}"/>
    <cellStyle name="40% - Accent1 3 4 2 4" xfId="33704" xr:uid="{00000000-0005-0000-0000-0000A4350000}"/>
    <cellStyle name="40% - Accent1 3 4 2 4 2" xfId="15840" xr:uid="{00000000-0005-0000-0000-0000A5350000}"/>
    <cellStyle name="40% - Accent1 3 4 2 4 2 2" xfId="6015" xr:uid="{00000000-0005-0000-0000-0000A6350000}"/>
    <cellStyle name="40% - Accent1 3 4 2 4 3" xfId="32738" xr:uid="{00000000-0005-0000-0000-0000A7350000}"/>
    <cellStyle name="40% - Accent1 3 4 2 5" xfId="24429" xr:uid="{00000000-0005-0000-0000-0000A8350000}"/>
    <cellStyle name="40% - Accent1 3 4 2 5 2" xfId="27214" xr:uid="{00000000-0005-0000-0000-0000A9350000}"/>
    <cellStyle name="40% - Accent1 3 4 2 6" xfId="1290" xr:uid="{00000000-0005-0000-0000-0000AA350000}"/>
    <cellStyle name="40% - Accent1 3 4 3" xfId="15842" xr:uid="{00000000-0005-0000-0000-0000AB350000}"/>
    <cellStyle name="40% - Accent1 3 4 3 2" xfId="25917" xr:uid="{00000000-0005-0000-0000-0000AC350000}"/>
    <cellStyle name="40% - Accent1 3 4 3 2 2" xfId="15844" xr:uid="{00000000-0005-0000-0000-0000AD350000}"/>
    <cellStyle name="40% - Accent1 3 4 3 2 2 2" xfId="19355" xr:uid="{00000000-0005-0000-0000-0000AE350000}"/>
    <cellStyle name="40% - Accent1 3 4 3 2 2 2 2" xfId="24920" xr:uid="{00000000-0005-0000-0000-0000AF350000}"/>
    <cellStyle name="40% - Accent1 3 4 3 2 2 3" xfId="15846" xr:uid="{00000000-0005-0000-0000-0000B0350000}"/>
    <cellStyle name="40% - Accent1 3 4 3 2 3" xfId="15851" xr:uid="{00000000-0005-0000-0000-0000B1350000}"/>
    <cellStyle name="40% - Accent1 3 4 3 2 3 2" xfId="15855" xr:uid="{00000000-0005-0000-0000-0000B2350000}"/>
    <cellStyle name="40% - Accent1 3 4 3 2 4" xfId="15858" xr:uid="{00000000-0005-0000-0000-0000B3350000}"/>
    <cellStyle name="40% - Accent1 3 4 3 3" xfId="31239" xr:uid="{00000000-0005-0000-0000-0000B4350000}"/>
    <cellStyle name="40% - Accent1 3 4 3 3 2" xfId="12467" xr:uid="{00000000-0005-0000-0000-0000B5350000}"/>
    <cellStyle name="40% - Accent1 3 4 3 3 2 2" xfId="14418" xr:uid="{00000000-0005-0000-0000-0000B6350000}"/>
    <cellStyle name="40% - Accent1 3 4 3 3 3" xfId="15862" xr:uid="{00000000-0005-0000-0000-0000B7350000}"/>
    <cellStyle name="40% - Accent1 3 4 3 4" xfId="15864" xr:uid="{00000000-0005-0000-0000-0000B8350000}"/>
    <cellStyle name="40% - Accent1 3 4 3 4 2" xfId="15867" xr:uid="{00000000-0005-0000-0000-0000B9350000}"/>
    <cellStyle name="40% - Accent1 3 4 3 5" xfId="15870" xr:uid="{00000000-0005-0000-0000-0000BA350000}"/>
    <cellStyle name="40% - Accent1 3 4 4" xfId="15872" xr:uid="{00000000-0005-0000-0000-0000BB350000}"/>
    <cellStyle name="40% - Accent1 3 4 4 2" xfId="15874" xr:uid="{00000000-0005-0000-0000-0000BC350000}"/>
    <cellStyle name="40% - Accent1 3 4 4 2 2" xfId="5402" xr:uid="{00000000-0005-0000-0000-0000BD350000}"/>
    <cellStyle name="40% - Accent1 3 4 4 2 2 2" xfId="15878" xr:uid="{00000000-0005-0000-0000-0000BE350000}"/>
    <cellStyle name="40% - Accent1 3 4 4 2 3" xfId="15883" xr:uid="{00000000-0005-0000-0000-0000BF350000}"/>
    <cellStyle name="40% - Accent1 3 4 4 3" xfId="15888" xr:uid="{00000000-0005-0000-0000-0000C0350000}"/>
    <cellStyle name="40% - Accent1 3 4 4 3 2" xfId="15893" xr:uid="{00000000-0005-0000-0000-0000C1350000}"/>
    <cellStyle name="40% - Accent1 3 4 4 4" xfId="15898" xr:uid="{00000000-0005-0000-0000-0000C2350000}"/>
    <cellStyle name="40% - Accent1 3 4 5" xfId="5967" xr:uid="{00000000-0005-0000-0000-0000C3350000}"/>
    <cellStyle name="40% - Accent1 3 4 5 2" xfId="21891" xr:uid="{00000000-0005-0000-0000-0000C4350000}"/>
    <cellStyle name="40% - Accent1 3 4 5 2 2" xfId="15903" xr:uid="{00000000-0005-0000-0000-0000C5350000}"/>
    <cellStyle name="40% - Accent1 3 4 5 3" xfId="15908" xr:uid="{00000000-0005-0000-0000-0000C6350000}"/>
    <cellStyle name="40% - Accent1 3 4 6" xfId="28844" xr:uid="{00000000-0005-0000-0000-0000C7350000}"/>
    <cellStyle name="40% - Accent1 3 4 6 2" xfId="14532" xr:uid="{00000000-0005-0000-0000-0000C8350000}"/>
    <cellStyle name="40% - Accent1 3 4 7" xfId="13389" xr:uid="{00000000-0005-0000-0000-0000C9350000}"/>
    <cellStyle name="40% - Accent1 3 5" xfId="15910" xr:uid="{00000000-0005-0000-0000-0000CA350000}"/>
    <cellStyle name="40% - Accent1 3 5 2" xfId="15911" xr:uid="{00000000-0005-0000-0000-0000CB350000}"/>
    <cellStyle name="40% - Accent1 3 5 2 2" xfId="9588" xr:uid="{00000000-0005-0000-0000-0000CC350000}"/>
    <cellStyle name="40% - Accent1 3 5 2 2 2" xfId="15912" xr:uid="{00000000-0005-0000-0000-0000CD350000}"/>
    <cellStyle name="40% - Accent1 3 5 2 2 2 2" xfId="984" xr:uid="{00000000-0005-0000-0000-0000CE350000}"/>
    <cellStyle name="40% - Accent1 3 5 2 2 2 2 2" xfId="15913" xr:uid="{00000000-0005-0000-0000-0000CF350000}"/>
    <cellStyle name="40% - Accent1 3 5 2 2 2 3" xfId="15916" xr:uid="{00000000-0005-0000-0000-0000D0350000}"/>
    <cellStyle name="40% - Accent1 3 5 2 2 3" xfId="15918" xr:uid="{00000000-0005-0000-0000-0000D1350000}"/>
    <cellStyle name="40% - Accent1 3 5 2 2 3 2" xfId="15919" xr:uid="{00000000-0005-0000-0000-0000D2350000}"/>
    <cellStyle name="40% - Accent1 3 5 2 2 4" xfId="15920" xr:uid="{00000000-0005-0000-0000-0000D3350000}"/>
    <cellStyle name="40% - Accent1 3 5 2 3" xfId="15921" xr:uid="{00000000-0005-0000-0000-0000D4350000}"/>
    <cellStyle name="40% - Accent1 3 5 2 3 2" xfId="15926" xr:uid="{00000000-0005-0000-0000-0000D5350000}"/>
    <cellStyle name="40% - Accent1 3 5 2 3 2 2" xfId="33268" xr:uid="{00000000-0005-0000-0000-0000D6350000}"/>
    <cellStyle name="40% - Accent1 3 5 2 3 3" xfId="29155" xr:uid="{00000000-0005-0000-0000-0000D7350000}"/>
    <cellStyle name="40% - Accent1 3 5 2 4" xfId="14579" xr:uid="{00000000-0005-0000-0000-0000D8350000}"/>
    <cellStyle name="40% - Accent1 3 5 2 4 2" xfId="29831" xr:uid="{00000000-0005-0000-0000-0000D9350000}"/>
    <cellStyle name="40% - Accent1 3 5 2 5" xfId="14721" xr:uid="{00000000-0005-0000-0000-0000DA350000}"/>
    <cellStyle name="40% - Accent1 3 5 3" xfId="15929" xr:uid="{00000000-0005-0000-0000-0000DB350000}"/>
    <cellStyle name="40% - Accent1 3 5 3 2" xfId="29868" xr:uid="{00000000-0005-0000-0000-0000DC350000}"/>
    <cellStyle name="40% - Accent1 3 5 3 2 2" xfId="4059" xr:uid="{00000000-0005-0000-0000-0000DD350000}"/>
    <cellStyle name="40% - Accent1 3 5 3 2 2 2" xfId="15933" xr:uid="{00000000-0005-0000-0000-0000DE350000}"/>
    <cellStyle name="40% - Accent1 3 5 3 2 3" xfId="18888" xr:uid="{00000000-0005-0000-0000-0000DF350000}"/>
    <cellStyle name="40% - Accent1 3 5 3 3" xfId="15935" xr:uid="{00000000-0005-0000-0000-0000E0350000}"/>
    <cellStyle name="40% - Accent1 3 5 3 3 2" xfId="15939" xr:uid="{00000000-0005-0000-0000-0000E1350000}"/>
    <cellStyle name="40% - Accent1 3 5 3 4" xfId="14587" xr:uid="{00000000-0005-0000-0000-0000E2350000}"/>
    <cellStyle name="40% - Accent1 3 5 4" xfId="15941" xr:uid="{00000000-0005-0000-0000-0000E3350000}"/>
    <cellStyle name="40% - Accent1 3 5 4 2" xfId="15942" xr:uid="{00000000-0005-0000-0000-0000E4350000}"/>
    <cellStyle name="40% - Accent1 3 5 4 2 2" xfId="15945" xr:uid="{00000000-0005-0000-0000-0000E5350000}"/>
    <cellStyle name="40% - Accent1 3 5 4 3" xfId="15951" xr:uid="{00000000-0005-0000-0000-0000E6350000}"/>
    <cellStyle name="40% - Accent1 3 5 5" xfId="30311" xr:uid="{00000000-0005-0000-0000-0000E7350000}"/>
    <cellStyle name="40% - Accent1 3 5 5 2" xfId="2107" xr:uid="{00000000-0005-0000-0000-0000E8350000}"/>
    <cellStyle name="40% - Accent1 3 5 6" xfId="30927" xr:uid="{00000000-0005-0000-0000-0000E9350000}"/>
    <cellStyle name="40% - Accent1 3 6" xfId="15961" xr:uid="{00000000-0005-0000-0000-0000EA350000}"/>
    <cellStyle name="40% - Accent1 3 6 2" xfId="15962" xr:uid="{00000000-0005-0000-0000-0000EB350000}"/>
    <cellStyle name="40% - Accent1 3 6 2 2" xfId="6581" xr:uid="{00000000-0005-0000-0000-0000EC350000}"/>
    <cellStyle name="40% - Accent1 3 6 2 2 2" xfId="15963" xr:uid="{00000000-0005-0000-0000-0000ED350000}"/>
    <cellStyle name="40% - Accent1 3 6 2 2 2 2" xfId="2957" xr:uid="{00000000-0005-0000-0000-0000EE350000}"/>
    <cellStyle name="40% - Accent1 3 6 2 2 3" xfId="15964" xr:uid="{00000000-0005-0000-0000-0000EF350000}"/>
    <cellStyle name="40% - Accent1 3 6 2 3" xfId="12081" xr:uid="{00000000-0005-0000-0000-0000F0350000}"/>
    <cellStyle name="40% - Accent1 3 6 2 3 2" xfId="941" xr:uid="{00000000-0005-0000-0000-0000F1350000}"/>
    <cellStyle name="40% - Accent1 3 6 2 4" xfId="14739" xr:uid="{00000000-0005-0000-0000-0000F2350000}"/>
    <cellStyle name="40% - Accent1 3 6 3" xfId="15966" xr:uid="{00000000-0005-0000-0000-0000F3350000}"/>
    <cellStyle name="40% - Accent1 3 6 3 2" xfId="11747" xr:uid="{00000000-0005-0000-0000-0000F4350000}"/>
    <cellStyle name="40% - Accent1 3 6 3 2 2" xfId="15971" xr:uid="{00000000-0005-0000-0000-0000F5350000}"/>
    <cellStyle name="40% - Accent1 3 6 3 3" xfId="11752" xr:uid="{00000000-0005-0000-0000-0000F6350000}"/>
    <cellStyle name="40% - Accent1 3 6 4" xfId="33932" xr:uid="{00000000-0005-0000-0000-0000F7350000}"/>
    <cellStyle name="40% - Accent1 3 6 4 2" xfId="15973" xr:uid="{00000000-0005-0000-0000-0000F8350000}"/>
    <cellStyle name="40% - Accent1 3 6 5" xfId="31799" xr:uid="{00000000-0005-0000-0000-0000F9350000}"/>
    <cellStyle name="40% - Accent1 3 7" xfId="15975" xr:uid="{00000000-0005-0000-0000-0000FA350000}"/>
    <cellStyle name="40% - Accent1 3 7 2" xfId="7731" xr:uid="{00000000-0005-0000-0000-0000FB350000}"/>
    <cellStyle name="40% - Accent1 3 7 2 2" xfId="25176" xr:uid="{00000000-0005-0000-0000-0000FC350000}"/>
    <cellStyle name="40% - Accent1 3 7 2 2 2" xfId="815" xr:uid="{00000000-0005-0000-0000-0000FD350000}"/>
    <cellStyle name="40% - Accent1 3 7 2 3" xfId="32528" xr:uid="{00000000-0005-0000-0000-0000FE350000}"/>
    <cellStyle name="40% - Accent1 3 7 3" xfId="3261" xr:uid="{00000000-0005-0000-0000-0000FF350000}"/>
    <cellStyle name="40% - Accent1 3 7 3 2" xfId="11757" xr:uid="{00000000-0005-0000-0000-000000360000}"/>
    <cellStyle name="40% - Accent1 3 7 4" xfId="3311" xr:uid="{00000000-0005-0000-0000-000001360000}"/>
    <cellStyle name="40% - Accent1 3 8" xfId="2286" xr:uid="{00000000-0005-0000-0000-000002360000}"/>
    <cellStyle name="40% - Accent1 3 8 2" xfId="11959" xr:uid="{00000000-0005-0000-0000-000003360000}"/>
    <cellStyle name="40% - Accent1 3 8 2 2" xfId="25428" xr:uid="{00000000-0005-0000-0000-000004360000}"/>
    <cellStyle name="40% - Accent1 3 8 3" xfId="1882" xr:uid="{00000000-0005-0000-0000-000005360000}"/>
    <cellStyle name="40% - Accent1 3 9" xfId="5627" xr:uid="{00000000-0005-0000-0000-000006360000}"/>
    <cellStyle name="40% - Accent1 3 9 2" xfId="23035" xr:uid="{00000000-0005-0000-0000-000007360000}"/>
    <cellStyle name="40% - Accent1 4" xfId="4091" xr:uid="{00000000-0005-0000-0000-000008360000}"/>
    <cellStyle name="40% - Accent1 4 2" xfId="15978" xr:uid="{00000000-0005-0000-0000-000009360000}"/>
    <cellStyle name="40% - Accent1 4 2 2" xfId="15979" xr:uid="{00000000-0005-0000-0000-00000A360000}"/>
    <cellStyle name="40% - Accent1 4 2 2 2" xfId="15982" xr:uid="{00000000-0005-0000-0000-00000B360000}"/>
    <cellStyle name="40% - Accent1 4 2 2 2 2" xfId="15983" xr:uid="{00000000-0005-0000-0000-00000C360000}"/>
    <cellStyle name="40% - Accent1 4 2 2 2 2 2" xfId="15988" xr:uid="{00000000-0005-0000-0000-00000D360000}"/>
    <cellStyle name="40% - Accent1 4 2 2 2 2 2 2" xfId="2341" xr:uid="{00000000-0005-0000-0000-00000E360000}"/>
    <cellStyle name="40% - Accent1 4 2 2 2 2 2 2 2" xfId="32201" xr:uid="{00000000-0005-0000-0000-00000F360000}"/>
    <cellStyle name="40% - Accent1 4 2 2 2 2 2 2 2 2" xfId="15991" xr:uid="{00000000-0005-0000-0000-000010360000}"/>
    <cellStyle name="40% - Accent1 4 2 2 2 2 2 2 3" xfId="32021" xr:uid="{00000000-0005-0000-0000-000011360000}"/>
    <cellStyle name="40% - Accent1 4 2 2 2 2 2 3" xfId="3182" xr:uid="{00000000-0005-0000-0000-000012360000}"/>
    <cellStyle name="40% - Accent1 4 2 2 2 2 2 3 2" xfId="31000" xr:uid="{00000000-0005-0000-0000-000013360000}"/>
    <cellStyle name="40% - Accent1 4 2 2 2 2 2 4" xfId="15992" xr:uid="{00000000-0005-0000-0000-000014360000}"/>
    <cellStyle name="40% - Accent1 4 2 2 2 2 3" xfId="14767" xr:uid="{00000000-0005-0000-0000-000015360000}"/>
    <cellStyle name="40% - Accent1 4 2 2 2 2 3 2" xfId="191" xr:uid="{00000000-0005-0000-0000-000016360000}"/>
    <cellStyle name="40% - Accent1 4 2 2 2 2 3 2 2" xfId="6214" xr:uid="{00000000-0005-0000-0000-000017360000}"/>
    <cellStyle name="40% - Accent1 4 2 2 2 2 3 3" xfId="15996" xr:uid="{00000000-0005-0000-0000-000018360000}"/>
    <cellStyle name="40% - Accent1 4 2 2 2 2 4" xfId="13030" xr:uid="{00000000-0005-0000-0000-000019360000}"/>
    <cellStyle name="40% - Accent1 4 2 2 2 2 4 2" xfId="22413" xr:uid="{00000000-0005-0000-0000-00001A360000}"/>
    <cellStyle name="40% - Accent1 4 2 2 2 2 5" xfId="16001" xr:uid="{00000000-0005-0000-0000-00001B360000}"/>
    <cellStyle name="40% - Accent1 4 2 2 2 3" xfId="4009" xr:uid="{00000000-0005-0000-0000-00001C360000}"/>
    <cellStyle name="40% - Accent1 4 2 2 2 3 2" xfId="16003" xr:uid="{00000000-0005-0000-0000-00001D360000}"/>
    <cellStyle name="40% - Accent1 4 2 2 2 3 2 2" xfId="1907" xr:uid="{00000000-0005-0000-0000-00001E360000}"/>
    <cellStyle name="40% - Accent1 4 2 2 2 3 2 2 2" xfId="16005" xr:uid="{00000000-0005-0000-0000-00001F360000}"/>
    <cellStyle name="40% - Accent1 4 2 2 2 3 2 3" xfId="32915" xr:uid="{00000000-0005-0000-0000-000020360000}"/>
    <cellStyle name="40% - Accent1 4 2 2 2 3 3" xfId="5313" xr:uid="{00000000-0005-0000-0000-000021360000}"/>
    <cellStyle name="40% - Accent1 4 2 2 2 3 3 2" xfId="16009" xr:uid="{00000000-0005-0000-0000-000022360000}"/>
    <cellStyle name="40% - Accent1 4 2 2 2 3 4" xfId="16012" xr:uid="{00000000-0005-0000-0000-000023360000}"/>
    <cellStyle name="40% - Accent1 4 2 2 2 4" xfId="16015" xr:uid="{00000000-0005-0000-0000-000024360000}"/>
    <cellStyle name="40% - Accent1 4 2 2 2 4 2" xfId="16016" xr:uid="{00000000-0005-0000-0000-000025360000}"/>
    <cellStyle name="40% - Accent1 4 2 2 2 4 2 2" xfId="16348" xr:uid="{00000000-0005-0000-0000-000026360000}"/>
    <cellStyle name="40% - Accent1 4 2 2 2 4 3" xfId="16017" xr:uid="{00000000-0005-0000-0000-000027360000}"/>
    <cellStyle name="40% - Accent1 4 2 2 2 5" xfId="7998" xr:uid="{00000000-0005-0000-0000-000028360000}"/>
    <cellStyle name="40% - Accent1 4 2 2 2 5 2" xfId="16019" xr:uid="{00000000-0005-0000-0000-000029360000}"/>
    <cellStyle name="40% - Accent1 4 2 2 2 6" xfId="8003" xr:uid="{00000000-0005-0000-0000-00002A360000}"/>
    <cellStyle name="40% - Accent1 4 2 2 3" xfId="24762" xr:uid="{00000000-0005-0000-0000-00002B360000}"/>
    <cellStyle name="40% - Accent1 4 2 2 3 2" xfId="16020" xr:uid="{00000000-0005-0000-0000-00002C360000}"/>
    <cellStyle name="40% - Accent1 4 2 2 3 2 2" xfId="16024" xr:uid="{00000000-0005-0000-0000-00002D360000}"/>
    <cellStyle name="40% - Accent1 4 2 2 3 2 2 2" xfId="30294" xr:uid="{00000000-0005-0000-0000-00002E360000}"/>
    <cellStyle name="40% - Accent1 4 2 2 3 2 2 2 2" xfId="16028" xr:uid="{00000000-0005-0000-0000-00002F360000}"/>
    <cellStyle name="40% - Accent1 4 2 2 3 2 2 3" xfId="16032" xr:uid="{00000000-0005-0000-0000-000030360000}"/>
    <cellStyle name="40% - Accent1 4 2 2 3 2 3" xfId="13044" xr:uid="{00000000-0005-0000-0000-000031360000}"/>
    <cellStyle name="40% - Accent1 4 2 2 3 2 3 2" xfId="16040" xr:uid="{00000000-0005-0000-0000-000032360000}"/>
    <cellStyle name="40% - Accent1 4 2 2 3 2 4" xfId="15453" xr:uid="{00000000-0005-0000-0000-000033360000}"/>
    <cellStyle name="40% - Accent1 4 2 2 3 3" xfId="16043" xr:uid="{00000000-0005-0000-0000-000034360000}"/>
    <cellStyle name="40% - Accent1 4 2 2 3 3 2" xfId="16044" xr:uid="{00000000-0005-0000-0000-000035360000}"/>
    <cellStyle name="40% - Accent1 4 2 2 3 3 2 2" xfId="709" xr:uid="{00000000-0005-0000-0000-000036360000}"/>
    <cellStyle name="40% - Accent1 4 2 2 3 3 3" xfId="16048" xr:uid="{00000000-0005-0000-0000-000037360000}"/>
    <cellStyle name="40% - Accent1 4 2 2 3 4" xfId="16050" xr:uid="{00000000-0005-0000-0000-000038360000}"/>
    <cellStyle name="40% - Accent1 4 2 2 3 4 2" xfId="16053" xr:uid="{00000000-0005-0000-0000-000039360000}"/>
    <cellStyle name="40% - Accent1 4 2 2 3 5" xfId="8006" xr:uid="{00000000-0005-0000-0000-00003A360000}"/>
    <cellStyle name="40% - Accent1 4 2 2 4" xfId="16055" xr:uid="{00000000-0005-0000-0000-00003B360000}"/>
    <cellStyle name="40% - Accent1 4 2 2 4 2" xfId="16056" xr:uid="{00000000-0005-0000-0000-00003C360000}"/>
    <cellStyle name="40% - Accent1 4 2 2 4 2 2" xfId="1415" xr:uid="{00000000-0005-0000-0000-00003D360000}"/>
    <cellStyle name="40% - Accent1 4 2 2 4 2 2 2" xfId="16057" xr:uid="{00000000-0005-0000-0000-00003E360000}"/>
    <cellStyle name="40% - Accent1 4 2 2 4 2 3" xfId="7969" xr:uid="{00000000-0005-0000-0000-00003F360000}"/>
    <cellStyle name="40% - Accent1 4 2 2 4 3" xfId="16062" xr:uid="{00000000-0005-0000-0000-000040360000}"/>
    <cellStyle name="40% - Accent1 4 2 2 4 3 2" xfId="4881" xr:uid="{00000000-0005-0000-0000-000041360000}"/>
    <cellStyle name="40% - Accent1 4 2 2 4 4" xfId="16063" xr:uid="{00000000-0005-0000-0000-000042360000}"/>
    <cellStyle name="40% - Accent1 4 2 2 5" xfId="33545" xr:uid="{00000000-0005-0000-0000-000043360000}"/>
    <cellStyle name="40% - Accent1 4 2 2 5 2" xfId="16064" xr:uid="{00000000-0005-0000-0000-000044360000}"/>
    <cellStyle name="40% - Accent1 4 2 2 5 2 2" xfId="9108" xr:uid="{00000000-0005-0000-0000-000045360000}"/>
    <cellStyle name="40% - Accent1 4 2 2 5 3" xfId="16065" xr:uid="{00000000-0005-0000-0000-000046360000}"/>
    <cellStyle name="40% - Accent1 4 2 2 6" xfId="10552" xr:uid="{00000000-0005-0000-0000-000047360000}"/>
    <cellStyle name="40% - Accent1 4 2 2 6 2" xfId="1526" xr:uid="{00000000-0005-0000-0000-000048360000}"/>
    <cellStyle name="40% - Accent1 4 2 2 7" xfId="10557" xr:uid="{00000000-0005-0000-0000-000049360000}"/>
    <cellStyle name="40% - Accent1 4 2 3" xfId="16067" xr:uid="{00000000-0005-0000-0000-00004A360000}"/>
    <cellStyle name="40% - Accent1 4 2 3 2" xfId="16068" xr:uid="{00000000-0005-0000-0000-00004B360000}"/>
    <cellStyle name="40% - Accent1 4 2 3 2 2" xfId="2251" xr:uid="{00000000-0005-0000-0000-00004C360000}"/>
    <cellStyle name="40% - Accent1 4 2 3 2 2 2" xfId="16074" xr:uid="{00000000-0005-0000-0000-00004D360000}"/>
    <cellStyle name="40% - Accent1 4 2 3 2 2 2 2" xfId="2477" xr:uid="{00000000-0005-0000-0000-00004E360000}"/>
    <cellStyle name="40% - Accent1 4 2 3 2 2 2 2 2" xfId="16077" xr:uid="{00000000-0005-0000-0000-00004F360000}"/>
    <cellStyle name="40% - Accent1 4 2 3 2 2 2 3" xfId="16079" xr:uid="{00000000-0005-0000-0000-000050360000}"/>
    <cellStyle name="40% - Accent1 4 2 3 2 2 3" xfId="13063" xr:uid="{00000000-0005-0000-0000-000051360000}"/>
    <cellStyle name="40% - Accent1 4 2 3 2 2 3 2" xfId="18810" xr:uid="{00000000-0005-0000-0000-000052360000}"/>
    <cellStyle name="40% - Accent1 4 2 3 2 2 4" xfId="16088" xr:uid="{00000000-0005-0000-0000-000053360000}"/>
    <cellStyle name="40% - Accent1 4 2 3 2 3" xfId="16094" xr:uid="{00000000-0005-0000-0000-000054360000}"/>
    <cellStyle name="40% - Accent1 4 2 3 2 3 2" xfId="11906" xr:uid="{00000000-0005-0000-0000-000055360000}"/>
    <cellStyle name="40% - Accent1 4 2 3 2 3 2 2" xfId="16096" xr:uid="{00000000-0005-0000-0000-000056360000}"/>
    <cellStyle name="40% - Accent1 4 2 3 2 3 3" xfId="12096" xr:uid="{00000000-0005-0000-0000-000057360000}"/>
    <cellStyle name="40% - Accent1 4 2 3 2 4" xfId="16099" xr:uid="{00000000-0005-0000-0000-000058360000}"/>
    <cellStyle name="40% - Accent1 4 2 3 2 4 2" xfId="12100" xr:uid="{00000000-0005-0000-0000-000059360000}"/>
    <cellStyle name="40% - Accent1 4 2 3 2 5" xfId="8009" xr:uid="{00000000-0005-0000-0000-00005A360000}"/>
    <cellStyle name="40% - Accent1 4 2 3 3" xfId="16102" xr:uid="{00000000-0005-0000-0000-00005B360000}"/>
    <cellStyle name="40% - Accent1 4 2 3 3 2" xfId="13913" xr:uid="{00000000-0005-0000-0000-00005C360000}"/>
    <cellStyle name="40% - Accent1 4 2 3 3 2 2" xfId="13916" xr:uid="{00000000-0005-0000-0000-00005D360000}"/>
    <cellStyle name="40% - Accent1 4 2 3 3 2 2 2" xfId="16103" xr:uid="{00000000-0005-0000-0000-00005E360000}"/>
    <cellStyle name="40% - Accent1 4 2 3 3 2 3" xfId="13845" xr:uid="{00000000-0005-0000-0000-00005F360000}"/>
    <cellStyle name="40% - Accent1 4 2 3 3 3" xfId="13919" xr:uid="{00000000-0005-0000-0000-000060360000}"/>
    <cellStyle name="40% - Accent1 4 2 3 3 3 2" xfId="13921" xr:uid="{00000000-0005-0000-0000-000061360000}"/>
    <cellStyle name="40% - Accent1 4 2 3 3 4" xfId="13924" xr:uid="{00000000-0005-0000-0000-000062360000}"/>
    <cellStyle name="40% - Accent1 4 2 3 4" xfId="16108" xr:uid="{00000000-0005-0000-0000-000063360000}"/>
    <cellStyle name="40% - Accent1 4 2 3 4 2" xfId="12104" xr:uid="{00000000-0005-0000-0000-000064360000}"/>
    <cellStyle name="40% - Accent1 4 2 3 4 2 2" xfId="12107" xr:uid="{00000000-0005-0000-0000-000065360000}"/>
    <cellStyle name="40% - Accent1 4 2 3 4 3" xfId="12111" xr:uid="{00000000-0005-0000-0000-000066360000}"/>
    <cellStyle name="40% - Accent1 4 2 3 5" xfId="16111" xr:uid="{00000000-0005-0000-0000-000067360000}"/>
    <cellStyle name="40% - Accent1 4 2 3 5 2" xfId="12115" xr:uid="{00000000-0005-0000-0000-000068360000}"/>
    <cellStyle name="40% - Accent1 4 2 3 6" xfId="12116" xr:uid="{00000000-0005-0000-0000-000069360000}"/>
    <cellStyle name="40% - Accent1 4 2 4" xfId="16114" xr:uid="{00000000-0005-0000-0000-00006A360000}"/>
    <cellStyle name="40% - Accent1 4 2 4 2" xfId="3756" xr:uid="{00000000-0005-0000-0000-00006B360000}"/>
    <cellStyle name="40% - Accent1 4 2 4 2 2" xfId="10368" xr:uid="{00000000-0005-0000-0000-00006C360000}"/>
    <cellStyle name="40% - Accent1 4 2 4 2 2 2" xfId="16115" xr:uid="{00000000-0005-0000-0000-00006D360000}"/>
    <cellStyle name="40% - Accent1 4 2 4 2 2 2 2" xfId="16739" xr:uid="{00000000-0005-0000-0000-00006E360000}"/>
    <cellStyle name="40% - Accent1 4 2 4 2 2 3" xfId="16117" xr:uid="{00000000-0005-0000-0000-00006F360000}"/>
    <cellStyle name="40% - Accent1 4 2 4 2 3" xfId="16120" xr:uid="{00000000-0005-0000-0000-000070360000}"/>
    <cellStyle name="40% - Accent1 4 2 4 2 3 2" xfId="7130" xr:uid="{00000000-0005-0000-0000-000071360000}"/>
    <cellStyle name="40% - Accent1 4 2 4 2 4" xfId="16122" xr:uid="{00000000-0005-0000-0000-000072360000}"/>
    <cellStyle name="40% - Accent1 4 2 4 3" xfId="12944" xr:uid="{00000000-0005-0000-0000-000073360000}"/>
    <cellStyle name="40% - Accent1 4 2 4 3 2" xfId="13947" xr:uid="{00000000-0005-0000-0000-000074360000}"/>
    <cellStyle name="40% - Accent1 4 2 4 3 2 2" xfId="13949" xr:uid="{00000000-0005-0000-0000-000075360000}"/>
    <cellStyle name="40% - Accent1 4 2 4 3 3" xfId="13951" xr:uid="{00000000-0005-0000-0000-000076360000}"/>
    <cellStyle name="40% - Accent1 4 2 4 4" xfId="28800" xr:uid="{00000000-0005-0000-0000-000077360000}"/>
    <cellStyle name="40% - Accent1 4 2 4 4 2" xfId="5374" xr:uid="{00000000-0005-0000-0000-000078360000}"/>
    <cellStyle name="40% - Accent1 4 2 4 5" xfId="30518" xr:uid="{00000000-0005-0000-0000-000079360000}"/>
    <cellStyle name="40% - Accent1 4 2 5" xfId="23971" xr:uid="{00000000-0005-0000-0000-00007A360000}"/>
    <cellStyle name="40% - Accent1 4 2 5 2" xfId="3776" xr:uid="{00000000-0005-0000-0000-00007B360000}"/>
    <cellStyle name="40% - Accent1 4 2 5 2 2" xfId="16126" xr:uid="{00000000-0005-0000-0000-00007C360000}"/>
    <cellStyle name="40% - Accent1 4 2 5 2 2 2" xfId="16127" xr:uid="{00000000-0005-0000-0000-00007D360000}"/>
    <cellStyle name="40% - Accent1 4 2 5 2 3" xfId="16129" xr:uid="{00000000-0005-0000-0000-00007E360000}"/>
    <cellStyle name="40% - Accent1 4 2 5 3" xfId="16131" xr:uid="{00000000-0005-0000-0000-00007F360000}"/>
    <cellStyle name="40% - Accent1 4 2 5 3 2" xfId="13999" xr:uid="{00000000-0005-0000-0000-000080360000}"/>
    <cellStyle name="40% - Accent1 4 2 5 4" xfId="28828" xr:uid="{00000000-0005-0000-0000-000081360000}"/>
    <cellStyle name="40% - Accent1 4 2 6" xfId="16133" xr:uid="{00000000-0005-0000-0000-000082360000}"/>
    <cellStyle name="40% - Accent1 4 2 6 2" xfId="20330" xr:uid="{00000000-0005-0000-0000-000083360000}"/>
    <cellStyle name="40% - Accent1 4 2 6 2 2" xfId="11086" xr:uid="{00000000-0005-0000-0000-000084360000}"/>
    <cellStyle name="40% - Accent1 4 2 6 3" xfId="12125" xr:uid="{00000000-0005-0000-0000-000085360000}"/>
    <cellStyle name="40% - Accent1 4 2 7" xfId="327" xr:uid="{00000000-0005-0000-0000-000086360000}"/>
    <cellStyle name="40% - Accent1 4 2 7 2" xfId="12132" xr:uid="{00000000-0005-0000-0000-000087360000}"/>
    <cellStyle name="40% - Accent1 4 2 8" xfId="17826" xr:uid="{00000000-0005-0000-0000-000088360000}"/>
    <cellStyle name="40% - Accent1 4 3" xfId="33608" xr:uid="{00000000-0005-0000-0000-000089360000}"/>
    <cellStyle name="40% - Accent1 4 3 2" xfId="16134" xr:uid="{00000000-0005-0000-0000-00008A360000}"/>
    <cellStyle name="40% - Accent1 4 3 2 2" xfId="31624" xr:uid="{00000000-0005-0000-0000-00008B360000}"/>
    <cellStyle name="40% - Accent1 4 3 2 2 2" xfId="16135" xr:uid="{00000000-0005-0000-0000-00008C360000}"/>
    <cellStyle name="40% - Accent1 4 3 2 2 2 2" xfId="16138" xr:uid="{00000000-0005-0000-0000-00008D360000}"/>
    <cellStyle name="40% - Accent1 4 3 2 2 2 2 2" xfId="5318" xr:uid="{00000000-0005-0000-0000-00008E360000}"/>
    <cellStyle name="40% - Accent1 4 3 2 2 2 2 2 2" xfId="19173" xr:uid="{00000000-0005-0000-0000-00008F360000}"/>
    <cellStyle name="40% - Accent1 4 3 2 2 2 2 3" xfId="5328" xr:uid="{00000000-0005-0000-0000-000090360000}"/>
    <cellStyle name="40% - Accent1 4 3 2 2 2 3" xfId="13229" xr:uid="{00000000-0005-0000-0000-000091360000}"/>
    <cellStyle name="40% - Accent1 4 3 2 2 2 3 2" xfId="5341" xr:uid="{00000000-0005-0000-0000-000092360000}"/>
    <cellStyle name="40% - Accent1 4 3 2 2 2 4" xfId="13011" xr:uid="{00000000-0005-0000-0000-000093360000}"/>
    <cellStyle name="40% - Accent1 4 3 2 2 3" xfId="16143" xr:uid="{00000000-0005-0000-0000-000094360000}"/>
    <cellStyle name="40% - Accent1 4 3 2 2 3 2" xfId="16147" xr:uid="{00000000-0005-0000-0000-000095360000}"/>
    <cellStyle name="40% - Accent1 4 3 2 2 3 2 2" xfId="5450" xr:uid="{00000000-0005-0000-0000-000096360000}"/>
    <cellStyle name="40% - Accent1 4 3 2 2 3 3" xfId="30081" xr:uid="{00000000-0005-0000-0000-000097360000}"/>
    <cellStyle name="40% - Accent1 4 3 2 2 4" xfId="16150" xr:uid="{00000000-0005-0000-0000-000098360000}"/>
    <cellStyle name="40% - Accent1 4 3 2 2 4 2" xfId="16154" xr:uid="{00000000-0005-0000-0000-000099360000}"/>
    <cellStyle name="40% - Accent1 4 3 2 2 5" xfId="8015" xr:uid="{00000000-0005-0000-0000-00009A360000}"/>
    <cellStyle name="40% - Accent1 4 3 2 3" xfId="29067" xr:uid="{00000000-0005-0000-0000-00009B360000}"/>
    <cellStyle name="40% - Accent1 4 3 2 3 2" xfId="16156" xr:uid="{00000000-0005-0000-0000-00009C360000}"/>
    <cellStyle name="40% - Accent1 4 3 2 3 2 2" xfId="27659" xr:uid="{00000000-0005-0000-0000-00009D360000}"/>
    <cellStyle name="40% - Accent1 4 3 2 3 2 2 2" xfId="5674" xr:uid="{00000000-0005-0000-0000-00009E360000}"/>
    <cellStyle name="40% - Accent1 4 3 2 3 2 3" xfId="24061" xr:uid="{00000000-0005-0000-0000-00009F360000}"/>
    <cellStyle name="40% - Accent1 4 3 2 3 3" xfId="2468" xr:uid="{00000000-0005-0000-0000-0000A0360000}"/>
    <cellStyle name="40% - Accent1 4 3 2 3 3 2" xfId="16158" xr:uid="{00000000-0005-0000-0000-0000A1360000}"/>
    <cellStyle name="40% - Accent1 4 3 2 3 4" xfId="16159" xr:uid="{00000000-0005-0000-0000-0000A2360000}"/>
    <cellStyle name="40% - Accent1 4 3 2 4" xfId="16160" xr:uid="{00000000-0005-0000-0000-0000A3360000}"/>
    <cellStyle name="40% - Accent1 4 3 2 4 2" xfId="25171" xr:uid="{00000000-0005-0000-0000-0000A4360000}"/>
    <cellStyle name="40% - Accent1 4 3 2 4 2 2" xfId="8058" xr:uid="{00000000-0005-0000-0000-0000A5360000}"/>
    <cellStyle name="40% - Accent1 4 3 2 4 3" xfId="29485" xr:uid="{00000000-0005-0000-0000-0000A6360000}"/>
    <cellStyle name="40% - Accent1 4 3 2 5" xfId="16162" xr:uid="{00000000-0005-0000-0000-0000A7360000}"/>
    <cellStyle name="40% - Accent1 4 3 2 5 2" xfId="16163" xr:uid="{00000000-0005-0000-0000-0000A8360000}"/>
    <cellStyle name="40% - Accent1 4 3 2 6" xfId="15460" xr:uid="{00000000-0005-0000-0000-0000A9360000}"/>
    <cellStyle name="40% - Accent1 4 3 3" xfId="16164" xr:uid="{00000000-0005-0000-0000-0000AA360000}"/>
    <cellStyle name="40% - Accent1 4 3 3 2" xfId="16166" xr:uid="{00000000-0005-0000-0000-0000AB360000}"/>
    <cellStyle name="40% - Accent1 4 3 3 2 2" xfId="16169" xr:uid="{00000000-0005-0000-0000-0000AC360000}"/>
    <cellStyle name="40% - Accent1 4 3 3 2 2 2" xfId="16178" xr:uid="{00000000-0005-0000-0000-0000AD360000}"/>
    <cellStyle name="40% - Accent1 4 3 3 2 2 2 2" xfId="6628" xr:uid="{00000000-0005-0000-0000-0000AE360000}"/>
    <cellStyle name="40% - Accent1 4 3 3 2 2 3" xfId="16184" xr:uid="{00000000-0005-0000-0000-0000AF360000}"/>
    <cellStyle name="40% - Accent1 4 3 3 2 3" xfId="16186" xr:uid="{00000000-0005-0000-0000-0000B0360000}"/>
    <cellStyle name="40% - Accent1 4 3 3 2 3 2" xfId="12151" xr:uid="{00000000-0005-0000-0000-0000B1360000}"/>
    <cellStyle name="40% - Accent1 4 3 3 2 4" xfId="16188" xr:uid="{00000000-0005-0000-0000-0000B2360000}"/>
    <cellStyle name="40% - Accent1 4 3 3 3" xfId="16190" xr:uid="{00000000-0005-0000-0000-0000B3360000}"/>
    <cellStyle name="40% - Accent1 4 3 3 3 2" xfId="14063" xr:uid="{00000000-0005-0000-0000-0000B4360000}"/>
    <cellStyle name="40% - Accent1 4 3 3 3 2 2" xfId="14068" xr:uid="{00000000-0005-0000-0000-0000B5360000}"/>
    <cellStyle name="40% - Accent1 4 3 3 3 3" xfId="14073" xr:uid="{00000000-0005-0000-0000-0000B6360000}"/>
    <cellStyle name="40% - Accent1 4 3 3 4" xfId="16192" xr:uid="{00000000-0005-0000-0000-0000B7360000}"/>
    <cellStyle name="40% - Accent1 4 3 3 4 2" xfId="12157" xr:uid="{00000000-0005-0000-0000-0000B8360000}"/>
    <cellStyle name="40% - Accent1 4 3 3 5" xfId="16195" xr:uid="{00000000-0005-0000-0000-0000B9360000}"/>
    <cellStyle name="40% - Accent1 4 3 4" xfId="16197" xr:uid="{00000000-0005-0000-0000-0000BA360000}"/>
    <cellStyle name="40% - Accent1 4 3 4 2" xfId="3894" xr:uid="{00000000-0005-0000-0000-0000BB360000}"/>
    <cellStyle name="40% - Accent1 4 3 4 2 2" xfId="8296" xr:uid="{00000000-0005-0000-0000-0000BC360000}"/>
    <cellStyle name="40% - Accent1 4 3 4 2 2 2" xfId="16200" xr:uid="{00000000-0005-0000-0000-0000BD360000}"/>
    <cellStyle name="40% - Accent1 4 3 4 2 3" xfId="24646" xr:uid="{00000000-0005-0000-0000-0000BE360000}"/>
    <cellStyle name="40% - Accent1 4 3 4 3" xfId="16202" xr:uid="{00000000-0005-0000-0000-0000BF360000}"/>
    <cellStyle name="40% - Accent1 4 3 4 3 2" xfId="14108" xr:uid="{00000000-0005-0000-0000-0000C0360000}"/>
    <cellStyle name="40% - Accent1 4 3 4 4" xfId="31109" xr:uid="{00000000-0005-0000-0000-0000C1360000}"/>
    <cellStyle name="40% - Accent1 4 3 5" xfId="8825" xr:uid="{00000000-0005-0000-0000-0000C2360000}"/>
    <cellStyle name="40% - Accent1 4 3 5 2" xfId="16205" xr:uid="{00000000-0005-0000-0000-0000C3360000}"/>
    <cellStyle name="40% - Accent1 4 3 5 2 2" xfId="16207" xr:uid="{00000000-0005-0000-0000-0000C4360000}"/>
    <cellStyle name="40% - Accent1 4 3 5 3" xfId="16209" xr:uid="{00000000-0005-0000-0000-0000C5360000}"/>
    <cellStyle name="40% - Accent1 4 3 6" xfId="3837" xr:uid="{00000000-0005-0000-0000-0000C6360000}"/>
    <cellStyle name="40% - Accent1 4 3 6 2" xfId="12164" xr:uid="{00000000-0005-0000-0000-0000C7360000}"/>
    <cellStyle name="40% - Accent1 4 3 7" xfId="16142" xr:uid="{00000000-0005-0000-0000-0000C8360000}"/>
    <cellStyle name="40% - Accent1 4 4" xfId="26253" xr:uid="{00000000-0005-0000-0000-0000C9360000}"/>
    <cellStyle name="40% - Accent1 4 4 2" xfId="16211" xr:uid="{00000000-0005-0000-0000-0000CA360000}"/>
    <cellStyle name="40% - Accent1 4 4 2 2" xfId="20439" xr:uid="{00000000-0005-0000-0000-0000CB360000}"/>
    <cellStyle name="40% - Accent1 4 4 2 2 2" xfId="16215" xr:uid="{00000000-0005-0000-0000-0000CC360000}"/>
    <cellStyle name="40% - Accent1 4 4 2 2 2 2" xfId="16217" xr:uid="{00000000-0005-0000-0000-0000CD360000}"/>
    <cellStyle name="40% - Accent1 4 4 2 2 2 2 2" xfId="4268" xr:uid="{00000000-0005-0000-0000-0000CE360000}"/>
    <cellStyle name="40% - Accent1 4 4 2 2 2 3" xfId="23117" xr:uid="{00000000-0005-0000-0000-0000CF360000}"/>
    <cellStyle name="40% - Accent1 4 4 2 2 3" xfId="23575" xr:uid="{00000000-0005-0000-0000-0000D0360000}"/>
    <cellStyle name="40% - Accent1 4 4 2 2 3 2" xfId="32039" xr:uid="{00000000-0005-0000-0000-0000D1360000}"/>
    <cellStyle name="40% - Accent1 4 4 2 2 4" xfId="16" xr:uid="{00000000-0005-0000-0000-0000D2360000}"/>
    <cellStyle name="40% - Accent1 4 4 2 3" xfId="33135" xr:uid="{00000000-0005-0000-0000-0000D3360000}"/>
    <cellStyle name="40% - Accent1 4 4 2 3 2" xfId="16218" xr:uid="{00000000-0005-0000-0000-0000D4360000}"/>
    <cellStyle name="40% - Accent1 4 4 2 3 2 2" xfId="14866" xr:uid="{00000000-0005-0000-0000-0000D5360000}"/>
    <cellStyle name="40% - Accent1 4 4 2 3 3" xfId="16221" xr:uid="{00000000-0005-0000-0000-0000D6360000}"/>
    <cellStyle name="40% - Accent1 4 4 2 4" xfId="16222" xr:uid="{00000000-0005-0000-0000-0000D7360000}"/>
    <cellStyle name="40% - Accent1 4 4 2 4 2" xfId="16225" xr:uid="{00000000-0005-0000-0000-0000D8360000}"/>
    <cellStyle name="40% - Accent1 4 4 2 5" xfId="16229" xr:uid="{00000000-0005-0000-0000-0000D9360000}"/>
    <cellStyle name="40% - Accent1 4 4 3" xfId="16232" xr:uid="{00000000-0005-0000-0000-0000DA360000}"/>
    <cellStyle name="40% - Accent1 4 4 3 2" xfId="32055" xr:uid="{00000000-0005-0000-0000-0000DB360000}"/>
    <cellStyle name="40% - Accent1 4 4 3 2 2" xfId="16237" xr:uid="{00000000-0005-0000-0000-0000DC360000}"/>
    <cellStyle name="40% - Accent1 4 4 3 2 2 2" xfId="10477" xr:uid="{00000000-0005-0000-0000-0000DD360000}"/>
    <cellStyle name="40% - Accent1 4 4 3 2 3" xfId="16239" xr:uid="{00000000-0005-0000-0000-0000DE360000}"/>
    <cellStyle name="40% - Accent1 4 4 3 3" xfId="16241" xr:uid="{00000000-0005-0000-0000-0000DF360000}"/>
    <cellStyle name="40% - Accent1 4 4 3 3 2" xfId="10484" xr:uid="{00000000-0005-0000-0000-0000E0360000}"/>
    <cellStyle name="40% - Accent1 4 4 3 4" xfId="16244" xr:uid="{00000000-0005-0000-0000-0000E1360000}"/>
    <cellStyle name="40% - Accent1 4 4 4" xfId="16247" xr:uid="{00000000-0005-0000-0000-0000E2360000}"/>
    <cellStyle name="40% - Accent1 4 4 4 2" xfId="16251" xr:uid="{00000000-0005-0000-0000-0000E3360000}"/>
    <cellStyle name="40% - Accent1 4 4 4 2 2" xfId="16258" xr:uid="{00000000-0005-0000-0000-0000E4360000}"/>
    <cellStyle name="40% - Accent1 4 4 4 3" xfId="16260" xr:uid="{00000000-0005-0000-0000-0000E5360000}"/>
    <cellStyle name="40% - Accent1 4 4 5" xfId="27935" xr:uid="{00000000-0005-0000-0000-0000E6360000}"/>
    <cellStyle name="40% - Accent1 4 4 5 2" xfId="16264" xr:uid="{00000000-0005-0000-0000-0000E7360000}"/>
    <cellStyle name="40% - Accent1 4 4 6" xfId="3857" xr:uid="{00000000-0005-0000-0000-0000E8360000}"/>
    <cellStyle name="40% - Accent1 4 5" xfId="16266" xr:uid="{00000000-0005-0000-0000-0000E9360000}"/>
    <cellStyle name="40% - Accent1 4 5 2" xfId="16267" xr:uid="{00000000-0005-0000-0000-0000EA360000}"/>
    <cellStyle name="40% - Accent1 4 5 2 2" xfId="33444" xr:uid="{00000000-0005-0000-0000-0000EB360000}"/>
    <cellStyle name="40% - Accent1 4 5 2 2 2" xfId="33448" xr:uid="{00000000-0005-0000-0000-0000EC360000}"/>
    <cellStyle name="40% - Accent1 4 5 2 2 2 2" xfId="16270" xr:uid="{00000000-0005-0000-0000-0000ED360000}"/>
    <cellStyle name="40% - Accent1 4 5 2 2 3" xfId="16271" xr:uid="{00000000-0005-0000-0000-0000EE360000}"/>
    <cellStyle name="40% - Accent1 4 5 2 3" xfId="16274" xr:uid="{00000000-0005-0000-0000-0000EF360000}"/>
    <cellStyle name="40% - Accent1 4 5 2 3 2" xfId="16277" xr:uid="{00000000-0005-0000-0000-0000F0360000}"/>
    <cellStyle name="40% - Accent1 4 5 2 4" xfId="14669" xr:uid="{00000000-0005-0000-0000-0000F1360000}"/>
    <cellStyle name="40% - Accent1 4 5 3" xfId="31135" xr:uid="{00000000-0005-0000-0000-0000F2360000}"/>
    <cellStyle name="40% - Accent1 4 5 3 2" xfId="16278" xr:uid="{00000000-0005-0000-0000-0000F3360000}"/>
    <cellStyle name="40% - Accent1 4 5 3 2 2" xfId="15383" xr:uid="{00000000-0005-0000-0000-0000F4360000}"/>
    <cellStyle name="40% - Accent1 4 5 3 3" xfId="16283" xr:uid="{00000000-0005-0000-0000-0000F5360000}"/>
    <cellStyle name="40% - Accent1 4 5 4" xfId="16286" xr:uid="{00000000-0005-0000-0000-0000F6360000}"/>
    <cellStyle name="40% - Accent1 4 5 4 2" xfId="16288" xr:uid="{00000000-0005-0000-0000-0000F7360000}"/>
    <cellStyle name="40% - Accent1 4 5 5" xfId="16290" xr:uid="{00000000-0005-0000-0000-0000F8360000}"/>
    <cellStyle name="40% - Accent1 4 6" xfId="16292" xr:uid="{00000000-0005-0000-0000-0000F9360000}"/>
    <cellStyle name="40% - Accent1 4 6 2" xfId="21160" xr:uid="{00000000-0005-0000-0000-0000FA360000}"/>
    <cellStyle name="40% - Accent1 4 6 2 2" xfId="31853" xr:uid="{00000000-0005-0000-0000-0000FB360000}"/>
    <cellStyle name="40% - Accent1 4 6 2 2 2" xfId="23352" xr:uid="{00000000-0005-0000-0000-0000FC360000}"/>
    <cellStyle name="40% - Accent1 4 6 2 3" xfId="14750" xr:uid="{00000000-0005-0000-0000-0000FD360000}"/>
    <cellStyle name="40% - Accent1 4 6 3" xfId="1384" xr:uid="{00000000-0005-0000-0000-0000FE360000}"/>
    <cellStyle name="40% - Accent1 4 6 3 2" xfId="30148" xr:uid="{00000000-0005-0000-0000-0000FF360000}"/>
    <cellStyle name="40% - Accent1 4 6 4" xfId="16295" xr:uid="{00000000-0005-0000-0000-000000370000}"/>
    <cellStyle name="40% - Accent1 4 7" xfId="16297" xr:uid="{00000000-0005-0000-0000-000001370000}"/>
    <cellStyle name="40% - Accent1 4 7 2" xfId="1709" xr:uid="{00000000-0005-0000-0000-000002370000}"/>
    <cellStyle name="40% - Accent1 4 7 2 2" xfId="1088" xr:uid="{00000000-0005-0000-0000-000003370000}"/>
    <cellStyle name="40% - Accent1 4 7 3" xfId="5108" xr:uid="{00000000-0005-0000-0000-000004370000}"/>
    <cellStyle name="40% - Accent1 4 8" xfId="1991" xr:uid="{00000000-0005-0000-0000-000005370000}"/>
    <cellStyle name="40% - Accent1 4 8 2" xfId="2312" xr:uid="{00000000-0005-0000-0000-000006370000}"/>
    <cellStyle name="40% - Accent1 4 9" xfId="2322" xr:uid="{00000000-0005-0000-0000-000007370000}"/>
    <cellStyle name="40% - Accent1 5" xfId="5490" xr:uid="{00000000-0005-0000-0000-000008370000}"/>
    <cellStyle name="40% - Accent1 5 2" xfId="16298" xr:uid="{00000000-0005-0000-0000-000009370000}"/>
    <cellStyle name="40% - Accent1 5 2 2" xfId="16301" xr:uid="{00000000-0005-0000-0000-00000A370000}"/>
    <cellStyle name="40% - Accent1 5 2 2 2" xfId="4825" xr:uid="{00000000-0005-0000-0000-00000B370000}"/>
    <cellStyle name="40% - Accent1 5 2 2 2 2" xfId="4827" xr:uid="{00000000-0005-0000-0000-00000C370000}"/>
    <cellStyle name="40% - Accent1 5 2 2 2 2 2" xfId="16302" xr:uid="{00000000-0005-0000-0000-00000D370000}"/>
    <cellStyle name="40% - Accent1 5 2 2 2 2 2 2" xfId="17322" xr:uid="{00000000-0005-0000-0000-00000E370000}"/>
    <cellStyle name="40% - Accent1 5 2 2 2 2 2 2 2" xfId="4162" xr:uid="{00000000-0005-0000-0000-00000F370000}"/>
    <cellStyle name="40% - Accent1 5 2 2 2 2 2 3" xfId="16305" xr:uid="{00000000-0005-0000-0000-000010370000}"/>
    <cellStyle name="40% - Accent1 5 2 2 2 2 3" xfId="25444" xr:uid="{00000000-0005-0000-0000-000011370000}"/>
    <cellStyle name="40% - Accent1 5 2 2 2 2 3 2" xfId="16307" xr:uid="{00000000-0005-0000-0000-000012370000}"/>
    <cellStyle name="40% - Accent1 5 2 2 2 2 4" xfId="16308" xr:uid="{00000000-0005-0000-0000-000013370000}"/>
    <cellStyle name="40% - Accent1 5 2 2 2 3" xfId="2136" xr:uid="{00000000-0005-0000-0000-000014370000}"/>
    <cellStyle name="40% - Accent1 5 2 2 2 3 2" xfId="2143" xr:uid="{00000000-0005-0000-0000-000015370000}"/>
    <cellStyle name="40% - Accent1 5 2 2 2 3 2 2" xfId="16310" xr:uid="{00000000-0005-0000-0000-000016370000}"/>
    <cellStyle name="40% - Accent1 5 2 2 2 3 3" xfId="6225" xr:uid="{00000000-0005-0000-0000-000017370000}"/>
    <cellStyle name="40% - Accent1 5 2 2 2 4" xfId="707" xr:uid="{00000000-0005-0000-0000-000018370000}"/>
    <cellStyle name="40% - Accent1 5 2 2 2 4 2" xfId="6246" xr:uid="{00000000-0005-0000-0000-000019370000}"/>
    <cellStyle name="40% - Accent1 5 2 2 2 5" xfId="6267" xr:uid="{00000000-0005-0000-0000-00001A370000}"/>
    <cellStyle name="40% - Accent1 5 2 2 3" xfId="3287" xr:uid="{00000000-0005-0000-0000-00001B370000}"/>
    <cellStyle name="40% - Accent1 5 2 2 3 2" xfId="21825" xr:uid="{00000000-0005-0000-0000-00001C370000}"/>
    <cellStyle name="40% - Accent1 5 2 2 3 2 2" xfId="21827" xr:uid="{00000000-0005-0000-0000-00001D370000}"/>
    <cellStyle name="40% - Accent1 5 2 2 3 2 2 2" xfId="467" xr:uid="{00000000-0005-0000-0000-00001E370000}"/>
    <cellStyle name="40% - Accent1 5 2 2 3 2 3" xfId="28578" xr:uid="{00000000-0005-0000-0000-00001F370000}"/>
    <cellStyle name="40% - Accent1 5 2 2 3 3" xfId="21829" xr:uid="{00000000-0005-0000-0000-000020370000}"/>
    <cellStyle name="40% - Accent1 5 2 2 3 3 2" xfId="3125" xr:uid="{00000000-0005-0000-0000-000021370000}"/>
    <cellStyle name="40% - Accent1 5 2 2 3 4" xfId="6281" xr:uid="{00000000-0005-0000-0000-000022370000}"/>
    <cellStyle name="40% - Accent1 5 2 2 4" xfId="30406" xr:uid="{00000000-0005-0000-0000-000023370000}"/>
    <cellStyle name="40% - Accent1 5 2 2 4 2" xfId="21838" xr:uid="{00000000-0005-0000-0000-000024370000}"/>
    <cellStyle name="40% - Accent1 5 2 2 4 2 2" xfId="27059" xr:uid="{00000000-0005-0000-0000-000025370000}"/>
    <cellStyle name="40% - Accent1 5 2 2 4 3" xfId="14330" xr:uid="{00000000-0005-0000-0000-000026370000}"/>
    <cellStyle name="40% - Accent1 5 2 2 5" xfId="16311" xr:uid="{00000000-0005-0000-0000-000027370000}"/>
    <cellStyle name="40% - Accent1 5 2 2 5 2" xfId="16312" xr:uid="{00000000-0005-0000-0000-000028370000}"/>
    <cellStyle name="40% - Accent1 5 2 2 6" xfId="10775" xr:uid="{00000000-0005-0000-0000-000029370000}"/>
    <cellStyle name="40% - Accent1 5 2 3" xfId="16314" xr:uid="{00000000-0005-0000-0000-00002A370000}"/>
    <cellStyle name="40% - Accent1 5 2 3 2" xfId="3297" xr:uid="{00000000-0005-0000-0000-00002B370000}"/>
    <cellStyle name="40% - Accent1 5 2 3 2 2" xfId="16315" xr:uid="{00000000-0005-0000-0000-00002C370000}"/>
    <cellStyle name="40% - Accent1 5 2 3 2 2 2" xfId="6139" xr:uid="{00000000-0005-0000-0000-00002D370000}"/>
    <cellStyle name="40% - Accent1 5 2 3 2 2 2 2" xfId="4046" xr:uid="{00000000-0005-0000-0000-00002E370000}"/>
    <cellStyle name="40% - Accent1 5 2 3 2 2 3" xfId="12304" xr:uid="{00000000-0005-0000-0000-00002F370000}"/>
    <cellStyle name="40% - Accent1 5 2 3 2 3" xfId="2284" xr:uid="{00000000-0005-0000-0000-000030370000}"/>
    <cellStyle name="40% - Accent1 5 2 3 2 3 2" xfId="12312" xr:uid="{00000000-0005-0000-0000-000031370000}"/>
    <cellStyle name="40% - Accent1 5 2 3 2 4" xfId="12321" xr:uid="{00000000-0005-0000-0000-000032370000}"/>
    <cellStyle name="40% - Accent1 5 2 3 3" xfId="16319" xr:uid="{00000000-0005-0000-0000-000033370000}"/>
    <cellStyle name="40% - Accent1 5 2 3 3 2" xfId="21851" xr:uid="{00000000-0005-0000-0000-000034370000}"/>
    <cellStyle name="40% - Accent1 5 2 3 3 2 2" xfId="12071" xr:uid="{00000000-0005-0000-0000-000035370000}"/>
    <cellStyle name="40% - Accent1 5 2 3 3 3" xfId="12323" xr:uid="{00000000-0005-0000-0000-000036370000}"/>
    <cellStyle name="40% - Accent1 5 2 3 4" xfId="12325" xr:uid="{00000000-0005-0000-0000-000037370000}"/>
    <cellStyle name="40% - Accent1 5 2 3 4 2" xfId="16320" xr:uid="{00000000-0005-0000-0000-000038370000}"/>
    <cellStyle name="40% - Accent1 5 2 3 5" xfId="12330" xr:uid="{00000000-0005-0000-0000-000039370000}"/>
    <cellStyle name="40% - Accent1 5 2 4" xfId="16323" xr:uid="{00000000-0005-0000-0000-00003A370000}"/>
    <cellStyle name="40% - Accent1 5 2 4 2" xfId="9220" xr:uid="{00000000-0005-0000-0000-00003B370000}"/>
    <cellStyle name="40% - Accent1 5 2 4 2 2" xfId="16327" xr:uid="{00000000-0005-0000-0000-00003C370000}"/>
    <cellStyle name="40% - Accent1 5 2 4 2 2 2" xfId="9878" xr:uid="{00000000-0005-0000-0000-00003D370000}"/>
    <cellStyle name="40% - Accent1 5 2 4 2 3" xfId="1056" xr:uid="{00000000-0005-0000-0000-00003E370000}"/>
    <cellStyle name="40% - Accent1 5 2 4 3" xfId="16331" xr:uid="{00000000-0005-0000-0000-00003F370000}"/>
    <cellStyle name="40% - Accent1 5 2 4 3 2" xfId="16333" xr:uid="{00000000-0005-0000-0000-000040370000}"/>
    <cellStyle name="40% - Accent1 5 2 4 4" xfId="30191" xr:uid="{00000000-0005-0000-0000-000041370000}"/>
    <cellStyle name="40% - Accent1 5 2 5" xfId="16335" xr:uid="{00000000-0005-0000-0000-000042370000}"/>
    <cellStyle name="40% - Accent1 5 2 5 2" xfId="16336" xr:uid="{00000000-0005-0000-0000-000043370000}"/>
    <cellStyle name="40% - Accent1 5 2 5 2 2" xfId="16339" xr:uid="{00000000-0005-0000-0000-000044370000}"/>
    <cellStyle name="40% - Accent1 5 2 5 3" xfId="16341" xr:uid="{00000000-0005-0000-0000-000045370000}"/>
    <cellStyle name="40% - Accent1 5 2 6" xfId="16343" xr:uid="{00000000-0005-0000-0000-000046370000}"/>
    <cellStyle name="40% - Accent1 5 2 6 2" xfId="7670" xr:uid="{00000000-0005-0000-0000-000047370000}"/>
    <cellStyle name="40% - Accent1 5 2 7" xfId="13415" xr:uid="{00000000-0005-0000-0000-000048370000}"/>
    <cellStyle name="40% - Accent1 5 3" xfId="8124" xr:uid="{00000000-0005-0000-0000-000049370000}"/>
    <cellStyle name="40% - Accent1 5 3 2" xfId="9444" xr:uid="{00000000-0005-0000-0000-00004A370000}"/>
    <cellStyle name="40% - Accent1 5 3 2 2" xfId="3316" xr:uid="{00000000-0005-0000-0000-00004B370000}"/>
    <cellStyle name="40% - Accent1 5 3 2 2 2" xfId="16345" xr:uid="{00000000-0005-0000-0000-00004C370000}"/>
    <cellStyle name="40% - Accent1 5 3 2 2 2 2" xfId="16347" xr:uid="{00000000-0005-0000-0000-00004D370000}"/>
    <cellStyle name="40% - Accent1 5 3 2 2 2 2 2" xfId="16350" xr:uid="{00000000-0005-0000-0000-00004E370000}"/>
    <cellStyle name="40% - Accent1 5 3 2 2 2 3" xfId="16352" xr:uid="{00000000-0005-0000-0000-00004F370000}"/>
    <cellStyle name="40% - Accent1 5 3 2 2 3" xfId="818" xr:uid="{00000000-0005-0000-0000-000050370000}"/>
    <cellStyle name="40% - Accent1 5 3 2 2 3 2" xfId="8718" xr:uid="{00000000-0005-0000-0000-000051370000}"/>
    <cellStyle name="40% - Accent1 5 3 2 2 4" xfId="1585" xr:uid="{00000000-0005-0000-0000-000052370000}"/>
    <cellStyle name="40% - Accent1 5 3 2 3" xfId="16353" xr:uid="{00000000-0005-0000-0000-000053370000}"/>
    <cellStyle name="40% - Accent1 5 3 2 3 2" xfId="32601" xr:uid="{00000000-0005-0000-0000-000054370000}"/>
    <cellStyle name="40% - Accent1 5 3 2 3 2 2" xfId="24955" xr:uid="{00000000-0005-0000-0000-000055370000}"/>
    <cellStyle name="40% - Accent1 5 3 2 3 3" xfId="1046" xr:uid="{00000000-0005-0000-0000-000056370000}"/>
    <cellStyle name="40% - Accent1 5 3 2 4" xfId="16355" xr:uid="{00000000-0005-0000-0000-000057370000}"/>
    <cellStyle name="40% - Accent1 5 3 2 4 2" xfId="16356" xr:uid="{00000000-0005-0000-0000-000058370000}"/>
    <cellStyle name="40% - Accent1 5 3 2 5" xfId="6596" xr:uid="{00000000-0005-0000-0000-000059370000}"/>
    <cellStyle name="40% - Accent1 5 3 3" xfId="1785" xr:uid="{00000000-0005-0000-0000-00005A370000}"/>
    <cellStyle name="40% - Accent1 5 3 3 2" xfId="16358" xr:uid="{00000000-0005-0000-0000-00005B370000}"/>
    <cellStyle name="40% - Accent1 5 3 3 2 2" xfId="16362" xr:uid="{00000000-0005-0000-0000-00005C370000}"/>
    <cellStyle name="40% - Accent1 5 3 3 2 2 2" xfId="13025" xr:uid="{00000000-0005-0000-0000-00005D370000}"/>
    <cellStyle name="40% - Accent1 5 3 3 2 3" xfId="5890" xr:uid="{00000000-0005-0000-0000-00005E370000}"/>
    <cellStyle name="40% - Accent1 5 3 3 3" xfId="22216" xr:uid="{00000000-0005-0000-0000-00005F370000}"/>
    <cellStyle name="40% - Accent1 5 3 3 3 2" xfId="16365" xr:uid="{00000000-0005-0000-0000-000060370000}"/>
    <cellStyle name="40% - Accent1 5 3 3 4" xfId="12338" xr:uid="{00000000-0005-0000-0000-000061370000}"/>
    <cellStyle name="40% - Accent1 5 3 4" xfId="16366" xr:uid="{00000000-0005-0000-0000-000062370000}"/>
    <cellStyle name="40% - Accent1 5 3 4 2" xfId="16371" xr:uid="{00000000-0005-0000-0000-000063370000}"/>
    <cellStyle name="40% - Accent1 5 3 4 2 2" xfId="16374" xr:uid="{00000000-0005-0000-0000-000064370000}"/>
    <cellStyle name="40% - Accent1 5 3 4 3" xfId="16376" xr:uid="{00000000-0005-0000-0000-000065370000}"/>
    <cellStyle name="40% - Accent1 5 3 5" xfId="16378" xr:uid="{00000000-0005-0000-0000-000066370000}"/>
    <cellStyle name="40% - Accent1 5 3 5 2" xfId="16380" xr:uid="{00000000-0005-0000-0000-000067370000}"/>
    <cellStyle name="40% - Accent1 5 3 6" xfId="3865" xr:uid="{00000000-0005-0000-0000-000068370000}"/>
    <cellStyle name="40% - Accent1 5 4" xfId="1763" xr:uid="{00000000-0005-0000-0000-000069370000}"/>
    <cellStyle name="40% - Accent1 5 4 2" xfId="9181" xr:uid="{00000000-0005-0000-0000-00006A370000}"/>
    <cellStyle name="40% - Accent1 5 4 2 2" xfId="16383" xr:uid="{00000000-0005-0000-0000-00006B370000}"/>
    <cellStyle name="40% - Accent1 5 4 2 2 2" xfId="16387" xr:uid="{00000000-0005-0000-0000-00006C370000}"/>
    <cellStyle name="40% - Accent1 5 4 2 2 2 2" xfId="23389" xr:uid="{00000000-0005-0000-0000-00006D370000}"/>
    <cellStyle name="40% - Accent1 5 4 2 2 3" xfId="24149" xr:uid="{00000000-0005-0000-0000-00006E370000}"/>
    <cellStyle name="40% - Accent1 5 4 2 3" xfId="16388" xr:uid="{00000000-0005-0000-0000-00006F370000}"/>
    <cellStyle name="40% - Accent1 5 4 2 3 2" xfId="16390" xr:uid="{00000000-0005-0000-0000-000070370000}"/>
    <cellStyle name="40% - Accent1 5 4 2 4" xfId="16391" xr:uid="{00000000-0005-0000-0000-000071370000}"/>
    <cellStyle name="40% - Accent1 5 4 3" xfId="1714" xr:uid="{00000000-0005-0000-0000-000072370000}"/>
    <cellStyle name="40% - Accent1 5 4 3 2" xfId="16398" xr:uid="{00000000-0005-0000-0000-000073370000}"/>
    <cellStyle name="40% - Accent1 5 4 3 2 2" xfId="16402" xr:uid="{00000000-0005-0000-0000-000074370000}"/>
    <cellStyle name="40% - Accent1 5 4 3 3" xfId="16404" xr:uid="{00000000-0005-0000-0000-000075370000}"/>
    <cellStyle name="40% - Accent1 5 4 4" xfId="16406" xr:uid="{00000000-0005-0000-0000-000076370000}"/>
    <cellStyle name="40% - Accent1 5 4 4 2" xfId="3386" xr:uid="{00000000-0005-0000-0000-000077370000}"/>
    <cellStyle name="40% - Accent1 5 4 5" xfId="16408" xr:uid="{00000000-0005-0000-0000-000078370000}"/>
    <cellStyle name="40% - Accent1 5 5" xfId="2258" xr:uid="{00000000-0005-0000-0000-000079370000}"/>
    <cellStyle name="40% - Accent1 5 5 2" xfId="6763" xr:uid="{00000000-0005-0000-0000-00007A370000}"/>
    <cellStyle name="40% - Accent1 5 5 2 2" xfId="16410" xr:uid="{00000000-0005-0000-0000-00007B370000}"/>
    <cellStyle name="40% - Accent1 5 5 2 2 2" xfId="16414" xr:uid="{00000000-0005-0000-0000-00007C370000}"/>
    <cellStyle name="40% - Accent1 5 5 2 3" xfId="16415" xr:uid="{00000000-0005-0000-0000-00007D370000}"/>
    <cellStyle name="40% - Accent1 5 5 3" xfId="16417" xr:uid="{00000000-0005-0000-0000-00007E370000}"/>
    <cellStyle name="40% - Accent1 5 5 3 2" xfId="16423" xr:uid="{00000000-0005-0000-0000-00007F370000}"/>
    <cellStyle name="40% - Accent1 5 5 4" xfId="16426" xr:uid="{00000000-0005-0000-0000-000080370000}"/>
    <cellStyle name="40% - Accent1 5 6" xfId="16429" xr:uid="{00000000-0005-0000-0000-000081370000}"/>
    <cellStyle name="40% - Accent1 5 6 2" xfId="13905" xr:uid="{00000000-0005-0000-0000-000082370000}"/>
    <cellStyle name="40% - Accent1 5 6 2 2" xfId="16430" xr:uid="{00000000-0005-0000-0000-000083370000}"/>
    <cellStyle name="40% - Accent1 5 6 3" xfId="16433" xr:uid="{00000000-0005-0000-0000-000084370000}"/>
    <cellStyle name="40% - Accent1 5 7" xfId="16437" xr:uid="{00000000-0005-0000-0000-000085370000}"/>
    <cellStyle name="40% - Accent1 5 7 2" xfId="13911" xr:uid="{00000000-0005-0000-0000-000086370000}"/>
    <cellStyle name="40% - Accent1 5 8" xfId="7864" xr:uid="{00000000-0005-0000-0000-000087370000}"/>
    <cellStyle name="40% - Accent1 6" xfId="16259" xr:uid="{00000000-0005-0000-0000-000088370000}"/>
    <cellStyle name="40% - Accent1 6 2" xfId="607" xr:uid="{00000000-0005-0000-0000-000089370000}"/>
    <cellStyle name="40% - Accent1 6 2 2" xfId="16439" xr:uid="{00000000-0005-0000-0000-00008A370000}"/>
    <cellStyle name="40% - Accent1 6 2 2 2" xfId="3345" xr:uid="{00000000-0005-0000-0000-00008B370000}"/>
    <cellStyle name="40% - Accent1 6 2 2 2 2" xfId="16010" xr:uid="{00000000-0005-0000-0000-00008C370000}"/>
    <cellStyle name="40% - Accent1 6 2 2 2 2 2" xfId="15958" xr:uid="{00000000-0005-0000-0000-00008D370000}"/>
    <cellStyle name="40% - Accent1 6 2 2 2 2 2 2" xfId="16440" xr:uid="{00000000-0005-0000-0000-00008E370000}"/>
    <cellStyle name="40% - Accent1 6 2 2 2 2 3" xfId="13948" xr:uid="{00000000-0005-0000-0000-00008F370000}"/>
    <cellStyle name="40% - Accent1 6 2 2 2 3" xfId="16441" xr:uid="{00000000-0005-0000-0000-000090370000}"/>
    <cellStyle name="40% - Accent1 6 2 2 2 3 2" xfId="4170" xr:uid="{00000000-0005-0000-0000-000091370000}"/>
    <cellStyle name="40% - Accent1 6 2 2 2 4" xfId="16442" xr:uid="{00000000-0005-0000-0000-000092370000}"/>
    <cellStyle name="40% - Accent1 6 2 2 3" xfId="27508" xr:uid="{00000000-0005-0000-0000-000093370000}"/>
    <cellStyle name="40% - Accent1 6 2 2 3 2" xfId="24940" xr:uid="{00000000-0005-0000-0000-000094370000}"/>
    <cellStyle name="40% - Accent1 6 2 2 3 2 2" xfId="13993" xr:uid="{00000000-0005-0000-0000-000095370000}"/>
    <cellStyle name="40% - Accent1 6 2 2 3 3" xfId="16443" xr:uid="{00000000-0005-0000-0000-000096370000}"/>
    <cellStyle name="40% - Accent1 6 2 2 4" xfId="16444" xr:uid="{00000000-0005-0000-0000-000097370000}"/>
    <cellStyle name="40% - Accent1 6 2 2 4 2" xfId="16445" xr:uid="{00000000-0005-0000-0000-000098370000}"/>
    <cellStyle name="40% - Accent1 6 2 2 5" xfId="16446" xr:uid="{00000000-0005-0000-0000-000099370000}"/>
    <cellStyle name="40% - Accent1 6 2 3" xfId="16448" xr:uid="{00000000-0005-0000-0000-00009A370000}"/>
    <cellStyle name="40% - Accent1 6 2 3 2" xfId="16451" xr:uid="{00000000-0005-0000-0000-00009B370000}"/>
    <cellStyle name="40% - Accent1 6 2 3 2 2" xfId="16455" xr:uid="{00000000-0005-0000-0000-00009C370000}"/>
    <cellStyle name="40% - Accent1 6 2 3 2 2 2" xfId="30228" xr:uid="{00000000-0005-0000-0000-00009D370000}"/>
    <cellStyle name="40% - Accent1 6 2 3 2 3" xfId="16457" xr:uid="{00000000-0005-0000-0000-00009E370000}"/>
    <cellStyle name="40% - Accent1 6 2 3 3" xfId="16459" xr:uid="{00000000-0005-0000-0000-00009F370000}"/>
    <cellStyle name="40% - Accent1 6 2 3 3 2" xfId="16461" xr:uid="{00000000-0005-0000-0000-0000A0370000}"/>
    <cellStyle name="40% - Accent1 6 2 3 4" xfId="21235" xr:uid="{00000000-0005-0000-0000-0000A1370000}"/>
    <cellStyle name="40% - Accent1 6 2 4" xfId="16462" xr:uid="{00000000-0005-0000-0000-0000A2370000}"/>
    <cellStyle name="40% - Accent1 6 2 4 2" xfId="16466" xr:uid="{00000000-0005-0000-0000-0000A3370000}"/>
    <cellStyle name="40% - Accent1 6 2 4 2 2" xfId="16468" xr:uid="{00000000-0005-0000-0000-0000A4370000}"/>
    <cellStyle name="40% - Accent1 6 2 4 3" xfId="16471" xr:uid="{00000000-0005-0000-0000-0000A5370000}"/>
    <cellStyle name="40% - Accent1 6 2 5" xfId="2392" xr:uid="{00000000-0005-0000-0000-0000A6370000}"/>
    <cellStyle name="40% - Accent1 6 2 5 2" xfId="16473" xr:uid="{00000000-0005-0000-0000-0000A7370000}"/>
    <cellStyle name="40% - Accent1 6 2 6" xfId="16475" xr:uid="{00000000-0005-0000-0000-0000A8370000}"/>
    <cellStyle name="40% - Accent1 6 3" xfId="3654" xr:uid="{00000000-0005-0000-0000-0000A9370000}"/>
    <cellStyle name="40% - Accent1 6 3 2" xfId="2179" xr:uid="{00000000-0005-0000-0000-0000AA370000}"/>
    <cellStyle name="40% - Accent1 6 3 2 2" xfId="16476" xr:uid="{00000000-0005-0000-0000-0000AB370000}"/>
    <cellStyle name="40% - Accent1 6 3 2 2 2" xfId="11435" xr:uid="{00000000-0005-0000-0000-0000AC370000}"/>
    <cellStyle name="40% - Accent1 6 3 2 2 2 2" xfId="16479" xr:uid="{00000000-0005-0000-0000-0000AD370000}"/>
    <cellStyle name="40% - Accent1 6 3 2 2 3" xfId="16480" xr:uid="{00000000-0005-0000-0000-0000AE370000}"/>
    <cellStyle name="40% - Accent1 6 3 2 3" xfId="16481" xr:uid="{00000000-0005-0000-0000-0000AF370000}"/>
    <cellStyle name="40% - Accent1 6 3 2 3 2" xfId="16482" xr:uid="{00000000-0005-0000-0000-0000B0370000}"/>
    <cellStyle name="40% - Accent1 6 3 2 4" xfId="16483" xr:uid="{00000000-0005-0000-0000-0000B1370000}"/>
    <cellStyle name="40% - Accent1 6 3 3" xfId="16484" xr:uid="{00000000-0005-0000-0000-0000B2370000}"/>
    <cellStyle name="40% - Accent1 6 3 3 2" xfId="16485" xr:uid="{00000000-0005-0000-0000-0000B3370000}"/>
    <cellStyle name="40% - Accent1 6 3 3 2 2" xfId="16489" xr:uid="{00000000-0005-0000-0000-0000B4370000}"/>
    <cellStyle name="40% - Accent1 6 3 3 3" xfId="16490" xr:uid="{00000000-0005-0000-0000-0000B5370000}"/>
    <cellStyle name="40% - Accent1 6 3 4" xfId="16492" xr:uid="{00000000-0005-0000-0000-0000B6370000}"/>
    <cellStyle name="40% - Accent1 6 3 4 2" xfId="16494" xr:uid="{00000000-0005-0000-0000-0000B7370000}"/>
    <cellStyle name="40% - Accent1 6 3 5" xfId="16497" xr:uid="{00000000-0005-0000-0000-0000B8370000}"/>
    <cellStyle name="40% - Accent1 6 4" xfId="1799" xr:uid="{00000000-0005-0000-0000-0000B9370000}"/>
    <cellStyle name="40% - Accent1 6 4 2" xfId="3510" xr:uid="{00000000-0005-0000-0000-0000BA370000}"/>
    <cellStyle name="40% - Accent1 6 4 2 2" xfId="16498" xr:uid="{00000000-0005-0000-0000-0000BB370000}"/>
    <cellStyle name="40% - Accent1 6 4 2 2 2" xfId="16500" xr:uid="{00000000-0005-0000-0000-0000BC370000}"/>
    <cellStyle name="40% - Accent1 6 4 2 3" xfId="16501" xr:uid="{00000000-0005-0000-0000-0000BD370000}"/>
    <cellStyle name="40% - Accent1 6 4 3" xfId="16503" xr:uid="{00000000-0005-0000-0000-0000BE370000}"/>
    <cellStyle name="40% - Accent1 6 4 3 2" xfId="14409" xr:uid="{00000000-0005-0000-0000-0000BF370000}"/>
    <cellStyle name="40% - Accent1 6 4 4" xfId="16504" xr:uid="{00000000-0005-0000-0000-0000C0370000}"/>
    <cellStyle name="40% - Accent1 6 5" xfId="16505" xr:uid="{00000000-0005-0000-0000-0000C1370000}"/>
    <cellStyle name="40% - Accent1 6 5 2" xfId="16506" xr:uid="{00000000-0005-0000-0000-0000C2370000}"/>
    <cellStyle name="40% - Accent1 6 5 2 2" xfId="6966" xr:uid="{00000000-0005-0000-0000-0000C3370000}"/>
    <cellStyle name="40% - Accent1 6 5 3" xfId="16507" xr:uid="{00000000-0005-0000-0000-0000C4370000}"/>
    <cellStyle name="40% - Accent1 6 6" xfId="16509" xr:uid="{00000000-0005-0000-0000-0000C5370000}"/>
    <cellStyle name="40% - Accent1 6 6 2" xfId="16510" xr:uid="{00000000-0005-0000-0000-0000C6370000}"/>
    <cellStyle name="40% - Accent1 6 7" xfId="16513" xr:uid="{00000000-0005-0000-0000-0000C7370000}"/>
    <cellStyle name="40% - Accent1 7" xfId="16515" xr:uid="{00000000-0005-0000-0000-0000C8370000}"/>
    <cellStyle name="40% - Accent1 7 2" xfId="4270" xr:uid="{00000000-0005-0000-0000-0000C9370000}"/>
    <cellStyle name="40% - Accent1 7 2 2" xfId="16516" xr:uid="{00000000-0005-0000-0000-0000CA370000}"/>
    <cellStyle name="40% - Accent1 7 2 2 2" xfId="16519" xr:uid="{00000000-0005-0000-0000-0000CB370000}"/>
    <cellStyle name="40% - Accent1 7 2 2 2 2" xfId="21809" xr:uid="{00000000-0005-0000-0000-0000CC370000}"/>
    <cellStyle name="40% - Accent1 7 2 2 2 2 2" xfId="16521" xr:uid="{00000000-0005-0000-0000-0000CD370000}"/>
    <cellStyle name="40% - Accent1 7 2 2 2 3" xfId="16522" xr:uid="{00000000-0005-0000-0000-0000CE370000}"/>
    <cellStyle name="40% - Accent1 7 2 2 3" xfId="16523" xr:uid="{00000000-0005-0000-0000-0000CF370000}"/>
    <cellStyle name="40% - Accent1 7 2 2 3 2" xfId="11814" xr:uid="{00000000-0005-0000-0000-0000D0370000}"/>
    <cellStyle name="40% - Accent1 7 2 2 4" xfId="16524" xr:uid="{00000000-0005-0000-0000-0000D1370000}"/>
    <cellStyle name="40% - Accent1 7 2 3" xfId="29966" xr:uid="{00000000-0005-0000-0000-0000D2370000}"/>
    <cellStyle name="40% - Accent1 7 2 3 2" xfId="16525" xr:uid="{00000000-0005-0000-0000-0000D3370000}"/>
    <cellStyle name="40% - Accent1 7 2 3 2 2" xfId="16528" xr:uid="{00000000-0005-0000-0000-0000D4370000}"/>
    <cellStyle name="40% - Accent1 7 2 3 3" xfId="16530" xr:uid="{00000000-0005-0000-0000-0000D5370000}"/>
    <cellStyle name="40% - Accent1 7 2 4" xfId="29081" xr:uid="{00000000-0005-0000-0000-0000D6370000}"/>
    <cellStyle name="40% - Accent1 7 2 4 2" xfId="4240" xr:uid="{00000000-0005-0000-0000-0000D7370000}"/>
    <cellStyle name="40% - Accent1 7 2 5" xfId="16531" xr:uid="{00000000-0005-0000-0000-0000D8370000}"/>
    <cellStyle name="40% - Accent1 7 3" xfId="14448" xr:uid="{00000000-0005-0000-0000-0000D9370000}"/>
    <cellStyle name="40% - Accent1 7 3 2" xfId="16534" xr:uid="{00000000-0005-0000-0000-0000DA370000}"/>
    <cellStyle name="40% - Accent1 7 3 2 2" xfId="21915" xr:uid="{00000000-0005-0000-0000-0000DB370000}"/>
    <cellStyle name="40% - Accent1 7 3 2 2 2" xfId="16536" xr:uid="{00000000-0005-0000-0000-0000DC370000}"/>
    <cellStyle name="40% - Accent1 7 3 2 3" xfId="16537" xr:uid="{00000000-0005-0000-0000-0000DD370000}"/>
    <cellStyle name="40% - Accent1 7 3 3" xfId="30345" xr:uid="{00000000-0005-0000-0000-0000DE370000}"/>
    <cellStyle name="40% - Accent1 7 3 3 2" xfId="16538" xr:uid="{00000000-0005-0000-0000-0000DF370000}"/>
    <cellStyle name="40% - Accent1 7 3 4" xfId="9034" xr:uid="{00000000-0005-0000-0000-0000E0370000}"/>
    <cellStyle name="40% - Accent1 7 4" xfId="16540" xr:uid="{00000000-0005-0000-0000-0000E1370000}"/>
    <cellStyle name="40% - Accent1 7 4 2" xfId="16542" xr:uid="{00000000-0005-0000-0000-0000E2370000}"/>
    <cellStyle name="40% - Accent1 7 4 2 2" xfId="16543" xr:uid="{00000000-0005-0000-0000-0000E3370000}"/>
    <cellStyle name="40% - Accent1 7 4 3" xfId="14083" xr:uid="{00000000-0005-0000-0000-0000E4370000}"/>
    <cellStyle name="40% - Accent1 7 5" xfId="16546" xr:uid="{00000000-0005-0000-0000-0000E5370000}"/>
    <cellStyle name="40% - Accent1 7 5 2" xfId="16550" xr:uid="{00000000-0005-0000-0000-0000E6370000}"/>
    <cellStyle name="40% - Accent1 7 6" xfId="16552" xr:uid="{00000000-0005-0000-0000-0000E7370000}"/>
    <cellStyle name="40% - Accent1 8" xfId="16556" xr:uid="{00000000-0005-0000-0000-0000E8370000}"/>
    <cellStyle name="40% - Accent1 8 2" xfId="591" xr:uid="{00000000-0005-0000-0000-0000E9370000}"/>
    <cellStyle name="40% - Accent1 8 2 2" xfId="22077" xr:uid="{00000000-0005-0000-0000-0000EA370000}"/>
    <cellStyle name="40% - Accent1 8 2 2 2" xfId="16558" xr:uid="{00000000-0005-0000-0000-0000EB370000}"/>
    <cellStyle name="40% - Accent1 8 2 2 2 2" xfId="16563" xr:uid="{00000000-0005-0000-0000-0000EC370000}"/>
    <cellStyle name="40% - Accent1 8 2 2 3" xfId="16566" xr:uid="{00000000-0005-0000-0000-0000ED370000}"/>
    <cellStyle name="40% - Accent1 8 2 3" xfId="28600" xr:uid="{00000000-0005-0000-0000-0000EE370000}"/>
    <cellStyle name="40% - Accent1 8 2 3 2" xfId="16570" xr:uid="{00000000-0005-0000-0000-0000EF370000}"/>
    <cellStyle name="40% - Accent1 8 2 4" xfId="16572" xr:uid="{00000000-0005-0000-0000-0000F0370000}"/>
    <cellStyle name="40% - Accent1 8 3" xfId="16574" xr:uid="{00000000-0005-0000-0000-0000F1370000}"/>
    <cellStyle name="40% - Accent1 8 3 2" xfId="16577" xr:uid="{00000000-0005-0000-0000-0000F2370000}"/>
    <cellStyle name="40% - Accent1 8 3 2 2" xfId="16580" xr:uid="{00000000-0005-0000-0000-0000F3370000}"/>
    <cellStyle name="40% - Accent1 8 3 3" xfId="8626" xr:uid="{00000000-0005-0000-0000-0000F4370000}"/>
    <cellStyle name="40% - Accent1 8 4" xfId="7306" xr:uid="{00000000-0005-0000-0000-0000F5370000}"/>
    <cellStyle name="40% - Accent1 8 4 2" xfId="16582" xr:uid="{00000000-0005-0000-0000-0000F6370000}"/>
    <cellStyle name="40% - Accent1 8 5" xfId="16877" xr:uid="{00000000-0005-0000-0000-0000F7370000}"/>
    <cellStyle name="40% - Accent1 9" xfId="16584" xr:uid="{00000000-0005-0000-0000-0000F8370000}"/>
    <cellStyle name="40% - Accent1 9 2" xfId="1931" xr:uid="{00000000-0005-0000-0000-0000F9370000}"/>
    <cellStyle name="40% - Accent1 9 2 2" xfId="3971" xr:uid="{00000000-0005-0000-0000-0000FA370000}"/>
    <cellStyle name="40% - Accent1 9 2 2 2" xfId="16590" xr:uid="{00000000-0005-0000-0000-0000FB370000}"/>
    <cellStyle name="40% - Accent1 9 2 3" xfId="25639" xr:uid="{00000000-0005-0000-0000-0000FC370000}"/>
    <cellStyle name="40% - Accent1 9 3" xfId="16593" xr:uid="{00000000-0005-0000-0000-0000FD370000}"/>
    <cellStyle name="40% - Accent1 9 3 2" xfId="16599" xr:uid="{00000000-0005-0000-0000-0000FE370000}"/>
    <cellStyle name="40% - Accent1 9 4" xfId="7310" xr:uid="{00000000-0005-0000-0000-0000FF370000}"/>
    <cellStyle name="40% - Accent2 10" xfId="7739" xr:uid="{00000000-0005-0000-0000-000000380000}"/>
    <cellStyle name="40% - Accent2 10 2" xfId="25262" xr:uid="{00000000-0005-0000-0000-000001380000}"/>
    <cellStyle name="40% - Accent2 10 2 2" xfId="25926" xr:uid="{00000000-0005-0000-0000-000002380000}"/>
    <cellStyle name="40% - Accent2 10 3" xfId="985" xr:uid="{00000000-0005-0000-0000-000003380000}"/>
    <cellStyle name="40% - Accent2 11" xfId="13226" xr:uid="{00000000-0005-0000-0000-000004380000}"/>
    <cellStyle name="40% - Accent2 11 2" xfId="16602" xr:uid="{00000000-0005-0000-0000-000005380000}"/>
    <cellStyle name="40% - Accent2 12" xfId="16606" xr:uid="{00000000-0005-0000-0000-000006380000}"/>
    <cellStyle name="40% - Accent2 13" xfId="16608" xr:uid="{00000000-0005-0000-0000-000007380000}"/>
    <cellStyle name="40% - Accent2 2" xfId="30419" xr:uid="{00000000-0005-0000-0000-000008380000}"/>
    <cellStyle name="40% - Accent2 2 10" xfId="11405" xr:uid="{00000000-0005-0000-0000-000009380000}"/>
    <cellStyle name="40% - Accent2 2 10 2" xfId="11501" xr:uid="{00000000-0005-0000-0000-00000A380000}"/>
    <cellStyle name="40% - Accent2 2 11" xfId="4739" xr:uid="{00000000-0005-0000-0000-00000B380000}"/>
    <cellStyle name="40% - Accent2 2 2" xfId="16610" xr:uid="{00000000-0005-0000-0000-00000C380000}"/>
    <cellStyle name="40% - Accent2 2 2 10" xfId="16612" xr:uid="{00000000-0005-0000-0000-00000D380000}"/>
    <cellStyle name="40% - Accent2 2 2 2" xfId="16616" xr:uid="{00000000-0005-0000-0000-00000E380000}"/>
    <cellStyle name="40% - Accent2 2 2 2 2" xfId="16617" xr:uid="{00000000-0005-0000-0000-00000F380000}"/>
    <cellStyle name="40% - Accent2 2 2 2 2 2" xfId="16618" xr:uid="{00000000-0005-0000-0000-000010380000}"/>
    <cellStyle name="40% - Accent2 2 2 2 2 2 2" xfId="18153" xr:uid="{00000000-0005-0000-0000-000011380000}"/>
    <cellStyle name="40% - Accent2 2 2 2 2 2 2 2" xfId="20241" xr:uid="{00000000-0005-0000-0000-000012380000}"/>
    <cellStyle name="40% - Accent2 2 2 2 2 2 2 2 2" xfId="19449" xr:uid="{00000000-0005-0000-0000-000013380000}"/>
    <cellStyle name="40% - Accent2 2 2 2 2 2 2 2 2 2" xfId="17028" xr:uid="{00000000-0005-0000-0000-000014380000}"/>
    <cellStyle name="40% - Accent2 2 2 2 2 2 2 2 2 2 2" xfId="16619" xr:uid="{00000000-0005-0000-0000-000015380000}"/>
    <cellStyle name="40% - Accent2 2 2 2 2 2 2 2 2 2 2 2" xfId="16621" xr:uid="{00000000-0005-0000-0000-000016380000}"/>
    <cellStyle name="40% - Accent2 2 2 2 2 2 2 2 2 2 3" xfId="16623" xr:uid="{00000000-0005-0000-0000-000017380000}"/>
    <cellStyle name="40% - Accent2 2 2 2 2 2 2 2 2 3" xfId="16625" xr:uid="{00000000-0005-0000-0000-000018380000}"/>
    <cellStyle name="40% - Accent2 2 2 2 2 2 2 2 2 3 2" xfId="17890" xr:uid="{00000000-0005-0000-0000-000019380000}"/>
    <cellStyle name="40% - Accent2 2 2 2 2 2 2 2 2 4" xfId="3930" xr:uid="{00000000-0005-0000-0000-00001A380000}"/>
    <cellStyle name="40% - Accent2 2 2 2 2 2 2 2 3" xfId="16627" xr:uid="{00000000-0005-0000-0000-00001B380000}"/>
    <cellStyle name="40% - Accent2 2 2 2 2 2 2 2 3 2" xfId="16630" xr:uid="{00000000-0005-0000-0000-00001C380000}"/>
    <cellStyle name="40% - Accent2 2 2 2 2 2 2 2 3 2 2" xfId="18548" xr:uid="{00000000-0005-0000-0000-00001D380000}"/>
    <cellStyle name="40% - Accent2 2 2 2 2 2 2 2 3 3" xfId="16636" xr:uid="{00000000-0005-0000-0000-00001E380000}"/>
    <cellStyle name="40% - Accent2 2 2 2 2 2 2 2 4" xfId="16638" xr:uid="{00000000-0005-0000-0000-00001F380000}"/>
    <cellStyle name="40% - Accent2 2 2 2 2 2 2 2 4 2" xfId="16641" xr:uid="{00000000-0005-0000-0000-000020380000}"/>
    <cellStyle name="40% - Accent2 2 2 2 2 2 2 2 5" xfId="16643" xr:uid="{00000000-0005-0000-0000-000021380000}"/>
    <cellStyle name="40% - Accent2 2 2 2 2 2 2 3" xfId="17206" xr:uid="{00000000-0005-0000-0000-000022380000}"/>
    <cellStyle name="40% - Accent2 2 2 2 2 2 2 3 2" xfId="30931" xr:uid="{00000000-0005-0000-0000-000023380000}"/>
    <cellStyle name="40% - Accent2 2 2 2 2 2 2 3 2 2" xfId="16644" xr:uid="{00000000-0005-0000-0000-000024380000}"/>
    <cellStyle name="40% - Accent2 2 2 2 2 2 2 3 2 2 2" xfId="16645" xr:uid="{00000000-0005-0000-0000-000025380000}"/>
    <cellStyle name="40% - Accent2 2 2 2 2 2 2 3 2 3" xfId="16647" xr:uid="{00000000-0005-0000-0000-000026380000}"/>
    <cellStyle name="40% - Accent2 2 2 2 2 2 2 3 3" xfId="16648" xr:uid="{00000000-0005-0000-0000-000027380000}"/>
    <cellStyle name="40% - Accent2 2 2 2 2 2 2 3 3 2" xfId="16650" xr:uid="{00000000-0005-0000-0000-000028380000}"/>
    <cellStyle name="40% - Accent2 2 2 2 2 2 2 3 4" xfId="16652" xr:uid="{00000000-0005-0000-0000-000029380000}"/>
    <cellStyle name="40% - Accent2 2 2 2 2 2 2 4" xfId="27306" xr:uid="{00000000-0005-0000-0000-00002A380000}"/>
    <cellStyle name="40% - Accent2 2 2 2 2 2 2 4 2" xfId="16655" xr:uid="{00000000-0005-0000-0000-00002B380000}"/>
    <cellStyle name="40% - Accent2 2 2 2 2 2 2 4 2 2" xfId="16656" xr:uid="{00000000-0005-0000-0000-00002C380000}"/>
    <cellStyle name="40% - Accent2 2 2 2 2 2 2 4 3" xfId="8028" xr:uid="{00000000-0005-0000-0000-00002D380000}"/>
    <cellStyle name="40% - Accent2 2 2 2 2 2 2 5" xfId="25199" xr:uid="{00000000-0005-0000-0000-00002E380000}"/>
    <cellStyle name="40% - Accent2 2 2 2 2 2 2 5 2" xfId="16658" xr:uid="{00000000-0005-0000-0000-00002F380000}"/>
    <cellStyle name="40% - Accent2 2 2 2 2 2 2 6" xfId="17255" xr:uid="{00000000-0005-0000-0000-000030380000}"/>
    <cellStyle name="40% - Accent2 2 2 2 2 2 3" xfId="16660" xr:uid="{00000000-0005-0000-0000-000031380000}"/>
    <cellStyle name="40% - Accent2 2 2 2 2 2 3 2" xfId="2609" xr:uid="{00000000-0005-0000-0000-000032380000}"/>
    <cellStyle name="40% - Accent2 2 2 2 2 2 3 2 2" xfId="6826" xr:uid="{00000000-0005-0000-0000-000033380000}"/>
    <cellStyle name="40% - Accent2 2 2 2 2 2 3 2 2 2" xfId="29978" xr:uid="{00000000-0005-0000-0000-000034380000}"/>
    <cellStyle name="40% - Accent2 2 2 2 2 2 3 2 2 2 2" xfId="2039" xr:uid="{00000000-0005-0000-0000-000035380000}"/>
    <cellStyle name="40% - Accent2 2 2 2 2 2 3 2 2 3" xfId="16661" xr:uid="{00000000-0005-0000-0000-000036380000}"/>
    <cellStyle name="40% - Accent2 2 2 2 2 2 3 2 3" xfId="16665" xr:uid="{00000000-0005-0000-0000-000037380000}"/>
    <cellStyle name="40% - Accent2 2 2 2 2 2 3 2 3 2" xfId="16670" xr:uid="{00000000-0005-0000-0000-000038380000}"/>
    <cellStyle name="40% - Accent2 2 2 2 2 2 3 2 4" xfId="16673" xr:uid="{00000000-0005-0000-0000-000039380000}"/>
    <cellStyle name="40% - Accent2 2 2 2 2 2 3 3" xfId="8657" xr:uid="{00000000-0005-0000-0000-00003A380000}"/>
    <cellStyle name="40% - Accent2 2 2 2 2 2 3 3 2" xfId="18405" xr:uid="{00000000-0005-0000-0000-00003B380000}"/>
    <cellStyle name="40% - Accent2 2 2 2 2 2 3 3 2 2" xfId="16674" xr:uid="{00000000-0005-0000-0000-00003C380000}"/>
    <cellStyle name="40% - Accent2 2 2 2 2 2 3 3 3" xfId="18413" xr:uid="{00000000-0005-0000-0000-00003D380000}"/>
    <cellStyle name="40% - Accent2 2 2 2 2 2 3 4" xfId="30290" xr:uid="{00000000-0005-0000-0000-00003E380000}"/>
    <cellStyle name="40% - Accent2 2 2 2 2 2 3 4 2" xfId="16677" xr:uid="{00000000-0005-0000-0000-00003F380000}"/>
    <cellStyle name="40% - Accent2 2 2 2 2 2 3 5" xfId="17274" xr:uid="{00000000-0005-0000-0000-000040380000}"/>
    <cellStyle name="40% - Accent2 2 2 2 2 2 4" xfId="15255" xr:uid="{00000000-0005-0000-0000-000041380000}"/>
    <cellStyle name="40% - Accent2 2 2 2 2 2 4 2" xfId="1311" xr:uid="{00000000-0005-0000-0000-000042380000}"/>
    <cellStyle name="40% - Accent2 2 2 2 2 2 4 2 2" xfId="7252" xr:uid="{00000000-0005-0000-0000-000043380000}"/>
    <cellStyle name="40% - Accent2 2 2 2 2 2 4 2 2 2" xfId="5862" xr:uid="{00000000-0005-0000-0000-000044380000}"/>
    <cellStyle name="40% - Accent2 2 2 2 2 2 4 2 3" xfId="16681" xr:uid="{00000000-0005-0000-0000-000045380000}"/>
    <cellStyle name="40% - Accent2 2 2 2 2 2 4 3" xfId="17284" xr:uid="{00000000-0005-0000-0000-000046380000}"/>
    <cellStyle name="40% - Accent2 2 2 2 2 2 4 3 2" xfId="18424" xr:uid="{00000000-0005-0000-0000-000047380000}"/>
    <cellStyle name="40% - Accent2 2 2 2 2 2 4 4" xfId="17291" xr:uid="{00000000-0005-0000-0000-000048380000}"/>
    <cellStyle name="40% - Accent2 2 2 2 2 2 5" xfId="22278" xr:uid="{00000000-0005-0000-0000-000049380000}"/>
    <cellStyle name="40% - Accent2 2 2 2 2 2 5 2" xfId="3169" xr:uid="{00000000-0005-0000-0000-00004A380000}"/>
    <cellStyle name="40% - Accent2 2 2 2 2 2 5 2 2" xfId="14284" xr:uid="{00000000-0005-0000-0000-00004B380000}"/>
    <cellStyle name="40% - Accent2 2 2 2 2 2 5 3" xfId="17305" xr:uid="{00000000-0005-0000-0000-00004C380000}"/>
    <cellStyle name="40% - Accent2 2 2 2 2 2 6" xfId="15272" xr:uid="{00000000-0005-0000-0000-00004D380000}"/>
    <cellStyle name="40% - Accent2 2 2 2 2 2 6 2" xfId="4869" xr:uid="{00000000-0005-0000-0000-00004E380000}"/>
    <cellStyle name="40% - Accent2 2 2 2 2 2 7" xfId="33210" xr:uid="{00000000-0005-0000-0000-00004F380000}"/>
    <cellStyle name="40% - Accent2 2 2 2 2 3" xfId="16682" xr:uid="{00000000-0005-0000-0000-000050380000}"/>
    <cellStyle name="40% - Accent2 2 2 2 2 3 2" xfId="914" xr:uid="{00000000-0005-0000-0000-000051380000}"/>
    <cellStyle name="40% - Accent2 2 2 2 2 3 2 2" xfId="1950" xr:uid="{00000000-0005-0000-0000-000052380000}"/>
    <cellStyle name="40% - Accent2 2 2 2 2 3 2 2 2" xfId="16683" xr:uid="{00000000-0005-0000-0000-000053380000}"/>
    <cellStyle name="40% - Accent2 2 2 2 2 3 2 2 2 2" xfId="28762" xr:uid="{00000000-0005-0000-0000-000054380000}"/>
    <cellStyle name="40% - Accent2 2 2 2 2 3 2 2 2 2 2" xfId="30626" xr:uid="{00000000-0005-0000-0000-000055380000}"/>
    <cellStyle name="40% - Accent2 2 2 2 2 3 2 2 2 3" xfId="28768" xr:uid="{00000000-0005-0000-0000-000056380000}"/>
    <cellStyle name="40% - Accent2 2 2 2 2 3 2 2 3" xfId="16684" xr:uid="{00000000-0005-0000-0000-000057380000}"/>
    <cellStyle name="40% - Accent2 2 2 2 2 3 2 2 3 2" xfId="10093" xr:uid="{00000000-0005-0000-0000-000058380000}"/>
    <cellStyle name="40% - Accent2 2 2 2 2 3 2 2 4" xfId="16685" xr:uid="{00000000-0005-0000-0000-000059380000}"/>
    <cellStyle name="40% - Accent2 2 2 2 2 3 2 3" xfId="19699" xr:uid="{00000000-0005-0000-0000-00005A380000}"/>
    <cellStyle name="40% - Accent2 2 2 2 2 3 2 3 2" xfId="16686" xr:uid="{00000000-0005-0000-0000-00005B380000}"/>
    <cellStyle name="40% - Accent2 2 2 2 2 3 2 3 2 2" xfId="4263" xr:uid="{00000000-0005-0000-0000-00005C380000}"/>
    <cellStyle name="40% - Accent2 2 2 2 2 3 2 3 3" xfId="16687" xr:uid="{00000000-0005-0000-0000-00005D380000}"/>
    <cellStyle name="40% - Accent2 2 2 2 2 3 2 4" xfId="17338" xr:uid="{00000000-0005-0000-0000-00005E380000}"/>
    <cellStyle name="40% - Accent2 2 2 2 2 3 2 4 2" xfId="16689" xr:uid="{00000000-0005-0000-0000-00005F380000}"/>
    <cellStyle name="40% - Accent2 2 2 2 2 3 2 5" xfId="15004" xr:uid="{00000000-0005-0000-0000-000060380000}"/>
    <cellStyle name="40% - Accent2 2 2 2 2 3 3" xfId="10896" xr:uid="{00000000-0005-0000-0000-000061380000}"/>
    <cellStyle name="40% - Accent2 2 2 2 2 3 3 2" xfId="1704" xr:uid="{00000000-0005-0000-0000-000062380000}"/>
    <cellStyle name="40% - Accent2 2 2 2 2 3 3 2 2" xfId="16690" xr:uid="{00000000-0005-0000-0000-000063380000}"/>
    <cellStyle name="40% - Accent2 2 2 2 2 3 3 2 2 2" xfId="6508" xr:uid="{00000000-0005-0000-0000-000064380000}"/>
    <cellStyle name="40% - Accent2 2 2 2 2 3 3 2 3" xfId="15211" xr:uid="{00000000-0005-0000-0000-000065380000}"/>
    <cellStyle name="40% - Accent2 2 2 2 2 3 3 3" xfId="17354" xr:uid="{00000000-0005-0000-0000-000066380000}"/>
    <cellStyle name="40% - Accent2 2 2 2 2 3 3 3 2" xfId="18441" xr:uid="{00000000-0005-0000-0000-000067380000}"/>
    <cellStyle name="40% - Accent2 2 2 2 2 3 3 4" xfId="17381" xr:uid="{00000000-0005-0000-0000-000068380000}"/>
    <cellStyle name="40% - Accent2 2 2 2 2 3 4" xfId="15280" xr:uid="{00000000-0005-0000-0000-000069380000}"/>
    <cellStyle name="40% - Accent2 2 2 2 2 3 4 2" xfId="22973" xr:uid="{00000000-0005-0000-0000-00006A380000}"/>
    <cellStyle name="40% - Accent2 2 2 2 2 3 4 2 2" xfId="16691" xr:uid="{00000000-0005-0000-0000-00006B380000}"/>
    <cellStyle name="40% - Accent2 2 2 2 2 3 4 3" xfId="22981" xr:uid="{00000000-0005-0000-0000-00006C380000}"/>
    <cellStyle name="40% - Accent2 2 2 2 2 3 5" xfId="15284" xr:uid="{00000000-0005-0000-0000-00006D380000}"/>
    <cellStyle name="40% - Accent2 2 2 2 2 3 5 2" xfId="21357" xr:uid="{00000000-0005-0000-0000-00006E380000}"/>
    <cellStyle name="40% - Accent2 2 2 2 2 3 6" xfId="16693" xr:uid="{00000000-0005-0000-0000-00006F380000}"/>
    <cellStyle name="40% - Accent2 2 2 2 2 4" xfId="16694" xr:uid="{00000000-0005-0000-0000-000070380000}"/>
    <cellStyle name="40% - Accent2 2 2 2 2 4 2" xfId="10899" xr:uid="{00000000-0005-0000-0000-000071380000}"/>
    <cellStyle name="40% - Accent2 2 2 2 2 4 2 2" xfId="1421" xr:uid="{00000000-0005-0000-0000-000072380000}"/>
    <cellStyle name="40% - Accent2 2 2 2 2 4 2 2 2" xfId="16695" xr:uid="{00000000-0005-0000-0000-000073380000}"/>
    <cellStyle name="40% - Accent2 2 2 2 2 4 2 2 2 2" xfId="10242" xr:uid="{00000000-0005-0000-0000-000074380000}"/>
    <cellStyle name="40% - Accent2 2 2 2 2 4 2 2 3" xfId="16696" xr:uid="{00000000-0005-0000-0000-000075380000}"/>
    <cellStyle name="40% - Accent2 2 2 2 2 4 2 3" xfId="17424" xr:uid="{00000000-0005-0000-0000-000076380000}"/>
    <cellStyle name="40% - Accent2 2 2 2 2 4 2 3 2" xfId="16697" xr:uid="{00000000-0005-0000-0000-000077380000}"/>
    <cellStyle name="40% - Accent2 2 2 2 2 4 2 4" xfId="15022" xr:uid="{00000000-0005-0000-0000-000078380000}"/>
    <cellStyle name="40% - Accent2 2 2 2 2 4 3" xfId="16698" xr:uid="{00000000-0005-0000-0000-000079380000}"/>
    <cellStyle name="40% - Accent2 2 2 2 2 4 3 2" xfId="30380" xr:uid="{00000000-0005-0000-0000-00007A380000}"/>
    <cellStyle name="40% - Accent2 2 2 2 2 4 3 2 2" xfId="16699" xr:uid="{00000000-0005-0000-0000-00007B380000}"/>
    <cellStyle name="40% - Accent2 2 2 2 2 4 3 3" xfId="1039" xr:uid="{00000000-0005-0000-0000-00007C380000}"/>
    <cellStyle name="40% - Accent2 2 2 2 2 4 4" xfId="15286" xr:uid="{00000000-0005-0000-0000-00007D380000}"/>
    <cellStyle name="40% - Accent2 2 2 2 2 4 4 2" xfId="22998" xr:uid="{00000000-0005-0000-0000-00007E380000}"/>
    <cellStyle name="40% - Accent2 2 2 2 2 4 5" xfId="16700" xr:uid="{00000000-0005-0000-0000-00007F380000}"/>
    <cellStyle name="40% - Accent2 2 2 2 2 5" xfId="18545" xr:uid="{00000000-0005-0000-0000-000080380000}"/>
    <cellStyle name="40% - Accent2 2 2 2 2 5 2" xfId="26251" xr:uid="{00000000-0005-0000-0000-000081380000}"/>
    <cellStyle name="40% - Accent2 2 2 2 2 5 2 2" xfId="9801" xr:uid="{00000000-0005-0000-0000-000082380000}"/>
    <cellStyle name="40% - Accent2 2 2 2 2 5 2 2 2" xfId="16701" xr:uid="{00000000-0005-0000-0000-000083380000}"/>
    <cellStyle name="40% - Accent2 2 2 2 2 5 2 3" xfId="2958" xr:uid="{00000000-0005-0000-0000-000084380000}"/>
    <cellStyle name="40% - Accent2 2 2 2 2 5 3" xfId="21831" xr:uid="{00000000-0005-0000-0000-000085380000}"/>
    <cellStyle name="40% - Accent2 2 2 2 2 5 3 2" xfId="1142" xr:uid="{00000000-0005-0000-0000-000086380000}"/>
    <cellStyle name="40% - Accent2 2 2 2 2 5 4" xfId="21843" xr:uid="{00000000-0005-0000-0000-000087380000}"/>
    <cellStyle name="40% - Accent2 2 2 2 2 6" xfId="20023" xr:uid="{00000000-0005-0000-0000-000088380000}"/>
    <cellStyle name="40% - Accent2 2 2 2 2 6 2" xfId="24506" xr:uid="{00000000-0005-0000-0000-000089380000}"/>
    <cellStyle name="40% - Accent2 2 2 2 2 6 2 2" xfId="17652" xr:uid="{00000000-0005-0000-0000-00008A380000}"/>
    <cellStyle name="40% - Accent2 2 2 2 2 6 3" xfId="20032" xr:uid="{00000000-0005-0000-0000-00008B380000}"/>
    <cellStyle name="40% - Accent2 2 2 2 2 7" xfId="20035" xr:uid="{00000000-0005-0000-0000-00008C380000}"/>
    <cellStyle name="40% - Accent2 2 2 2 2 7 2" xfId="7855" xr:uid="{00000000-0005-0000-0000-00008D380000}"/>
    <cellStyle name="40% - Accent2 2 2 2 2 8" xfId="20040" xr:uid="{00000000-0005-0000-0000-00008E380000}"/>
    <cellStyle name="40% - Accent2 2 2 2 3" xfId="16702" xr:uid="{00000000-0005-0000-0000-00008F380000}"/>
    <cellStyle name="40% - Accent2 2 2 2 3 2" xfId="16703" xr:uid="{00000000-0005-0000-0000-000090380000}"/>
    <cellStyle name="40% - Accent2 2 2 2 3 2 2" xfId="16704" xr:uid="{00000000-0005-0000-0000-000091380000}"/>
    <cellStyle name="40% - Accent2 2 2 2 3 2 2 2" xfId="1466" xr:uid="{00000000-0005-0000-0000-000092380000}"/>
    <cellStyle name="40% - Accent2 2 2 2 3 2 2 2 2" xfId="16705" xr:uid="{00000000-0005-0000-0000-000093380000}"/>
    <cellStyle name="40% - Accent2 2 2 2 3 2 2 2 2 2" xfId="16706" xr:uid="{00000000-0005-0000-0000-000094380000}"/>
    <cellStyle name="40% - Accent2 2 2 2 3 2 2 2 2 2 2" xfId="11013" xr:uid="{00000000-0005-0000-0000-000095380000}"/>
    <cellStyle name="40% - Accent2 2 2 2 3 2 2 2 2 3" xfId="12452" xr:uid="{00000000-0005-0000-0000-000096380000}"/>
    <cellStyle name="40% - Accent2 2 2 2 3 2 2 2 3" xfId="16707" xr:uid="{00000000-0005-0000-0000-000097380000}"/>
    <cellStyle name="40% - Accent2 2 2 2 3 2 2 2 3 2" xfId="15032" xr:uid="{00000000-0005-0000-0000-000098380000}"/>
    <cellStyle name="40% - Accent2 2 2 2 3 2 2 2 4" xfId="16709" xr:uid="{00000000-0005-0000-0000-000099380000}"/>
    <cellStyle name="40% - Accent2 2 2 2 3 2 2 3" xfId="17720" xr:uid="{00000000-0005-0000-0000-00009A380000}"/>
    <cellStyle name="40% - Accent2 2 2 2 3 2 2 3 2" xfId="16711" xr:uid="{00000000-0005-0000-0000-00009B380000}"/>
    <cellStyle name="40% - Accent2 2 2 2 3 2 2 3 2 2" xfId="1221" xr:uid="{00000000-0005-0000-0000-00009C380000}"/>
    <cellStyle name="40% - Accent2 2 2 2 3 2 2 3 3" xfId="16712" xr:uid="{00000000-0005-0000-0000-00009D380000}"/>
    <cellStyle name="40% - Accent2 2 2 2 3 2 2 4" xfId="17734" xr:uid="{00000000-0005-0000-0000-00009E380000}"/>
    <cellStyle name="40% - Accent2 2 2 2 3 2 2 4 2" xfId="16713" xr:uid="{00000000-0005-0000-0000-00009F380000}"/>
    <cellStyle name="40% - Accent2 2 2 2 3 2 2 5" xfId="17741" xr:uid="{00000000-0005-0000-0000-0000A0380000}"/>
    <cellStyle name="40% - Accent2 2 2 2 3 2 3" xfId="5273" xr:uid="{00000000-0005-0000-0000-0000A1380000}"/>
    <cellStyle name="40% - Accent2 2 2 2 3 2 3 2" xfId="1472" xr:uid="{00000000-0005-0000-0000-0000A2380000}"/>
    <cellStyle name="40% - Accent2 2 2 2 3 2 3 2 2" xfId="16714" xr:uid="{00000000-0005-0000-0000-0000A3380000}"/>
    <cellStyle name="40% - Accent2 2 2 2 3 2 3 2 2 2" xfId="16715" xr:uid="{00000000-0005-0000-0000-0000A4380000}"/>
    <cellStyle name="40% - Accent2 2 2 2 3 2 3 2 3" xfId="16716" xr:uid="{00000000-0005-0000-0000-0000A5380000}"/>
    <cellStyle name="40% - Accent2 2 2 2 3 2 3 3" xfId="4449" xr:uid="{00000000-0005-0000-0000-0000A6380000}"/>
    <cellStyle name="40% - Accent2 2 2 2 3 2 3 3 2" xfId="20357" xr:uid="{00000000-0005-0000-0000-0000A7380000}"/>
    <cellStyle name="40% - Accent2 2 2 2 3 2 3 4" xfId="17757" xr:uid="{00000000-0005-0000-0000-0000A8380000}"/>
    <cellStyle name="40% - Accent2 2 2 2 3 2 4" xfId="5276" xr:uid="{00000000-0005-0000-0000-0000A9380000}"/>
    <cellStyle name="40% - Accent2 2 2 2 3 2 4 2" xfId="4785" xr:uid="{00000000-0005-0000-0000-0000AA380000}"/>
    <cellStyle name="40% - Accent2 2 2 2 3 2 4 2 2" xfId="16717" xr:uid="{00000000-0005-0000-0000-0000AB380000}"/>
    <cellStyle name="40% - Accent2 2 2 2 3 2 4 3" xfId="17774" xr:uid="{00000000-0005-0000-0000-0000AC380000}"/>
    <cellStyle name="40% - Accent2 2 2 2 3 2 5" xfId="15292" xr:uid="{00000000-0005-0000-0000-0000AD380000}"/>
    <cellStyle name="40% - Accent2 2 2 2 3 2 5 2" xfId="13391" xr:uid="{00000000-0005-0000-0000-0000AE380000}"/>
    <cellStyle name="40% - Accent2 2 2 2 3 2 6" xfId="16718" xr:uid="{00000000-0005-0000-0000-0000AF380000}"/>
    <cellStyle name="40% - Accent2 2 2 2 3 3" xfId="5429" xr:uid="{00000000-0005-0000-0000-0000B0380000}"/>
    <cellStyle name="40% - Accent2 2 2 2 3 3 2" xfId="10916" xr:uid="{00000000-0005-0000-0000-0000B1380000}"/>
    <cellStyle name="40% - Accent2 2 2 2 3 3 2 2" xfId="479" xr:uid="{00000000-0005-0000-0000-0000B2380000}"/>
    <cellStyle name="40% - Accent2 2 2 2 3 3 2 2 2" xfId="16719" xr:uid="{00000000-0005-0000-0000-0000B3380000}"/>
    <cellStyle name="40% - Accent2 2 2 2 3 3 2 2 2 2" xfId="10815" xr:uid="{00000000-0005-0000-0000-0000B4380000}"/>
    <cellStyle name="40% - Accent2 2 2 2 3 3 2 2 3" xfId="16720" xr:uid="{00000000-0005-0000-0000-0000B5380000}"/>
    <cellStyle name="40% - Accent2 2 2 2 3 3 2 3" xfId="17811" xr:uid="{00000000-0005-0000-0000-0000B6380000}"/>
    <cellStyle name="40% - Accent2 2 2 2 3 3 2 3 2" xfId="16721" xr:uid="{00000000-0005-0000-0000-0000B7380000}"/>
    <cellStyle name="40% - Accent2 2 2 2 3 3 2 4" xfId="17822" xr:uid="{00000000-0005-0000-0000-0000B8380000}"/>
    <cellStyle name="40% - Accent2 2 2 2 3 3 3" xfId="5277" xr:uid="{00000000-0005-0000-0000-0000B9380000}"/>
    <cellStyle name="40% - Accent2 2 2 2 3 3 3 2" xfId="1960" xr:uid="{00000000-0005-0000-0000-0000BA380000}"/>
    <cellStyle name="40% - Accent2 2 2 2 3 3 3 2 2" xfId="16722" xr:uid="{00000000-0005-0000-0000-0000BB380000}"/>
    <cellStyle name="40% - Accent2 2 2 2 3 3 3 3" xfId="17828" xr:uid="{00000000-0005-0000-0000-0000BC380000}"/>
    <cellStyle name="40% - Accent2 2 2 2 3 3 4" xfId="15299" xr:uid="{00000000-0005-0000-0000-0000BD380000}"/>
    <cellStyle name="40% - Accent2 2 2 2 3 3 4 2" xfId="16140" xr:uid="{00000000-0005-0000-0000-0000BE380000}"/>
    <cellStyle name="40% - Accent2 2 2 2 3 3 5" xfId="16723" xr:uid="{00000000-0005-0000-0000-0000BF380000}"/>
    <cellStyle name="40% - Accent2 2 2 2 3 4" xfId="16724" xr:uid="{00000000-0005-0000-0000-0000C0380000}"/>
    <cellStyle name="40% - Accent2 2 2 2 3 4 2" xfId="16725" xr:uid="{00000000-0005-0000-0000-0000C1380000}"/>
    <cellStyle name="40% - Accent2 2 2 2 3 4 2 2" xfId="8175" xr:uid="{00000000-0005-0000-0000-0000C2380000}"/>
    <cellStyle name="40% - Accent2 2 2 2 3 4 2 2 2" xfId="16726" xr:uid="{00000000-0005-0000-0000-0000C3380000}"/>
    <cellStyle name="40% - Accent2 2 2 2 3 4 2 3" xfId="17856" xr:uid="{00000000-0005-0000-0000-0000C4380000}"/>
    <cellStyle name="40% - Accent2 2 2 2 3 4 3" xfId="7626" xr:uid="{00000000-0005-0000-0000-0000C5380000}"/>
    <cellStyle name="40% - Accent2 2 2 2 3 4 3 2" xfId="13413" xr:uid="{00000000-0005-0000-0000-0000C6380000}"/>
    <cellStyle name="40% - Accent2 2 2 2 3 4 4" xfId="16727" xr:uid="{00000000-0005-0000-0000-0000C7380000}"/>
    <cellStyle name="40% - Accent2 2 2 2 3 5" xfId="16729" xr:uid="{00000000-0005-0000-0000-0000C8380000}"/>
    <cellStyle name="40% - Accent2 2 2 2 3 5 2" xfId="16731" xr:uid="{00000000-0005-0000-0000-0000C9380000}"/>
    <cellStyle name="40% - Accent2 2 2 2 3 5 2 2" xfId="21616" xr:uid="{00000000-0005-0000-0000-0000CA380000}"/>
    <cellStyle name="40% - Accent2 2 2 2 3 5 3" xfId="21868" xr:uid="{00000000-0005-0000-0000-0000CB380000}"/>
    <cellStyle name="40% - Accent2 2 2 2 3 6" xfId="16734" xr:uid="{00000000-0005-0000-0000-0000CC380000}"/>
    <cellStyle name="40% - Accent2 2 2 2 3 6 2" xfId="16737" xr:uid="{00000000-0005-0000-0000-0000CD380000}"/>
    <cellStyle name="40% - Accent2 2 2 2 3 7" xfId="20044" xr:uid="{00000000-0005-0000-0000-0000CE380000}"/>
    <cellStyle name="40% - Accent2 2 2 2 4" xfId="16741" xr:uid="{00000000-0005-0000-0000-0000CF380000}"/>
    <cellStyle name="40% - Accent2 2 2 2 4 2" xfId="16742" xr:uid="{00000000-0005-0000-0000-0000D0380000}"/>
    <cellStyle name="40% - Accent2 2 2 2 4 2 2" xfId="4050" xr:uid="{00000000-0005-0000-0000-0000D1380000}"/>
    <cellStyle name="40% - Accent2 2 2 2 4 2 2 2" xfId="21163" xr:uid="{00000000-0005-0000-0000-0000D2380000}"/>
    <cellStyle name="40% - Accent2 2 2 2 4 2 2 2 2" xfId="16744" xr:uid="{00000000-0005-0000-0000-0000D3380000}"/>
    <cellStyle name="40% - Accent2 2 2 2 4 2 2 2 2 2" xfId="16745" xr:uid="{00000000-0005-0000-0000-0000D4380000}"/>
    <cellStyle name="40% - Accent2 2 2 2 4 2 2 2 3" xfId="16747" xr:uid="{00000000-0005-0000-0000-0000D5380000}"/>
    <cellStyle name="40% - Accent2 2 2 2 4 2 2 3" xfId="18162" xr:uid="{00000000-0005-0000-0000-0000D6380000}"/>
    <cellStyle name="40% - Accent2 2 2 2 4 2 2 3 2" xfId="16748" xr:uid="{00000000-0005-0000-0000-0000D7380000}"/>
    <cellStyle name="40% - Accent2 2 2 2 4 2 2 4" xfId="18168" xr:uid="{00000000-0005-0000-0000-0000D8380000}"/>
    <cellStyle name="40% - Accent2 2 2 2 4 2 3" xfId="30256" xr:uid="{00000000-0005-0000-0000-0000D9380000}"/>
    <cellStyle name="40% - Accent2 2 2 2 4 2 3 2" xfId="17801" xr:uid="{00000000-0005-0000-0000-0000DA380000}"/>
    <cellStyle name="40% - Accent2 2 2 2 4 2 3 2 2" xfId="11243" xr:uid="{00000000-0005-0000-0000-0000DB380000}"/>
    <cellStyle name="40% - Accent2 2 2 2 4 2 3 3" xfId="18174" xr:uid="{00000000-0005-0000-0000-0000DC380000}"/>
    <cellStyle name="40% - Accent2 2 2 2 4 2 4" xfId="19630" xr:uid="{00000000-0005-0000-0000-0000DD380000}"/>
    <cellStyle name="40% - Accent2 2 2 2 4 2 4 2" xfId="14260" xr:uid="{00000000-0005-0000-0000-0000DE380000}"/>
    <cellStyle name="40% - Accent2 2 2 2 4 2 5" xfId="16749" xr:uid="{00000000-0005-0000-0000-0000DF380000}"/>
    <cellStyle name="40% - Accent2 2 2 2 4 3" xfId="16751" xr:uid="{00000000-0005-0000-0000-0000E0380000}"/>
    <cellStyle name="40% - Accent2 2 2 2 4 3 2" xfId="16753" xr:uid="{00000000-0005-0000-0000-0000E1380000}"/>
    <cellStyle name="40% - Accent2 2 2 2 4 3 2 2" xfId="9" xr:uid="{00000000-0005-0000-0000-0000E2380000}"/>
    <cellStyle name="40% - Accent2 2 2 2 4 3 2 2 2" xfId="12237" xr:uid="{00000000-0005-0000-0000-0000E3380000}"/>
    <cellStyle name="40% - Accent2 2 2 2 4 3 2 3" xfId="18198" xr:uid="{00000000-0005-0000-0000-0000E4380000}"/>
    <cellStyle name="40% - Accent2 2 2 2 4 3 3" xfId="16754" xr:uid="{00000000-0005-0000-0000-0000E5380000}"/>
    <cellStyle name="40% - Accent2 2 2 2 4 3 3 2" xfId="13814" xr:uid="{00000000-0005-0000-0000-0000E6380000}"/>
    <cellStyle name="40% - Accent2 2 2 2 4 3 4" xfId="16755" xr:uid="{00000000-0005-0000-0000-0000E7380000}"/>
    <cellStyle name="40% - Accent2 2 2 2 4 4" xfId="16756" xr:uid="{00000000-0005-0000-0000-0000E8380000}"/>
    <cellStyle name="40% - Accent2 2 2 2 4 4 2" xfId="16757" xr:uid="{00000000-0005-0000-0000-0000E9380000}"/>
    <cellStyle name="40% - Accent2 2 2 2 4 4 2 2" xfId="1456" xr:uid="{00000000-0005-0000-0000-0000EA380000}"/>
    <cellStyle name="40% - Accent2 2 2 2 4 4 3" xfId="1129" xr:uid="{00000000-0005-0000-0000-0000EB380000}"/>
    <cellStyle name="40% - Accent2 2 2 2 4 5" xfId="16758" xr:uid="{00000000-0005-0000-0000-0000EC380000}"/>
    <cellStyle name="40% - Accent2 2 2 2 4 5 2" xfId="27526" xr:uid="{00000000-0005-0000-0000-0000ED380000}"/>
    <cellStyle name="40% - Accent2 2 2 2 4 6" xfId="20046" xr:uid="{00000000-0005-0000-0000-0000EE380000}"/>
    <cellStyle name="40% - Accent2 2 2 2 5" xfId="32650" xr:uid="{00000000-0005-0000-0000-0000EF380000}"/>
    <cellStyle name="40% - Accent2 2 2 2 5 2" xfId="16760" xr:uid="{00000000-0005-0000-0000-0000F0380000}"/>
    <cellStyle name="40% - Accent2 2 2 2 5 2 2" xfId="16763" xr:uid="{00000000-0005-0000-0000-0000F1380000}"/>
    <cellStyle name="40% - Accent2 2 2 2 5 2 2 2" xfId="9489" xr:uid="{00000000-0005-0000-0000-0000F2380000}"/>
    <cellStyle name="40% - Accent2 2 2 2 5 2 2 2 2" xfId="16765" xr:uid="{00000000-0005-0000-0000-0000F3380000}"/>
    <cellStyle name="40% - Accent2 2 2 2 5 2 2 3" xfId="18327" xr:uid="{00000000-0005-0000-0000-0000F4380000}"/>
    <cellStyle name="40% - Accent2 2 2 2 5 2 3" xfId="28221" xr:uid="{00000000-0005-0000-0000-0000F5380000}"/>
    <cellStyle name="40% - Accent2 2 2 2 5 2 3 2" xfId="17185" xr:uid="{00000000-0005-0000-0000-0000F6380000}"/>
    <cellStyle name="40% - Accent2 2 2 2 5 2 4" xfId="28226" xr:uid="{00000000-0005-0000-0000-0000F7380000}"/>
    <cellStyle name="40% - Accent2 2 2 2 5 3" xfId="16766" xr:uid="{00000000-0005-0000-0000-0000F8380000}"/>
    <cellStyle name="40% - Accent2 2 2 2 5 3 2" xfId="28049" xr:uid="{00000000-0005-0000-0000-0000F9380000}"/>
    <cellStyle name="40% - Accent2 2 2 2 5 3 2 2" xfId="17871" xr:uid="{00000000-0005-0000-0000-0000FA380000}"/>
    <cellStyle name="40% - Accent2 2 2 2 5 3 3" xfId="27403" xr:uid="{00000000-0005-0000-0000-0000FB380000}"/>
    <cellStyle name="40% - Accent2 2 2 2 5 4" xfId="16768" xr:uid="{00000000-0005-0000-0000-0000FC380000}"/>
    <cellStyle name="40% - Accent2 2 2 2 5 4 2" xfId="16769" xr:uid="{00000000-0005-0000-0000-0000FD380000}"/>
    <cellStyle name="40% - Accent2 2 2 2 5 5" xfId="21896" xr:uid="{00000000-0005-0000-0000-0000FE380000}"/>
    <cellStyle name="40% - Accent2 2 2 2 6" xfId="25064" xr:uid="{00000000-0005-0000-0000-0000FF380000}"/>
    <cellStyle name="40% - Accent2 2 2 2 6 2" xfId="27465" xr:uid="{00000000-0005-0000-0000-000000390000}"/>
    <cellStyle name="40% - Accent2 2 2 2 6 2 2" xfId="31196" xr:uid="{00000000-0005-0000-0000-000001390000}"/>
    <cellStyle name="40% - Accent2 2 2 2 6 2 2 2" xfId="11414" xr:uid="{00000000-0005-0000-0000-000002390000}"/>
    <cellStyle name="40% - Accent2 2 2 2 6 2 3" xfId="32878" xr:uid="{00000000-0005-0000-0000-000003390000}"/>
    <cellStyle name="40% - Accent2 2 2 2 6 3" xfId="32084" xr:uid="{00000000-0005-0000-0000-000004390000}"/>
    <cellStyle name="40% - Accent2 2 2 2 6 3 2" xfId="32942" xr:uid="{00000000-0005-0000-0000-000005390000}"/>
    <cellStyle name="40% - Accent2 2 2 2 6 4" xfId="12035" xr:uid="{00000000-0005-0000-0000-000006390000}"/>
    <cellStyle name="40% - Accent2 2 2 2 7" xfId="34001" xr:uid="{00000000-0005-0000-0000-000007390000}"/>
    <cellStyle name="40% - Accent2 2 2 2 7 2" xfId="33231" xr:uid="{00000000-0005-0000-0000-000008390000}"/>
    <cellStyle name="40% - Accent2 2 2 2 7 2 2" xfId="11520" xr:uid="{00000000-0005-0000-0000-000009390000}"/>
    <cellStyle name="40% - Accent2 2 2 2 7 3" xfId="32099" xr:uid="{00000000-0005-0000-0000-00000A390000}"/>
    <cellStyle name="40% - Accent2 2 2 2 8" xfId="27408" xr:uid="{00000000-0005-0000-0000-00000B390000}"/>
    <cellStyle name="40% - Accent2 2 2 2 8 2" xfId="33786" xr:uid="{00000000-0005-0000-0000-00000C390000}"/>
    <cellStyle name="40% - Accent2 2 2 2 9" xfId="20959" xr:uid="{00000000-0005-0000-0000-00000D390000}"/>
    <cellStyle name="40% - Accent2 2 2 3" xfId="7072" xr:uid="{00000000-0005-0000-0000-00000E390000}"/>
    <cellStyle name="40% - Accent2 2 2 3 2" xfId="16770" xr:uid="{00000000-0005-0000-0000-00000F390000}"/>
    <cellStyle name="40% - Accent2 2 2 3 2 2" xfId="16771" xr:uid="{00000000-0005-0000-0000-000010390000}"/>
    <cellStyle name="40% - Accent2 2 2 3 2 2 2" xfId="16772" xr:uid="{00000000-0005-0000-0000-000011390000}"/>
    <cellStyle name="40% - Accent2 2 2 3 2 2 2 2" xfId="14514" xr:uid="{00000000-0005-0000-0000-000012390000}"/>
    <cellStyle name="40% - Accent2 2 2 3 2 2 2 2 2" xfId="29145" xr:uid="{00000000-0005-0000-0000-000013390000}"/>
    <cellStyle name="40% - Accent2 2 2 3 2 2 2 2 2 2" xfId="17604" xr:uid="{00000000-0005-0000-0000-000014390000}"/>
    <cellStyle name="40% - Accent2 2 2 3 2 2 2 2 2 2 2" xfId="6339" xr:uid="{00000000-0005-0000-0000-000015390000}"/>
    <cellStyle name="40% - Accent2 2 2 3 2 2 2 2 2 3" xfId="16773" xr:uid="{00000000-0005-0000-0000-000016390000}"/>
    <cellStyle name="40% - Accent2 2 2 3 2 2 2 2 3" xfId="16776" xr:uid="{00000000-0005-0000-0000-000017390000}"/>
    <cellStyle name="40% - Accent2 2 2 3 2 2 2 2 3 2" xfId="16779" xr:uid="{00000000-0005-0000-0000-000018390000}"/>
    <cellStyle name="40% - Accent2 2 2 3 2 2 2 2 4" xfId="16783" xr:uid="{00000000-0005-0000-0000-000019390000}"/>
    <cellStyle name="40% - Accent2 2 2 3 2 2 2 3" xfId="22768" xr:uid="{00000000-0005-0000-0000-00001A390000}"/>
    <cellStyle name="40% - Accent2 2 2 3 2 2 2 3 2" xfId="30701" xr:uid="{00000000-0005-0000-0000-00001B390000}"/>
    <cellStyle name="40% - Accent2 2 2 3 2 2 2 3 2 2" xfId="16785" xr:uid="{00000000-0005-0000-0000-00001C390000}"/>
    <cellStyle name="40% - Accent2 2 2 3 2 2 2 3 3" xfId="18729" xr:uid="{00000000-0005-0000-0000-00001D390000}"/>
    <cellStyle name="40% - Accent2 2 2 3 2 2 2 4" xfId="17402" xr:uid="{00000000-0005-0000-0000-00001E390000}"/>
    <cellStyle name="40% - Accent2 2 2 3 2 2 2 4 2" xfId="25739" xr:uid="{00000000-0005-0000-0000-00001F390000}"/>
    <cellStyle name="40% - Accent2 2 2 3 2 2 2 5" xfId="17413" xr:uid="{00000000-0005-0000-0000-000020390000}"/>
    <cellStyle name="40% - Accent2 2 2 3 2 2 3" xfId="16788" xr:uid="{00000000-0005-0000-0000-000021390000}"/>
    <cellStyle name="40% - Accent2 2 2 3 2 2 3 2" xfId="28708" xr:uid="{00000000-0005-0000-0000-000022390000}"/>
    <cellStyle name="40% - Accent2 2 2 3 2 2 3 2 2" xfId="14956" xr:uid="{00000000-0005-0000-0000-000023390000}"/>
    <cellStyle name="40% - Accent2 2 2 3 2 2 3 2 2 2" xfId="16790" xr:uid="{00000000-0005-0000-0000-000024390000}"/>
    <cellStyle name="40% - Accent2 2 2 3 2 2 3 2 3" xfId="12918" xr:uid="{00000000-0005-0000-0000-000025390000}"/>
    <cellStyle name="40% - Accent2 2 2 3 2 2 3 3" xfId="22087" xr:uid="{00000000-0005-0000-0000-000026390000}"/>
    <cellStyle name="40% - Accent2 2 2 3 2 2 3 3 2" xfId="31177" xr:uid="{00000000-0005-0000-0000-000027390000}"/>
    <cellStyle name="40% - Accent2 2 2 3 2 2 3 4" xfId="17446" xr:uid="{00000000-0005-0000-0000-000028390000}"/>
    <cellStyle name="40% - Accent2 2 2 3 2 2 4" xfId="15323" xr:uid="{00000000-0005-0000-0000-000029390000}"/>
    <cellStyle name="40% - Accent2 2 2 3 2 2 4 2" xfId="3594" xr:uid="{00000000-0005-0000-0000-00002A390000}"/>
    <cellStyle name="40% - Accent2 2 2 3 2 2 4 2 2" xfId="4236" xr:uid="{00000000-0005-0000-0000-00002B390000}"/>
    <cellStyle name="40% - Accent2 2 2 3 2 2 4 3" xfId="20193" xr:uid="{00000000-0005-0000-0000-00002C390000}"/>
    <cellStyle name="40% - Accent2 2 2 3 2 2 5" xfId="15328" xr:uid="{00000000-0005-0000-0000-00002D390000}"/>
    <cellStyle name="40% - Accent2 2 2 3 2 2 5 2" xfId="32433" xr:uid="{00000000-0005-0000-0000-00002E390000}"/>
    <cellStyle name="40% - Accent2 2 2 3 2 2 6" xfId="16792" xr:uid="{00000000-0005-0000-0000-00002F390000}"/>
    <cellStyle name="40% - Accent2 2 2 3 2 3" xfId="16793" xr:uid="{00000000-0005-0000-0000-000030390000}"/>
    <cellStyle name="40% - Accent2 2 2 3 2 3 2" xfId="10934" xr:uid="{00000000-0005-0000-0000-000031390000}"/>
    <cellStyle name="40% - Accent2 2 2 3 2 3 2 2" xfId="21376" xr:uid="{00000000-0005-0000-0000-000032390000}"/>
    <cellStyle name="40% - Accent2 2 2 3 2 3 2 2 2" xfId="30921" xr:uid="{00000000-0005-0000-0000-000033390000}"/>
    <cellStyle name="40% - Accent2 2 2 3 2 3 2 2 2 2" xfId="11939" xr:uid="{00000000-0005-0000-0000-000034390000}"/>
    <cellStyle name="40% - Accent2 2 2 3 2 3 2 2 3" xfId="16794" xr:uid="{00000000-0005-0000-0000-000035390000}"/>
    <cellStyle name="40% - Accent2 2 2 3 2 3 2 3" xfId="23302" xr:uid="{00000000-0005-0000-0000-000036390000}"/>
    <cellStyle name="40% - Accent2 2 2 3 2 3 2 3 2" xfId="54" xr:uid="{00000000-0005-0000-0000-000037390000}"/>
    <cellStyle name="40% - Accent2 2 2 3 2 3 2 4" xfId="17847" xr:uid="{00000000-0005-0000-0000-000038390000}"/>
    <cellStyle name="40% - Accent2 2 2 3 2 3 3" xfId="16796" xr:uid="{00000000-0005-0000-0000-000039390000}"/>
    <cellStyle name="40% - Accent2 2 2 3 2 3 3 2" xfId="9485" xr:uid="{00000000-0005-0000-0000-00003A390000}"/>
    <cellStyle name="40% - Accent2 2 2 3 2 3 3 2 2" xfId="34024" xr:uid="{00000000-0005-0000-0000-00003B390000}"/>
    <cellStyle name="40% - Accent2 2 2 3 2 3 3 3" xfId="22114" xr:uid="{00000000-0005-0000-0000-00003C390000}"/>
    <cellStyle name="40% - Accent2 2 2 3 2 3 4" xfId="1233" xr:uid="{00000000-0005-0000-0000-00003D390000}"/>
    <cellStyle name="40% - Accent2 2 2 3 2 3 4 2" xfId="24750" xr:uid="{00000000-0005-0000-0000-00003E390000}"/>
    <cellStyle name="40% - Accent2 2 2 3 2 3 5" xfId="6942" xr:uid="{00000000-0005-0000-0000-00003F390000}"/>
    <cellStyle name="40% - Accent2 2 2 3 2 4" xfId="16797" xr:uid="{00000000-0005-0000-0000-000040390000}"/>
    <cellStyle name="40% - Accent2 2 2 3 2 4 2" xfId="16798" xr:uid="{00000000-0005-0000-0000-000041390000}"/>
    <cellStyle name="40% - Accent2 2 2 3 2 4 2 2" xfId="14546" xr:uid="{00000000-0005-0000-0000-000042390000}"/>
    <cellStyle name="40% - Accent2 2 2 3 2 4 2 2 2" xfId="32185" xr:uid="{00000000-0005-0000-0000-000043390000}"/>
    <cellStyle name="40% - Accent2 2 2 3 2 4 2 3" xfId="18210" xr:uid="{00000000-0005-0000-0000-000044390000}"/>
    <cellStyle name="40% - Accent2 2 2 3 2 4 3" xfId="16801" xr:uid="{00000000-0005-0000-0000-000045390000}"/>
    <cellStyle name="40% - Accent2 2 2 3 2 4 3 2" xfId="16802" xr:uid="{00000000-0005-0000-0000-000046390000}"/>
    <cellStyle name="40% - Accent2 2 2 3 2 4 4" xfId="494" xr:uid="{00000000-0005-0000-0000-000047390000}"/>
    <cellStyle name="40% - Accent2 2 2 3 2 5" xfId="22660" xr:uid="{00000000-0005-0000-0000-000048390000}"/>
    <cellStyle name="40% - Accent2 2 2 3 2 5 2" xfId="19255" xr:uid="{00000000-0005-0000-0000-000049390000}"/>
    <cellStyle name="40% - Accent2 2 2 3 2 5 2 2" xfId="9274" xr:uid="{00000000-0005-0000-0000-00004A390000}"/>
    <cellStyle name="40% - Accent2 2 2 3 2 5 3" xfId="22663" xr:uid="{00000000-0005-0000-0000-00004B390000}"/>
    <cellStyle name="40% - Accent2 2 2 3 2 6" xfId="19764" xr:uid="{00000000-0005-0000-0000-00004C390000}"/>
    <cellStyle name="40% - Accent2 2 2 3 2 6 2" xfId="19767" xr:uid="{00000000-0005-0000-0000-00004D390000}"/>
    <cellStyle name="40% - Accent2 2 2 3 2 7" xfId="19778" xr:uid="{00000000-0005-0000-0000-00004E390000}"/>
    <cellStyle name="40% - Accent2 2 2 3 3" xfId="16803" xr:uid="{00000000-0005-0000-0000-00004F390000}"/>
    <cellStyle name="40% - Accent2 2 2 3 3 2" xfId="16804" xr:uid="{00000000-0005-0000-0000-000050390000}"/>
    <cellStyle name="40% - Accent2 2 2 3 3 2 2" xfId="24352" xr:uid="{00000000-0005-0000-0000-000051390000}"/>
    <cellStyle name="40% - Accent2 2 2 3 3 2 2 2" xfId="14557" xr:uid="{00000000-0005-0000-0000-000052390000}"/>
    <cellStyle name="40% - Accent2 2 2 3 3 2 2 2 2" xfId="33906" xr:uid="{00000000-0005-0000-0000-000053390000}"/>
    <cellStyle name="40% - Accent2 2 2 3 3 2 2 2 2 2" xfId="16806" xr:uid="{00000000-0005-0000-0000-000054390000}"/>
    <cellStyle name="40% - Accent2 2 2 3 3 2 2 2 3" xfId="16809" xr:uid="{00000000-0005-0000-0000-000055390000}"/>
    <cellStyle name="40% - Accent2 2 2 3 3 2 2 3" xfId="19236" xr:uid="{00000000-0005-0000-0000-000056390000}"/>
    <cellStyle name="40% - Accent2 2 2 3 3 2 2 3 2" xfId="32233" xr:uid="{00000000-0005-0000-0000-000057390000}"/>
    <cellStyle name="40% - Accent2 2 2 3 3 2 2 4" xfId="19259" xr:uid="{00000000-0005-0000-0000-000058390000}"/>
    <cellStyle name="40% - Accent2 2 2 3 3 2 3" xfId="21072" xr:uid="{00000000-0005-0000-0000-000059390000}"/>
    <cellStyle name="40% - Accent2 2 2 3 3 2 3 2" xfId="9516" xr:uid="{00000000-0005-0000-0000-00005A390000}"/>
    <cellStyle name="40% - Accent2 2 2 3 3 2 3 2 2" xfId="9886" xr:uid="{00000000-0005-0000-0000-00005B390000}"/>
    <cellStyle name="40% - Accent2 2 2 3 3 2 3 3" xfId="18527" xr:uid="{00000000-0005-0000-0000-00005C390000}"/>
    <cellStyle name="40% - Accent2 2 2 3 3 2 4" xfId="15331" xr:uid="{00000000-0005-0000-0000-00005D390000}"/>
    <cellStyle name="40% - Accent2 2 2 3 3 2 4 2" xfId="16813" xr:uid="{00000000-0005-0000-0000-00005E390000}"/>
    <cellStyle name="40% - Accent2 2 2 3 3 2 5" xfId="13492" xr:uid="{00000000-0005-0000-0000-00005F390000}"/>
    <cellStyle name="40% - Accent2 2 2 3 3 3" xfId="16819" xr:uid="{00000000-0005-0000-0000-000060390000}"/>
    <cellStyle name="40% - Accent2 2 2 3 3 3 2" xfId="11196" xr:uid="{00000000-0005-0000-0000-000061390000}"/>
    <cellStyle name="40% - Accent2 2 2 3 3 3 2 2" xfId="14577" xr:uid="{00000000-0005-0000-0000-000062390000}"/>
    <cellStyle name="40% - Accent2 2 2 3 3 3 2 2 2" xfId="1127" xr:uid="{00000000-0005-0000-0000-000063390000}"/>
    <cellStyle name="40% - Accent2 2 2 3 3 3 2 3" xfId="19721" xr:uid="{00000000-0005-0000-0000-000064390000}"/>
    <cellStyle name="40% - Accent2 2 2 3 3 3 3" xfId="16822" xr:uid="{00000000-0005-0000-0000-000065390000}"/>
    <cellStyle name="40% - Accent2 2 2 3 3 3 3 2" xfId="16823" xr:uid="{00000000-0005-0000-0000-000066390000}"/>
    <cellStyle name="40% - Accent2 2 2 3 3 3 4" xfId="1983" xr:uid="{00000000-0005-0000-0000-000067390000}"/>
    <cellStyle name="40% - Accent2 2 2 3 3 4" xfId="16824" xr:uid="{00000000-0005-0000-0000-000068390000}"/>
    <cellStyle name="40% - Accent2 2 2 3 3 4 2" xfId="16825" xr:uid="{00000000-0005-0000-0000-000069390000}"/>
    <cellStyle name="40% - Accent2 2 2 3 3 4 2 2" xfId="16827" xr:uid="{00000000-0005-0000-0000-00006A390000}"/>
    <cellStyle name="40% - Accent2 2 2 3 3 4 3" xfId="16828" xr:uid="{00000000-0005-0000-0000-00006B390000}"/>
    <cellStyle name="40% - Accent2 2 2 3 3 5" xfId="16830" xr:uid="{00000000-0005-0000-0000-00006C390000}"/>
    <cellStyle name="40% - Accent2 2 2 3 3 5 2" xfId="22671" xr:uid="{00000000-0005-0000-0000-00006D390000}"/>
    <cellStyle name="40% - Accent2 2 2 3 3 6" xfId="19783" xr:uid="{00000000-0005-0000-0000-00006E390000}"/>
    <cellStyle name="40% - Accent2 2 2 3 4" xfId="16832" xr:uid="{00000000-0005-0000-0000-00006F390000}"/>
    <cellStyle name="40% - Accent2 2 2 3 4 2" xfId="16834" xr:uid="{00000000-0005-0000-0000-000070390000}"/>
    <cellStyle name="40% - Accent2 2 2 3 4 2 2" xfId="11346" xr:uid="{00000000-0005-0000-0000-000071390000}"/>
    <cellStyle name="40% - Accent2 2 2 3 4 2 2 2" xfId="3340" xr:uid="{00000000-0005-0000-0000-000072390000}"/>
    <cellStyle name="40% - Accent2 2 2 3 4 2 2 2 2" xfId="5224" xr:uid="{00000000-0005-0000-0000-000073390000}"/>
    <cellStyle name="40% - Accent2 2 2 3 4 2 2 3" xfId="19977" xr:uid="{00000000-0005-0000-0000-000074390000}"/>
    <cellStyle name="40% - Accent2 2 2 3 4 2 3" xfId="16837" xr:uid="{00000000-0005-0000-0000-000075390000}"/>
    <cellStyle name="40% - Accent2 2 2 3 4 2 3 2" xfId="16838" xr:uid="{00000000-0005-0000-0000-000076390000}"/>
    <cellStyle name="40% - Accent2 2 2 3 4 2 4" xfId="16840" xr:uid="{00000000-0005-0000-0000-000077390000}"/>
    <cellStyle name="40% - Accent2 2 2 3 4 3" xfId="16841" xr:uid="{00000000-0005-0000-0000-000078390000}"/>
    <cellStyle name="40% - Accent2 2 2 3 4 3 2" xfId="16842" xr:uid="{00000000-0005-0000-0000-000079390000}"/>
    <cellStyle name="40% - Accent2 2 2 3 4 3 2 2" xfId="16843" xr:uid="{00000000-0005-0000-0000-00007A390000}"/>
    <cellStyle name="40% - Accent2 2 2 3 4 3 3" xfId="16844" xr:uid="{00000000-0005-0000-0000-00007B390000}"/>
    <cellStyle name="40% - Accent2 2 2 3 4 4" xfId="16845" xr:uid="{00000000-0005-0000-0000-00007C390000}"/>
    <cellStyle name="40% - Accent2 2 2 3 4 4 2" xfId="31530" xr:uid="{00000000-0005-0000-0000-00007D390000}"/>
    <cellStyle name="40% - Accent2 2 2 3 4 5" xfId="22679" xr:uid="{00000000-0005-0000-0000-00007E390000}"/>
    <cellStyle name="40% - Accent2 2 2 3 5" xfId="16850" xr:uid="{00000000-0005-0000-0000-00007F390000}"/>
    <cellStyle name="40% - Accent2 2 2 3 5 2" xfId="16852" xr:uid="{00000000-0005-0000-0000-000080390000}"/>
    <cellStyle name="40% - Accent2 2 2 3 5 2 2" xfId="16853" xr:uid="{00000000-0005-0000-0000-000081390000}"/>
    <cellStyle name="40% - Accent2 2 2 3 5 2 2 2" xfId="16854" xr:uid="{00000000-0005-0000-0000-000082390000}"/>
    <cellStyle name="40% - Accent2 2 2 3 5 2 3" xfId="16855" xr:uid="{00000000-0005-0000-0000-000083390000}"/>
    <cellStyle name="40% - Accent2 2 2 3 5 3" xfId="16856" xr:uid="{00000000-0005-0000-0000-000084390000}"/>
    <cellStyle name="40% - Accent2 2 2 3 5 3 2" xfId="16857" xr:uid="{00000000-0005-0000-0000-000085390000}"/>
    <cellStyle name="40% - Accent2 2 2 3 5 4" xfId="32324" xr:uid="{00000000-0005-0000-0000-000086390000}"/>
    <cellStyle name="40% - Accent2 2 2 3 6" xfId="12040" xr:uid="{00000000-0005-0000-0000-000087390000}"/>
    <cellStyle name="40% - Accent2 2 2 3 6 2" xfId="15681" xr:uid="{00000000-0005-0000-0000-000088390000}"/>
    <cellStyle name="40% - Accent2 2 2 3 6 2 2" xfId="3962" xr:uid="{00000000-0005-0000-0000-000089390000}"/>
    <cellStyle name="40% - Accent2 2 2 3 6 3" xfId="16029" xr:uid="{00000000-0005-0000-0000-00008A390000}"/>
    <cellStyle name="40% - Accent2 2 2 3 7" xfId="12043" xr:uid="{00000000-0005-0000-0000-00008B390000}"/>
    <cellStyle name="40% - Accent2 2 2 3 7 2" xfId="12045" xr:uid="{00000000-0005-0000-0000-00008C390000}"/>
    <cellStyle name="40% - Accent2 2 2 3 8" xfId="12047" xr:uid="{00000000-0005-0000-0000-00008D390000}"/>
    <cellStyle name="40% - Accent2 2 2 4" xfId="16858" xr:uid="{00000000-0005-0000-0000-00008E390000}"/>
    <cellStyle name="40% - Accent2 2 2 4 2" xfId="16859" xr:uid="{00000000-0005-0000-0000-00008F390000}"/>
    <cellStyle name="40% - Accent2 2 2 4 2 2" xfId="16861" xr:uid="{00000000-0005-0000-0000-000090390000}"/>
    <cellStyle name="40% - Accent2 2 2 4 2 2 2" xfId="16864" xr:uid="{00000000-0005-0000-0000-000091390000}"/>
    <cellStyle name="40% - Accent2 2 2 4 2 2 2 2" xfId="28210" xr:uid="{00000000-0005-0000-0000-000092390000}"/>
    <cellStyle name="40% - Accent2 2 2 4 2 2 2 2 2" xfId="16865" xr:uid="{00000000-0005-0000-0000-000093390000}"/>
    <cellStyle name="40% - Accent2 2 2 4 2 2 2 2 2 2" xfId="18090" xr:uid="{00000000-0005-0000-0000-000094390000}"/>
    <cellStyle name="40% - Accent2 2 2 4 2 2 2 2 3" xfId="2911" xr:uid="{00000000-0005-0000-0000-000095390000}"/>
    <cellStyle name="40% - Accent2 2 2 4 2 2 2 3" xfId="20144" xr:uid="{00000000-0005-0000-0000-000096390000}"/>
    <cellStyle name="40% - Accent2 2 2 4 2 2 2 3 2" xfId="30745" xr:uid="{00000000-0005-0000-0000-000097390000}"/>
    <cellStyle name="40% - Accent2 2 2 4 2 2 2 4" xfId="21593" xr:uid="{00000000-0005-0000-0000-000098390000}"/>
    <cellStyle name="40% - Accent2 2 2 4 2 2 3" xfId="16867" xr:uid="{00000000-0005-0000-0000-000099390000}"/>
    <cellStyle name="40% - Accent2 2 2 4 2 2 3 2" xfId="9704" xr:uid="{00000000-0005-0000-0000-00009A390000}"/>
    <cellStyle name="40% - Accent2 2 2 4 2 2 3 2 2" xfId="13594" xr:uid="{00000000-0005-0000-0000-00009B390000}"/>
    <cellStyle name="40% - Accent2 2 2 4 2 2 3 3" xfId="18568" xr:uid="{00000000-0005-0000-0000-00009C390000}"/>
    <cellStyle name="40% - Accent2 2 2 4 2 2 4" xfId="8935" xr:uid="{00000000-0005-0000-0000-00009D390000}"/>
    <cellStyle name="40% - Accent2 2 2 4 2 2 4 2" xfId="6932" xr:uid="{00000000-0005-0000-0000-00009E390000}"/>
    <cellStyle name="40% - Accent2 2 2 4 2 2 5" xfId="9265" xr:uid="{00000000-0005-0000-0000-00009F390000}"/>
    <cellStyle name="40% - Accent2 2 2 4 2 3" xfId="16868" xr:uid="{00000000-0005-0000-0000-0000A0390000}"/>
    <cellStyle name="40% - Accent2 2 2 4 2 3 2" xfId="16870" xr:uid="{00000000-0005-0000-0000-0000A1390000}"/>
    <cellStyle name="40% - Accent2 2 2 4 2 3 2 2" xfId="13495" xr:uid="{00000000-0005-0000-0000-0000A2390000}"/>
    <cellStyle name="40% - Accent2 2 2 4 2 3 2 2 2" xfId="16872" xr:uid="{00000000-0005-0000-0000-0000A3390000}"/>
    <cellStyle name="40% - Accent2 2 2 4 2 3 2 3" xfId="21759" xr:uid="{00000000-0005-0000-0000-0000A4390000}"/>
    <cellStyle name="40% - Accent2 2 2 4 2 3 3" xfId="16873" xr:uid="{00000000-0005-0000-0000-0000A5390000}"/>
    <cellStyle name="40% - Accent2 2 2 4 2 3 3 2" xfId="14578" xr:uid="{00000000-0005-0000-0000-0000A6390000}"/>
    <cellStyle name="40% - Accent2 2 2 4 2 3 4" xfId="2624" xr:uid="{00000000-0005-0000-0000-0000A7390000}"/>
    <cellStyle name="40% - Accent2 2 2 4 2 4" xfId="764" xr:uid="{00000000-0005-0000-0000-0000A8390000}"/>
    <cellStyle name="40% - Accent2 2 2 4 2 4 2" xfId="16875" xr:uid="{00000000-0005-0000-0000-0000A9390000}"/>
    <cellStyle name="40% - Accent2 2 2 4 2 4 2 2" xfId="16878" xr:uid="{00000000-0005-0000-0000-0000AA390000}"/>
    <cellStyle name="40% - Accent2 2 2 4 2 4 3" xfId="16882" xr:uid="{00000000-0005-0000-0000-0000AB390000}"/>
    <cellStyle name="40% - Accent2 2 2 4 2 5" xfId="18106" xr:uid="{00000000-0005-0000-0000-0000AC390000}"/>
    <cellStyle name="40% - Accent2 2 2 4 2 5 2" xfId="22849" xr:uid="{00000000-0005-0000-0000-0000AD390000}"/>
    <cellStyle name="40% - Accent2 2 2 4 2 6" xfId="19751" xr:uid="{00000000-0005-0000-0000-0000AE390000}"/>
    <cellStyle name="40% - Accent2 2 2 4 3" xfId="20826" xr:uid="{00000000-0005-0000-0000-0000AF390000}"/>
    <cellStyle name="40% - Accent2 2 2 4 3 2" xfId="26077" xr:uid="{00000000-0005-0000-0000-0000B0390000}"/>
    <cellStyle name="40% - Accent2 2 2 4 3 2 2" xfId="22049" xr:uid="{00000000-0005-0000-0000-0000B1390000}"/>
    <cellStyle name="40% - Accent2 2 2 4 3 2 2 2" xfId="14616" xr:uid="{00000000-0005-0000-0000-0000B2390000}"/>
    <cellStyle name="40% - Accent2 2 2 4 3 2 2 2 2" xfId="16887" xr:uid="{00000000-0005-0000-0000-0000B3390000}"/>
    <cellStyle name="40% - Accent2 2 2 4 3 2 2 3" xfId="24039" xr:uid="{00000000-0005-0000-0000-0000B4390000}"/>
    <cellStyle name="40% - Accent2 2 2 4 3 2 3" xfId="22055" xr:uid="{00000000-0005-0000-0000-0000B5390000}"/>
    <cellStyle name="40% - Accent2 2 2 4 3 2 3 2" xfId="16888" xr:uid="{00000000-0005-0000-0000-0000B6390000}"/>
    <cellStyle name="40% - Accent2 2 2 4 3 2 4" xfId="4492" xr:uid="{00000000-0005-0000-0000-0000B7390000}"/>
    <cellStyle name="40% - Accent2 2 2 4 3 3" xfId="16889" xr:uid="{00000000-0005-0000-0000-0000B8390000}"/>
    <cellStyle name="40% - Accent2 2 2 4 3 3 2" xfId="22060" xr:uid="{00000000-0005-0000-0000-0000B9390000}"/>
    <cellStyle name="40% - Accent2 2 2 4 3 3 2 2" xfId="16891" xr:uid="{00000000-0005-0000-0000-0000BA390000}"/>
    <cellStyle name="40% - Accent2 2 2 4 3 3 3" xfId="16893" xr:uid="{00000000-0005-0000-0000-0000BB390000}"/>
    <cellStyle name="40% - Accent2 2 2 4 3 4" xfId="570" xr:uid="{00000000-0005-0000-0000-0000BC390000}"/>
    <cellStyle name="40% - Accent2 2 2 4 3 4 2" xfId="16895" xr:uid="{00000000-0005-0000-0000-0000BD390000}"/>
    <cellStyle name="40% - Accent2 2 2 4 3 5" xfId="22860" xr:uid="{00000000-0005-0000-0000-0000BE390000}"/>
    <cellStyle name="40% - Accent2 2 2 4 4" xfId="884" xr:uid="{00000000-0005-0000-0000-0000BF390000}"/>
    <cellStyle name="40% - Accent2 2 2 4 4 2" xfId="32414" xr:uid="{00000000-0005-0000-0000-0000C0390000}"/>
    <cellStyle name="40% - Accent2 2 2 4 4 2 2" xfId="24425" xr:uid="{00000000-0005-0000-0000-0000C1390000}"/>
    <cellStyle name="40% - Accent2 2 2 4 4 2 2 2" xfId="11348" xr:uid="{00000000-0005-0000-0000-0000C2390000}"/>
    <cellStyle name="40% - Accent2 2 2 4 4 2 3" xfId="16897" xr:uid="{00000000-0005-0000-0000-0000C3390000}"/>
    <cellStyle name="40% - Accent2 2 2 4 4 3" xfId="31254" xr:uid="{00000000-0005-0000-0000-0000C4390000}"/>
    <cellStyle name="40% - Accent2 2 2 4 4 3 2" xfId="16898" xr:uid="{00000000-0005-0000-0000-0000C5390000}"/>
    <cellStyle name="40% - Accent2 2 2 4 4 4" xfId="3329" xr:uid="{00000000-0005-0000-0000-0000C6390000}"/>
    <cellStyle name="40% - Accent2 2 2 4 5" xfId="32389" xr:uid="{00000000-0005-0000-0000-0000C7390000}"/>
    <cellStyle name="40% - Accent2 2 2 4 5 2" xfId="16899" xr:uid="{00000000-0005-0000-0000-0000C8390000}"/>
    <cellStyle name="40% - Accent2 2 2 4 5 2 2" xfId="26448" xr:uid="{00000000-0005-0000-0000-0000C9390000}"/>
    <cellStyle name="40% - Accent2 2 2 4 5 3" xfId="16900" xr:uid="{00000000-0005-0000-0000-0000CA390000}"/>
    <cellStyle name="40% - Accent2 2 2 4 6" xfId="1151" xr:uid="{00000000-0005-0000-0000-0000CB390000}"/>
    <cellStyle name="40% - Accent2 2 2 4 6 2" xfId="12049" xr:uid="{00000000-0005-0000-0000-0000CC390000}"/>
    <cellStyle name="40% - Accent2 2 2 4 7" xfId="1281" xr:uid="{00000000-0005-0000-0000-0000CD390000}"/>
    <cellStyle name="40% - Accent2 2 2 5" xfId="13778" xr:uid="{00000000-0005-0000-0000-0000CE390000}"/>
    <cellStyle name="40% - Accent2 2 2 5 2" xfId="24801" xr:uid="{00000000-0005-0000-0000-0000CF390000}"/>
    <cellStyle name="40% - Accent2 2 2 5 2 2" xfId="30550" xr:uid="{00000000-0005-0000-0000-0000D0390000}"/>
    <cellStyle name="40% - Accent2 2 2 5 2 2 2" xfId="30408" xr:uid="{00000000-0005-0000-0000-0000D1390000}"/>
    <cellStyle name="40% - Accent2 2 2 5 2 2 2 2" xfId="14626" xr:uid="{00000000-0005-0000-0000-0000D2390000}"/>
    <cellStyle name="40% - Accent2 2 2 5 2 2 2 2 2" xfId="28722" xr:uid="{00000000-0005-0000-0000-0000D3390000}"/>
    <cellStyle name="40% - Accent2 2 2 5 2 2 2 3" xfId="7634" xr:uid="{00000000-0005-0000-0000-0000D4390000}"/>
    <cellStyle name="40% - Accent2 2 2 5 2 2 3" xfId="33177" xr:uid="{00000000-0005-0000-0000-0000D5390000}"/>
    <cellStyle name="40% - Accent2 2 2 5 2 2 3 2" xfId="16901" xr:uid="{00000000-0005-0000-0000-0000D6390000}"/>
    <cellStyle name="40% - Accent2 2 2 5 2 2 4" xfId="2656" xr:uid="{00000000-0005-0000-0000-0000D7390000}"/>
    <cellStyle name="40% - Accent2 2 2 5 2 3" xfId="30232" xr:uid="{00000000-0005-0000-0000-0000D8390000}"/>
    <cellStyle name="40% - Accent2 2 2 5 2 3 2" xfId="33655" xr:uid="{00000000-0005-0000-0000-0000D9390000}"/>
    <cellStyle name="40% - Accent2 2 2 5 2 3 2 2" xfId="16902" xr:uid="{00000000-0005-0000-0000-0000DA390000}"/>
    <cellStyle name="40% - Accent2 2 2 5 2 3 3" xfId="30386" xr:uid="{00000000-0005-0000-0000-0000DB390000}"/>
    <cellStyle name="40% - Accent2 2 2 5 2 4" xfId="614" xr:uid="{00000000-0005-0000-0000-0000DC390000}"/>
    <cellStyle name="40% - Accent2 2 2 5 2 4 2" xfId="16903" xr:uid="{00000000-0005-0000-0000-0000DD390000}"/>
    <cellStyle name="40% - Accent2 2 2 5 2 5" xfId="23063" xr:uid="{00000000-0005-0000-0000-0000DE390000}"/>
    <cellStyle name="40% - Accent2 2 2 5 3" xfId="28415" xr:uid="{00000000-0005-0000-0000-0000DF390000}"/>
    <cellStyle name="40% - Accent2 2 2 5 3 2" xfId="16905" xr:uid="{00000000-0005-0000-0000-0000E0390000}"/>
    <cellStyle name="40% - Accent2 2 2 5 3 2 2" xfId="23931" xr:uid="{00000000-0005-0000-0000-0000E1390000}"/>
    <cellStyle name="40% - Accent2 2 2 5 3 2 2 2" xfId="11937" xr:uid="{00000000-0005-0000-0000-0000E2390000}"/>
    <cellStyle name="40% - Accent2 2 2 5 3 2 3" xfId="23936" xr:uid="{00000000-0005-0000-0000-0000E3390000}"/>
    <cellStyle name="40% - Accent2 2 2 5 3 3" xfId="18225" xr:uid="{00000000-0005-0000-0000-0000E4390000}"/>
    <cellStyle name="40% - Accent2 2 2 5 3 3 2" xfId="18227" xr:uid="{00000000-0005-0000-0000-0000E5390000}"/>
    <cellStyle name="40% - Accent2 2 2 5 3 4" xfId="3358" xr:uid="{00000000-0005-0000-0000-0000E6390000}"/>
    <cellStyle name="40% - Accent2 2 2 5 4" xfId="31228" xr:uid="{00000000-0005-0000-0000-0000E7390000}"/>
    <cellStyle name="40% - Accent2 2 2 5 4 2" xfId="32434" xr:uid="{00000000-0005-0000-0000-0000E8390000}"/>
    <cellStyle name="40% - Accent2 2 2 5 4 2 2" xfId="16906" xr:uid="{00000000-0005-0000-0000-0000E9390000}"/>
    <cellStyle name="40% - Accent2 2 2 5 4 3" xfId="17974" xr:uid="{00000000-0005-0000-0000-0000EA390000}"/>
    <cellStyle name="40% - Accent2 2 2 5 5" xfId="24080" xr:uid="{00000000-0005-0000-0000-0000EB390000}"/>
    <cellStyle name="40% - Accent2 2 2 5 5 2" xfId="5286" xr:uid="{00000000-0005-0000-0000-0000EC390000}"/>
    <cellStyle name="40% - Accent2 2 2 5 6" xfId="1167" xr:uid="{00000000-0005-0000-0000-0000ED390000}"/>
    <cellStyle name="40% - Accent2 2 2 6" xfId="13205" xr:uid="{00000000-0005-0000-0000-0000EE390000}"/>
    <cellStyle name="40% - Accent2 2 2 6 2" xfId="29122" xr:uid="{00000000-0005-0000-0000-0000EF390000}"/>
    <cellStyle name="40% - Accent2 2 2 6 2 2" xfId="30464" xr:uid="{00000000-0005-0000-0000-0000F0390000}"/>
    <cellStyle name="40% - Accent2 2 2 6 2 2 2" xfId="29918" xr:uid="{00000000-0005-0000-0000-0000F1390000}"/>
    <cellStyle name="40% - Accent2 2 2 6 2 2 2 2" xfId="16908" xr:uid="{00000000-0005-0000-0000-0000F2390000}"/>
    <cellStyle name="40% - Accent2 2 2 6 2 2 3" xfId="28852" xr:uid="{00000000-0005-0000-0000-0000F3390000}"/>
    <cellStyle name="40% - Accent2 2 2 6 2 3" xfId="16910" xr:uid="{00000000-0005-0000-0000-0000F4390000}"/>
    <cellStyle name="40% - Accent2 2 2 6 2 3 2" xfId="19498" xr:uid="{00000000-0005-0000-0000-0000F5390000}"/>
    <cellStyle name="40% - Accent2 2 2 6 2 4" xfId="9666" xr:uid="{00000000-0005-0000-0000-0000F6390000}"/>
    <cellStyle name="40% - Accent2 2 2 6 3" xfId="29134" xr:uid="{00000000-0005-0000-0000-0000F7390000}"/>
    <cellStyle name="40% - Accent2 2 2 6 3 2" xfId="32603" xr:uid="{00000000-0005-0000-0000-0000F8390000}"/>
    <cellStyle name="40% - Accent2 2 2 6 3 2 2" xfId="3330" xr:uid="{00000000-0005-0000-0000-0000F9390000}"/>
    <cellStyle name="40% - Accent2 2 2 6 3 3" xfId="16915" xr:uid="{00000000-0005-0000-0000-0000FA390000}"/>
    <cellStyle name="40% - Accent2 2 2 6 4" xfId="16917" xr:uid="{00000000-0005-0000-0000-0000FB390000}"/>
    <cellStyle name="40% - Accent2 2 2 6 4 2" xfId="16918" xr:uid="{00000000-0005-0000-0000-0000FC390000}"/>
    <cellStyle name="40% - Accent2 2 2 6 5" xfId="27629" xr:uid="{00000000-0005-0000-0000-0000FD390000}"/>
    <cellStyle name="40% - Accent2 2 2 7" xfId="24797" xr:uid="{00000000-0005-0000-0000-0000FE390000}"/>
    <cellStyle name="40% - Accent2 2 2 7 2" xfId="10091" xr:uid="{00000000-0005-0000-0000-0000FF390000}"/>
    <cellStyle name="40% - Accent2 2 2 7 2 2" xfId="29938" xr:uid="{00000000-0005-0000-0000-0000003A0000}"/>
    <cellStyle name="40% - Accent2 2 2 7 2 2 2" xfId="29941" xr:uid="{00000000-0005-0000-0000-0000013A0000}"/>
    <cellStyle name="40% - Accent2 2 2 7 2 3" xfId="12214" xr:uid="{00000000-0005-0000-0000-0000023A0000}"/>
    <cellStyle name="40% - Accent2 2 2 7 3" xfId="30678" xr:uid="{00000000-0005-0000-0000-0000033A0000}"/>
    <cellStyle name="40% - Accent2 2 2 7 3 2" xfId="30279" xr:uid="{00000000-0005-0000-0000-0000043A0000}"/>
    <cellStyle name="40% - Accent2 2 2 7 4" xfId="33938" xr:uid="{00000000-0005-0000-0000-0000053A0000}"/>
    <cellStyle name="40% - Accent2 2 2 8" xfId="775" xr:uid="{00000000-0005-0000-0000-0000063A0000}"/>
    <cellStyle name="40% - Accent2 2 2 8 2" xfId="11025" xr:uid="{00000000-0005-0000-0000-0000073A0000}"/>
    <cellStyle name="40% - Accent2 2 2 8 2 2" xfId="23858" xr:uid="{00000000-0005-0000-0000-0000083A0000}"/>
    <cellStyle name="40% - Accent2 2 2 8 3" xfId="30194" xr:uid="{00000000-0005-0000-0000-0000093A0000}"/>
    <cellStyle name="40% - Accent2 2 2 9" xfId="18113" xr:uid="{00000000-0005-0000-0000-00000A3A0000}"/>
    <cellStyle name="40% - Accent2 2 2 9 2" xfId="33722" xr:uid="{00000000-0005-0000-0000-00000B3A0000}"/>
    <cellStyle name="40% - Accent2 2 3" xfId="29470" xr:uid="{00000000-0005-0000-0000-00000C3A0000}"/>
    <cellStyle name="40% - Accent2 2 3 2" xfId="16921" xr:uid="{00000000-0005-0000-0000-00000D3A0000}"/>
    <cellStyle name="40% - Accent2 2 3 2 2" xfId="16922" xr:uid="{00000000-0005-0000-0000-00000E3A0000}"/>
    <cellStyle name="40% - Accent2 2 3 2 2 2" xfId="16924" xr:uid="{00000000-0005-0000-0000-00000F3A0000}"/>
    <cellStyle name="40% - Accent2 2 3 2 2 2 2" xfId="16926" xr:uid="{00000000-0005-0000-0000-0000103A0000}"/>
    <cellStyle name="40% - Accent2 2 3 2 2 2 2 2" xfId="6192" xr:uid="{00000000-0005-0000-0000-0000113A0000}"/>
    <cellStyle name="40% - Accent2 2 3 2 2 2 2 2 2" xfId="22013" xr:uid="{00000000-0005-0000-0000-0000123A0000}"/>
    <cellStyle name="40% - Accent2 2 3 2 2 2 2 2 2 2" xfId="16927" xr:uid="{00000000-0005-0000-0000-0000133A0000}"/>
    <cellStyle name="40% - Accent2 2 3 2 2 2 2 2 2 2 2" xfId="16928" xr:uid="{00000000-0005-0000-0000-0000143A0000}"/>
    <cellStyle name="40% - Accent2 2 3 2 2 2 2 2 2 3" xfId="16931" xr:uid="{00000000-0005-0000-0000-0000153A0000}"/>
    <cellStyle name="40% - Accent2 2 3 2 2 2 2 2 3" xfId="16933" xr:uid="{00000000-0005-0000-0000-0000163A0000}"/>
    <cellStyle name="40% - Accent2 2 3 2 2 2 2 2 3 2" xfId="16934" xr:uid="{00000000-0005-0000-0000-0000173A0000}"/>
    <cellStyle name="40% - Accent2 2 3 2 2 2 2 2 4" xfId="16935" xr:uid="{00000000-0005-0000-0000-0000183A0000}"/>
    <cellStyle name="40% - Accent2 2 3 2 2 2 2 3" xfId="18374" xr:uid="{00000000-0005-0000-0000-0000193A0000}"/>
    <cellStyle name="40% - Accent2 2 3 2 2 2 2 3 2" xfId="16936" xr:uid="{00000000-0005-0000-0000-00001A3A0000}"/>
    <cellStyle name="40% - Accent2 2 3 2 2 2 2 3 2 2" xfId="16937" xr:uid="{00000000-0005-0000-0000-00001B3A0000}"/>
    <cellStyle name="40% - Accent2 2 3 2 2 2 2 3 3" xfId="16938" xr:uid="{00000000-0005-0000-0000-00001C3A0000}"/>
    <cellStyle name="40% - Accent2 2 3 2 2 2 2 4" xfId="14971" xr:uid="{00000000-0005-0000-0000-00001D3A0000}"/>
    <cellStyle name="40% - Accent2 2 3 2 2 2 2 4 2" xfId="16939" xr:uid="{00000000-0005-0000-0000-00001E3A0000}"/>
    <cellStyle name="40% - Accent2 2 3 2 2 2 2 5" xfId="16944" xr:uid="{00000000-0005-0000-0000-00001F3A0000}"/>
    <cellStyle name="40% - Accent2 2 3 2 2 2 3" xfId="16947" xr:uid="{00000000-0005-0000-0000-0000203A0000}"/>
    <cellStyle name="40% - Accent2 2 3 2 2 2 3 2" xfId="16948" xr:uid="{00000000-0005-0000-0000-0000213A0000}"/>
    <cellStyle name="40% - Accent2 2 3 2 2 2 3 2 2" xfId="16955" xr:uid="{00000000-0005-0000-0000-0000223A0000}"/>
    <cellStyle name="40% - Accent2 2 3 2 2 2 3 2 2 2" xfId="16957" xr:uid="{00000000-0005-0000-0000-0000233A0000}"/>
    <cellStyle name="40% - Accent2 2 3 2 2 2 3 2 3" xfId="16958" xr:uid="{00000000-0005-0000-0000-0000243A0000}"/>
    <cellStyle name="40% - Accent2 2 3 2 2 2 3 3" xfId="16959" xr:uid="{00000000-0005-0000-0000-0000253A0000}"/>
    <cellStyle name="40% - Accent2 2 3 2 2 2 3 3 2" xfId="16964" xr:uid="{00000000-0005-0000-0000-0000263A0000}"/>
    <cellStyle name="40% - Accent2 2 3 2 2 2 3 4" xfId="28772" xr:uid="{00000000-0005-0000-0000-0000273A0000}"/>
    <cellStyle name="40% - Accent2 2 3 2 2 2 4" xfId="4061" xr:uid="{00000000-0005-0000-0000-0000283A0000}"/>
    <cellStyle name="40% - Accent2 2 3 2 2 2 4 2" xfId="16973" xr:uid="{00000000-0005-0000-0000-0000293A0000}"/>
    <cellStyle name="40% - Accent2 2 3 2 2 2 4 2 2" xfId="16975" xr:uid="{00000000-0005-0000-0000-00002A3A0000}"/>
    <cellStyle name="40% - Accent2 2 3 2 2 2 4 3" xfId="16976" xr:uid="{00000000-0005-0000-0000-00002B3A0000}"/>
    <cellStyle name="40% - Accent2 2 3 2 2 2 5" xfId="18886" xr:uid="{00000000-0005-0000-0000-00002C3A0000}"/>
    <cellStyle name="40% - Accent2 2 3 2 2 2 5 2" xfId="16979" xr:uid="{00000000-0005-0000-0000-00002D3A0000}"/>
    <cellStyle name="40% - Accent2 2 3 2 2 2 6" xfId="16982" xr:uid="{00000000-0005-0000-0000-00002E3A0000}"/>
    <cellStyle name="40% - Accent2 2 3 2 2 3" xfId="16985" xr:uid="{00000000-0005-0000-0000-00002F3A0000}"/>
    <cellStyle name="40% - Accent2 2 3 2 2 3 2" xfId="12502" xr:uid="{00000000-0005-0000-0000-0000303A0000}"/>
    <cellStyle name="40% - Accent2 2 3 2 2 3 2 2" xfId="16988" xr:uid="{00000000-0005-0000-0000-0000313A0000}"/>
    <cellStyle name="40% - Accent2 2 3 2 2 3 2 2 2" xfId="16990" xr:uid="{00000000-0005-0000-0000-0000323A0000}"/>
    <cellStyle name="40% - Accent2 2 3 2 2 3 2 2 2 2" xfId="15873" xr:uid="{00000000-0005-0000-0000-0000333A0000}"/>
    <cellStyle name="40% - Accent2 2 3 2 2 3 2 2 3" xfId="16991" xr:uid="{00000000-0005-0000-0000-0000343A0000}"/>
    <cellStyle name="40% - Accent2 2 3 2 2 3 2 3" xfId="16992" xr:uid="{00000000-0005-0000-0000-0000353A0000}"/>
    <cellStyle name="40% - Accent2 2 3 2 2 3 2 3 2" xfId="31493" xr:uid="{00000000-0005-0000-0000-0000363A0000}"/>
    <cellStyle name="40% - Accent2 2 3 2 2 3 2 4" xfId="16994" xr:uid="{00000000-0005-0000-0000-0000373A0000}"/>
    <cellStyle name="40% - Accent2 2 3 2 2 3 3" xfId="12507" xr:uid="{00000000-0005-0000-0000-0000383A0000}"/>
    <cellStyle name="40% - Accent2 2 3 2 2 3 3 2" xfId="17004" xr:uid="{00000000-0005-0000-0000-0000393A0000}"/>
    <cellStyle name="40% - Accent2 2 3 2 2 3 3 2 2" xfId="9020" xr:uid="{00000000-0005-0000-0000-00003A3A0000}"/>
    <cellStyle name="40% - Accent2 2 3 2 2 3 3 3" xfId="30409" xr:uid="{00000000-0005-0000-0000-00003B3A0000}"/>
    <cellStyle name="40% - Accent2 2 3 2 2 3 4" xfId="15940" xr:uid="{00000000-0005-0000-0000-00003C3A0000}"/>
    <cellStyle name="40% - Accent2 2 3 2 2 3 4 2" xfId="25361" xr:uid="{00000000-0005-0000-0000-00003D3A0000}"/>
    <cellStyle name="40% - Accent2 2 3 2 2 3 5" xfId="31556" xr:uid="{00000000-0005-0000-0000-00003E3A0000}"/>
    <cellStyle name="40% - Accent2 2 3 2 2 4" xfId="17008" xr:uid="{00000000-0005-0000-0000-00003F3A0000}"/>
    <cellStyle name="40% - Accent2 2 3 2 2 4 2" xfId="2736" xr:uid="{00000000-0005-0000-0000-0000403A0000}"/>
    <cellStyle name="40% - Accent2 2 3 2 2 4 2 2" xfId="12399" xr:uid="{00000000-0005-0000-0000-0000413A0000}"/>
    <cellStyle name="40% - Accent2 2 3 2 2 4 2 2 2" xfId="17012" xr:uid="{00000000-0005-0000-0000-0000423A0000}"/>
    <cellStyle name="40% - Accent2 2 3 2 2 4 2 3" xfId="15768" xr:uid="{00000000-0005-0000-0000-0000433A0000}"/>
    <cellStyle name="40% - Accent2 2 3 2 2 4 3" xfId="17015" xr:uid="{00000000-0005-0000-0000-0000443A0000}"/>
    <cellStyle name="40% - Accent2 2 3 2 2 4 3 2" xfId="15773" xr:uid="{00000000-0005-0000-0000-0000453A0000}"/>
    <cellStyle name="40% - Accent2 2 3 2 2 4 4" xfId="17016" xr:uid="{00000000-0005-0000-0000-0000463A0000}"/>
    <cellStyle name="40% - Accent2 2 3 2 2 5" xfId="24481" xr:uid="{00000000-0005-0000-0000-0000473A0000}"/>
    <cellStyle name="40% - Accent2 2 3 2 2 5 2" xfId="24488" xr:uid="{00000000-0005-0000-0000-0000483A0000}"/>
    <cellStyle name="40% - Accent2 2 3 2 2 5 2 2" xfId="15799" xr:uid="{00000000-0005-0000-0000-0000493A0000}"/>
    <cellStyle name="40% - Accent2 2 3 2 2 5 3" xfId="24519" xr:uid="{00000000-0005-0000-0000-00004A3A0000}"/>
    <cellStyle name="40% - Accent2 2 3 2 2 6" xfId="17020" xr:uid="{00000000-0005-0000-0000-00004B3A0000}"/>
    <cellStyle name="40% - Accent2 2 3 2 2 6 2" xfId="20239" xr:uid="{00000000-0005-0000-0000-00004C3A0000}"/>
    <cellStyle name="40% - Accent2 2 3 2 2 7" xfId="20252" xr:uid="{00000000-0005-0000-0000-00004D3A0000}"/>
    <cellStyle name="40% - Accent2 2 3 2 3" xfId="17022" xr:uid="{00000000-0005-0000-0000-00004E3A0000}"/>
    <cellStyle name="40% - Accent2 2 3 2 3 2" xfId="17023" xr:uid="{00000000-0005-0000-0000-00004F3A0000}"/>
    <cellStyle name="40% - Accent2 2 3 2 3 2 2" xfId="17025" xr:uid="{00000000-0005-0000-0000-0000503A0000}"/>
    <cellStyle name="40% - Accent2 2 3 2 3 2 2 2" xfId="17026" xr:uid="{00000000-0005-0000-0000-0000513A0000}"/>
    <cellStyle name="40% - Accent2 2 3 2 3 2 2 2 2" xfId="17031" xr:uid="{00000000-0005-0000-0000-0000523A0000}"/>
    <cellStyle name="40% - Accent2 2 3 2 3 2 2 2 2 2" xfId="17034" xr:uid="{00000000-0005-0000-0000-0000533A0000}"/>
    <cellStyle name="40% - Accent2 2 3 2 3 2 2 2 3" xfId="17035" xr:uid="{00000000-0005-0000-0000-0000543A0000}"/>
    <cellStyle name="40% - Accent2 2 3 2 3 2 2 3" xfId="17036" xr:uid="{00000000-0005-0000-0000-0000553A0000}"/>
    <cellStyle name="40% - Accent2 2 3 2 3 2 2 3 2" xfId="17037" xr:uid="{00000000-0005-0000-0000-0000563A0000}"/>
    <cellStyle name="40% - Accent2 2 3 2 3 2 2 4" xfId="17041" xr:uid="{00000000-0005-0000-0000-0000573A0000}"/>
    <cellStyle name="40% - Accent2 2 3 2 3 2 3" xfId="5415" xr:uid="{00000000-0005-0000-0000-0000583A0000}"/>
    <cellStyle name="40% - Accent2 2 3 2 3 2 3 2" xfId="17043" xr:uid="{00000000-0005-0000-0000-0000593A0000}"/>
    <cellStyle name="40% - Accent2 2 3 2 3 2 3 2 2" xfId="17044" xr:uid="{00000000-0005-0000-0000-00005A3A0000}"/>
    <cellStyle name="40% - Accent2 2 3 2 3 2 3 3" xfId="31578" xr:uid="{00000000-0005-0000-0000-00005B3A0000}"/>
    <cellStyle name="40% - Accent2 2 3 2 3 2 4" xfId="15950" xr:uid="{00000000-0005-0000-0000-00005C3A0000}"/>
    <cellStyle name="40% - Accent2 2 3 2 3 2 4 2" xfId="17045" xr:uid="{00000000-0005-0000-0000-00005D3A0000}"/>
    <cellStyle name="40% - Accent2 2 3 2 3 2 5" xfId="17046" xr:uid="{00000000-0005-0000-0000-00005E3A0000}"/>
    <cellStyle name="40% - Accent2 2 3 2 3 3" xfId="17047" xr:uid="{00000000-0005-0000-0000-00005F3A0000}"/>
    <cellStyle name="40% - Accent2 2 3 2 3 3 2" xfId="16571" xr:uid="{00000000-0005-0000-0000-0000603A0000}"/>
    <cellStyle name="40% - Accent2 2 3 2 3 3 2 2" xfId="17048" xr:uid="{00000000-0005-0000-0000-0000613A0000}"/>
    <cellStyle name="40% - Accent2 2 3 2 3 3 2 2 2" xfId="17053" xr:uid="{00000000-0005-0000-0000-0000623A0000}"/>
    <cellStyle name="40% - Accent2 2 3 2 3 3 2 3" xfId="806" xr:uid="{00000000-0005-0000-0000-0000633A0000}"/>
    <cellStyle name="40% - Accent2 2 3 2 3 3 3" xfId="17054" xr:uid="{00000000-0005-0000-0000-0000643A0000}"/>
    <cellStyle name="40% - Accent2 2 3 2 3 3 3 2" xfId="17055" xr:uid="{00000000-0005-0000-0000-0000653A0000}"/>
    <cellStyle name="40% - Accent2 2 3 2 3 3 4" xfId="17061" xr:uid="{00000000-0005-0000-0000-0000663A0000}"/>
    <cellStyle name="40% - Accent2 2 3 2 3 4" xfId="17063" xr:uid="{00000000-0005-0000-0000-0000673A0000}"/>
    <cellStyle name="40% - Accent2 2 3 2 3 4 2" xfId="17066" xr:uid="{00000000-0005-0000-0000-0000683A0000}"/>
    <cellStyle name="40% - Accent2 2 3 2 3 4 2 2" xfId="15863" xr:uid="{00000000-0005-0000-0000-0000693A0000}"/>
    <cellStyle name="40% - Accent2 2 3 2 3 4 3" xfId="17067" xr:uid="{00000000-0005-0000-0000-00006A3A0000}"/>
    <cellStyle name="40% - Accent2 2 3 2 3 5" xfId="17068" xr:uid="{00000000-0005-0000-0000-00006B3A0000}"/>
    <cellStyle name="40% - Accent2 2 3 2 3 5 2" xfId="24575" xr:uid="{00000000-0005-0000-0000-00006C3A0000}"/>
    <cellStyle name="40% - Accent2 2 3 2 3 6" xfId="20258" xr:uid="{00000000-0005-0000-0000-00006D3A0000}"/>
    <cellStyle name="40% - Accent2 2 3 2 4" xfId="17070" xr:uid="{00000000-0005-0000-0000-00006E3A0000}"/>
    <cellStyle name="40% - Accent2 2 3 2 4 2" xfId="2569" xr:uid="{00000000-0005-0000-0000-00006F3A0000}"/>
    <cellStyle name="40% - Accent2 2 3 2 4 2 2" xfId="17072" xr:uid="{00000000-0005-0000-0000-0000703A0000}"/>
    <cellStyle name="40% - Accent2 2 3 2 4 2 2 2" xfId="17073" xr:uid="{00000000-0005-0000-0000-0000713A0000}"/>
    <cellStyle name="40% - Accent2 2 3 2 4 2 2 2 2" xfId="16784" xr:uid="{00000000-0005-0000-0000-0000723A0000}"/>
    <cellStyle name="40% - Accent2 2 3 2 4 2 2 3" xfId="17074" xr:uid="{00000000-0005-0000-0000-0000733A0000}"/>
    <cellStyle name="40% - Accent2 2 3 2 4 2 3" xfId="17075" xr:uid="{00000000-0005-0000-0000-0000743A0000}"/>
    <cellStyle name="40% - Accent2 2 3 2 4 2 3 2" xfId="17076" xr:uid="{00000000-0005-0000-0000-0000753A0000}"/>
    <cellStyle name="40% - Accent2 2 3 2 4 2 4" xfId="17079" xr:uid="{00000000-0005-0000-0000-0000763A0000}"/>
    <cellStyle name="40% - Accent2 2 3 2 4 3" xfId="960" xr:uid="{00000000-0005-0000-0000-0000773A0000}"/>
    <cellStyle name="40% - Accent2 2 3 2 4 3 2" xfId="17080" xr:uid="{00000000-0005-0000-0000-0000783A0000}"/>
    <cellStyle name="40% - Accent2 2 3 2 4 3 2 2" xfId="17081" xr:uid="{00000000-0005-0000-0000-0000793A0000}"/>
    <cellStyle name="40% - Accent2 2 3 2 4 3 3" xfId="17082" xr:uid="{00000000-0005-0000-0000-00007A3A0000}"/>
    <cellStyle name="40% - Accent2 2 3 2 4 4" xfId="2301" xr:uid="{00000000-0005-0000-0000-00007B3A0000}"/>
    <cellStyle name="40% - Accent2 2 3 2 4 4 2" xfId="17083" xr:uid="{00000000-0005-0000-0000-00007C3A0000}"/>
    <cellStyle name="40% - Accent2 2 3 2 4 5" xfId="24599" xr:uid="{00000000-0005-0000-0000-00007D3A0000}"/>
    <cellStyle name="40% - Accent2 2 3 2 5" xfId="206" xr:uid="{00000000-0005-0000-0000-00007E3A0000}"/>
    <cellStyle name="40% - Accent2 2 3 2 5 2" xfId="976" xr:uid="{00000000-0005-0000-0000-00007F3A0000}"/>
    <cellStyle name="40% - Accent2 2 3 2 5 2 2" xfId="32114" xr:uid="{00000000-0005-0000-0000-0000803A0000}"/>
    <cellStyle name="40% - Accent2 2 3 2 5 2 2 2" xfId="17084" xr:uid="{00000000-0005-0000-0000-0000813A0000}"/>
    <cellStyle name="40% - Accent2 2 3 2 5 2 3" xfId="21304" xr:uid="{00000000-0005-0000-0000-0000823A0000}"/>
    <cellStyle name="40% - Accent2 2 3 2 5 3" xfId="991" xr:uid="{00000000-0005-0000-0000-0000833A0000}"/>
    <cellStyle name="40% - Accent2 2 3 2 5 3 2" xfId="31337" xr:uid="{00000000-0005-0000-0000-0000843A0000}"/>
    <cellStyle name="40% - Accent2 2 3 2 5 4" xfId="17086" xr:uid="{00000000-0005-0000-0000-0000853A0000}"/>
    <cellStyle name="40% - Accent2 2 3 2 6" xfId="33949" xr:uid="{00000000-0005-0000-0000-0000863A0000}"/>
    <cellStyle name="40% - Accent2 2 3 2 6 2" xfId="7786" xr:uid="{00000000-0005-0000-0000-0000873A0000}"/>
    <cellStyle name="40% - Accent2 2 3 2 6 2 2" xfId="7793" xr:uid="{00000000-0005-0000-0000-0000883A0000}"/>
    <cellStyle name="40% - Accent2 2 3 2 6 3" xfId="7797" xr:uid="{00000000-0005-0000-0000-0000893A0000}"/>
    <cellStyle name="40% - Accent2 2 3 2 7" xfId="32135" xr:uid="{00000000-0005-0000-0000-00008A3A0000}"/>
    <cellStyle name="40% - Accent2 2 3 2 7 2" xfId="7804" xr:uid="{00000000-0005-0000-0000-00008B3A0000}"/>
    <cellStyle name="40% - Accent2 2 3 2 8" xfId="32151" xr:uid="{00000000-0005-0000-0000-00008C3A0000}"/>
    <cellStyle name="40% - Accent2 2 3 3" xfId="17089" xr:uid="{00000000-0005-0000-0000-00008D3A0000}"/>
    <cellStyle name="40% - Accent2 2 3 3 2" xfId="12165" xr:uid="{00000000-0005-0000-0000-00008E3A0000}"/>
    <cellStyle name="40% - Accent2 2 3 3 2 2" xfId="17092" xr:uid="{00000000-0005-0000-0000-00008F3A0000}"/>
    <cellStyle name="40% - Accent2 2 3 3 2 2 2" xfId="17094" xr:uid="{00000000-0005-0000-0000-0000903A0000}"/>
    <cellStyle name="40% - Accent2 2 3 3 2 2 2 2" xfId="33501" xr:uid="{00000000-0005-0000-0000-0000913A0000}"/>
    <cellStyle name="40% - Accent2 2 3 3 2 2 2 2 2" xfId="17095" xr:uid="{00000000-0005-0000-0000-0000923A0000}"/>
    <cellStyle name="40% - Accent2 2 3 3 2 2 2 2 2 2" xfId="24808" xr:uid="{00000000-0005-0000-0000-0000933A0000}"/>
    <cellStyle name="40% - Accent2 2 3 3 2 2 2 2 3" xfId="17098" xr:uid="{00000000-0005-0000-0000-0000943A0000}"/>
    <cellStyle name="40% - Accent2 2 3 3 2 2 2 3" xfId="4637" xr:uid="{00000000-0005-0000-0000-0000953A0000}"/>
    <cellStyle name="40% - Accent2 2 3 3 2 2 2 3 2" xfId="19595" xr:uid="{00000000-0005-0000-0000-0000963A0000}"/>
    <cellStyle name="40% - Accent2 2 3 3 2 2 2 4" xfId="17105" xr:uid="{00000000-0005-0000-0000-0000973A0000}"/>
    <cellStyle name="40% - Accent2 2 3 3 2 2 3" xfId="17107" xr:uid="{00000000-0005-0000-0000-0000983A0000}"/>
    <cellStyle name="40% - Accent2 2 3 3 2 2 3 2" xfId="10148" xr:uid="{00000000-0005-0000-0000-0000993A0000}"/>
    <cellStyle name="40% - Accent2 2 3 3 2 2 3 2 2" xfId="33690" xr:uid="{00000000-0005-0000-0000-00009A3A0000}"/>
    <cellStyle name="40% - Accent2 2 3 3 2 2 3 3" xfId="17108" xr:uid="{00000000-0005-0000-0000-00009B3A0000}"/>
    <cellStyle name="40% - Accent2 2 3 3 2 2 4" xfId="15972" xr:uid="{00000000-0005-0000-0000-00009C3A0000}"/>
    <cellStyle name="40% - Accent2 2 3 3 2 2 4 2" xfId="17109" xr:uid="{00000000-0005-0000-0000-00009D3A0000}"/>
    <cellStyle name="40% - Accent2 2 3 3 2 2 5" xfId="33755" xr:uid="{00000000-0005-0000-0000-00009E3A0000}"/>
    <cellStyle name="40% - Accent2 2 3 3 2 3" xfId="17110" xr:uid="{00000000-0005-0000-0000-00009F3A0000}"/>
    <cellStyle name="40% - Accent2 2 3 3 2 3 2" xfId="12540" xr:uid="{00000000-0005-0000-0000-0000A03A0000}"/>
    <cellStyle name="40% - Accent2 2 3 3 2 3 2 2" xfId="14647" xr:uid="{00000000-0005-0000-0000-0000A13A0000}"/>
    <cellStyle name="40% - Accent2 2 3 3 2 3 2 2 2" xfId="17111" xr:uid="{00000000-0005-0000-0000-0000A23A0000}"/>
    <cellStyle name="40% - Accent2 2 3 3 2 3 2 3" xfId="17112" xr:uid="{00000000-0005-0000-0000-0000A33A0000}"/>
    <cellStyle name="40% - Accent2 2 3 3 2 3 3" xfId="17113" xr:uid="{00000000-0005-0000-0000-0000A43A0000}"/>
    <cellStyle name="40% - Accent2 2 3 3 2 3 3 2" xfId="17114" xr:uid="{00000000-0005-0000-0000-0000A53A0000}"/>
    <cellStyle name="40% - Accent2 2 3 3 2 3 4" xfId="868" xr:uid="{00000000-0005-0000-0000-0000A63A0000}"/>
    <cellStyle name="40% - Accent2 2 3 3 2 4" xfId="17115" xr:uid="{00000000-0005-0000-0000-0000A73A0000}"/>
    <cellStyle name="40% - Accent2 2 3 3 2 4 2" xfId="17119" xr:uid="{00000000-0005-0000-0000-0000A83A0000}"/>
    <cellStyle name="40% - Accent2 2 3 3 2 4 2 2" xfId="14074" xr:uid="{00000000-0005-0000-0000-0000A93A0000}"/>
    <cellStyle name="40% - Accent2 2 3 3 2 4 3" xfId="17124" xr:uid="{00000000-0005-0000-0000-0000AA3A0000}"/>
    <cellStyle name="40% - Accent2 2 3 3 2 5" xfId="24975" xr:uid="{00000000-0005-0000-0000-0000AB3A0000}"/>
    <cellStyle name="40% - Accent2 2 3 3 2 5 2" xfId="9490" xr:uid="{00000000-0005-0000-0000-0000AC3A0000}"/>
    <cellStyle name="40% - Accent2 2 3 3 2 6" xfId="19789" xr:uid="{00000000-0005-0000-0000-0000AD3A0000}"/>
    <cellStyle name="40% - Accent2 2 3 3 3" xfId="8000" xr:uid="{00000000-0005-0000-0000-0000AE3A0000}"/>
    <cellStyle name="40% - Accent2 2 3 3 3 2" xfId="17125" xr:uid="{00000000-0005-0000-0000-0000AF3A0000}"/>
    <cellStyle name="40% - Accent2 2 3 3 3 2 2" xfId="11915" xr:uid="{00000000-0005-0000-0000-0000B03A0000}"/>
    <cellStyle name="40% - Accent2 2 3 3 3 2 2 2" xfId="14656" xr:uid="{00000000-0005-0000-0000-0000B13A0000}"/>
    <cellStyle name="40% - Accent2 2 3 3 3 2 2 2 2" xfId="17126" xr:uid="{00000000-0005-0000-0000-0000B23A0000}"/>
    <cellStyle name="40% - Accent2 2 3 3 3 2 2 3" xfId="17128" xr:uid="{00000000-0005-0000-0000-0000B33A0000}"/>
    <cellStyle name="40% - Accent2 2 3 3 3 2 3" xfId="17129" xr:uid="{00000000-0005-0000-0000-0000B43A0000}"/>
    <cellStyle name="40% - Accent2 2 3 3 3 2 3 2" xfId="17131" xr:uid="{00000000-0005-0000-0000-0000B53A0000}"/>
    <cellStyle name="40% - Accent2 2 3 3 3 2 4" xfId="17132" xr:uid="{00000000-0005-0000-0000-0000B63A0000}"/>
    <cellStyle name="40% - Accent2 2 3 3 3 3" xfId="17133" xr:uid="{00000000-0005-0000-0000-0000B73A0000}"/>
    <cellStyle name="40% - Accent2 2 3 3 3 3 2" xfId="17134" xr:uid="{00000000-0005-0000-0000-0000B83A0000}"/>
    <cellStyle name="40% - Accent2 2 3 3 3 3 2 2" xfId="17136" xr:uid="{00000000-0005-0000-0000-0000B93A0000}"/>
    <cellStyle name="40% - Accent2 2 3 3 3 3 3" xfId="17137" xr:uid="{00000000-0005-0000-0000-0000BA3A0000}"/>
    <cellStyle name="40% - Accent2 2 3 3 3 4" xfId="17138" xr:uid="{00000000-0005-0000-0000-0000BB3A0000}"/>
    <cellStyle name="40% - Accent2 2 3 3 3 4 2" xfId="17140" xr:uid="{00000000-0005-0000-0000-0000BC3A0000}"/>
    <cellStyle name="40% - Accent2 2 3 3 3 5" xfId="24987" xr:uid="{00000000-0005-0000-0000-0000BD3A0000}"/>
    <cellStyle name="40% - Accent2 2 3 3 4" xfId="17141" xr:uid="{00000000-0005-0000-0000-0000BE3A0000}"/>
    <cellStyle name="40% - Accent2 2 3 3 4 2" xfId="1870" xr:uid="{00000000-0005-0000-0000-0000BF3A0000}"/>
    <cellStyle name="40% - Accent2 2 3 3 4 2 2" xfId="17143" xr:uid="{00000000-0005-0000-0000-0000C03A0000}"/>
    <cellStyle name="40% - Accent2 2 3 3 4 2 2 2" xfId="17145" xr:uid="{00000000-0005-0000-0000-0000C13A0000}"/>
    <cellStyle name="40% - Accent2 2 3 3 4 2 3" xfId="17146" xr:uid="{00000000-0005-0000-0000-0000C23A0000}"/>
    <cellStyle name="40% - Accent2 2 3 3 4 3" xfId="1033" xr:uid="{00000000-0005-0000-0000-0000C33A0000}"/>
    <cellStyle name="40% - Accent2 2 3 3 4 3 2" xfId="17147" xr:uid="{00000000-0005-0000-0000-0000C43A0000}"/>
    <cellStyle name="40% - Accent2 2 3 3 4 4" xfId="28231" xr:uid="{00000000-0005-0000-0000-0000C53A0000}"/>
    <cellStyle name="40% - Accent2 2 3 3 5" xfId="17148" xr:uid="{00000000-0005-0000-0000-0000C63A0000}"/>
    <cellStyle name="40% - Accent2 2 3 3 5 2" xfId="1581" xr:uid="{00000000-0005-0000-0000-0000C73A0000}"/>
    <cellStyle name="40% - Accent2 2 3 3 5 2 2" xfId="21649" xr:uid="{00000000-0005-0000-0000-0000C83A0000}"/>
    <cellStyle name="40% - Accent2 2 3 3 5 3" xfId="32602" xr:uid="{00000000-0005-0000-0000-0000C93A0000}"/>
    <cellStyle name="40% - Accent2 2 3 3 6" xfId="12130" xr:uid="{00000000-0005-0000-0000-0000CA3A0000}"/>
    <cellStyle name="40% - Accent2 2 3 3 6 2" xfId="7895" xr:uid="{00000000-0005-0000-0000-0000CB3A0000}"/>
    <cellStyle name="40% - Accent2 2 3 3 7" xfId="12134" xr:uid="{00000000-0005-0000-0000-0000CC3A0000}"/>
    <cellStyle name="40% - Accent2 2 3 4" xfId="17150" xr:uid="{00000000-0005-0000-0000-0000CD3A0000}"/>
    <cellStyle name="40% - Accent2 2 3 4 2" xfId="8651" xr:uid="{00000000-0005-0000-0000-0000CE3A0000}"/>
    <cellStyle name="40% - Accent2 2 3 4 2 2" xfId="5563" xr:uid="{00000000-0005-0000-0000-0000CF3A0000}"/>
    <cellStyle name="40% - Accent2 2 3 4 2 2 2" xfId="17480" xr:uid="{00000000-0005-0000-0000-0000D03A0000}"/>
    <cellStyle name="40% - Accent2 2 3 4 2 2 2 2" xfId="14365" xr:uid="{00000000-0005-0000-0000-0000D13A0000}"/>
    <cellStyle name="40% - Accent2 2 3 4 2 2 2 2 2" xfId="17151" xr:uid="{00000000-0005-0000-0000-0000D23A0000}"/>
    <cellStyle name="40% - Accent2 2 3 4 2 2 2 3" xfId="17153" xr:uid="{00000000-0005-0000-0000-0000D33A0000}"/>
    <cellStyle name="40% - Accent2 2 3 4 2 2 3" xfId="17154" xr:uid="{00000000-0005-0000-0000-0000D43A0000}"/>
    <cellStyle name="40% - Accent2 2 3 4 2 2 3 2" xfId="17155" xr:uid="{00000000-0005-0000-0000-0000D53A0000}"/>
    <cellStyle name="40% - Accent2 2 3 4 2 2 4" xfId="6690" xr:uid="{00000000-0005-0000-0000-0000D63A0000}"/>
    <cellStyle name="40% - Accent2 2 3 4 2 3" xfId="9028" xr:uid="{00000000-0005-0000-0000-0000D73A0000}"/>
    <cellStyle name="40% - Accent2 2 3 4 2 3 2" xfId="17156" xr:uid="{00000000-0005-0000-0000-0000D83A0000}"/>
    <cellStyle name="40% - Accent2 2 3 4 2 3 2 2" xfId="17157" xr:uid="{00000000-0005-0000-0000-0000D93A0000}"/>
    <cellStyle name="40% - Accent2 2 3 4 2 3 3" xfId="17158" xr:uid="{00000000-0005-0000-0000-0000DA3A0000}"/>
    <cellStyle name="40% - Accent2 2 3 4 2 4" xfId="921" xr:uid="{00000000-0005-0000-0000-0000DB3A0000}"/>
    <cellStyle name="40% - Accent2 2 3 4 2 4 2" xfId="17160" xr:uid="{00000000-0005-0000-0000-0000DC3A0000}"/>
    <cellStyle name="40% - Accent2 2 3 4 2 5" xfId="25237" xr:uid="{00000000-0005-0000-0000-0000DD3A0000}"/>
    <cellStyle name="40% - Accent2 2 3 4 3" xfId="3217" xr:uid="{00000000-0005-0000-0000-0000DE3A0000}"/>
    <cellStyle name="40% - Accent2 2 3 4 3 2" xfId="5573" xr:uid="{00000000-0005-0000-0000-0000DF3A0000}"/>
    <cellStyle name="40% - Accent2 2 3 4 3 2 2" xfId="17164" xr:uid="{00000000-0005-0000-0000-0000E03A0000}"/>
    <cellStyle name="40% - Accent2 2 3 4 3 2 2 2" xfId="32592" xr:uid="{00000000-0005-0000-0000-0000E13A0000}"/>
    <cellStyle name="40% - Accent2 2 3 4 3 2 3" xfId="17166" xr:uid="{00000000-0005-0000-0000-0000E23A0000}"/>
    <cellStyle name="40% - Accent2 2 3 4 3 3" xfId="17167" xr:uid="{00000000-0005-0000-0000-0000E33A0000}"/>
    <cellStyle name="40% - Accent2 2 3 4 3 3 2" xfId="17170" xr:uid="{00000000-0005-0000-0000-0000E43A0000}"/>
    <cellStyle name="40% - Accent2 2 3 4 3 4" xfId="928" xr:uid="{00000000-0005-0000-0000-0000E53A0000}"/>
    <cellStyle name="40% - Accent2 2 3 4 4" xfId="31264" xr:uid="{00000000-0005-0000-0000-0000E63A0000}"/>
    <cellStyle name="40% - Accent2 2 3 4 4 2" xfId="5382" xr:uid="{00000000-0005-0000-0000-0000E73A0000}"/>
    <cellStyle name="40% - Accent2 2 3 4 4 2 2" xfId="17171" xr:uid="{00000000-0005-0000-0000-0000E83A0000}"/>
    <cellStyle name="40% - Accent2 2 3 4 4 3" xfId="17172" xr:uid="{00000000-0005-0000-0000-0000E93A0000}"/>
    <cellStyle name="40% - Accent2 2 3 4 5" xfId="1102" xr:uid="{00000000-0005-0000-0000-0000EA3A0000}"/>
    <cellStyle name="40% - Accent2 2 3 4 5 2" xfId="24739" xr:uid="{00000000-0005-0000-0000-0000EB3A0000}"/>
    <cellStyle name="40% - Accent2 2 3 4 6" xfId="1912" xr:uid="{00000000-0005-0000-0000-0000EC3A0000}"/>
    <cellStyle name="40% - Accent2 2 3 5" xfId="8438" xr:uid="{00000000-0005-0000-0000-0000ED3A0000}"/>
    <cellStyle name="40% - Accent2 2 3 5 2" xfId="23943" xr:uid="{00000000-0005-0000-0000-0000EE3A0000}"/>
    <cellStyle name="40% - Accent2 2 3 5 2 2" xfId="10545" xr:uid="{00000000-0005-0000-0000-0000EF3A0000}"/>
    <cellStyle name="40% - Accent2 2 3 5 2 2 2" xfId="17174" xr:uid="{00000000-0005-0000-0000-0000F03A0000}"/>
    <cellStyle name="40% - Accent2 2 3 5 2 2 2 2" xfId="31382" xr:uid="{00000000-0005-0000-0000-0000F13A0000}"/>
    <cellStyle name="40% - Accent2 2 3 5 2 2 3" xfId="17176" xr:uid="{00000000-0005-0000-0000-0000F23A0000}"/>
    <cellStyle name="40% - Accent2 2 3 5 2 3" xfId="17178" xr:uid="{00000000-0005-0000-0000-0000F33A0000}"/>
    <cellStyle name="40% - Accent2 2 3 5 2 3 2" xfId="17179" xr:uid="{00000000-0005-0000-0000-0000F43A0000}"/>
    <cellStyle name="40% - Accent2 2 3 5 2 4" xfId="196" xr:uid="{00000000-0005-0000-0000-0000F53A0000}"/>
    <cellStyle name="40% - Accent2 2 3 5 3" xfId="17180" xr:uid="{00000000-0005-0000-0000-0000F63A0000}"/>
    <cellStyle name="40% - Accent2 2 3 5 3 2" xfId="17181" xr:uid="{00000000-0005-0000-0000-0000F73A0000}"/>
    <cellStyle name="40% - Accent2 2 3 5 3 2 2" xfId="17182" xr:uid="{00000000-0005-0000-0000-0000F83A0000}"/>
    <cellStyle name="40% - Accent2 2 3 5 3 3" xfId="17183" xr:uid="{00000000-0005-0000-0000-0000F93A0000}"/>
    <cellStyle name="40% - Accent2 2 3 5 4" xfId="17188" xr:uid="{00000000-0005-0000-0000-0000FA3A0000}"/>
    <cellStyle name="40% - Accent2 2 3 5 4 2" xfId="17191" xr:uid="{00000000-0005-0000-0000-0000FB3A0000}"/>
    <cellStyle name="40% - Accent2 2 3 5 5" xfId="17195" xr:uid="{00000000-0005-0000-0000-0000FC3A0000}"/>
    <cellStyle name="40% - Accent2 2 3 6" xfId="6893" xr:uid="{00000000-0005-0000-0000-0000FD3A0000}"/>
    <cellStyle name="40% - Accent2 2 3 6 2" xfId="17197" xr:uid="{00000000-0005-0000-0000-0000FE3A0000}"/>
    <cellStyle name="40% - Accent2 2 3 6 2 2" xfId="17198" xr:uid="{00000000-0005-0000-0000-0000FF3A0000}"/>
    <cellStyle name="40% - Accent2 2 3 6 2 2 2" xfId="17199" xr:uid="{00000000-0005-0000-0000-0000003B0000}"/>
    <cellStyle name="40% - Accent2 2 3 6 2 3" xfId="17201" xr:uid="{00000000-0005-0000-0000-0000013B0000}"/>
    <cellStyle name="40% - Accent2 2 3 6 3" xfId="34011" xr:uid="{00000000-0005-0000-0000-0000023B0000}"/>
    <cellStyle name="40% - Accent2 2 3 6 3 2" xfId="17202" xr:uid="{00000000-0005-0000-0000-0000033B0000}"/>
    <cellStyle name="40% - Accent2 2 3 6 4" xfId="17204" xr:uid="{00000000-0005-0000-0000-0000043B0000}"/>
    <cellStyle name="40% - Accent2 2 3 7" xfId="13793" xr:uid="{00000000-0005-0000-0000-0000053B0000}"/>
    <cellStyle name="40% - Accent2 2 3 7 2" xfId="10099" xr:uid="{00000000-0005-0000-0000-0000063B0000}"/>
    <cellStyle name="40% - Accent2 2 3 7 2 2" xfId="13796" xr:uid="{00000000-0005-0000-0000-0000073B0000}"/>
    <cellStyle name="40% - Accent2 2 3 7 3" xfId="24956" xr:uid="{00000000-0005-0000-0000-0000083B0000}"/>
    <cellStyle name="40% - Accent2 2 3 8" xfId="18131" xr:uid="{00000000-0005-0000-0000-0000093B0000}"/>
    <cellStyle name="40% - Accent2 2 3 8 2" xfId="18134" xr:uid="{00000000-0005-0000-0000-00000A3B0000}"/>
    <cellStyle name="40% - Accent2 2 3 9" xfId="18141" xr:uid="{00000000-0005-0000-0000-00000B3B0000}"/>
    <cellStyle name="40% - Accent2 2 4" xfId="13573" xr:uid="{00000000-0005-0000-0000-00000C3B0000}"/>
    <cellStyle name="40% - Accent2 2 4 2" xfId="17205" xr:uid="{00000000-0005-0000-0000-00000D3B0000}"/>
    <cellStyle name="40% - Accent2 2 4 2 2" xfId="17207" xr:uid="{00000000-0005-0000-0000-00000E3B0000}"/>
    <cellStyle name="40% - Accent2 2 4 2 2 2" xfId="8553" xr:uid="{00000000-0005-0000-0000-00000F3B0000}"/>
    <cellStyle name="40% - Accent2 2 4 2 2 2 2" xfId="17237" xr:uid="{00000000-0005-0000-0000-0000103B0000}"/>
    <cellStyle name="40% - Accent2 2 4 2 2 2 2 2" xfId="15374" xr:uid="{00000000-0005-0000-0000-0000113B0000}"/>
    <cellStyle name="40% - Accent2 2 4 2 2 2 2 2 2" xfId="24736" xr:uid="{00000000-0005-0000-0000-0000123B0000}"/>
    <cellStyle name="40% - Accent2 2 4 2 2 2 2 2 2 2" xfId="17208" xr:uid="{00000000-0005-0000-0000-0000133B0000}"/>
    <cellStyle name="40% - Accent2 2 4 2 2 2 2 2 3" xfId="17210" xr:uid="{00000000-0005-0000-0000-0000143B0000}"/>
    <cellStyle name="40% - Accent2 2 4 2 2 2 2 3" xfId="15379" xr:uid="{00000000-0005-0000-0000-0000153B0000}"/>
    <cellStyle name="40% - Accent2 2 4 2 2 2 2 3 2" xfId="28434" xr:uid="{00000000-0005-0000-0000-0000163B0000}"/>
    <cellStyle name="40% - Accent2 2 4 2 2 2 2 4" xfId="17217" xr:uid="{00000000-0005-0000-0000-0000173B0000}"/>
    <cellStyle name="40% - Accent2 2 4 2 2 2 3" xfId="31103" xr:uid="{00000000-0005-0000-0000-0000183B0000}"/>
    <cellStyle name="40% - Accent2 2 4 2 2 2 3 2" xfId="32229" xr:uid="{00000000-0005-0000-0000-0000193B0000}"/>
    <cellStyle name="40% - Accent2 2 4 2 2 2 3 2 2" xfId="17219" xr:uid="{00000000-0005-0000-0000-00001A3B0000}"/>
    <cellStyle name="40% - Accent2 2 4 2 2 2 3 3" xfId="17220" xr:uid="{00000000-0005-0000-0000-00001B3B0000}"/>
    <cellStyle name="40% - Accent2 2 4 2 2 2 4" xfId="15387" xr:uid="{00000000-0005-0000-0000-00001C3B0000}"/>
    <cellStyle name="40% - Accent2 2 4 2 2 2 4 2" xfId="17221" xr:uid="{00000000-0005-0000-0000-00001D3B0000}"/>
    <cellStyle name="40% - Accent2 2 4 2 2 2 5" xfId="26485" xr:uid="{00000000-0005-0000-0000-00001E3B0000}"/>
    <cellStyle name="40% - Accent2 2 4 2 2 3" xfId="30801" xr:uid="{00000000-0005-0000-0000-00001F3B0000}"/>
    <cellStyle name="40% - Accent2 2 4 2 2 3 2" xfId="12617" xr:uid="{00000000-0005-0000-0000-0000203B0000}"/>
    <cellStyle name="40% - Accent2 2 4 2 2 3 2 2" xfId="31625" xr:uid="{00000000-0005-0000-0000-0000213B0000}"/>
    <cellStyle name="40% - Accent2 2 4 2 2 3 2 2 2" xfId="17223" xr:uid="{00000000-0005-0000-0000-0000223B0000}"/>
    <cellStyle name="40% - Accent2 2 4 2 2 3 2 3" xfId="17226" xr:uid="{00000000-0005-0000-0000-0000233B0000}"/>
    <cellStyle name="40% - Accent2 2 4 2 2 3 3" xfId="30207" xr:uid="{00000000-0005-0000-0000-0000243B0000}"/>
    <cellStyle name="40% - Accent2 2 4 2 2 3 3 2" xfId="17228" xr:uid="{00000000-0005-0000-0000-0000253B0000}"/>
    <cellStyle name="40% - Accent2 2 4 2 2 3 4" xfId="32363" xr:uid="{00000000-0005-0000-0000-0000263B0000}"/>
    <cellStyle name="40% - Accent2 2 4 2 2 4" xfId="17230" xr:uid="{00000000-0005-0000-0000-0000273B0000}"/>
    <cellStyle name="40% - Accent2 2 4 2 2 4 2" xfId="6335" xr:uid="{00000000-0005-0000-0000-0000283B0000}"/>
    <cellStyle name="40% - Accent2 2 4 2 2 4 2 2" xfId="17650" xr:uid="{00000000-0005-0000-0000-0000293B0000}"/>
    <cellStyle name="40% - Accent2 2 4 2 2 4 3" xfId="29403" xr:uid="{00000000-0005-0000-0000-00002A3B0000}"/>
    <cellStyle name="40% - Accent2 2 4 2 2 5" xfId="26509" xr:uid="{00000000-0005-0000-0000-00002B3B0000}"/>
    <cellStyle name="40% - Accent2 2 4 2 2 5 2" xfId="17234" xr:uid="{00000000-0005-0000-0000-00002C3B0000}"/>
    <cellStyle name="40% - Accent2 2 4 2 2 6" xfId="20340" xr:uid="{00000000-0005-0000-0000-00002D3B0000}"/>
    <cellStyle name="40% - Accent2 2 4 2 3" xfId="27305" xr:uid="{00000000-0005-0000-0000-00002E3B0000}"/>
    <cellStyle name="40% - Accent2 2 4 2 3 2" xfId="17239" xr:uid="{00000000-0005-0000-0000-00002F3B0000}"/>
    <cellStyle name="40% - Accent2 2 4 2 3 2 2" xfId="4110" xr:uid="{00000000-0005-0000-0000-0000303B0000}"/>
    <cellStyle name="40% - Accent2 2 4 2 3 2 2 2" xfId="33071" xr:uid="{00000000-0005-0000-0000-0000313B0000}"/>
    <cellStyle name="40% - Accent2 2 4 2 3 2 2 2 2" xfId="17241" xr:uid="{00000000-0005-0000-0000-0000323B0000}"/>
    <cellStyle name="40% - Accent2 2 4 2 3 2 2 3" xfId="17242" xr:uid="{00000000-0005-0000-0000-0000333B0000}"/>
    <cellStyle name="40% - Accent2 2 4 2 3 2 3" xfId="15415" xr:uid="{00000000-0005-0000-0000-0000343B0000}"/>
    <cellStyle name="40% - Accent2 2 4 2 3 2 3 2" xfId="17243" xr:uid="{00000000-0005-0000-0000-0000353B0000}"/>
    <cellStyle name="40% - Accent2 2 4 2 3 2 4" xfId="17244" xr:uid="{00000000-0005-0000-0000-0000363B0000}"/>
    <cellStyle name="40% - Accent2 2 4 2 3 3" xfId="17245" xr:uid="{00000000-0005-0000-0000-0000373B0000}"/>
    <cellStyle name="40% - Accent2 2 4 2 3 3 2" xfId="1312" xr:uid="{00000000-0005-0000-0000-0000383B0000}"/>
    <cellStyle name="40% - Accent2 2 4 2 3 3 2 2" xfId="5850" xr:uid="{00000000-0005-0000-0000-0000393B0000}"/>
    <cellStyle name="40% - Accent2 2 4 2 3 3 3" xfId="17247" xr:uid="{00000000-0005-0000-0000-00003A3B0000}"/>
    <cellStyle name="40% - Accent2 2 4 2 3 4" xfId="17249" xr:uid="{00000000-0005-0000-0000-00003B3B0000}"/>
    <cellStyle name="40% - Accent2 2 4 2 3 4 2" xfId="17027" xr:uid="{00000000-0005-0000-0000-00003C3B0000}"/>
    <cellStyle name="40% - Accent2 2 4 2 3 5" xfId="26522" xr:uid="{00000000-0005-0000-0000-00003D3B0000}"/>
    <cellStyle name="40% - Accent2 2 4 2 4" xfId="25198" xr:uid="{00000000-0005-0000-0000-00003E3B0000}"/>
    <cellStyle name="40% - Accent2 2 4 2 4 2" xfId="9010" xr:uid="{00000000-0005-0000-0000-00003F3B0000}"/>
    <cellStyle name="40% - Accent2 2 4 2 4 2 2" xfId="765" xr:uid="{00000000-0005-0000-0000-0000403B0000}"/>
    <cellStyle name="40% - Accent2 2 4 2 4 2 2 2" xfId="32618" xr:uid="{00000000-0005-0000-0000-0000413B0000}"/>
    <cellStyle name="40% - Accent2 2 4 2 4 2 3" xfId="15257" xr:uid="{00000000-0005-0000-0000-0000423B0000}"/>
    <cellStyle name="40% - Accent2 2 4 2 4 3" xfId="4368" xr:uid="{00000000-0005-0000-0000-0000433B0000}"/>
    <cellStyle name="40% - Accent2 2 4 2 4 3 2" xfId="1669" xr:uid="{00000000-0005-0000-0000-0000443B0000}"/>
    <cellStyle name="40% - Accent2 2 4 2 4 4" xfId="17251" xr:uid="{00000000-0005-0000-0000-0000453B0000}"/>
    <cellStyle name="40% - Accent2 2 4 2 5" xfId="17254" xr:uid="{00000000-0005-0000-0000-0000463B0000}"/>
    <cellStyle name="40% - Accent2 2 4 2 5 2" xfId="4962" xr:uid="{00000000-0005-0000-0000-0000473B0000}"/>
    <cellStyle name="40% - Accent2 2 4 2 5 2 2" xfId="32911" xr:uid="{00000000-0005-0000-0000-0000483B0000}"/>
    <cellStyle name="40% - Accent2 2 4 2 5 3" xfId="32176" xr:uid="{00000000-0005-0000-0000-0000493B0000}"/>
    <cellStyle name="40% - Accent2 2 4 2 6" xfId="14904" xr:uid="{00000000-0005-0000-0000-00004A3B0000}"/>
    <cellStyle name="40% - Accent2 2 4 2 6 2" xfId="7572" xr:uid="{00000000-0005-0000-0000-00004B3B0000}"/>
    <cellStyle name="40% - Accent2 2 4 2 7" xfId="20424" xr:uid="{00000000-0005-0000-0000-00004C3B0000}"/>
    <cellStyle name="40% - Accent2 2 4 3" xfId="17262" xr:uid="{00000000-0005-0000-0000-00004D3B0000}"/>
    <cellStyle name="40% - Accent2 2 4 3 2" xfId="8656" xr:uid="{00000000-0005-0000-0000-00004E3B0000}"/>
    <cellStyle name="40% - Accent2 2 4 3 2 2" xfId="17263" xr:uid="{00000000-0005-0000-0000-00004F3B0000}"/>
    <cellStyle name="40% - Accent2 2 4 3 2 2 2" xfId="15486" xr:uid="{00000000-0005-0000-0000-0000503B0000}"/>
    <cellStyle name="40% - Accent2 2 4 3 2 2 2 2" xfId="26272" xr:uid="{00000000-0005-0000-0000-0000513B0000}"/>
    <cellStyle name="40% - Accent2 2 4 3 2 2 2 2 2" xfId="30006" xr:uid="{00000000-0005-0000-0000-0000523B0000}"/>
    <cellStyle name="40% - Accent2 2 4 3 2 2 2 3" xfId="31036" xr:uid="{00000000-0005-0000-0000-0000533B0000}"/>
    <cellStyle name="40% - Accent2 2 4 3 2 2 3" xfId="15491" xr:uid="{00000000-0005-0000-0000-0000543B0000}"/>
    <cellStyle name="40% - Accent2 2 4 3 2 2 3 2" xfId="13862" xr:uid="{00000000-0005-0000-0000-0000553B0000}"/>
    <cellStyle name="40% - Accent2 2 4 3 2 2 4" xfId="17264" xr:uid="{00000000-0005-0000-0000-0000563B0000}"/>
    <cellStyle name="40% - Accent2 2 4 3 2 3" xfId="17266" xr:uid="{00000000-0005-0000-0000-0000573B0000}"/>
    <cellStyle name="40% - Accent2 2 4 3 2 3 2" xfId="14229" xr:uid="{00000000-0005-0000-0000-0000583B0000}"/>
    <cellStyle name="40% - Accent2 2 4 3 2 3 2 2" xfId="13874" xr:uid="{00000000-0005-0000-0000-0000593B0000}"/>
    <cellStyle name="40% - Accent2 2 4 3 2 3 3" xfId="17267" xr:uid="{00000000-0005-0000-0000-00005A3B0000}"/>
    <cellStyle name="40% - Accent2 2 4 3 2 4" xfId="17268" xr:uid="{00000000-0005-0000-0000-00005B3B0000}"/>
    <cellStyle name="40% - Accent2 2 4 3 2 4 2" xfId="3752" xr:uid="{00000000-0005-0000-0000-00005C3B0000}"/>
    <cellStyle name="40% - Accent2 2 4 3 2 5" xfId="26625" xr:uid="{00000000-0005-0000-0000-00005D3B0000}"/>
    <cellStyle name="40% - Accent2 2 4 3 3" xfId="30289" xr:uid="{00000000-0005-0000-0000-00005E3B0000}"/>
    <cellStyle name="40% - Accent2 2 4 3 3 2" xfId="17270" xr:uid="{00000000-0005-0000-0000-00005F3B0000}"/>
    <cellStyle name="40% - Accent2 2 4 3 3 2 2" xfId="29886" xr:uid="{00000000-0005-0000-0000-0000603B0000}"/>
    <cellStyle name="40% - Accent2 2 4 3 3 2 2 2" xfId="13897" xr:uid="{00000000-0005-0000-0000-0000613B0000}"/>
    <cellStyle name="40% - Accent2 2 4 3 3 2 3" xfId="10750" xr:uid="{00000000-0005-0000-0000-0000623B0000}"/>
    <cellStyle name="40% - Accent2 2 4 3 3 3" xfId="17271" xr:uid="{00000000-0005-0000-0000-0000633B0000}"/>
    <cellStyle name="40% - Accent2 2 4 3 3 3 2" xfId="17272" xr:uid="{00000000-0005-0000-0000-0000643B0000}"/>
    <cellStyle name="40% - Accent2 2 4 3 3 4" xfId="17273" xr:uid="{00000000-0005-0000-0000-0000653B0000}"/>
    <cellStyle name="40% - Accent2 2 4 3 4" xfId="17275" xr:uid="{00000000-0005-0000-0000-0000663B0000}"/>
    <cellStyle name="40% - Accent2 2 4 3 4 2" xfId="1158" xr:uid="{00000000-0005-0000-0000-0000673B0000}"/>
    <cellStyle name="40% - Accent2 2 4 3 4 2 2" xfId="306" xr:uid="{00000000-0005-0000-0000-0000683B0000}"/>
    <cellStyle name="40% - Accent2 2 4 3 4 3" xfId="17278" xr:uid="{00000000-0005-0000-0000-0000693B0000}"/>
    <cellStyle name="40% - Accent2 2 4 3 5" xfId="17279" xr:uid="{00000000-0005-0000-0000-00006A3B0000}"/>
    <cellStyle name="40% - Accent2 2 4 3 5 2" xfId="17282" xr:uid="{00000000-0005-0000-0000-00006B3B0000}"/>
    <cellStyle name="40% - Accent2 2 4 3 6" xfId="12170" xr:uid="{00000000-0005-0000-0000-00006C3B0000}"/>
    <cellStyle name="40% - Accent2 2 4 4" xfId="17283" xr:uid="{00000000-0005-0000-0000-00006D3B0000}"/>
    <cellStyle name="40% - Accent2 2 4 4 2" xfId="17285" xr:uid="{00000000-0005-0000-0000-00006E3B0000}"/>
    <cellStyle name="40% - Accent2 2 4 4 2 2" xfId="217" xr:uid="{00000000-0005-0000-0000-00006F3B0000}"/>
    <cellStyle name="40% - Accent2 2 4 4 2 2 2" xfId="15557" xr:uid="{00000000-0005-0000-0000-0000703B0000}"/>
    <cellStyle name="40% - Accent2 2 4 4 2 2 2 2" xfId="33928" xr:uid="{00000000-0005-0000-0000-0000713B0000}"/>
    <cellStyle name="40% - Accent2 2 4 4 2 2 3" xfId="17286" xr:uid="{00000000-0005-0000-0000-0000723B0000}"/>
    <cellStyle name="40% - Accent2 2 4 4 2 3" xfId="17287" xr:uid="{00000000-0005-0000-0000-0000733B0000}"/>
    <cellStyle name="40% - Accent2 2 4 4 2 3 2" xfId="17289" xr:uid="{00000000-0005-0000-0000-0000743B0000}"/>
    <cellStyle name="40% - Accent2 2 4 4 2 4" xfId="7719" xr:uid="{00000000-0005-0000-0000-0000753B0000}"/>
    <cellStyle name="40% - Accent2 2 4 4 3" xfId="17292" xr:uid="{00000000-0005-0000-0000-0000763B0000}"/>
    <cellStyle name="40% - Accent2 2 4 4 3 2" xfId="17296" xr:uid="{00000000-0005-0000-0000-0000773B0000}"/>
    <cellStyle name="40% - Accent2 2 4 4 3 2 2" xfId="17297" xr:uid="{00000000-0005-0000-0000-0000783B0000}"/>
    <cellStyle name="40% - Accent2 2 4 4 3 3" xfId="17299" xr:uid="{00000000-0005-0000-0000-0000793B0000}"/>
    <cellStyle name="40% - Accent2 2 4 4 4" xfId="31274" xr:uid="{00000000-0005-0000-0000-00007A3B0000}"/>
    <cellStyle name="40% - Accent2 2 4 4 4 2" xfId="17300" xr:uid="{00000000-0005-0000-0000-00007B3B0000}"/>
    <cellStyle name="40% - Accent2 2 4 4 5" xfId="17303" xr:uid="{00000000-0005-0000-0000-00007C3B0000}"/>
    <cellStyle name="40% - Accent2 2 4 5" xfId="6896" xr:uid="{00000000-0005-0000-0000-00007D3B0000}"/>
    <cellStyle name="40% - Accent2 2 4 5 2" xfId="17304" xr:uid="{00000000-0005-0000-0000-00007E3B0000}"/>
    <cellStyle name="40% - Accent2 2 4 5 2 2" xfId="17309" xr:uid="{00000000-0005-0000-0000-00007F3B0000}"/>
    <cellStyle name="40% - Accent2 2 4 5 2 2 2" xfId="17310" xr:uid="{00000000-0005-0000-0000-0000803B0000}"/>
    <cellStyle name="40% - Accent2 2 4 5 2 3" xfId="33148" xr:uid="{00000000-0005-0000-0000-0000813B0000}"/>
    <cellStyle name="40% - Accent2 2 4 5 3" xfId="17311" xr:uid="{00000000-0005-0000-0000-0000823B0000}"/>
    <cellStyle name="40% - Accent2 2 4 5 3 2" xfId="17314" xr:uid="{00000000-0005-0000-0000-0000833B0000}"/>
    <cellStyle name="40% - Accent2 2 4 5 4" xfId="17316" xr:uid="{00000000-0005-0000-0000-0000843B0000}"/>
    <cellStyle name="40% - Accent2 2 4 6" xfId="27942" xr:uid="{00000000-0005-0000-0000-0000853B0000}"/>
    <cellStyle name="40% - Accent2 2 4 6 2" xfId="17319" xr:uid="{00000000-0005-0000-0000-0000863B0000}"/>
    <cellStyle name="40% - Accent2 2 4 6 2 2" xfId="17321" xr:uid="{00000000-0005-0000-0000-0000873B0000}"/>
    <cellStyle name="40% - Accent2 2 4 6 3" xfId="17324" xr:uid="{00000000-0005-0000-0000-0000883B0000}"/>
    <cellStyle name="40% - Accent2 2 4 7" xfId="26443" xr:uid="{00000000-0005-0000-0000-0000893B0000}"/>
    <cellStyle name="40% - Accent2 2 4 7 2" xfId="13798" xr:uid="{00000000-0005-0000-0000-00008A3B0000}"/>
    <cellStyle name="40% - Accent2 2 4 8" xfId="18148" xr:uid="{00000000-0005-0000-0000-00008B3B0000}"/>
    <cellStyle name="40% - Accent2 2 5" xfId="17326" xr:uid="{00000000-0005-0000-0000-00008C3B0000}"/>
    <cellStyle name="40% - Accent2 2 5 2" xfId="17327" xr:uid="{00000000-0005-0000-0000-00008D3B0000}"/>
    <cellStyle name="40% - Accent2 2 5 2 2" xfId="19701" xr:uid="{00000000-0005-0000-0000-00008E3B0000}"/>
    <cellStyle name="40% - Accent2 2 5 2 2 2" xfId="32538" xr:uid="{00000000-0005-0000-0000-00008F3B0000}"/>
    <cellStyle name="40% - Accent2 2 5 2 2 2 2" xfId="2329" xr:uid="{00000000-0005-0000-0000-0000903B0000}"/>
    <cellStyle name="40% - Accent2 2 5 2 2 2 2 2" xfId="4988" xr:uid="{00000000-0005-0000-0000-0000913B0000}"/>
    <cellStyle name="40% - Accent2 2 5 2 2 2 2 2 2" xfId="20422" xr:uid="{00000000-0005-0000-0000-0000923B0000}"/>
    <cellStyle name="40% - Accent2 2 5 2 2 2 2 3" xfId="33953" xr:uid="{00000000-0005-0000-0000-0000933B0000}"/>
    <cellStyle name="40% - Accent2 2 5 2 2 2 3" xfId="15642" xr:uid="{00000000-0005-0000-0000-0000943B0000}"/>
    <cellStyle name="40% - Accent2 2 5 2 2 2 3 2" xfId="24568" xr:uid="{00000000-0005-0000-0000-0000953B0000}"/>
    <cellStyle name="40% - Accent2 2 5 2 2 2 4" xfId="17328" xr:uid="{00000000-0005-0000-0000-0000963B0000}"/>
    <cellStyle name="40% - Accent2 2 5 2 2 3" xfId="17330" xr:uid="{00000000-0005-0000-0000-0000973B0000}"/>
    <cellStyle name="40% - Accent2 2 5 2 2 3 2" xfId="15653" xr:uid="{00000000-0005-0000-0000-0000983B0000}"/>
    <cellStyle name="40% - Accent2 2 5 2 2 3 2 2" xfId="17331" xr:uid="{00000000-0005-0000-0000-0000993B0000}"/>
    <cellStyle name="40% - Accent2 2 5 2 2 3 3" xfId="17332" xr:uid="{00000000-0005-0000-0000-00009A3B0000}"/>
    <cellStyle name="40% - Accent2 2 5 2 2 4" xfId="17335" xr:uid="{00000000-0005-0000-0000-00009B3B0000}"/>
    <cellStyle name="40% - Accent2 2 5 2 2 4 2" xfId="17336" xr:uid="{00000000-0005-0000-0000-00009C3B0000}"/>
    <cellStyle name="40% - Accent2 2 5 2 2 5" xfId="26256" xr:uid="{00000000-0005-0000-0000-00009D3B0000}"/>
    <cellStyle name="40% - Accent2 2 5 2 3" xfId="17337" xr:uid="{00000000-0005-0000-0000-00009E3B0000}"/>
    <cellStyle name="40% - Accent2 2 5 2 3 2" xfId="17342" xr:uid="{00000000-0005-0000-0000-00009F3B0000}"/>
    <cellStyle name="40% - Accent2 2 5 2 3 2 2" xfId="15692" xr:uid="{00000000-0005-0000-0000-0000A03B0000}"/>
    <cellStyle name="40% - Accent2 2 5 2 3 2 2 2" xfId="17344" xr:uid="{00000000-0005-0000-0000-0000A13B0000}"/>
    <cellStyle name="40% - Accent2 2 5 2 3 2 3" xfId="17346" xr:uid="{00000000-0005-0000-0000-0000A23B0000}"/>
    <cellStyle name="40% - Accent2 2 5 2 3 3" xfId="17350" xr:uid="{00000000-0005-0000-0000-0000A33B0000}"/>
    <cellStyle name="40% - Accent2 2 5 2 3 3 2" xfId="17351" xr:uid="{00000000-0005-0000-0000-0000A43B0000}"/>
    <cellStyle name="40% - Accent2 2 5 2 3 4" xfId="17353" xr:uid="{00000000-0005-0000-0000-0000A53B0000}"/>
    <cellStyle name="40% - Accent2 2 5 2 4" xfId="15005" xr:uid="{00000000-0005-0000-0000-0000A63B0000}"/>
    <cellStyle name="40% - Accent2 2 5 2 4 2" xfId="2377" xr:uid="{00000000-0005-0000-0000-0000A73B0000}"/>
    <cellStyle name="40% - Accent2 2 5 2 4 2 2" xfId="6155" xr:uid="{00000000-0005-0000-0000-0000A83B0000}"/>
    <cellStyle name="40% - Accent2 2 5 2 4 3" xfId="33693" xr:uid="{00000000-0005-0000-0000-0000A93B0000}"/>
    <cellStyle name="40% - Accent2 2 5 2 5" xfId="14834" xr:uid="{00000000-0005-0000-0000-0000AA3B0000}"/>
    <cellStyle name="40% - Accent2 2 5 2 5 2" xfId="25323" xr:uid="{00000000-0005-0000-0000-0000AB3B0000}"/>
    <cellStyle name="40% - Accent2 2 5 2 6" xfId="12187" xr:uid="{00000000-0005-0000-0000-0000AC3B0000}"/>
    <cellStyle name="40% - Accent2 2 5 3" xfId="31371" xr:uid="{00000000-0005-0000-0000-0000AD3B0000}"/>
    <cellStyle name="40% - Accent2 2 5 3 2" xfId="17355" xr:uid="{00000000-0005-0000-0000-0000AE3B0000}"/>
    <cellStyle name="40% - Accent2 2 5 3 2 2" xfId="25053" xr:uid="{00000000-0005-0000-0000-0000AF3B0000}"/>
    <cellStyle name="40% - Accent2 2 5 3 2 2 2" xfId="15736" xr:uid="{00000000-0005-0000-0000-0000B03B0000}"/>
    <cellStyle name="40% - Accent2 2 5 3 2 2 2 2" xfId="7596" xr:uid="{00000000-0005-0000-0000-0000B13B0000}"/>
    <cellStyle name="40% - Accent2 2 5 3 2 2 3" xfId="17364" xr:uid="{00000000-0005-0000-0000-0000B23B0000}"/>
    <cellStyle name="40% - Accent2 2 5 3 2 3" xfId="17369" xr:uid="{00000000-0005-0000-0000-0000B33B0000}"/>
    <cellStyle name="40% - Accent2 2 5 3 2 3 2" xfId="17371" xr:uid="{00000000-0005-0000-0000-0000B43B0000}"/>
    <cellStyle name="40% - Accent2 2 5 3 2 4" xfId="17375" xr:uid="{00000000-0005-0000-0000-0000B53B0000}"/>
    <cellStyle name="40% - Accent2 2 5 3 3" xfId="17380" xr:uid="{00000000-0005-0000-0000-0000B63B0000}"/>
    <cellStyle name="40% - Accent2 2 5 3 3 2" xfId="17388" xr:uid="{00000000-0005-0000-0000-0000B73B0000}"/>
    <cellStyle name="40% - Accent2 2 5 3 3 2 2" xfId="17391" xr:uid="{00000000-0005-0000-0000-0000B83B0000}"/>
    <cellStyle name="40% - Accent2 2 5 3 3 3" xfId="17393" xr:uid="{00000000-0005-0000-0000-0000B93B0000}"/>
    <cellStyle name="40% - Accent2 2 5 3 4" xfId="15016" xr:uid="{00000000-0005-0000-0000-0000BA3B0000}"/>
    <cellStyle name="40% - Accent2 2 5 3 4 2" xfId="17396" xr:uid="{00000000-0005-0000-0000-0000BB3B0000}"/>
    <cellStyle name="40% - Accent2 2 5 3 5" xfId="14850" xr:uid="{00000000-0005-0000-0000-0000BC3B0000}"/>
    <cellStyle name="40% - Accent2 2 5 4" xfId="17399" xr:uid="{00000000-0005-0000-0000-0000BD3B0000}"/>
    <cellStyle name="40% - Accent2 2 5 4 2" xfId="22982" xr:uid="{00000000-0005-0000-0000-0000BE3B0000}"/>
    <cellStyle name="40% - Accent2 2 5 4 2 2" xfId="22993" xr:uid="{00000000-0005-0000-0000-0000BF3B0000}"/>
    <cellStyle name="40% - Accent2 2 5 4 2 2 2" xfId="17406" xr:uid="{00000000-0005-0000-0000-0000C03B0000}"/>
    <cellStyle name="40% - Accent2 2 5 4 2 3" xfId="27024" xr:uid="{00000000-0005-0000-0000-0000C13B0000}"/>
    <cellStyle name="40% - Accent2 2 5 4 3" xfId="22314" xr:uid="{00000000-0005-0000-0000-0000C23B0000}"/>
    <cellStyle name="40% - Accent2 2 5 4 3 2" xfId="19927" xr:uid="{00000000-0005-0000-0000-0000C33B0000}"/>
    <cellStyle name="40% - Accent2 2 5 4 4" xfId="27549" xr:uid="{00000000-0005-0000-0000-0000C43B0000}"/>
    <cellStyle name="40% - Accent2 2 5 5" xfId="29957" xr:uid="{00000000-0005-0000-0000-0000C53B0000}"/>
    <cellStyle name="40% - Accent2 2 5 5 2" xfId="21371" xr:uid="{00000000-0005-0000-0000-0000C63B0000}"/>
    <cellStyle name="40% - Accent2 2 5 5 2 2" xfId="27555" xr:uid="{00000000-0005-0000-0000-0000C73B0000}"/>
    <cellStyle name="40% - Accent2 2 5 5 3" xfId="5103" xr:uid="{00000000-0005-0000-0000-0000C83B0000}"/>
    <cellStyle name="40% - Accent2 2 5 6" xfId="30955" xr:uid="{00000000-0005-0000-0000-0000C93B0000}"/>
    <cellStyle name="40% - Accent2 2 5 6 2" xfId="21387" xr:uid="{00000000-0005-0000-0000-0000CA3B0000}"/>
    <cellStyle name="40% - Accent2 2 5 7" xfId="14614" xr:uid="{00000000-0005-0000-0000-0000CB3B0000}"/>
    <cellStyle name="40% - Accent2 2 6" xfId="17422" xr:uid="{00000000-0005-0000-0000-0000CC3B0000}"/>
    <cellStyle name="40% - Accent2 2 6 2" xfId="4664" xr:uid="{00000000-0005-0000-0000-0000CD3B0000}"/>
    <cellStyle name="40% - Accent2 2 6 2 2" xfId="17425" xr:uid="{00000000-0005-0000-0000-0000CE3B0000}"/>
    <cellStyle name="40% - Accent2 2 6 2 2 2" xfId="17426" xr:uid="{00000000-0005-0000-0000-0000CF3B0000}"/>
    <cellStyle name="40% - Accent2 2 6 2 2 2 2" xfId="15825" xr:uid="{00000000-0005-0000-0000-0000D03B0000}"/>
    <cellStyle name="40% - Accent2 2 6 2 2 2 2 2" xfId="15256" xr:uid="{00000000-0005-0000-0000-0000D13B0000}"/>
    <cellStyle name="40% - Accent2 2 6 2 2 2 3" xfId="17428" xr:uid="{00000000-0005-0000-0000-0000D23B0000}"/>
    <cellStyle name="40% - Accent2 2 6 2 2 3" xfId="17429" xr:uid="{00000000-0005-0000-0000-0000D33B0000}"/>
    <cellStyle name="40% - Accent2 2 6 2 2 3 2" xfId="7438" xr:uid="{00000000-0005-0000-0000-0000D43B0000}"/>
    <cellStyle name="40% - Accent2 2 6 2 2 4" xfId="17431" xr:uid="{00000000-0005-0000-0000-0000D53B0000}"/>
    <cellStyle name="40% - Accent2 2 6 2 3" xfId="15023" xr:uid="{00000000-0005-0000-0000-0000D63B0000}"/>
    <cellStyle name="40% - Accent2 2 6 2 3 2" xfId="17432" xr:uid="{00000000-0005-0000-0000-0000D73B0000}"/>
    <cellStyle name="40% - Accent2 2 6 2 3 2 2" xfId="14455" xr:uid="{00000000-0005-0000-0000-0000D83B0000}"/>
    <cellStyle name="40% - Accent2 2 6 2 3 3" xfId="17433" xr:uid="{00000000-0005-0000-0000-0000D93B0000}"/>
    <cellStyle name="40% - Accent2 2 6 2 4" xfId="15029" xr:uid="{00000000-0005-0000-0000-0000DA3B0000}"/>
    <cellStyle name="40% - Accent2 2 6 2 4 2" xfId="17434" xr:uid="{00000000-0005-0000-0000-0000DB3B0000}"/>
    <cellStyle name="40% - Accent2 2 6 2 5" xfId="14889" xr:uid="{00000000-0005-0000-0000-0000DC3B0000}"/>
    <cellStyle name="40% - Accent2 2 6 3" xfId="22086" xr:uid="{00000000-0005-0000-0000-0000DD3B0000}"/>
    <cellStyle name="40% - Accent2 2 6 3 2" xfId="1040" xr:uid="{00000000-0005-0000-0000-0000DE3B0000}"/>
    <cellStyle name="40% - Accent2 2 6 3 2 2" xfId="7516" xr:uid="{00000000-0005-0000-0000-0000DF3B0000}"/>
    <cellStyle name="40% - Accent2 2 6 3 2 2 2" xfId="2487" xr:uid="{00000000-0005-0000-0000-0000E03B0000}"/>
    <cellStyle name="40% - Accent2 2 6 3 2 3" xfId="7522" xr:uid="{00000000-0005-0000-0000-0000E13B0000}"/>
    <cellStyle name="40% - Accent2 2 6 3 3" xfId="17437" xr:uid="{00000000-0005-0000-0000-0000E23B0000}"/>
    <cellStyle name="40% - Accent2 2 6 3 3 2" xfId="7537" xr:uid="{00000000-0005-0000-0000-0000E33B0000}"/>
    <cellStyle name="40% - Accent2 2 6 3 4" xfId="14893" xr:uid="{00000000-0005-0000-0000-0000E43B0000}"/>
    <cellStyle name="40% - Accent2 2 6 4" xfId="17443" xr:uid="{00000000-0005-0000-0000-0000E53B0000}"/>
    <cellStyle name="40% - Accent2 2 6 4 2" xfId="23007" xr:uid="{00000000-0005-0000-0000-0000E63B0000}"/>
    <cellStyle name="40% - Accent2 2 6 4 2 2" xfId="27567" xr:uid="{00000000-0005-0000-0000-0000E73B0000}"/>
    <cellStyle name="40% - Accent2 2 6 4 3" xfId="17450" xr:uid="{00000000-0005-0000-0000-0000E83B0000}"/>
    <cellStyle name="40% - Accent2 2 6 5" xfId="17453" xr:uid="{00000000-0005-0000-0000-0000E93B0000}"/>
    <cellStyle name="40% - Accent2 2 6 5 2" xfId="21415" xr:uid="{00000000-0005-0000-0000-0000EA3B0000}"/>
    <cellStyle name="40% - Accent2 2 6 6" xfId="32270" xr:uid="{00000000-0005-0000-0000-0000EB3B0000}"/>
    <cellStyle name="40% - Accent2 2 7" xfId="17457" xr:uid="{00000000-0005-0000-0000-0000EC3B0000}"/>
    <cellStyle name="40% - Accent2 2 7 2" xfId="1115" xr:uid="{00000000-0005-0000-0000-0000ED3B0000}"/>
    <cellStyle name="40% - Accent2 2 7 2 2" xfId="2959" xr:uid="{00000000-0005-0000-0000-0000EE3B0000}"/>
    <cellStyle name="40% - Accent2 2 7 2 2 2" xfId="1453" xr:uid="{00000000-0005-0000-0000-0000EF3B0000}"/>
    <cellStyle name="40% - Accent2 2 7 2 2 2 2" xfId="17459" xr:uid="{00000000-0005-0000-0000-0000F03B0000}"/>
    <cellStyle name="40% - Accent2 2 7 2 2 3" xfId="1804" xr:uid="{00000000-0005-0000-0000-0000F13B0000}"/>
    <cellStyle name="40% - Accent2 2 7 2 3" xfId="2069" xr:uid="{00000000-0005-0000-0000-0000F23B0000}"/>
    <cellStyle name="40% - Accent2 2 7 2 3 2" xfId="1809" xr:uid="{00000000-0005-0000-0000-0000F33B0000}"/>
    <cellStyle name="40% - Accent2 2 7 2 4" xfId="28073" xr:uid="{00000000-0005-0000-0000-0000F43B0000}"/>
    <cellStyle name="40% - Accent2 2 7 3" xfId="2359" xr:uid="{00000000-0005-0000-0000-0000F53B0000}"/>
    <cellStyle name="40% - Accent2 2 7 3 2" xfId="2343" xr:uid="{00000000-0005-0000-0000-0000F63B0000}"/>
    <cellStyle name="40% - Accent2 2 7 3 2 2" xfId="12311" xr:uid="{00000000-0005-0000-0000-0000F73B0000}"/>
    <cellStyle name="40% - Accent2 2 7 3 3" xfId="2597" xr:uid="{00000000-0005-0000-0000-0000F83B0000}"/>
    <cellStyle name="40% - Accent2 2 7 4" xfId="3331" xr:uid="{00000000-0005-0000-0000-0000F93B0000}"/>
    <cellStyle name="40% - Accent2 2 7 4 2" xfId="27578" xr:uid="{00000000-0005-0000-0000-0000FA3B0000}"/>
    <cellStyle name="40% - Accent2 2 7 5" xfId="10993" xr:uid="{00000000-0005-0000-0000-0000FB3B0000}"/>
    <cellStyle name="40% - Accent2 2 8" xfId="17460" xr:uid="{00000000-0005-0000-0000-0000FC3B0000}"/>
    <cellStyle name="40% - Accent2 2 8 2" xfId="24942" xr:uid="{00000000-0005-0000-0000-0000FD3B0000}"/>
    <cellStyle name="40% - Accent2 2 8 2 2" xfId="1905" xr:uid="{00000000-0005-0000-0000-0000FE3B0000}"/>
    <cellStyle name="40% - Accent2 2 8 2 2 2" xfId="27115" xr:uid="{00000000-0005-0000-0000-0000FF3B0000}"/>
    <cellStyle name="40% - Accent2 2 8 2 3" xfId="4914" xr:uid="{00000000-0005-0000-0000-0000003C0000}"/>
    <cellStyle name="40% - Accent2 2 8 3" xfId="749" xr:uid="{00000000-0005-0000-0000-0000013C0000}"/>
    <cellStyle name="40% - Accent2 2 8 3 2" xfId="1908" xr:uid="{00000000-0005-0000-0000-0000023C0000}"/>
    <cellStyle name="40% - Accent2 2 8 4" xfId="3347" xr:uid="{00000000-0005-0000-0000-0000033C0000}"/>
    <cellStyle name="40% - Accent2 2 9" xfId="5694" xr:uid="{00000000-0005-0000-0000-0000043C0000}"/>
    <cellStyle name="40% - Accent2 2 9 2" xfId="476" xr:uid="{00000000-0005-0000-0000-0000053C0000}"/>
    <cellStyle name="40% - Accent2 2 9 2 2" xfId="1933" xr:uid="{00000000-0005-0000-0000-0000063C0000}"/>
    <cellStyle name="40% - Accent2 2 9 3" xfId="1938" xr:uid="{00000000-0005-0000-0000-0000073C0000}"/>
    <cellStyle name="40% - Accent2 3" xfId="4097" xr:uid="{00000000-0005-0000-0000-0000083C0000}"/>
    <cellStyle name="40% - Accent2 3 10" xfId="27333" xr:uid="{00000000-0005-0000-0000-0000093C0000}"/>
    <cellStyle name="40% - Accent2 3 2" xfId="1100" xr:uid="{00000000-0005-0000-0000-00000A3C0000}"/>
    <cellStyle name="40% - Accent2 3 2 2" xfId="795" xr:uid="{00000000-0005-0000-0000-00000B3C0000}"/>
    <cellStyle name="40% - Accent2 3 2 2 2" xfId="17462" xr:uid="{00000000-0005-0000-0000-00000C3C0000}"/>
    <cellStyle name="40% - Accent2 3 2 2 2 2" xfId="17463" xr:uid="{00000000-0005-0000-0000-00000D3C0000}"/>
    <cellStyle name="40% - Accent2 3 2 2 2 2 2" xfId="17464" xr:uid="{00000000-0005-0000-0000-00000E3C0000}"/>
    <cellStyle name="40% - Accent2 3 2 2 2 2 2 2" xfId="3788" xr:uid="{00000000-0005-0000-0000-00000F3C0000}"/>
    <cellStyle name="40% - Accent2 3 2 2 2 2 2 2 2" xfId="12182" xr:uid="{00000000-0005-0000-0000-0000103C0000}"/>
    <cellStyle name="40% - Accent2 3 2 2 2 2 2 2 2 2" xfId="7382" xr:uid="{00000000-0005-0000-0000-0000113C0000}"/>
    <cellStyle name="40% - Accent2 3 2 2 2 2 2 2 2 2 2" xfId="8103" xr:uid="{00000000-0005-0000-0000-0000123C0000}"/>
    <cellStyle name="40% - Accent2 3 2 2 2 2 2 2 2 3" xfId="11119" xr:uid="{00000000-0005-0000-0000-0000133C0000}"/>
    <cellStyle name="40% - Accent2 3 2 2 2 2 2 2 3" xfId="11928" xr:uid="{00000000-0005-0000-0000-0000143C0000}"/>
    <cellStyle name="40% - Accent2 3 2 2 2 2 2 2 3 2" xfId="11130" xr:uid="{00000000-0005-0000-0000-0000153C0000}"/>
    <cellStyle name="40% - Accent2 3 2 2 2 2 2 2 4" xfId="12677" xr:uid="{00000000-0005-0000-0000-0000163C0000}"/>
    <cellStyle name="40% - Accent2 3 2 2 2 2 2 3" xfId="17465" xr:uid="{00000000-0005-0000-0000-0000173C0000}"/>
    <cellStyle name="40% - Accent2 3 2 2 2 2 2 3 2" xfId="1070" xr:uid="{00000000-0005-0000-0000-0000183C0000}"/>
    <cellStyle name="40% - Accent2 3 2 2 2 2 2 3 2 2" xfId="10017" xr:uid="{00000000-0005-0000-0000-0000193C0000}"/>
    <cellStyle name="40% - Accent2 3 2 2 2 2 2 3 3" xfId="1622" xr:uid="{00000000-0005-0000-0000-00001A3C0000}"/>
    <cellStyle name="40% - Accent2 3 2 2 2 2 2 4" xfId="15090" xr:uid="{00000000-0005-0000-0000-00001B3C0000}"/>
    <cellStyle name="40% - Accent2 3 2 2 2 2 2 4 2" xfId="1638" xr:uid="{00000000-0005-0000-0000-00001C3C0000}"/>
    <cellStyle name="40% - Accent2 3 2 2 2 2 2 5" xfId="17466" xr:uid="{00000000-0005-0000-0000-00001D3C0000}"/>
    <cellStyle name="40% - Accent2 3 2 2 2 2 3" xfId="33067" xr:uid="{00000000-0005-0000-0000-00001E3C0000}"/>
    <cellStyle name="40% - Accent2 3 2 2 2 2 3 2" xfId="17467" xr:uid="{00000000-0005-0000-0000-00001F3C0000}"/>
    <cellStyle name="40% - Accent2 3 2 2 2 2 3 2 2" xfId="4953" xr:uid="{00000000-0005-0000-0000-0000203C0000}"/>
    <cellStyle name="40% - Accent2 3 2 2 2 2 3 2 2 2" xfId="11298" xr:uid="{00000000-0005-0000-0000-0000213C0000}"/>
    <cellStyle name="40% - Accent2 3 2 2 2 2 3 2 3" xfId="3636" xr:uid="{00000000-0005-0000-0000-0000223C0000}"/>
    <cellStyle name="40% - Accent2 3 2 2 2 2 3 3" xfId="17468" xr:uid="{00000000-0005-0000-0000-0000233C0000}"/>
    <cellStyle name="40% - Accent2 3 2 2 2 2 3 3 2" xfId="1661" xr:uid="{00000000-0005-0000-0000-0000243C0000}"/>
    <cellStyle name="40% - Accent2 3 2 2 2 2 3 4" xfId="17469" xr:uid="{00000000-0005-0000-0000-0000253C0000}"/>
    <cellStyle name="40% - Accent2 3 2 2 2 2 4" xfId="17360" xr:uid="{00000000-0005-0000-0000-0000263C0000}"/>
    <cellStyle name="40% - Accent2 3 2 2 2 2 4 2" xfId="17470" xr:uid="{00000000-0005-0000-0000-0000273C0000}"/>
    <cellStyle name="40% - Accent2 3 2 2 2 2 4 2 2" xfId="4197" xr:uid="{00000000-0005-0000-0000-0000283C0000}"/>
    <cellStyle name="40% - Accent2 3 2 2 2 2 4 3" xfId="17473" xr:uid="{00000000-0005-0000-0000-0000293C0000}"/>
    <cellStyle name="40% - Accent2 3 2 2 2 2 5" xfId="17366" xr:uid="{00000000-0005-0000-0000-00002A3C0000}"/>
    <cellStyle name="40% - Accent2 3 2 2 2 2 5 2" xfId="17475" xr:uid="{00000000-0005-0000-0000-00002B3C0000}"/>
    <cellStyle name="40% - Accent2 3 2 2 2 2 6" xfId="17376" xr:uid="{00000000-0005-0000-0000-00002C3C0000}"/>
    <cellStyle name="40% - Accent2 3 2 2 2 3" xfId="17477" xr:uid="{00000000-0005-0000-0000-00002D3C0000}"/>
    <cellStyle name="40% - Accent2 3 2 2 2 3 2" xfId="17478" xr:uid="{00000000-0005-0000-0000-00002E3C0000}"/>
    <cellStyle name="40% - Accent2 3 2 2 2 3 2 2" xfId="17479" xr:uid="{00000000-0005-0000-0000-00002F3C0000}"/>
    <cellStyle name="40% - Accent2 3 2 2 2 3 2 2 2" xfId="5836" xr:uid="{00000000-0005-0000-0000-0000303C0000}"/>
    <cellStyle name="40% - Accent2 3 2 2 2 3 2 2 2 2" xfId="15482" xr:uid="{00000000-0005-0000-0000-0000313C0000}"/>
    <cellStyle name="40% - Accent2 3 2 2 2 3 2 2 3" xfId="5845" xr:uid="{00000000-0005-0000-0000-0000323C0000}"/>
    <cellStyle name="40% - Accent2 3 2 2 2 3 2 3" xfId="32973" xr:uid="{00000000-0005-0000-0000-0000333C0000}"/>
    <cellStyle name="40% - Accent2 3 2 2 2 3 2 3 2" xfId="5859" xr:uid="{00000000-0005-0000-0000-0000343C0000}"/>
    <cellStyle name="40% - Accent2 3 2 2 2 3 2 4" xfId="17481" xr:uid="{00000000-0005-0000-0000-0000353C0000}"/>
    <cellStyle name="40% - Accent2 3 2 2 2 3 3" xfId="17483" xr:uid="{00000000-0005-0000-0000-0000363C0000}"/>
    <cellStyle name="40% - Accent2 3 2 2 2 3 3 2" xfId="17484" xr:uid="{00000000-0005-0000-0000-0000373C0000}"/>
    <cellStyle name="40% - Accent2 3 2 2 2 3 3 2 2" xfId="767" xr:uid="{00000000-0005-0000-0000-0000383C0000}"/>
    <cellStyle name="40% - Accent2 3 2 2 2 3 3 3" xfId="30751" xr:uid="{00000000-0005-0000-0000-0000393C0000}"/>
    <cellStyle name="40% - Accent2 3 2 2 2 3 4" xfId="17386" xr:uid="{00000000-0005-0000-0000-00003A3C0000}"/>
    <cellStyle name="40% - Accent2 3 2 2 2 3 4 2" xfId="17487" xr:uid="{00000000-0005-0000-0000-00003B3C0000}"/>
    <cellStyle name="40% - Accent2 3 2 2 2 3 5" xfId="17394" xr:uid="{00000000-0005-0000-0000-00003C3C0000}"/>
    <cellStyle name="40% - Accent2 3 2 2 2 4" xfId="17489" xr:uid="{00000000-0005-0000-0000-00003D3C0000}"/>
    <cellStyle name="40% - Accent2 3 2 2 2 4 2" xfId="17490" xr:uid="{00000000-0005-0000-0000-00003E3C0000}"/>
    <cellStyle name="40% - Accent2 3 2 2 2 4 2 2" xfId="17491" xr:uid="{00000000-0005-0000-0000-00003F3C0000}"/>
    <cellStyle name="40% - Accent2 3 2 2 2 4 2 2 2" xfId="6249" xr:uid="{00000000-0005-0000-0000-0000403C0000}"/>
    <cellStyle name="40% - Accent2 3 2 2 2 4 2 3" xfId="17493" xr:uid="{00000000-0005-0000-0000-0000413C0000}"/>
    <cellStyle name="40% - Accent2 3 2 2 2 4 3" xfId="2917" xr:uid="{00000000-0005-0000-0000-0000423C0000}"/>
    <cellStyle name="40% - Accent2 3 2 2 2 4 3 2" xfId="28347" xr:uid="{00000000-0005-0000-0000-0000433C0000}"/>
    <cellStyle name="40% - Accent2 3 2 2 2 4 4" xfId="17397" xr:uid="{00000000-0005-0000-0000-0000443C0000}"/>
    <cellStyle name="40% - Accent2 3 2 2 2 5" xfId="17494" xr:uid="{00000000-0005-0000-0000-0000453C0000}"/>
    <cellStyle name="40% - Accent2 3 2 2 2 5 2" xfId="17495" xr:uid="{00000000-0005-0000-0000-0000463C0000}"/>
    <cellStyle name="40% - Accent2 3 2 2 2 5 2 2" xfId="23114" xr:uid="{00000000-0005-0000-0000-0000473C0000}"/>
    <cellStyle name="40% - Accent2 3 2 2 2 5 3" xfId="17496" xr:uid="{00000000-0005-0000-0000-0000483C0000}"/>
    <cellStyle name="40% - Accent2 3 2 2 2 6" xfId="17497" xr:uid="{00000000-0005-0000-0000-0000493C0000}"/>
    <cellStyle name="40% - Accent2 3 2 2 2 6 2" xfId="17499" xr:uid="{00000000-0005-0000-0000-00004A3C0000}"/>
    <cellStyle name="40% - Accent2 3 2 2 2 7" xfId="17501" xr:uid="{00000000-0005-0000-0000-00004B3C0000}"/>
    <cellStyle name="40% - Accent2 3 2 2 3" xfId="19463" xr:uid="{00000000-0005-0000-0000-00004C3C0000}"/>
    <cellStyle name="40% - Accent2 3 2 2 3 2" xfId="17503" xr:uid="{00000000-0005-0000-0000-00004D3C0000}"/>
    <cellStyle name="40% - Accent2 3 2 2 3 2 2" xfId="17504" xr:uid="{00000000-0005-0000-0000-00004E3C0000}"/>
    <cellStyle name="40% - Accent2 3 2 2 3 2 2 2" xfId="16728" xr:uid="{00000000-0005-0000-0000-00004F3C0000}"/>
    <cellStyle name="40% - Accent2 3 2 2 3 2 2 2 2" xfId="7681" xr:uid="{00000000-0005-0000-0000-0000503C0000}"/>
    <cellStyle name="40% - Accent2 3 2 2 3 2 2 2 2 2" xfId="27419" xr:uid="{00000000-0005-0000-0000-0000513C0000}"/>
    <cellStyle name="40% - Accent2 3 2 2 3 2 2 2 3" xfId="7706" xr:uid="{00000000-0005-0000-0000-0000523C0000}"/>
    <cellStyle name="40% - Accent2 3 2 2 3 2 2 3" xfId="17505" xr:uid="{00000000-0005-0000-0000-0000533C0000}"/>
    <cellStyle name="40% - Accent2 3 2 2 3 2 2 3 2" xfId="22250" xr:uid="{00000000-0005-0000-0000-0000543C0000}"/>
    <cellStyle name="40% - Accent2 3 2 2 3 2 2 4" xfId="17507" xr:uid="{00000000-0005-0000-0000-0000553C0000}"/>
    <cellStyle name="40% - Accent2 3 2 2 3 2 3" xfId="5633" xr:uid="{00000000-0005-0000-0000-0000563C0000}"/>
    <cellStyle name="40% - Accent2 3 2 2 3 2 3 2" xfId="17508" xr:uid="{00000000-0005-0000-0000-0000573C0000}"/>
    <cellStyle name="40% - Accent2 3 2 2 3 2 3 2 2" xfId="5266" xr:uid="{00000000-0005-0000-0000-0000583C0000}"/>
    <cellStyle name="40% - Accent2 3 2 2 3 2 3 3" xfId="17510" xr:uid="{00000000-0005-0000-0000-0000593C0000}"/>
    <cellStyle name="40% - Accent2 3 2 2 3 2 4" xfId="22990" xr:uid="{00000000-0005-0000-0000-00005A3C0000}"/>
    <cellStyle name="40% - Accent2 3 2 2 3 2 4 2" xfId="17511" xr:uid="{00000000-0005-0000-0000-00005B3C0000}"/>
    <cellStyle name="40% - Accent2 3 2 2 3 2 5" xfId="31038" xr:uid="{00000000-0005-0000-0000-00005C3C0000}"/>
    <cellStyle name="40% - Accent2 3 2 2 3 3" xfId="17513" xr:uid="{00000000-0005-0000-0000-00005D3C0000}"/>
    <cellStyle name="40% - Accent2 3 2 2 3 3 2" xfId="17514" xr:uid="{00000000-0005-0000-0000-00005E3C0000}"/>
    <cellStyle name="40% - Accent2 3 2 2 3 3 2 2" xfId="40" xr:uid="{00000000-0005-0000-0000-00005F3C0000}"/>
    <cellStyle name="40% - Accent2 3 2 2 3 3 2 2 2" xfId="6860" xr:uid="{00000000-0005-0000-0000-0000603C0000}"/>
    <cellStyle name="40% - Accent2 3 2 2 3 3 2 3" xfId="3827" xr:uid="{00000000-0005-0000-0000-0000613C0000}"/>
    <cellStyle name="40% - Accent2 3 2 2 3 3 3" xfId="17515" xr:uid="{00000000-0005-0000-0000-0000623C0000}"/>
    <cellStyle name="40% - Accent2 3 2 2 3 3 3 2" xfId="429" xr:uid="{00000000-0005-0000-0000-0000633C0000}"/>
    <cellStyle name="40% - Accent2 3 2 2 3 3 4" xfId="19925" xr:uid="{00000000-0005-0000-0000-0000643C0000}"/>
    <cellStyle name="40% - Accent2 3 2 2 3 4" xfId="25746" xr:uid="{00000000-0005-0000-0000-0000653C0000}"/>
    <cellStyle name="40% - Accent2 3 2 2 3 4 2" xfId="17516" xr:uid="{00000000-0005-0000-0000-0000663C0000}"/>
    <cellStyle name="40% - Accent2 3 2 2 3 4 2 2" xfId="4703" xr:uid="{00000000-0005-0000-0000-0000673C0000}"/>
    <cellStyle name="40% - Accent2 3 2 2 3 4 3" xfId="17517" xr:uid="{00000000-0005-0000-0000-0000683C0000}"/>
    <cellStyle name="40% - Accent2 3 2 2 3 5" xfId="21750" xr:uid="{00000000-0005-0000-0000-0000693C0000}"/>
    <cellStyle name="40% - Accent2 3 2 2 3 5 2" xfId="17518" xr:uid="{00000000-0005-0000-0000-00006A3C0000}"/>
    <cellStyle name="40% - Accent2 3 2 2 3 6" xfId="25750" xr:uid="{00000000-0005-0000-0000-00006B3C0000}"/>
    <cellStyle name="40% - Accent2 3 2 2 4" xfId="17519" xr:uid="{00000000-0005-0000-0000-00006C3C0000}"/>
    <cellStyle name="40% - Accent2 3 2 2 4 2" xfId="17521" xr:uid="{00000000-0005-0000-0000-00006D3C0000}"/>
    <cellStyle name="40% - Accent2 3 2 2 4 2 2" xfId="17522" xr:uid="{00000000-0005-0000-0000-00006E3C0000}"/>
    <cellStyle name="40% - Accent2 3 2 2 4 2 2 2" xfId="23986" xr:uid="{00000000-0005-0000-0000-00006F3C0000}"/>
    <cellStyle name="40% - Accent2 3 2 2 4 2 2 2 2" xfId="2497" xr:uid="{00000000-0005-0000-0000-0000703C0000}"/>
    <cellStyle name="40% - Accent2 3 2 2 4 2 2 3" xfId="12183" xr:uid="{00000000-0005-0000-0000-0000713C0000}"/>
    <cellStyle name="40% - Accent2 3 2 2 4 2 3" xfId="17523" xr:uid="{00000000-0005-0000-0000-0000723C0000}"/>
    <cellStyle name="40% - Accent2 3 2 2 4 2 3 2" xfId="14509" xr:uid="{00000000-0005-0000-0000-0000733C0000}"/>
    <cellStyle name="40% - Accent2 3 2 2 4 2 4" xfId="30181" xr:uid="{00000000-0005-0000-0000-0000743C0000}"/>
    <cellStyle name="40% - Accent2 3 2 2 4 3" xfId="17524" xr:uid="{00000000-0005-0000-0000-0000753C0000}"/>
    <cellStyle name="40% - Accent2 3 2 2 4 3 2" xfId="17525" xr:uid="{00000000-0005-0000-0000-0000763C0000}"/>
    <cellStyle name="40% - Accent2 3 2 2 4 3 2 2" xfId="5955" xr:uid="{00000000-0005-0000-0000-0000773C0000}"/>
    <cellStyle name="40% - Accent2 3 2 2 4 3 3" xfId="17526" xr:uid="{00000000-0005-0000-0000-0000783C0000}"/>
    <cellStyle name="40% - Accent2 3 2 2 4 4" xfId="25754" xr:uid="{00000000-0005-0000-0000-0000793C0000}"/>
    <cellStyle name="40% - Accent2 3 2 2 4 4 2" xfId="17527" xr:uid="{00000000-0005-0000-0000-00007A3C0000}"/>
    <cellStyle name="40% - Accent2 3 2 2 4 5" xfId="18356" xr:uid="{00000000-0005-0000-0000-00007B3C0000}"/>
    <cellStyle name="40% - Accent2 3 2 2 5" xfId="27156" xr:uid="{00000000-0005-0000-0000-00007C3C0000}"/>
    <cellStyle name="40% - Accent2 3 2 2 5 2" xfId="25936" xr:uid="{00000000-0005-0000-0000-00007D3C0000}"/>
    <cellStyle name="40% - Accent2 3 2 2 5 2 2" xfId="19447" xr:uid="{00000000-0005-0000-0000-00007E3C0000}"/>
    <cellStyle name="40% - Accent2 3 2 2 5 2 2 2" xfId="95" xr:uid="{00000000-0005-0000-0000-00007F3C0000}"/>
    <cellStyle name="40% - Accent2 3 2 2 5 2 3" xfId="32517" xr:uid="{00000000-0005-0000-0000-0000803C0000}"/>
    <cellStyle name="40% - Accent2 3 2 2 5 3" xfId="33829" xr:uid="{00000000-0005-0000-0000-0000813C0000}"/>
    <cellStyle name="40% - Accent2 3 2 2 5 3 2" xfId="32633" xr:uid="{00000000-0005-0000-0000-0000823C0000}"/>
    <cellStyle name="40% - Accent2 3 2 2 5 4" xfId="25759" xr:uid="{00000000-0005-0000-0000-0000833C0000}"/>
    <cellStyle name="40% - Accent2 3 2 2 6" xfId="9691" xr:uid="{00000000-0005-0000-0000-0000843C0000}"/>
    <cellStyle name="40% - Accent2 3 2 2 6 2" xfId="32676" xr:uid="{00000000-0005-0000-0000-0000853C0000}"/>
    <cellStyle name="40% - Accent2 3 2 2 6 2 2" xfId="1551" xr:uid="{00000000-0005-0000-0000-0000863C0000}"/>
    <cellStyle name="40% - Accent2 3 2 2 6 3" xfId="756" xr:uid="{00000000-0005-0000-0000-0000873C0000}"/>
    <cellStyle name="40% - Accent2 3 2 2 7" xfId="1382" xr:uid="{00000000-0005-0000-0000-0000883C0000}"/>
    <cellStyle name="40% - Accent2 3 2 2 7 2" xfId="576" xr:uid="{00000000-0005-0000-0000-0000893C0000}"/>
    <cellStyle name="40% - Accent2 3 2 2 8" xfId="3302" xr:uid="{00000000-0005-0000-0000-00008A3C0000}"/>
    <cellStyle name="40% - Accent2 3 2 3" xfId="12286" xr:uid="{00000000-0005-0000-0000-00008B3C0000}"/>
    <cellStyle name="40% - Accent2 3 2 3 2" xfId="12926" xr:uid="{00000000-0005-0000-0000-00008C3C0000}"/>
    <cellStyle name="40% - Accent2 3 2 3 2 2" xfId="12565" xr:uid="{00000000-0005-0000-0000-00008D3C0000}"/>
    <cellStyle name="40% - Accent2 3 2 3 2 2 2" xfId="12567" xr:uid="{00000000-0005-0000-0000-00008E3C0000}"/>
    <cellStyle name="40% - Accent2 3 2 3 2 2 2 2" xfId="243" xr:uid="{00000000-0005-0000-0000-00008F3C0000}"/>
    <cellStyle name="40% - Accent2 3 2 3 2 2 2 2 2" xfId="13965" xr:uid="{00000000-0005-0000-0000-0000903C0000}"/>
    <cellStyle name="40% - Accent2 3 2 3 2 2 2 2 2 2" xfId="12736" xr:uid="{00000000-0005-0000-0000-0000913C0000}"/>
    <cellStyle name="40% - Accent2 3 2 3 2 2 2 2 3" xfId="13268" xr:uid="{00000000-0005-0000-0000-0000923C0000}"/>
    <cellStyle name="40% - Accent2 3 2 3 2 2 2 3" xfId="257" xr:uid="{00000000-0005-0000-0000-0000933C0000}"/>
    <cellStyle name="40% - Accent2 3 2 3 2 2 2 3 2" xfId="21402" xr:uid="{00000000-0005-0000-0000-0000943C0000}"/>
    <cellStyle name="40% - Accent2 3 2 3 2 2 2 4" xfId="17529" xr:uid="{00000000-0005-0000-0000-0000953C0000}"/>
    <cellStyle name="40% - Accent2 3 2 3 2 2 3" xfId="28970" xr:uid="{00000000-0005-0000-0000-0000963C0000}"/>
    <cellStyle name="40% - Accent2 3 2 3 2 2 3 2" xfId="14919" xr:uid="{00000000-0005-0000-0000-0000973C0000}"/>
    <cellStyle name="40% - Accent2 3 2 3 2 2 3 2 2" xfId="17705" xr:uid="{00000000-0005-0000-0000-0000983C0000}"/>
    <cellStyle name="40% - Accent2 3 2 3 2 2 3 3" xfId="19540" xr:uid="{00000000-0005-0000-0000-0000993C0000}"/>
    <cellStyle name="40% - Accent2 3 2 3 2 2 4" xfId="22143" xr:uid="{00000000-0005-0000-0000-00009A3C0000}"/>
    <cellStyle name="40% - Accent2 3 2 3 2 2 4 2" xfId="22921" xr:uid="{00000000-0005-0000-0000-00009B3C0000}"/>
    <cellStyle name="40% - Accent2 3 2 3 2 2 5" xfId="13133" xr:uid="{00000000-0005-0000-0000-00009C3C0000}"/>
    <cellStyle name="40% - Accent2 3 2 3 2 3" xfId="12905" xr:uid="{00000000-0005-0000-0000-00009D3C0000}"/>
    <cellStyle name="40% - Accent2 3 2 3 2 3 2" xfId="13135" xr:uid="{00000000-0005-0000-0000-00009E3C0000}"/>
    <cellStyle name="40% - Accent2 3 2 3 2 3 2 2" xfId="14926" xr:uid="{00000000-0005-0000-0000-00009F3C0000}"/>
    <cellStyle name="40% - Accent2 3 2 3 2 3 2 2 2" xfId="33613" xr:uid="{00000000-0005-0000-0000-0000A03C0000}"/>
    <cellStyle name="40% - Accent2 3 2 3 2 3 2 3" xfId="17532" xr:uid="{00000000-0005-0000-0000-0000A13C0000}"/>
    <cellStyle name="40% - Accent2 3 2 3 2 3 3" xfId="28983" xr:uid="{00000000-0005-0000-0000-0000A23C0000}"/>
    <cellStyle name="40% - Accent2 3 2 3 2 3 3 2" xfId="24378" xr:uid="{00000000-0005-0000-0000-0000A33C0000}"/>
    <cellStyle name="40% - Accent2 3 2 3 2 3 4" xfId="33084" xr:uid="{00000000-0005-0000-0000-0000A43C0000}"/>
    <cellStyle name="40% - Accent2 3 2 3 2 4" xfId="13139" xr:uid="{00000000-0005-0000-0000-0000A53C0000}"/>
    <cellStyle name="40% - Accent2 3 2 3 2 4 2" xfId="13144" xr:uid="{00000000-0005-0000-0000-0000A63C0000}"/>
    <cellStyle name="40% - Accent2 3 2 3 2 4 2 2" xfId="17533" xr:uid="{00000000-0005-0000-0000-0000A73C0000}"/>
    <cellStyle name="40% - Accent2 3 2 3 2 4 3" xfId="21170" xr:uid="{00000000-0005-0000-0000-0000A83C0000}"/>
    <cellStyle name="40% - Accent2 3 2 3 2 5" xfId="13061" xr:uid="{00000000-0005-0000-0000-0000A93C0000}"/>
    <cellStyle name="40% - Accent2 3 2 3 2 5 2" xfId="12494" xr:uid="{00000000-0005-0000-0000-0000AA3C0000}"/>
    <cellStyle name="40% - Accent2 3 2 3 2 6" xfId="13070" xr:uid="{00000000-0005-0000-0000-0000AB3C0000}"/>
    <cellStyle name="40% - Accent2 3 2 3 3" xfId="13098" xr:uid="{00000000-0005-0000-0000-0000AC3C0000}"/>
    <cellStyle name="40% - Accent2 3 2 3 3 2" xfId="3514" xr:uid="{00000000-0005-0000-0000-0000AD3C0000}"/>
    <cellStyle name="40% - Accent2 3 2 3 3 2 2" xfId="13153" xr:uid="{00000000-0005-0000-0000-0000AE3C0000}"/>
    <cellStyle name="40% - Accent2 3 2 3 3 2 2 2" xfId="14941" xr:uid="{00000000-0005-0000-0000-0000AF3C0000}"/>
    <cellStyle name="40% - Accent2 3 2 3 3 2 2 2 2" xfId="17534" xr:uid="{00000000-0005-0000-0000-0000B03C0000}"/>
    <cellStyle name="40% - Accent2 3 2 3 3 2 2 3" xfId="31453" xr:uid="{00000000-0005-0000-0000-0000B13C0000}"/>
    <cellStyle name="40% - Accent2 3 2 3 3 2 3" xfId="13156" xr:uid="{00000000-0005-0000-0000-0000B23C0000}"/>
    <cellStyle name="40% - Accent2 3 2 3 3 2 3 2" xfId="28353" xr:uid="{00000000-0005-0000-0000-0000B33C0000}"/>
    <cellStyle name="40% - Accent2 3 2 3 3 2 4" xfId="13157" xr:uid="{00000000-0005-0000-0000-0000B43C0000}"/>
    <cellStyle name="40% - Accent2 3 2 3 3 3" xfId="13178" xr:uid="{00000000-0005-0000-0000-0000B53C0000}"/>
    <cellStyle name="40% - Accent2 3 2 3 3 3 2" xfId="5338" xr:uid="{00000000-0005-0000-0000-0000B63C0000}"/>
    <cellStyle name="40% - Accent2 3 2 3 3 3 2 2" xfId="2206" xr:uid="{00000000-0005-0000-0000-0000B73C0000}"/>
    <cellStyle name="40% - Accent2 3 2 3 3 3 3" xfId="9495" xr:uid="{00000000-0005-0000-0000-0000B83C0000}"/>
    <cellStyle name="40% - Accent2 3 2 3 3 4" xfId="25767" xr:uid="{00000000-0005-0000-0000-0000B93C0000}"/>
    <cellStyle name="40% - Accent2 3 2 3 3 4 2" xfId="8939" xr:uid="{00000000-0005-0000-0000-0000BA3C0000}"/>
    <cellStyle name="40% - Accent2 3 2 3 3 5" xfId="25770" xr:uid="{00000000-0005-0000-0000-0000BB3C0000}"/>
    <cellStyle name="40% - Accent2 3 2 3 4" xfId="13883" xr:uid="{00000000-0005-0000-0000-0000BC3C0000}"/>
    <cellStyle name="40% - Accent2 3 2 3 4 2" xfId="13296" xr:uid="{00000000-0005-0000-0000-0000BD3C0000}"/>
    <cellStyle name="40% - Accent2 3 2 3 4 2 2" xfId="13304" xr:uid="{00000000-0005-0000-0000-0000BE3C0000}"/>
    <cellStyle name="40% - Accent2 3 2 3 4 2 2 2" xfId="7644" xr:uid="{00000000-0005-0000-0000-0000BF3C0000}"/>
    <cellStyle name="40% - Accent2 3 2 3 4 2 3" xfId="13162" xr:uid="{00000000-0005-0000-0000-0000C03C0000}"/>
    <cellStyle name="40% - Accent2 3 2 3 4 3" xfId="13331" xr:uid="{00000000-0005-0000-0000-0000C13C0000}"/>
    <cellStyle name="40% - Accent2 3 2 3 4 3 2" xfId="13338" xr:uid="{00000000-0005-0000-0000-0000C23C0000}"/>
    <cellStyle name="40% - Accent2 3 2 3 4 4" xfId="25773" xr:uid="{00000000-0005-0000-0000-0000C33C0000}"/>
    <cellStyle name="40% - Accent2 3 2 3 5" xfId="13891" xr:uid="{00000000-0005-0000-0000-0000C43C0000}"/>
    <cellStyle name="40% - Accent2 3 2 3 5 2" xfId="13163" xr:uid="{00000000-0005-0000-0000-0000C53C0000}"/>
    <cellStyle name="40% - Accent2 3 2 3 5 2 2" xfId="13166" xr:uid="{00000000-0005-0000-0000-0000C63C0000}"/>
    <cellStyle name="40% - Accent2 3 2 3 5 3" xfId="13168" xr:uid="{00000000-0005-0000-0000-0000C73C0000}"/>
    <cellStyle name="40% - Accent2 3 2 3 6" xfId="13173" xr:uid="{00000000-0005-0000-0000-0000C83C0000}"/>
    <cellStyle name="40% - Accent2 3 2 3 6 2" xfId="13174" xr:uid="{00000000-0005-0000-0000-0000C93C0000}"/>
    <cellStyle name="40% - Accent2 3 2 3 7" xfId="1264" xr:uid="{00000000-0005-0000-0000-0000CA3C0000}"/>
    <cellStyle name="40% - Accent2 3 2 4" xfId="12290" xr:uid="{00000000-0005-0000-0000-0000CB3C0000}"/>
    <cellStyle name="40% - Accent2 3 2 4 2" xfId="13426" xr:uid="{00000000-0005-0000-0000-0000CC3C0000}"/>
    <cellStyle name="40% - Accent2 3 2 4 2 2" xfId="13429" xr:uid="{00000000-0005-0000-0000-0000CD3C0000}"/>
    <cellStyle name="40% - Accent2 3 2 4 2 2 2" xfId="13433" xr:uid="{00000000-0005-0000-0000-0000CE3C0000}"/>
    <cellStyle name="40% - Accent2 3 2 4 2 2 2 2" xfId="14972" xr:uid="{00000000-0005-0000-0000-0000CF3C0000}"/>
    <cellStyle name="40% - Accent2 3 2 4 2 2 2 2 2" xfId="16940" xr:uid="{00000000-0005-0000-0000-0000D03C0000}"/>
    <cellStyle name="40% - Accent2 3 2 4 2 2 2 3" xfId="16945" xr:uid="{00000000-0005-0000-0000-0000D13C0000}"/>
    <cellStyle name="40% - Accent2 3 2 4 2 2 3" xfId="6258" xr:uid="{00000000-0005-0000-0000-0000D23C0000}"/>
    <cellStyle name="40% - Accent2 3 2 4 2 2 3 2" xfId="16971" xr:uid="{00000000-0005-0000-0000-0000D33C0000}"/>
    <cellStyle name="40% - Accent2 3 2 4 2 2 4" xfId="8377" xr:uid="{00000000-0005-0000-0000-0000D43C0000}"/>
    <cellStyle name="40% - Accent2 3 2 4 2 3" xfId="13192" xr:uid="{00000000-0005-0000-0000-0000D53C0000}"/>
    <cellStyle name="40% - Accent2 3 2 4 2 3 2" xfId="13586" xr:uid="{00000000-0005-0000-0000-0000D63C0000}"/>
    <cellStyle name="40% - Accent2 3 2 4 2 3 2 2" xfId="17002" xr:uid="{00000000-0005-0000-0000-0000D73C0000}"/>
    <cellStyle name="40% - Accent2 3 2 4 2 3 3" xfId="6862" xr:uid="{00000000-0005-0000-0000-0000D83C0000}"/>
    <cellStyle name="40% - Accent2 3 2 4 2 4" xfId="16885" xr:uid="{00000000-0005-0000-0000-0000D93C0000}"/>
    <cellStyle name="40% - Accent2 3 2 4 2 4 2" xfId="13196" xr:uid="{00000000-0005-0000-0000-0000DA3C0000}"/>
    <cellStyle name="40% - Accent2 3 2 4 2 5" xfId="1149" xr:uid="{00000000-0005-0000-0000-0000DB3C0000}"/>
    <cellStyle name="40% - Accent2 3 2 4 3" xfId="13318" xr:uid="{00000000-0005-0000-0000-0000DC3C0000}"/>
    <cellStyle name="40% - Accent2 3 2 4 3 2" xfId="13678" xr:uid="{00000000-0005-0000-0000-0000DD3C0000}"/>
    <cellStyle name="40% - Accent2 3 2 4 3 2 2" xfId="13683" xr:uid="{00000000-0005-0000-0000-0000DE3C0000}"/>
    <cellStyle name="40% - Accent2 3 2 4 3 2 2 2" xfId="17042" xr:uid="{00000000-0005-0000-0000-0000DF3C0000}"/>
    <cellStyle name="40% - Accent2 3 2 4 3 2 3" xfId="9140" xr:uid="{00000000-0005-0000-0000-0000E03C0000}"/>
    <cellStyle name="40% - Accent2 3 2 4 3 3" xfId="13199" xr:uid="{00000000-0005-0000-0000-0000E13C0000}"/>
    <cellStyle name="40% - Accent2 3 2 4 3 3 2" xfId="24747" xr:uid="{00000000-0005-0000-0000-0000E23C0000}"/>
    <cellStyle name="40% - Accent2 3 2 4 3 4" xfId="25782" xr:uid="{00000000-0005-0000-0000-0000E33C0000}"/>
    <cellStyle name="40% - Accent2 3 2 4 4" xfId="13321" xr:uid="{00000000-0005-0000-0000-0000E43C0000}"/>
    <cellStyle name="40% - Accent2 3 2 4 4 2" xfId="13779" xr:uid="{00000000-0005-0000-0000-0000E53C0000}"/>
    <cellStyle name="40% - Accent2 3 2 4 4 2 2" xfId="24800" xr:uid="{00000000-0005-0000-0000-0000E63C0000}"/>
    <cellStyle name="40% - Accent2 3 2 4 4 3" xfId="13203" xr:uid="{00000000-0005-0000-0000-0000E73C0000}"/>
    <cellStyle name="40% - Accent2 3 2 4 5" xfId="13206" xr:uid="{00000000-0005-0000-0000-0000E83C0000}"/>
    <cellStyle name="40% - Accent2 3 2 4 5 2" xfId="8434" xr:uid="{00000000-0005-0000-0000-0000E93C0000}"/>
    <cellStyle name="40% - Accent2 3 2 4 6" xfId="13208" xr:uid="{00000000-0005-0000-0000-0000EA3C0000}"/>
    <cellStyle name="40% - Accent2 3 2 5" xfId="13823" xr:uid="{00000000-0005-0000-0000-0000EB3C0000}"/>
    <cellStyle name="40% - Accent2 3 2 5 2" xfId="13826" xr:uid="{00000000-0005-0000-0000-0000EC3C0000}"/>
    <cellStyle name="40% - Accent2 3 2 5 2 2" xfId="13230" xr:uid="{00000000-0005-0000-0000-0000ED3C0000}"/>
    <cellStyle name="40% - Accent2 3 2 5 2 2 2" xfId="13829" xr:uid="{00000000-0005-0000-0000-0000EE3C0000}"/>
    <cellStyle name="40% - Accent2 3 2 5 2 2 2 2" xfId="17106" xr:uid="{00000000-0005-0000-0000-0000EF3C0000}"/>
    <cellStyle name="40% - Accent2 3 2 5 2 2 3" xfId="10493" xr:uid="{00000000-0005-0000-0000-0000F03C0000}"/>
    <cellStyle name="40% - Accent2 3 2 5 2 3" xfId="13240" xr:uid="{00000000-0005-0000-0000-0000F13C0000}"/>
    <cellStyle name="40% - Accent2 3 2 5 2 3 2" xfId="13247" xr:uid="{00000000-0005-0000-0000-0000F23C0000}"/>
    <cellStyle name="40% - Accent2 3 2 5 2 4" xfId="13251" xr:uid="{00000000-0005-0000-0000-0000F33C0000}"/>
    <cellStyle name="40% - Accent2 3 2 5 3" xfId="13325" xr:uid="{00000000-0005-0000-0000-0000F43C0000}"/>
    <cellStyle name="40% - Accent2 3 2 5 3 2" xfId="13255" xr:uid="{00000000-0005-0000-0000-0000F53C0000}"/>
    <cellStyle name="40% - Accent2 3 2 5 3 2 2" xfId="12194" xr:uid="{00000000-0005-0000-0000-0000F63C0000}"/>
    <cellStyle name="40% - Accent2 3 2 5 3 3" xfId="13261" xr:uid="{00000000-0005-0000-0000-0000F73C0000}"/>
    <cellStyle name="40% - Accent2 3 2 5 4" xfId="13966" xr:uid="{00000000-0005-0000-0000-0000F83C0000}"/>
    <cellStyle name="40% - Accent2 3 2 5 4 2" xfId="13970" xr:uid="{00000000-0005-0000-0000-0000F93C0000}"/>
    <cellStyle name="40% - Accent2 3 2 5 5" xfId="13264" xr:uid="{00000000-0005-0000-0000-0000FA3C0000}"/>
    <cellStyle name="40% - Accent2 3 2 6" xfId="14019" xr:uid="{00000000-0005-0000-0000-0000FB3C0000}"/>
    <cellStyle name="40% - Accent2 3 2 6 2" xfId="14436" xr:uid="{00000000-0005-0000-0000-0000FC3C0000}"/>
    <cellStyle name="40% - Accent2 3 2 6 2 2" xfId="13278" xr:uid="{00000000-0005-0000-0000-0000FD3C0000}"/>
    <cellStyle name="40% - Accent2 3 2 6 2 2 2" xfId="14046" xr:uid="{00000000-0005-0000-0000-0000FE3C0000}"/>
    <cellStyle name="40% - Accent2 3 2 6 2 3" xfId="8575" xr:uid="{00000000-0005-0000-0000-0000FF3C0000}"/>
    <cellStyle name="40% - Accent2 3 2 6 3" xfId="14087" xr:uid="{00000000-0005-0000-0000-0000003D0000}"/>
    <cellStyle name="40% - Accent2 3 2 6 3 2" xfId="14089" xr:uid="{00000000-0005-0000-0000-0000013D0000}"/>
    <cellStyle name="40% - Accent2 3 2 6 4" xfId="14120" xr:uid="{00000000-0005-0000-0000-0000023D0000}"/>
    <cellStyle name="40% - Accent2 3 2 7" xfId="17804" xr:uid="{00000000-0005-0000-0000-0000033D0000}"/>
    <cellStyle name="40% - Accent2 3 2 7 2" xfId="14167" xr:uid="{00000000-0005-0000-0000-0000043D0000}"/>
    <cellStyle name="40% - Accent2 3 2 7 2 2" xfId="14171" xr:uid="{00000000-0005-0000-0000-0000053D0000}"/>
    <cellStyle name="40% - Accent2 3 2 7 3" xfId="14184" xr:uid="{00000000-0005-0000-0000-0000063D0000}"/>
    <cellStyle name="40% - Accent2 3 2 8" xfId="24013" xr:uid="{00000000-0005-0000-0000-0000073D0000}"/>
    <cellStyle name="40% - Accent2 3 2 8 2" xfId="13286" xr:uid="{00000000-0005-0000-0000-0000083D0000}"/>
    <cellStyle name="40% - Accent2 3 2 9" xfId="28666" xr:uid="{00000000-0005-0000-0000-0000093D0000}"/>
    <cellStyle name="40% - Accent2 3 3" xfId="7060" xr:uid="{00000000-0005-0000-0000-00000A3D0000}"/>
    <cellStyle name="40% - Accent2 3 3 2" xfId="17536" xr:uid="{00000000-0005-0000-0000-00000B3D0000}"/>
    <cellStyle name="40% - Accent2 3 3 2 2" xfId="3247" xr:uid="{00000000-0005-0000-0000-00000C3D0000}"/>
    <cellStyle name="40% - Accent2 3 3 2 2 2" xfId="17537" xr:uid="{00000000-0005-0000-0000-00000D3D0000}"/>
    <cellStyle name="40% - Accent2 3 3 2 2 2 2" xfId="178" xr:uid="{00000000-0005-0000-0000-00000E3D0000}"/>
    <cellStyle name="40% - Accent2 3 3 2 2 2 2 2" xfId="17301" xr:uid="{00000000-0005-0000-0000-00000F3D0000}"/>
    <cellStyle name="40% - Accent2 3 3 2 2 2 2 2 2" xfId="23371" xr:uid="{00000000-0005-0000-0000-0000103D0000}"/>
    <cellStyle name="40% - Accent2 3 3 2 2 2 2 2 2 2" xfId="6579" xr:uid="{00000000-0005-0000-0000-0000113D0000}"/>
    <cellStyle name="40% - Accent2 3 3 2 2 2 2 2 3" xfId="17540" xr:uid="{00000000-0005-0000-0000-0000123D0000}"/>
    <cellStyle name="40% - Accent2 3 3 2 2 2 2 3" xfId="17544" xr:uid="{00000000-0005-0000-0000-0000133D0000}"/>
    <cellStyle name="40% - Accent2 3 3 2 2 2 2 3 2" xfId="17545" xr:uid="{00000000-0005-0000-0000-0000143D0000}"/>
    <cellStyle name="40% - Accent2 3 3 2 2 2 2 4" xfId="13342" xr:uid="{00000000-0005-0000-0000-0000153D0000}"/>
    <cellStyle name="40% - Accent2 3 3 2 2 2 3" xfId="1573" xr:uid="{00000000-0005-0000-0000-0000163D0000}"/>
    <cellStyle name="40% - Accent2 3 3 2 2 2 3 2" xfId="17556" xr:uid="{00000000-0005-0000-0000-0000173D0000}"/>
    <cellStyle name="40% - Accent2 3 3 2 2 2 3 2 2" xfId="17557" xr:uid="{00000000-0005-0000-0000-0000183D0000}"/>
    <cellStyle name="40% - Accent2 3 3 2 2 2 3 3" xfId="17561" xr:uid="{00000000-0005-0000-0000-0000193D0000}"/>
    <cellStyle name="40% - Accent2 3 3 2 2 2 4" xfId="17564" xr:uid="{00000000-0005-0000-0000-00001A3D0000}"/>
    <cellStyle name="40% - Accent2 3 3 2 2 2 4 2" xfId="17569" xr:uid="{00000000-0005-0000-0000-00001B3D0000}"/>
    <cellStyle name="40% - Accent2 3 3 2 2 2 5" xfId="17577" xr:uid="{00000000-0005-0000-0000-00001C3D0000}"/>
    <cellStyle name="40% - Accent2 3 3 2 2 3" xfId="17580" xr:uid="{00000000-0005-0000-0000-00001D3D0000}"/>
    <cellStyle name="40% - Accent2 3 3 2 2 3 2" xfId="1788" xr:uid="{00000000-0005-0000-0000-00001E3D0000}"/>
    <cellStyle name="40% - Accent2 3 3 2 2 3 2 2" xfId="17581" xr:uid="{00000000-0005-0000-0000-00001F3D0000}"/>
    <cellStyle name="40% - Accent2 3 3 2 2 3 2 2 2" xfId="30421" xr:uid="{00000000-0005-0000-0000-0000203D0000}"/>
    <cellStyle name="40% - Accent2 3 3 2 2 3 2 3" xfId="18495" xr:uid="{00000000-0005-0000-0000-0000213D0000}"/>
    <cellStyle name="40% - Accent2 3 3 2 2 3 3" xfId="27036" xr:uid="{00000000-0005-0000-0000-0000223D0000}"/>
    <cellStyle name="40% - Accent2 3 3 2 2 3 3 2" xfId="6388" xr:uid="{00000000-0005-0000-0000-0000233D0000}"/>
    <cellStyle name="40% - Accent2 3 3 2 2 3 4" xfId="27040" xr:uid="{00000000-0005-0000-0000-0000243D0000}"/>
    <cellStyle name="40% - Accent2 3 3 2 2 4" xfId="17587" xr:uid="{00000000-0005-0000-0000-0000253D0000}"/>
    <cellStyle name="40% - Accent2 3 3 2 2 4 2" xfId="17592" xr:uid="{00000000-0005-0000-0000-0000263D0000}"/>
    <cellStyle name="40% - Accent2 3 3 2 2 4 2 2" xfId="17593" xr:uid="{00000000-0005-0000-0000-0000273D0000}"/>
    <cellStyle name="40% - Accent2 3 3 2 2 4 3" xfId="17595" xr:uid="{00000000-0005-0000-0000-0000283D0000}"/>
    <cellStyle name="40% - Accent2 3 3 2 2 5" xfId="17596" xr:uid="{00000000-0005-0000-0000-0000293D0000}"/>
    <cellStyle name="40% - Accent2 3 3 2 2 5 2" xfId="17597" xr:uid="{00000000-0005-0000-0000-00002A3D0000}"/>
    <cellStyle name="40% - Accent2 3 3 2 2 6" xfId="17598" xr:uid="{00000000-0005-0000-0000-00002B3D0000}"/>
    <cellStyle name="40% - Accent2 3 3 2 3" xfId="17600" xr:uid="{00000000-0005-0000-0000-00002C3D0000}"/>
    <cellStyle name="40% - Accent2 3 3 2 3 2" xfId="17601" xr:uid="{00000000-0005-0000-0000-00002D3D0000}"/>
    <cellStyle name="40% - Accent2 3 3 2 3 2 2" xfId="189" xr:uid="{00000000-0005-0000-0000-00002E3D0000}"/>
    <cellStyle name="40% - Accent2 3 3 2 3 2 2 2" xfId="17602" xr:uid="{00000000-0005-0000-0000-00002F3D0000}"/>
    <cellStyle name="40% - Accent2 3 3 2 3 2 2 2 2" xfId="33548" xr:uid="{00000000-0005-0000-0000-0000303D0000}"/>
    <cellStyle name="40% - Accent2 3 3 2 3 2 2 3" xfId="17606" xr:uid="{00000000-0005-0000-0000-0000313D0000}"/>
    <cellStyle name="40% - Accent2 3 3 2 3 2 3" xfId="17607" xr:uid="{00000000-0005-0000-0000-0000323D0000}"/>
    <cellStyle name="40% - Accent2 3 3 2 3 2 3 2" xfId="17608" xr:uid="{00000000-0005-0000-0000-0000333D0000}"/>
    <cellStyle name="40% - Accent2 3 3 2 3 2 4" xfId="33884" xr:uid="{00000000-0005-0000-0000-0000343D0000}"/>
    <cellStyle name="40% - Accent2 3 3 2 3 3" xfId="688" xr:uid="{00000000-0005-0000-0000-0000353D0000}"/>
    <cellStyle name="40% - Accent2 3 3 2 3 3 2" xfId="17609" xr:uid="{00000000-0005-0000-0000-0000363D0000}"/>
    <cellStyle name="40% - Accent2 3 3 2 3 3 2 2" xfId="13990" xr:uid="{00000000-0005-0000-0000-0000373D0000}"/>
    <cellStyle name="40% - Accent2 3 3 2 3 3 3" xfId="17610" xr:uid="{00000000-0005-0000-0000-0000383D0000}"/>
    <cellStyle name="40% - Accent2 3 3 2 3 4" xfId="17613" xr:uid="{00000000-0005-0000-0000-0000393D0000}"/>
    <cellStyle name="40% - Accent2 3 3 2 3 4 2" xfId="17616" xr:uid="{00000000-0005-0000-0000-00003A3D0000}"/>
    <cellStyle name="40% - Accent2 3 3 2 3 5" xfId="25838" xr:uid="{00000000-0005-0000-0000-00003B3D0000}"/>
    <cellStyle name="40% - Accent2 3 3 2 4" xfId="17617" xr:uid="{00000000-0005-0000-0000-00003C3D0000}"/>
    <cellStyle name="40% - Accent2 3 3 2 4 2" xfId="629" xr:uid="{00000000-0005-0000-0000-00003D3D0000}"/>
    <cellStyle name="40% - Accent2 3 3 2 4 2 2" xfId="17619" xr:uid="{00000000-0005-0000-0000-00003E3D0000}"/>
    <cellStyle name="40% - Accent2 3 3 2 4 2 2 2" xfId="13326" xr:uid="{00000000-0005-0000-0000-00003F3D0000}"/>
    <cellStyle name="40% - Accent2 3 3 2 4 2 3" xfId="17620" xr:uid="{00000000-0005-0000-0000-0000403D0000}"/>
    <cellStyle name="40% - Accent2 3 3 2 4 3" xfId="442" xr:uid="{00000000-0005-0000-0000-0000413D0000}"/>
    <cellStyle name="40% - Accent2 3 3 2 4 3 2" xfId="17621" xr:uid="{00000000-0005-0000-0000-0000423D0000}"/>
    <cellStyle name="40% - Accent2 3 3 2 4 4" xfId="25842" xr:uid="{00000000-0005-0000-0000-0000433D0000}"/>
    <cellStyle name="40% - Accent2 3 3 2 5" xfId="17622" xr:uid="{00000000-0005-0000-0000-0000443D0000}"/>
    <cellStyle name="40% - Accent2 3 3 2 5 2" xfId="605" xr:uid="{00000000-0005-0000-0000-0000453D0000}"/>
    <cellStyle name="40% - Accent2 3 3 2 5 2 2" xfId="30444" xr:uid="{00000000-0005-0000-0000-0000463D0000}"/>
    <cellStyle name="40% - Accent2 3 3 2 5 3" xfId="30448" xr:uid="{00000000-0005-0000-0000-0000473D0000}"/>
    <cellStyle name="40% - Accent2 3 3 2 6" xfId="1425" xr:uid="{00000000-0005-0000-0000-0000483D0000}"/>
    <cellStyle name="40% - Accent2 3 3 2 6 2" xfId="2561" xr:uid="{00000000-0005-0000-0000-0000493D0000}"/>
    <cellStyle name="40% - Accent2 3 3 2 7" xfId="2581" xr:uid="{00000000-0005-0000-0000-00004A3D0000}"/>
    <cellStyle name="40% - Accent2 3 3 3" xfId="17624" xr:uid="{00000000-0005-0000-0000-00004B3D0000}"/>
    <cellStyle name="40% - Accent2 3 3 3 2" xfId="13159" xr:uid="{00000000-0005-0000-0000-00004C3D0000}"/>
    <cellStyle name="40% - Accent2 3 3 3 2 2" xfId="9007" xr:uid="{00000000-0005-0000-0000-00004D3D0000}"/>
    <cellStyle name="40% - Accent2 3 3 3 2 2 2" xfId="15172" xr:uid="{00000000-0005-0000-0000-00004E3D0000}"/>
    <cellStyle name="40% - Accent2 3 3 3 2 2 2 2" xfId="15000" xr:uid="{00000000-0005-0000-0000-00004F3D0000}"/>
    <cellStyle name="40% - Accent2 3 3 3 2 2 2 2 2" xfId="28153" xr:uid="{00000000-0005-0000-0000-0000503D0000}"/>
    <cellStyle name="40% - Accent2 3 3 3 2 2 2 3" xfId="17626" xr:uid="{00000000-0005-0000-0000-0000513D0000}"/>
    <cellStyle name="40% - Accent2 3 3 3 2 2 3" xfId="17628" xr:uid="{00000000-0005-0000-0000-0000523D0000}"/>
    <cellStyle name="40% - Accent2 3 3 3 2 2 3 2" xfId="17630" xr:uid="{00000000-0005-0000-0000-0000533D0000}"/>
    <cellStyle name="40% - Accent2 3 3 3 2 2 4" xfId="17631" xr:uid="{00000000-0005-0000-0000-0000543D0000}"/>
    <cellStyle name="40% - Accent2 3 3 3 2 3" xfId="9974" xr:uid="{00000000-0005-0000-0000-0000553D0000}"/>
    <cellStyle name="40% - Accent2 3 3 3 2 3 2" xfId="12294" xr:uid="{00000000-0005-0000-0000-0000563D0000}"/>
    <cellStyle name="40% - Accent2 3 3 3 2 3 2 2" xfId="17637" xr:uid="{00000000-0005-0000-0000-0000573D0000}"/>
    <cellStyle name="40% - Accent2 3 3 3 2 3 3" xfId="12336" xr:uid="{00000000-0005-0000-0000-0000583D0000}"/>
    <cellStyle name="40% - Accent2 3 3 3 2 4" xfId="17638" xr:uid="{00000000-0005-0000-0000-0000593D0000}"/>
    <cellStyle name="40% - Accent2 3 3 3 2 4 2" xfId="12415" xr:uid="{00000000-0005-0000-0000-00005A3D0000}"/>
    <cellStyle name="40% - Accent2 3 3 3 2 5" xfId="17640" xr:uid="{00000000-0005-0000-0000-00005B3D0000}"/>
    <cellStyle name="40% - Accent2 3 3 3 3" xfId="17642" xr:uid="{00000000-0005-0000-0000-00005C3D0000}"/>
    <cellStyle name="40% - Accent2 3 3 3 3 2" xfId="9979" xr:uid="{00000000-0005-0000-0000-00005D3D0000}"/>
    <cellStyle name="40% - Accent2 3 3 3 3 2 2" xfId="14350" xr:uid="{00000000-0005-0000-0000-00005E3D0000}"/>
    <cellStyle name="40% - Accent2 3 3 3 3 2 2 2" xfId="17644" xr:uid="{00000000-0005-0000-0000-00005F3D0000}"/>
    <cellStyle name="40% - Accent2 3 3 3 3 2 3" xfId="17645" xr:uid="{00000000-0005-0000-0000-0000603D0000}"/>
    <cellStyle name="40% - Accent2 3 3 3 3 3" xfId="17649" xr:uid="{00000000-0005-0000-0000-0000613D0000}"/>
    <cellStyle name="40% - Accent2 3 3 3 3 3 2" xfId="14368" xr:uid="{00000000-0005-0000-0000-0000623D0000}"/>
    <cellStyle name="40% - Accent2 3 3 3 3 4" xfId="25848" xr:uid="{00000000-0005-0000-0000-0000633D0000}"/>
    <cellStyle name="40% - Accent2 3 3 3 4" xfId="17655" xr:uid="{00000000-0005-0000-0000-0000643D0000}"/>
    <cellStyle name="40% - Accent2 3 3 3 4 2" xfId="13328" xr:uid="{00000000-0005-0000-0000-0000653D0000}"/>
    <cellStyle name="40% - Accent2 3 3 3 4 2 2" xfId="17657" xr:uid="{00000000-0005-0000-0000-0000663D0000}"/>
    <cellStyle name="40% - Accent2 3 3 3 4 3" xfId="17660" xr:uid="{00000000-0005-0000-0000-0000673D0000}"/>
    <cellStyle name="40% - Accent2 3 3 3 5" xfId="17663" xr:uid="{00000000-0005-0000-0000-0000683D0000}"/>
    <cellStyle name="40% - Accent2 3 3 3 5 2" xfId="17666" xr:uid="{00000000-0005-0000-0000-0000693D0000}"/>
    <cellStyle name="40% - Accent2 3 3 3 6" xfId="13329" xr:uid="{00000000-0005-0000-0000-00006A3D0000}"/>
    <cellStyle name="40% - Accent2 3 3 4" xfId="17668" xr:uid="{00000000-0005-0000-0000-00006B3D0000}"/>
    <cellStyle name="40% - Accent2 3 3 4 2" xfId="17669" xr:uid="{00000000-0005-0000-0000-00006C3D0000}"/>
    <cellStyle name="40% - Accent2 3 3 4 2 2" xfId="9982" xr:uid="{00000000-0005-0000-0000-00006D3D0000}"/>
    <cellStyle name="40% - Accent2 3 3 4 2 2 2" xfId="17672" xr:uid="{00000000-0005-0000-0000-00006E3D0000}"/>
    <cellStyle name="40% - Accent2 3 3 4 2 2 2 2" xfId="17218" xr:uid="{00000000-0005-0000-0000-00006F3D0000}"/>
    <cellStyle name="40% - Accent2 3 3 4 2 2 3" xfId="17673" xr:uid="{00000000-0005-0000-0000-0000703D0000}"/>
    <cellStyle name="40% - Accent2 3 3 4 2 3" xfId="17675" xr:uid="{00000000-0005-0000-0000-0000713D0000}"/>
    <cellStyle name="40% - Accent2 3 3 4 2 3 2" xfId="7034" xr:uid="{00000000-0005-0000-0000-0000723D0000}"/>
    <cellStyle name="40% - Accent2 3 3 4 2 4" xfId="13353" xr:uid="{00000000-0005-0000-0000-0000733D0000}"/>
    <cellStyle name="40% - Accent2 3 3 4 3" xfId="17678" xr:uid="{00000000-0005-0000-0000-0000743D0000}"/>
    <cellStyle name="40% - Accent2 3 3 4 3 2" xfId="17680" xr:uid="{00000000-0005-0000-0000-0000753D0000}"/>
    <cellStyle name="40% - Accent2 3 3 4 3 2 2" xfId="22004" xr:uid="{00000000-0005-0000-0000-0000763D0000}"/>
    <cellStyle name="40% - Accent2 3 3 4 3 3" xfId="17682" xr:uid="{00000000-0005-0000-0000-0000773D0000}"/>
    <cellStyle name="40% - Accent2 3 3 4 4" xfId="17684" xr:uid="{00000000-0005-0000-0000-0000783D0000}"/>
    <cellStyle name="40% - Accent2 3 3 4 4 2" xfId="17686" xr:uid="{00000000-0005-0000-0000-0000793D0000}"/>
    <cellStyle name="40% - Accent2 3 3 4 5" xfId="17688" xr:uid="{00000000-0005-0000-0000-00007A3D0000}"/>
    <cellStyle name="40% - Accent2 3 3 5" xfId="8875" xr:uid="{00000000-0005-0000-0000-00007B3D0000}"/>
    <cellStyle name="40% - Accent2 3 3 5 2" xfId="17691" xr:uid="{00000000-0005-0000-0000-00007C3D0000}"/>
    <cellStyle name="40% - Accent2 3 3 5 2 2" xfId="17693" xr:uid="{00000000-0005-0000-0000-00007D3D0000}"/>
    <cellStyle name="40% - Accent2 3 3 5 2 2 2" xfId="17696" xr:uid="{00000000-0005-0000-0000-00007E3D0000}"/>
    <cellStyle name="40% - Accent2 3 3 5 2 3" xfId="17698" xr:uid="{00000000-0005-0000-0000-00007F3D0000}"/>
    <cellStyle name="40% - Accent2 3 3 5 3" xfId="17701" xr:uid="{00000000-0005-0000-0000-0000803D0000}"/>
    <cellStyle name="40% - Accent2 3 3 5 3 2" xfId="17703" xr:uid="{00000000-0005-0000-0000-0000813D0000}"/>
    <cellStyle name="40% - Accent2 3 3 5 4" xfId="17708" xr:uid="{00000000-0005-0000-0000-0000823D0000}"/>
    <cellStyle name="40% - Accent2 3 3 6" xfId="15053" xr:uid="{00000000-0005-0000-0000-0000833D0000}"/>
    <cellStyle name="40% - Accent2 3 3 6 2" xfId="13378" xr:uid="{00000000-0005-0000-0000-0000843D0000}"/>
    <cellStyle name="40% - Accent2 3 3 6 2 2" xfId="17712" xr:uid="{00000000-0005-0000-0000-0000853D0000}"/>
    <cellStyle name="40% - Accent2 3 3 6 3" xfId="17716" xr:uid="{00000000-0005-0000-0000-0000863D0000}"/>
    <cellStyle name="40% - Accent2 3 3 7" xfId="14259" xr:uid="{00000000-0005-0000-0000-0000873D0000}"/>
    <cellStyle name="40% - Accent2 3 3 7 2" xfId="13385" xr:uid="{00000000-0005-0000-0000-0000883D0000}"/>
    <cellStyle name="40% - Accent2 3 3 8" xfId="18189" xr:uid="{00000000-0005-0000-0000-0000893D0000}"/>
    <cellStyle name="40% - Accent2 3 4" xfId="17718" xr:uid="{00000000-0005-0000-0000-00008A3D0000}"/>
    <cellStyle name="40% - Accent2 3 4 2" xfId="17127" xr:uid="{00000000-0005-0000-0000-00008B3D0000}"/>
    <cellStyle name="40% - Accent2 3 4 2 2" xfId="17719" xr:uid="{00000000-0005-0000-0000-00008C3D0000}"/>
    <cellStyle name="40% - Accent2 3 4 2 2 2" xfId="17721" xr:uid="{00000000-0005-0000-0000-00008D3D0000}"/>
    <cellStyle name="40% - Accent2 3 4 2 2 2 2" xfId="13035" xr:uid="{00000000-0005-0000-0000-00008E3D0000}"/>
    <cellStyle name="40% - Accent2 3 4 2 2 2 2 2" xfId="16820" xr:uid="{00000000-0005-0000-0000-00008F3D0000}"/>
    <cellStyle name="40% - Accent2 3 4 2 2 2 2 2 2" xfId="6230" xr:uid="{00000000-0005-0000-0000-0000903D0000}"/>
    <cellStyle name="40% - Accent2 3 4 2 2 2 2 3" xfId="17722" xr:uid="{00000000-0005-0000-0000-0000913D0000}"/>
    <cellStyle name="40% - Accent2 3 4 2 2 2 3" xfId="16002" xr:uid="{00000000-0005-0000-0000-0000923D0000}"/>
    <cellStyle name="40% - Accent2 3 4 2 2 2 3 2" xfId="27733" xr:uid="{00000000-0005-0000-0000-0000933D0000}"/>
    <cellStyle name="40% - Accent2 3 4 2 2 2 4" xfId="17723" xr:uid="{00000000-0005-0000-0000-0000943D0000}"/>
    <cellStyle name="40% - Accent2 3 4 2 2 3" xfId="17729" xr:uid="{00000000-0005-0000-0000-0000953D0000}"/>
    <cellStyle name="40% - Accent2 3 4 2 2 3 2" xfId="24934" xr:uid="{00000000-0005-0000-0000-0000963D0000}"/>
    <cellStyle name="40% - Accent2 3 4 2 2 3 2 2" xfId="24938" xr:uid="{00000000-0005-0000-0000-0000973D0000}"/>
    <cellStyle name="40% - Accent2 3 4 2 2 3 3" xfId="29070" xr:uid="{00000000-0005-0000-0000-0000983D0000}"/>
    <cellStyle name="40% - Accent2 3 4 2 2 4" xfId="17730" xr:uid="{00000000-0005-0000-0000-0000993D0000}"/>
    <cellStyle name="40% - Accent2 3 4 2 2 4 2" xfId="17731" xr:uid="{00000000-0005-0000-0000-00009A3D0000}"/>
    <cellStyle name="40% - Accent2 3 4 2 2 5" xfId="17732" xr:uid="{00000000-0005-0000-0000-00009B3D0000}"/>
    <cellStyle name="40% - Accent2 3 4 2 3" xfId="17733" xr:uid="{00000000-0005-0000-0000-00009C3D0000}"/>
    <cellStyle name="40% - Accent2 3 4 2 3 2" xfId="17736" xr:uid="{00000000-0005-0000-0000-00009D3D0000}"/>
    <cellStyle name="40% - Accent2 3 4 2 3 2 2" xfId="23230" xr:uid="{00000000-0005-0000-0000-00009E3D0000}"/>
    <cellStyle name="40% - Accent2 3 4 2 3 2 2 2" xfId="6821" xr:uid="{00000000-0005-0000-0000-00009F3D0000}"/>
    <cellStyle name="40% - Accent2 3 4 2 3 2 3" xfId="27700" xr:uid="{00000000-0005-0000-0000-0000A03D0000}"/>
    <cellStyle name="40% - Accent2 3 4 2 3 3" xfId="17738" xr:uid="{00000000-0005-0000-0000-0000A13D0000}"/>
    <cellStyle name="40% - Accent2 3 4 2 3 3 2" xfId="22217" xr:uid="{00000000-0005-0000-0000-0000A23D0000}"/>
    <cellStyle name="40% - Accent2 3 4 2 3 4" xfId="25872" xr:uid="{00000000-0005-0000-0000-0000A33D0000}"/>
    <cellStyle name="40% - Accent2 3 4 2 4" xfId="17740" xr:uid="{00000000-0005-0000-0000-0000A43D0000}"/>
    <cellStyle name="40% - Accent2 3 4 2 4 2" xfId="5163" xr:uid="{00000000-0005-0000-0000-0000A53D0000}"/>
    <cellStyle name="40% - Accent2 3 4 2 4 2 2" xfId="6735" xr:uid="{00000000-0005-0000-0000-0000A63D0000}"/>
    <cellStyle name="40% - Accent2 3 4 2 4 3" xfId="17742" xr:uid="{00000000-0005-0000-0000-0000A73D0000}"/>
    <cellStyle name="40% - Accent2 3 4 2 5" xfId="22226" xr:uid="{00000000-0005-0000-0000-0000A83D0000}"/>
    <cellStyle name="40% - Accent2 3 4 2 5 2" xfId="32402" xr:uid="{00000000-0005-0000-0000-0000A93D0000}"/>
    <cellStyle name="40% - Accent2 3 4 2 6" xfId="22227" xr:uid="{00000000-0005-0000-0000-0000AA3D0000}"/>
    <cellStyle name="40% - Accent2 3 4 3" xfId="17747" xr:uid="{00000000-0005-0000-0000-0000AB3D0000}"/>
    <cellStyle name="40% - Accent2 3 4 3 2" xfId="4450" xr:uid="{00000000-0005-0000-0000-0000AC3D0000}"/>
    <cellStyle name="40% - Accent2 3 4 3 2 2" xfId="5496" xr:uid="{00000000-0005-0000-0000-0000AD3D0000}"/>
    <cellStyle name="40% - Accent2 3 4 3 2 2 2" xfId="16090" xr:uid="{00000000-0005-0000-0000-0000AE3D0000}"/>
    <cellStyle name="40% - Accent2 3 4 3 2 2 2 2" xfId="324" xr:uid="{00000000-0005-0000-0000-0000AF3D0000}"/>
    <cellStyle name="40% - Accent2 3 4 3 2 2 3" xfId="17751" xr:uid="{00000000-0005-0000-0000-0000B03D0000}"/>
    <cellStyle name="40% - Accent2 3 4 3 2 3" xfId="17753" xr:uid="{00000000-0005-0000-0000-0000B13D0000}"/>
    <cellStyle name="40% - Accent2 3 4 3 2 3 2" xfId="12199" xr:uid="{00000000-0005-0000-0000-0000B23D0000}"/>
    <cellStyle name="40% - Accent2 3 4 3 2 4" xfId="17755" xr:uid="{00000000-0005-0000-0000-0000B33D0000}"/>
    <cellStyle name="40% - Accent2 3 4 3 3" xfId="17759" xr:uid="{00000000-0005-0000-0000-0000B43D0000}"/>
    <cellStyle name="40% - Accent2 3 4 3 3 2" xfId="17761" xr:uid="{00000000-0005-0000-0000-0000B53D0000}"/>
    <cellStyle name="40% - Accent2 3 4 3 3 2 2" xfId="15434" xr:uid="{00000000-0005-0000-0000-0000B63D0000}"/>
    <cellStyle name="40% - Accent2 3 4 3 3 3" xfId="17763" xr:uid="{00000000-0005-0000-0000-0000B73D0000}"/>
    <cellStyle name="40% - Accent2 3 4 3 4" xfId="17765" xr:uid="{00000000-0005-0000-0000-0000B83D0000}"/>
    <cellStyle name="40% - Accent2 3 4 3 4 2" xfId="17771" xr:uid="{00000000-0005-0000-0000-0000B93D0000}"/>
    <cellStyle name="40% - Accent2 3 4 3 5" xfId="22237" xr:uid="{00000000-0005-0000-0000-0000BA3D0000}"/>
    <cellStyle name="40% - Accent2 3 4 4" xfId="17773" xr:uid="{00000000-0005-0000-0000-0000BB3D0000}"/>
    <cellStyle name="40% - Accent2 3 4 4 2" xfId="17776" xr:uid="{00000000-0005-0000-0000-0000BC3D0000}"/>
    <cellStyle name="40% - Accent2 3 4 4 2 2" xfId="17779" xr:uid="{00000000-0005-0000-0000-0000BD3D0000}"/>
    <cellStyle name="40% - Accent2 3 4 4 2 2 2" xfId="17781" xr:uid="{00000000-0005-0000-0000-0000BE3D0000}"/>
    <cellStyle name="40% - Accent2 3 4 4 2 3" xfId="17784" xr:uid="{00000000-0005-0000-0000-0000BF3D0000}"/>
    <cellStyle name="40% - Accent2 3 4 4 3" xfId="17786" xr:uid="{00000000-0005-0000-0000-0000C03D0000}"/>
    <cellStyle name="40% - Accent2 3 4 4 3 2" xfId="17789" xr:uid="{00000000-0005-0000-0000-0000C13D0000}"/>
    <cellStyle name="40% - Accent2 3 4 4 4" xfId="11875" xr:uid="{00000000-0005-0000-0000-0000C23D0000}"/>
    <cellStyle name="40% - Accent2 3 4 5" xfId="28937" xr:uid="{00000000-0005-0000-0000-0000C33D0000}"/>
    <cellStyle name="40% - Accent2 3 4 5 2" xfId="17793" xr:uid="{00000000-0005-0000-0000-0000C43D0000}"/>
    <cellStyle name="40% - Accent2 3 4 5 2 2" xfId="17795" xr:uid="{00000000-0005-0000-0000-0000C53D0000}"/>
    <cellStyle name="40% - Accent2 3 4 5 3" xfId="17798" xr:uid="{00000000-0005-0000-0000-0000C63D0000}"/>
    <cellStyle name="40% - Accent2 3 4 6" xfId="15064" xr:uid="{00000000-0005-0000-0000-0000C73D0000}"/>
    <cellStyle name="40% - Accent2 3 4 6 2" xfId="17807" xr:uid="{00000000-0005-0000-0000-0000C83D0000}"/>
    <cellStyle name="40% - Accent2 3 4 7" xfId="13813" xr:uid="{00000000-0005-0000-0000-0000C93D0000}"/>
    <cellStyle name="40% - Accent2 3 5" xfId="17809" xr:uid="{00000000-0005-0000-0000-0000CA3D0000}"/>
    <cellStyle name="40% - Accent2 3 5 2" xfId="32086" xr:uid="{00000000-0005-0000-0000-0000CB3D0000}"/>
    <cellStyle name="40% - Accent2 3 5 2 2" xfId="17810" xr:uid="{00000000-0005-0000-0000-0000CC3D0000}"/>
    <cellStyle name="40% - Accent2 3 5 2 2 2" xfId="17812" xr:uid="{00000000-0005-0000-0000-0000CD3D0000}"/>
    <cellStyle name="40% - Accent2 3 5 2 2 2 2" xfId="1092" xr:uid="{00000000-0005-0000-0000-0000CE3D0000}"/>
    <cellStyle name="40% - Accent2 3 5 2 2 2 2 2" xfId="17814" xr:uid="{00000000-0005-0000-0000-0000CF3D0000}"/>
    <cellStyle name="40% - Accent2 3 5 2 2 2 3" xfId="1106" xr:uid="{00000000-0005-0000-0000-0000D03D0000}"/>
    <cellStyle name="40% - Accent2 3 5 2 2 3" xfId="17818" xr:uid="{00000000-0005-0000-0000-0000D13D0000}"/>
    <cellStyle name="40% - Accent2 3 5 2 2 3 2" xfId="6186" xr:uid="{00000000-0005-0000-0000-0000D23D0000}"/>
    <cellStyle name="40% - Accent2 3 5 2 2 4" xfId="17819" xr:uid="{00000000-0005-0000-0000-0000D33D0000}"/>
    <cellStyle name="40% - Accent2 3 5 2 3" xfId="17820" xr:uid="{00000000-0005-0000-0000-0000D43D0000}"/>
    <cellStyle name="40% - Accent2 3 5 2 3 2" xfId="26952" xr:uid="{00000000-0005-0000-0000-0000D53D0000}"/>
    <cellStyle name="40% - Accent2 3 5 2 3 2 2" xfId="26338" xr:uid="{00000000-0005-0000-0000-0000D63D0000}"/>
    <cellStyle name="40% - Accent2 3 5 2 3 3" xfId="29710" xr:uid="{00000000-0005-0000-0000-0000D73D0000}"/>
    <cellStyle name="40% - Accent2 3 5 2 4" xfId="14952" xr:uid="{00000000-0005-0000-0000-0000D83D0000}"/>
    <cellStyle name="40% - Accent2 3 5 2 4 2" xfId="17823" xr:uid="{00000000-0005-0000-0000-0000D93D0000}"/>
    <cellStyle name="40% - Accent2 3 5 2 5" xfId="22245" xr:uid="{00000000-0005-0000-0000-0000DA3D0000}"/>
    <cellStyle name="40% - Accent2 3 5 3" xfId="17824" xr:uid="{00000000-0005-0000-0000-0000DB3D0000}"/>
    <cellStyle name="40% - Accent2 3 5 3 2" xfId="17830" xr:uid="{00000000-0005-0000-0000-0000DC3D0000}"/>
    <cellStyle name="40% - Accent2 3 5 3 2 2" xfId="17567" xr:uid="{00000000-0005-0000-0000-0000DD3D0000}"/>
    <cellStyle name="40% - Accent2 3 5 3 2 2 2" xfId="17835" xr:uid="{00000000-0005-0000-0000-0000DE3D0000}"/>
    <cellStyle name="40% - Accent2 3 5 3 2 3" xfId="17574" xr:uid="{00000000-0005-0000-0000-0000DF3D0000}"/>
    <cellStyle name="40% - Accent2 3 5 3 3" xfId="17838" xr:uid="{00000000-0005-0000-0000-0000E03D0000}"/>
    <cellStyle name="40% - Accent2 3 5 3 3 2" xfId="17582" xr:uid="{00000000-0005-0000-0000-0000E13D0000}"/>
    <cellStyle name="40% - Accent2 3 5 3 4" xfId="22256" xr:uid="{00000000-0005-0000-0000-0000E23D0000}"/>
    <cellStyle name="40% - Accent2 3 5 4" xfId="17842" xr:uid="{00000000-0005-0000-0000-0000E33D0000}"/>
    <cellStyle name="40% - Accent2 3 5 4 2" xfId="23032" xr:uid="{00000000-0005-0000-0000-0000E43D0000}"/>
    <cellStyle name="40% - Accent2 3 5 4 2 2" xfId="27230" xr:uid="{00000000-0005-0000-0000-0000E53D0000}"/>
    <cellStyle name="40% - Accent2 3 5 4 3" xfId="27255" xr:uid="{00000000-0005-0000-0000-0000E63D0000}"/>
    <cellStyle name="40% - Accent2 3 5 5" xfId="15189" xr:uid="{00000000-0005-0000-0000-0000E73D0000}"/>
    <cellStyle name="40% - Accent2 3 5 5 2" xfId="21490" xr:uid="{00000000-0005-0000-0000-0000E83D0000}"/>
    <cellStyle name="40% - Accent2 3 5 6" xfId="24833" xr:uid="{00000000-0005-0000-0000-0000E93D0000}"/>
    <cellStyle name="40% - Accent2 3 6" xfId="17851" xr:uid="{00000000-0005-0000-0000-0000EA3D0000}"/>
    <cellStyle name="40% - Accent2 3 6 2" xfId="17853" xr:uid="{00000000-0005-0000-0000-0000EB3D0000}"/>
    <cellStyle name="40% - Accent2 3 6 2 2" xfId="17855" xr:uid="{00000000-0005-0000-0000-0000EC3D0000}"/>
    <cellStyle name="40% - Accent2 3 6 2 2 2" xfId="17857" xr:uid="{00000000-0005-0000-0000-0000ED3D0000}"/>
    <cellStyle name="40% - Accent2 3 6 2 2 2 2" xfId="17858" xr:uid="{00000000-0005-0000-0000-0000EE3D0000}"/>
    <cellStyle name="40% - Accent2 3 6 2 2 3" xfId="17859" xr:uid="{00000000-0005-0000-0000-0000EF3D0000}"/>
    <cellStyle name="40% - Accent2 3 6 2 3" xfId="17860" xr:uid="{00000000-0005-0000-0000-0000F03D0000}"/>
    <cellStyle name="40% - Accent2 3 6 2 3 2" xfId="17863" xr:uid="{00000000-0005-0000-0000-0000F13D0000}"/>
    <cellStyle name="40% - Accent2 3 6 2 4" xfId="22260" xr:uid="{00000000-0005-0000-0000-0000F23D0000}"/>
    <cellStyle name="40% - Accent2 3 6 3" xfId="17865" xr:uid="{00000000-0005-0000-0000-0000F33D0000}"/>
    <cellStyle name="40% - Accent2 3 6 3 2" xfId="17867" xr:uid="{00000000-0005-0000-0000-0000F43D0000}"/>
    <cellStyle name="40% - Accent2 3 6 3 2 2" xfId="17635" xr:uid="{00000000-0005-0000-0000-0000F53D0000}"/>
    <cellStyle name="40% - Accent2 3 6 3 3" xfId="17873" xr:uid="{00000000-0005-0000-0000-0000F63D0000}"/>
    <cellStyle name="40% - Accent2 3 6 4" xfId="27297" xr:uid="{00000000-0005-0000-0000-0000F73D0000}"/>
    <cellStyle name="40% - Accent2 3 6 4 2" xfId="27603" xr:uid="{00000000-0005-0000-0000-0000F83D0000}"/>
    <cellStyle name="40% - Accent2 3 6 5" xfId="15080" xr:uid="{00000000-0005-0000-0000-0000F93D0000}"/>
    <cellStyle name="40% - Accent2 3 7" xfId="17882" xr:uid="{00000000-0005-0000-0000-0000FA3D0000}"/>
    <cellStyle name="40% - Accent2 3 7 2" xfId="2043" xr:uid="{00000000-0005-0000-0000-0000FB3D0000}"/>
    <cellStyle name="40% - Accent2 3 7 2 2" xfId="2093" xr:uid="{00000000-0005-0000-0000-0000FC3D0000}"/>
    <cellStyle name="40% - Accent2 3 7 2 2 2" xfId="16296" xr:uid="{00000000-0005-0000-0000-0000FD3D0000}"/>
    <cellStyle name="40% - Accent2 3 7 2 3" xfId="9129" xr:uid="{00000000-0005-0000-0000-0000FE3D0000}"/>
    <cellStyle name="40% - Accent2 3 7 3" xfId="2054" xr:uid="{00000000-0005-0000-0000-0000FF3D0000}"/>
    <cellStyle name="40% - Accent2 3 7 3 2" xfId="13417" xr:uid="{00000000-0005-0000-0000-0000003E0000}"/>
    <cellStyle name="40% - Accent2 3 7 4" xfId="3353" xr:uid="{00000000-0005-0000-0000-0000013E0000}"/>
    <cellStyle name="40% - Accent2 3 8" xfId="6075" xr:uid="{00000000-0005-0000-0000-0000023E0000}"/>
    <cellStyle name="40% - Accent2 3 8 2" xfId="5361" xr:uid="{00000000-0005-0000-0000-0000033E0000}"/>
    <cellStyle name="40% - Accent2 3 8 2 2" xfId="2081" xr:uid="{00000000-0005-0000-0000-0000043E0000}"/>
    <cellStyle name="40% - Accent2 3 8 3" xfId="2098" xr:uid="{00000000-0005-0000-0000-0000053E0000}"/>
    <cellStyle name="40% - Accent2 3 9" xfId="6084" xr:uid="{00000000-0005-0000-0000-0000063E0000}"/>
    <cellStyle name="40% - Accent2 3 9 2" xfId="10805" xr:uid="{00000000-0005-0000-0000-0000073E0000}"/>
    <cellStyle name="40% - Accent2 4" xfId="3429" xr:uid="{00000000-0005-0000-0000-0000083E0000}"/>
    <cellStyle name="40% - Accent2 4 2" xfId="7062" xr:uid="{00000000-0005-0000-0000-0000093E0000}"/>
    <cellStyle name="40% - Accent2 4 2 2" xfId="17884" xr:uid="{00000000-0005-0000-0000-00000A3E0000}"/>
    <cellStyle name="40% - Accent2 4 2 2 2" xfId="17885" xr:uid="{00000000-0005-0000-0000-00000B3E0000}"/>
    <cellStyle name="40% - Accent2 4 2 2 2 2" xfId="17887" xr:uid="{00000000-0005-0000-0000-00000C3E0000}"/>
    <cellStyle name="40% - Accent2 4 2 2 2 2 2" xfId="17891" xr:uid="{00000000-0005-0000-0000-00000D3E0000}"/>
    <cellStyle name="40% - Accent2 4 2 2 2 2 2 2" xfId="31924" xr:uid="{00000000-0005-0000-0000-00000E3E0000}"/>
    <cellStyle name="40% - Accent2 4 2 2 2 2 2 2 2" xfId="2887" xr:uid="{00000000-0005-0000-0000-00000F3E0000}"/>
    <cellStyle name="40% - Accent2 4 2 2 2 2 2 2 2 2" xfId="18038" xr:uid="{00000000-0005-0000-0000-0000103E0000}"/>
    <cellStyle name="40% - Accent2 4 2 2 2 2 2 2 3" xfId="16030" xr:uid="{00000000-0005-0000-0000-0000113E0000}"/>
    <cellStyle name="40% - Accent2 4 2 2 2 2 2 3" xfId="17893" xr:uid="{00000000-0005-0000-0000-0000123E0000}"/>
    <cellStyle name="40% - Accent2 4 2 2 2 2 2 3 2" xfId="17895" xr:uid="{00000000-0005-0000-0000-0000133E0000}"/>
    <cellStyle name="40% - Accent2 4 2 2 2 2 2 4" xfId="17896" xr:uid="{00000000-0005-0000-0000-0000143E0000}"/>
    <cellStyle name="40% - Accent2 4 2 2 2 2 3" xfId="17899" xr:uid="{00000000-0005-0000-0000-0000153E0000}"/>
    <cellStyle name="40% - Accent2 4 2 2 2 2 3 2" xfId="17900" xr:uid="{00000000-0005-0000-0000-0000163E0000}"/>
    <cellStyle name="40% - Accent2 4 2 2 2 2 3 2 2" xfId="17902" xr:uid="{00000000-0005-0000-0000-0000173E0000}"/>
    <cellStyle name="40% - Accent2 4 2 2 2 2 3 3" xfId="17904" xr:uid="{00000000-0005-0000-0000-0000183E0000}"/>
    <cellStyle name="40% - Accent2 4 2 2 2 2 4" xfId="17870" xr:uid="{00000000-0005-0000-0000-0000193E0000}"/>
    <cellStyle name="40% - Accent2 4 2 2 2 2 4 2" xfId="17908" xr:uid="{00000000-0005-0000-0000-00001A3E0000}"/>
    <cellStyle name="40% - Accent2 4 2 2 2 2 5" xfId="18336" xr:uid="{00000000-0005-0000-0000-00001B3E0000}"/>
    <cellStyle name="40% - Accent2 4 2 2 2 3" xfId="17910" xr:uid="{00000000-0005-0000-0000-00001C3E0000}"/>
    <cellStyle name="40% - Accent2 4 2 2 2 3 2" xfId="17911" xr:uid="{00000000-0005-0000-0000-00001D3E0000}"/>
    <cellStyle name="40% - Accent2 4 2 2 2 3 2 2" xfId="17913" xr:uid="{00000000-0005-0000-0000-00001E3E0000}"/>
    <cellStyle name="40% - Accent2 4 2 2 2 3 2 2 2" xfId="17916" xr:uid="{00000000-0005-0000-0000-00001F3E0000}"/>
    <cellStyle name="40% - Accent2 4 2 2 2 3 2 3" xfId="17917" xr:uid="{00000000-0005-0000-0000-0000203E0000}"/>
    <cellStyle name="40% - Accent2 4 2 2 2 3 3" xfId="17920" xr:uid="{00000000-0005-0000-0000-0000213E0000}"/>
    <cellStyle name="40% - Accent2 4 2 2 2 3 3 2" xfId="6039" xr:uid="{00000000-0005-0000-0000-0000223E0000}"/>
    <cellStyle name="40% - Accent2 4 2 2 2 3 4" xfId="31979" xr:uid="{00000000-0005-0000-0000-0000233E0000}"/>
    <cellStyle name="40% - Accent2 4 2 2 2 4" xfId="17921" xr:uid="{00000000-0005-0000-0000-0000243E0000}"/>
    <cellStyle name="40% - Accent2 4 2 2 2 4 2" xfId="17922" xr:uid="{00000000-0005-0000-0000-0000253E0000}"/>
    <cellStyle name="40% - Accent2 4 2 2 2 4 2 2" xfId="17924" xr:uid="{00000000-0005-0000-0000-0000263E0000}"/>
    <cellStyle name="40% - Accent2 4 2 2 2 4 3" xfId="17926" xr:uid="{00000000-0005-0000-0000-0000273E0000}"/>
    <cellStyle name="40% - Accent2 4 2 2 2 5" xfId="8044" xr:uid="{00000000-0005-0000-0000-0000283E0000}"/>
    <cellStyle name="40% - Accent2 4 2 2 2 5 2" xfId="17927" xr:uid="{00000000-0005-0000-0000-0000293E0000}"/>
    <cellStyle name="40% - Accent2 4 2 2 2 6" xfId="17928" xr:uid="{00000000-0005-0000-0000-00002A3E0000}"/>
    <cellStyle name="40% - Accent2 4 2 2 3" xfId="17929" xr:uid="{00000000-0005-0000-0000-00002B3E0000}"/>
    <cellStyle name="40% - Accent2 4 2 2 3 2" xfId="17930" xr:uid="{00000000-0005-0000-0000-00002C3E0000}"/>
    <cellStyle name="40% - Accent2 4 2 2 3 2 2" xfId="17931" xr:uid="{00000000-0005-0000-0000-00002D3E0000}"/>
    <cellStyle name="40% - Accent2 4 2 2 3 2 2 2" xfId="17932" xr:uid="{00000000-0005-0000-0000-00002E3E0000}"/>
    <cellStyle name="40% - Accent2 4 2 2 3 2 2 2 2" xfId="17935" xr:uid="{00000000-0005-0000-0000-00002F3E0000}"/>
    <cellStyle name="40% - Accent2 4 2 2 3 2 2 3" xfId="17936" xr:uid="{00000000-0005-0000-0000-0000303E0000}"/>
    <cellStyle name="40% - Accent2 4 2 2 3 2 3" xfId="17939" xr:uid="{00000000-0005-0000-0000-0000313E0000}"/>
    <cellStyle name="40% - Accent2 4 2 2 3 2 3 2" xfId="17940" xr:uid="{00000000-0005-0000-0000-0000323E0000}"/>
    <cellStyle name="40% - Accent2 4 2 2 3 2 4" xfId="30295" xr:uid="{00000000-0005-0000-0000-0000333E0000}"/>
    <cellStyle name="40% - Accent2 4 2 2 3 3" xfId="17942" xr:uid="{00000000-0005-0000-0000-0000343E0000}"/>
    <cellStyle name="40% - Accent2 4 2 2 3 3 2" xfId="17943" xr:uid="{00000000-0005-0000-0000-0000353E0000}"/>
    <cellStyle name="40% - Accent2 4 2 2 3 3 2 2" xfId="1877" xr:uid="{00000000-0005-0000-0000-0000363E0000}"/>
    <cellStyle name="40% - Accent2 4 2 2 3 3 3" xfId="17944" xr:uid="{00000000-0005-0000-0000-0000373E0000}"/>
    <cellStyle name="40% - Accent2 4 2 2 3 4" xfId="25963" xr:uid="{00000000-0005-0000-0000-0000383E0000}"/>
    <cellStyle name="40% - Accent2 4 2 2 3 4 2" xfId="17945" xr:uid="{00000000-0005-0000-0000-0000393E0000}"/>
    <cellStyle name="40% - Accent2 4 2 2 3 5" xfId="19841" xr:uid="{00000000-0005-0000-0000-00003A3E0000}"/>
    <cellStyle name="40% - Accent2 4 2 2 4" xfId="17946" xr:uid="{00000000-0005-0000-0000-00003B3E0000}"/>
    <cellStyle name="40% - Accent2 4 2 2 4 2" xfId="17947" xr:uid="{00000000-0005-0000-0000-00003C3E0000}"/>
    <cellStyle name="40% - Accent2 4 2 2 4 2 2" xfId="17948" xr:uid="{00000000-0005-0000-0000-00003D3E0000}"/>
    <cellStyle name="40% - Accent2 4 2 2 4 2 2 2" xfId="9706" xr:uid="{00000000-0005-0000-0000-00003E3E0000}"/>
    <cellStyle name="40% - Accent2 4 2 2 4 2 3" xfId="585" xr:uid="{00000000-0005-0000-0000-00003F3E0000}"/>
    <cellStyle name="40% - Accent2 4 2 2 4 3" xfId="17949" xr:uid="{00000000-0005-0000-0000-0000403E0000}"/>
    <cellStyle name="40% - Accent2 4 2 2 4 3 2" xfId="17950" xr:uid="{00000000-0005-0000-0000-0000413E0000}"/>
    <cellStyle name="40% - Accent2 4 2 2 4 4" xfId="25965" xr:uid="{00000000-0005-0000-0000-0000423E0000}"/>
    <cellStyle name="40% - Accent2 4 2 2 5" xfId="33897" xr:uid="{00000000-0005-0000-0000-0000433E0000}"/>
    <cellStyle name="40% - Accent2 4 2 2 5 2" xfId="33810" xr:uid="{00000000-0005-0000-0000-0000443E0000}"/>
    <cellStyle name="40% - Accent2 4 2 2 5 2 2" xfId="30643" xr:uid="{00000000-0005-0000-0000-0000453E0000}"/>
    <cellStyle name="40% - Accent2 4 2 2 5 3" xfId="33813" xr:uid="{00000000-0005-0000-0000-0000463E0000}"/>
    <cellStyle name="40% - Accent2 4 2 2 6" xfId="477" xr:uid="{00000000-0005-0000-0000-0000473E0000}"/>
    <cellStyle name="40% - Accent2 4 2 2 6 2" xfId="1935" xr:uid="{00000000-0005-0000-0000-0000483E0000}"/>
    <cellStyle name="40% - Accent2 4 2 2 7" xfId="1941" xr:uid="{00000000-0005-0000-0000-0000493E0000}"/>
    <cellStyle name="40% - Accent2 4 2 3" xfId="17951" xr:uid="{00000000-0005-0000-0000-00004A3E0000}"/>
    <cellStyle name="40% - Accent2 4 2 3 2" xfId="17952" xr:uid="{00000000-0005-0000-0000-00004B3E0000}"/>
    <cellStyle name="40% - Accent2 4 2 3 2 2" xfId="17954" xr:uid="{00000000-0005-0000-0000-00004C3E0000}"/>
    <cellStyle name="40% - Accent2 4 2 3 2 2 2" xfId="17957" xr:uid="{00000000-0005-0000-0000-00004D3E0000}"/>
    <cellStyle name="40% - Accent2 4 2 3 2 2 2 2" xfId="28121" xr:uid="{00000000-0005-0000-0000-00004E3E0000}"/>
    <cellStyle name="40% - Accent2 4 2 3 2 2 2 2 2" xfId="17959" xr:uid="{00000000-0005-0000-0000-00004F3E0000}"/>
    <cellStyle name="40% - Accent2 4 2 3 2 2 2 3" xfId="23709" xr:uid="{00000000-0005-0000-0000-0000503E0000}"/>
    <cellStyle name="40% - Accent2 4 2 3 2 2 3" xfId="17961" xr:uid="{00000000-0005-0000-0000-0000513E0000}"/>
    <cellStyle name="40% - Accent2 4 2 3 2 2 3 2" xfId="17966" xr:uid="{00000000-0005-0000-0000-0000523E0000}"/>
    <cellStyle name="40% - Accent2 4 2 3 2 2 4" xfId="17969" xr:uid="{00000000-0005-0000-0000-0000533E0000}"/>
    <cellStyle name="40% - Accent2 4 2 3 2 3" xfId="17983" xr:uid="{00000000-0005-0000-0000-0000543E0000}"/>
    <cellStyle name="40% - Accent2 4 2 3 2 3 2" xfId="32479" xr:uid="{00000000-0005-0000-0000-0000553E0000}"/>
    <cellStyle name="40% - Accent2 4 2 3 2 3 2 2" xfId="28165" xr:uid="{00000000-0005-0000-0000-0000563E0000}"/>
    <cellStyle name="40% - Accent2 4 2 3 2 3 3" xfId="8186" xr:uid="{00000000-0005-0000-0000-0000573E0000}"/>
    <cellStyle name="40% - Accent2 4 2 3 2 4" xfId="17985" xr:uid="{00000000-0005-0000-0000-0000583E0000}"/>
    <cellStyle name="40% - Accent2 4 2 3 2 4 2" xfId="13731" xr:uid="{00000000-0005-0000-0000-0000593E0000}"/>
    <cellStyle name="40% - Accent2 4 2 3 2 5" xfId="17987" xr:uid="{00000000-0005-0000-0000-00005A3E0000}"/>
    <cellStyle name="40% - Accent2 4 2 3 3" xfId="17988" xr:uid="{00000000-0005-0000-0000-00005B3E0000}"/>
    <cellStyle name="40% - Accent2 4 2 3 3 2" xfId="17990" xr:uid="{00000000-0005-0000-0000-00005C3E0000}"/>
    <cellStyle name="40% - Accent2 4 2 3 3 2 2" xfId="17992" xr:uid="{00000000-0005-0000-0000-00005D3E0000}"/>
    <cellStyle name="40% - Accent2 4 2 3 3 2 2 2" xfId="24313" xr:uid="{00000000-0005-0000-0000-00005E3E0000}"/>
    <cellStyle name="40% - Accent2 4 2 3 3 2 3" xfId="17994" xr:uid="{00000000-0005-0000-0000-00005F3E0000}"/>
    <cellStyle name="40% - Accent2 4 2 3 3 3" xfId="17998" xr:uid="{00000000-0005-0000-0000-0000603E0000}"/>
    <cellStyle name="40% - Accent2 4 2 3 3 3 2" xfId="8201" xr:uid="{00000000-0005-0000-0000-0000613E0000}"/>
    <cellStyle name="40% - Accent2 4 2 3 3 4" xfId="28933" xr:uid="{00000000-0005-0000-0000-0000623E0000}"/>
    <cellStyle name="40% - Accent2 4 2 3 4" xfId="17999" xr:uid="{00000000-0005-0000-0000-0000633E0000}"/>
    <cellStyle name="40% - Accent2 4 2 3 4 2" xfId="16614" xr:uid="{00000000-0005-0000-0000-0000643E0000}"/>
    <cellStyle name="40% - Accent2 4 2 3 4 2 2" xfId="18001" xr:uid="{00000000-0005-0000-0000-0000653E0000}"/>
    <cellStyle name="40% - Accent2 4 2 3 4 3" xfId="18003" xr:uid="{00000000-0005-0000-0000-0000663E0000}"/>
    <cellStyle name="40% - Accent2 4 2 3 5" xfId="18005" xr:uid="{00000000-0005-0000-0000-0000673E0000}"/>
    <cellStyle name="40% - Accent2 4 2 3 5 2" xfId="18009" xr:uid="{00000000-0005-0000-0000-0000683E0000}"/>
    <cellStyle name="40% - Accent2 4 2 3 6" xfId="13741" xr:uid="{00000000-0005-0000-0000-0000693E0000}"/>
    <cellStyle name="40% - Accent2 4 2 4" xfId="18015" xr:uid="{00000000-0005-0000-0000-00006A3E0000}"/>
    <cellStyle name="40% - Accent2 4 2 4 2" xfId="25153" xr:uid="{00000000-0005-0000-0000-00006B3E0000}"/>
    <cellStyle name="40% - Accent2 4 2 4 2 2" xfId="18017" xr:uid="{00000000-0005-0000-0000-00006C3E0000}"/>
    <cellStyle name="40% - Accent2 4 2 4 2 2 2" xfId="18020" xr:uid="{00000000-0005-0000-0000-00006D3E0000}"/>
    <cellStyle name="40% - Accent2 4 2 4 2 2 2 2" xfId="13340" xr:uid="{00000000-0005-0000-0000-00006E3E0000}"/>
    <cellStyle name="40% - Accent2 4 2 4 2 2 3" xfId="18024" xr:uid="{00000000-0005-0000-0000-00006F3E0000}"/>
    <cellStyle name="40% - Accent2 4 2 4 2 3" xfId="18027" xr:uid="{00000000-0005-0000-0000-0000703E0000}"/>
    <cellStyle name="40% - Accent2 4 2 4 2 3 2" xfId="13755" xr:uid="{00000000-0005-0000-0000-0000713E0000}"/>
    <cellStyle name="40% - Accent2 4 2 4 2 4" xfId="12086" xr:uid="{00000000-0005-0000-0000-0000723E0000}"/>
    <cellStyle name="40% - Accent2 4 2 4 3" xfId="18028" xr:uid="{00000000-0005-0000-0000-0000733E0000}"/>
    <cellStyle name="40% - Accent2 4 2 4 3 2" xfId="17013" xr:uid="{00000000-0005-0000-0000-0000743E0000}"/>
    <cellStyle name="40% - Accent2 4 2 4 3 2 2" xfId="16554" xr:uid="{00000000-0005-0000-0000-0000753E0000}"/>
    <cellStyle name="40% - Accent2 4 2 4 3 3" xfId="18030" xr:uid="{00000000-0005-0000-0000-0000763E0000}"/>
    <cellStyle name="40% - Accent2 4 2 4 4" xfId="18033" xr:uid="{00000000-0005-0000-0000-0000773E0000}"/>
    <cellStyle name="40% - Accent2 4 2 4 4 2" xfId="18035" xr:uid="{00000000-0005-0000-0000-0000783E0000}"/>
    <cellStyle name="40% - Accent2 4 2 4 5" xfId="18037" xr:uid="{00000000-0005-0000-0000-0000793E0000}"/>
    <cellStyle name="40% - Accent2 4 2 5" xfId="18040" xr:uid="{00000000-0005-0000-0000-00007A3E0000}"/>
    <cellStyle name="40% - Accent2 4 2 5 2" xfId="18041" xr:uid="{00000000-0005-0000-0000-00007B3E0000}"/>
    <cellStyle name="40% - Accent2 4 2 5 2 2" xfId="18044" xr:uid="{00000000-0005-0000-0000-00007C3E0000}"/>
    <cellStyle name="40% - Accent2 4 2 5 2 2 2" xfId="18047" xr:uid="{00000000-0005-0000-0000-00007D3E0000}"/>
    <cellStyle name="40% - Accent2 4 2 5 2 3" xfId="18053" xr:uid="{00000000-0005-0000-0000-00007E3E0000}"/>
    <cellStyle name="40% - Accent2 4 2 5 3" xfId="18056" xr:uid="{00000000-0005-0000-0000-00007F3E0000}"/>
    <cellStyle name="40% - Accent2 4 2 5 3 2" xfId="18059" xr:uid="{00000000-0005-0000-0000-0000803E0000}"/>
    <cellStyle name="40% - Accent2 4 2 5 4" xfId="18062" xr:uid="{00000000-0005-0000-0000-0000813E0000}"/>
    <cellStyle name="40% - Accent2 4 2 6" xfId="18063" xr:uid="{00000000-0005-0000-0000-0000823E0000}"/>
    <cellStyle name="40% - Accent2 4 2 6 2" xfId="13771" xr:uid="{00000000-0005-0000-0000-0000833E0000}"/>
    <cellStyle name="40% - Accent2 4 2 6 2 2" xfId="10834" xr:uid="{00000000-0005-0000-0000-0000843E0000}"/>
    <cellStyle name="40% - Accent2 4 2 6 3" xfId="18065" xr:uid="{00000000-0005-0000-0000-0000853E0000}"/>
    <cellStyle name="40% - Accent2 4 2 7" xfId="13816" xr:uid="{00000000-0005-0000-0000-0000863E0000}"/>
    <cellStyle name="40% - Accent2 4 2 7 2" xfId="11380" xr:uid="{00000000-0005-0000-0000-0000873E0000}"/>
    <cellStyle name="40% - Accent2 4 2 8" xfId="18211" xr:uid="{00000000-0005-0000-0000-0000883E0000}"/>
    <cellStyle name="40% - Accent2 4 3" xfId="10762" xr:uid="{00000000-0005-0000-0000-0000893E0000}"/>
    <cellStyle name="40% - Accent2 4 3 2" xfId="411" xr:uid="{00000000-0005-0000-0000-00008A3E0000}"/>
    <cellStyle name="40% - Accent2 4 3 2 2" xfId="28746" xr:uid="{00000000-0005-0000-0000-00008B3E0000}"/>
    <cellStyle name="40% - Accent2 4 3 2 2 2" xfId="18066" xr:uid="{00000000-0005-0000-0000-00008C3E0000}"/>
    <cellStyle name="40% - Accent2 4 3 2 2 2 2" xfId="2555" xr:uid="{00000000-0005-0000-0000-00008D3E0000}"/>
    <cellStyle name="40% - Accent2 4 3 2 2 2 2 2" xfId="18068" xr:uid="{00000000-0005-0000-0000-00008E3E0000}"/>
    <cellStyle name="40% - Accent2 4 3 2 2 2 2 2 2" xfId="2428" xr:uid="{00000000-0005-0000-0000-00008F3E0000}"/>
    <cellStyle name="40% - Accent2 4 3 2 2 2 2 3" xfId="18071" xr:uid="{00000000-0005-0000-0000-0000903E0000}"/>
    <cellStyle name="40% - Accent2 4 3 2 2 2 3" xfId="18072" xr:uid="{00000000-0005-0000-0000-0000913E0000}"/>
    <cellStyle name="40% - Accent2 4 3 2 2 2 3 2" xfId="18074" xr:uid="{00000000-0005-0000-0000-0000923E0000}"/>
    <cellStyle name="40% - Accent2 4 3 2 2 2 4" xfId="18076" xr:uid="{00000000-0005-0000-0000-0000933E0000}"/>
    <cellStyle name="40% - Accent2 4 3 2 2 3" xfId="7497" xr:uid="{00000000-0005-0000-0000-0000943E0000}"/>
    <cellStyle name="40% - Accent2 4 3 2 2 3 2" xfId="5614" xr:uid="{00000000-0005-0000-0000-0000953E0000}"/>
    <cellStyle name="40% - Accent2 4 3 2 2 3 2 2" xfId="16051" xr:uid="{00000000-0005-0000-0000-0000963E0000}"/>
    <cellStyle name="40% - Accent2 4 3 2 2 3 3" xfId="2024" xr:uid="{00000000-0005-0000-0000-0000973E0000}"/>
    <cellStyle name="40% - Accent2 4 3 2 2 4" xfId="18081" xr:uid="{00000000-0005-0000-0000-0000983E0000}"/>
    <cellStyle name="40% - Accent2 4 3 2 2 4 2" xfId="2812" xr:uid="{00000000-0005-0000-0000-0000993E0000}"/>
    <cellStyle name="40% - Accent2 4 3 2 2 5" xfId="18082" xr:uid="{00000000-0005-0000-0000-00009A3E0000}"/>
    <cellStyle name="40% - Accent2 4 3 2 3" xfId="18083" xr:uid="{00000000-0005-0000-0000-00009B3E0000}"/>
    <cellStyle name="40% - Accent2 4 3 2 3 2" xfId="18085" xr:uid="{00000000-0005-0000-0000-00009C3E0000}"/>
    <cellStyle name="40% - Accent2 4 3 2 3 2 2" xfId="18086" xr:uid="{00000000-0005-0000-0000-00009D3E0000}"/>
    <cellStyle name="40% - Accent2 4 3 2 3 2 2 2" xfId="18087" xr:uid="{00000000-0005-0000-0000-00009E3E0000}"/>
    <cellStyle name="40% - Accent2 4 3 2 3 2 3" xfId="18093" xr:uid="{00000000-0005-0000-0000-00009F3E0000}"/>
    <cellStyle name="40% - Accent2 4 3 2 3 3" xfId="18095" xr:uid="{00000000-0005-0000-0000-0000A03E0000}"/>
    <cellStyle name="40% - Accent2 4 3 2 3 3 2" xfId="2836" xr:uid="{00000000-0005-0000-0000-0000A13E0000}"/>
    <cellStyle name="40% - Accent2 4 3 2 3 4" xfId="26007" xr:uid="{00000000-0005-0000-0000-0000A23E0000}"/>
    <cellStyle name="40% - Accent2 4 3 2 4" xfId="18701" xr:uid="{00000000-0005-0000-0000-0000A33E0000}"/>
    <cellStyle name="40% - Accent2 4 3 2 4 2" xfId="6983" xr:uid="{00000000-0005-0000-0000-0000A43E0000}"/>
    <cellStyle name="40% - Accent2 4 3 2 4 2 2" xfId="18096" xr:uid="{00000000-0005-0000-0000-0000A53E0000}"/>
    <cellStyle name="40% - Accent2 4 3 2 4 3" xfId="18097" xr:uid="{00000000-0005-0000-0000-0000A63E0000}"/>
    <cellStyle name="40% - Accent2 4 3 2 5" xfId="32484" xr:uid="{00000000-0005-0000-0000-0000A73E0000}"/>
    <cellStyle name="40% - Accent2 4 3 2 5 2" xfId="18925" xr:uid="{00000000-0005-0000-0000-0000A83E0000}"/>
    <cellStyle name="40% - Accent2 4 3 2 6" xfId="1199" xr:uid="{00000000-0005-0000-0000-0000A93E0000}"/>
    <cellStyle name="40% - Accent2 4 3 3" xfId="18098" xr:uid="{00000000-0005-0000-0000-0000AA3E0000}"/>
    <cellStyle name="40% - Accent2 4 3 3 2" xfId="18099" xr:uid="{00000000-0005-0000-0000-0000AB3E0000}"/>
    <cellStyle name="40% - Accent2 4 3 3 2 2" xfId="11024" xr:uid="{00000000-0005-0000-0000-0000AC3E0000}"/>
    <cellStyle name="40% - Accent2 4 3 3 2 2 2" xfId="18102" xr:uid="{00000000-0005-0000-0000-0000AD3E0000}"/>
    <cellStyle name="40% - Accent2 4 3 3 2 2 2 2" xfId="21058" xr:uid="{00000000-0005-0000-0000-0000AE3E0000}"/>
    <cellStyle name="40% - Accent2 4 3 3 2 2 3" xfId="18104" xr:uid="{00000000-0005-0000-0000-0000AF3E0000}"/>
    <cellStyle name="40% - Accent2 4 3 3 2 3" xfId="18108" xr:uid="{00000000-0005-0000-0000-0000B03E0000}"/>
    <cellStyle name="40% - Accent2 4 3 3 2 3 2" xfId="13787" xr:uid="{00000000-0005-0000-0000-0000B13E0000}"/>
    <cellStyle name="40% - Accent2 4 3 3 2 4" xfId="18109" xr:uid="{00000000-0005-0000-0000-0000B23E0000}"/>
    <cellStyle name="40% - Accent2 4 3 3 3" xfId="18112" xr:uid="{00000000-0005-0000-0000-0000B33E0000}"/>
    <cellStyle name="40% - Accent2 4 3 3 3 2" xfId="18115" xr:uid="{00000000-0005-0000-0000-0000B43E0000}"/>
    <cellStyle name="40% - Accent2 4 3 3 3 2 2" xfId="18118" xr:uid="{00000000-0005-0000-0000-0000B53E0000}"/>
    <cellStyle name="40% - Accent2 4 3 3 3 3" xfId="18121" xr:uid="{00000000-0005-0000-0000-0000B63E0000}"/>
    <cellStyle name="40% - Accent2 4 3 3 4" xfId="18122" xr:uid="{00000000-0005-0000-0000-0000B73E0000}"/>
    <cellStyle name="40% - Accent2 4 3 3 4 2" xfId="18124" xr:uid="{00000000-0005-0000-0000-0000B83E0000}"/>
    <cellStyle name="40% - Accent2 4 3 3 5" xfId="32181" xr:uid="{00000000-0005-0000-0000-0000B93E0000}"/>
    <cellStyle name="40% - Accent2 4 3 4" xfId="18126" xr:uid="{00000000-0005-0000-0000-0000BA3E0000}"/>
    <cellStyle name="40% - Accent2 4 3 4 2" xfId="18130" xr:uid="{00000000-0005-0000-0000-0000BB3E0000}"/>
    <cellStyle name="40% - Accent2 4 3 4 2 2" xfId="18133" xr:uid="{00000000-0005-0000-0000-0000BC3E0000}"/>
    <cellStyle name="40% - Accent2 4 3 4 2 2 2" xfId="18135" xr:uid="{00000000-0005-0000-0000-0000BD3E0000}"/>
    <cellStyle name="40% - Accent2 4 3 4 2 3" xfId="18137" xr:uid="{00000000-0005-0000-0000-0000BE3E0000}"/>
    <cellStyle name="40% - Accent2 4 3 4 3" xfId="18140" xr:uid="{00000000-0005-0000-0000-0000BF3E0000}"/>
    <cellStyle name="40% - Accent2 4 3 4 3 2" xfId="18142" xr:uid="{00000000-0005-0000-0000-0000C03E0000}"/>
    <cellStyle name="40% - Accent2 4 3 4 4" xfId="18144" xr:uid="{00000000-0005-0000-0000-0000C13E0000}"/>
    <cellStyle name="40% - Accent2 4 3 5" xfId="15086" xr:uid="{00000000-0005-0000-0000-0000C23E0000}"/>
    <cellStyle name="40% - Accent2 4 3 5 2" xfId="18147" xr:uid="{00000000-0005-0000-0000-0000C33E0000}"/>
    <cellStyle name="40% - Accent2 4 3 5 2 2" xfId="18150" xr:uid="{00000000-0005-0000-0000-0000C43E0000}"/>
    <cellStyle name="40% - Accent2 4 3 5 3" xfId="18155" xr:uid="{00000000-0005-0000-0000-0000C53E0000}"/>
    <cellStyle name="40% - Accent2 4 3 6" xfId="3876" xr:uid="{00000000-0005-0000-0000-0000C63E0000}"/>
    <cellStyle name="40% - Accent2 4 3 6 2" xfId="18159" xr:uid="{00000000-0005-0000-0000-0000C73E0000}"/>
    <cellStyle name="40% - Accent2 4 3 7" xfId="13821" xr:uid="{00000000-0005-0000-0000-0000C83E0000}"/>
    <cellStyle name="40% - Accent2 4 4" xfId="18160" xr:uid="{00000000-0005-0000-0000-0000C93E0000}"/>
    <cellStyle name="40% - Accent2 4 4 2" xfId="18161" xr:uid="{00000000-0005-0000-0000-0000CA3E0000}"/>
    <cellStyle name="40% - Accent2 4 4 2 2" xfId="18163" xr:uid="{00000000-0005-0000-0000-0000CB3E0000}"/>
    <cellStyle name="40% - Accent2 4 4 2 2 2" xfId="18165" xr:uid="{00000000-0005-0000-0000-0000CC3E0000}"/>
    <cellStyle name="40% - Accent2 4 4 2 2 2 2" xfId="28470" xr:uid="{00000000-0005-0000-0000-0000CD3E0000}"/>
    <cellStyle name="40% - Accent2 4 4 2 2 2 2 2" xfId="24382" xr:uid="{00000000-0005-0000-0000-0000CE3E0000}"/>
    <cellStyle name="40% - Accent2 4 4 2 2 2 3" xfId="28474" xr:uid="{00000000-0005-0000-0000-0000CF3E0000}"/>
    <cellStyle name="40% - Accent2 4 4 2 2 3" xfId="18166" xr:uid="{00000000-0005-0000-0000-0000D03E0000}"/>
    <cellStyle name="40% - Accent2 4 4 2 2 3 2" xfId="6235" xr:uid="{00000000-0005-0000-0000-0000D13E0000}"/>
    <cellStyle name="40% - Accent2 4 4 2 2 4" xfId="18167" xr:uid="{00000000-0005-0000-0000-0000D23E0000}"/>
    <cellStyle name="40% - Accent2 4 4 2 3" xfId="18169" xr:uid="{00000000-0005-0000-0000-0000D33E0000}"/>
    <cellStyle name="40% - Accent2 4 4 2 3 2" xfId="18170" xr:uid="{00000000-0005-0000-0000-0000D43E0000}"/>
    <cellStyle name="40% - Accent2 4 4 2 3 2 2" xfId="28582" xr:uid="{00000000-0005-0000-0000-0000D53E0000}"/>
    <cellStyle name="40% - Accent2 4 4 2 3 3" xfId="18171" xr:uid="{00000000-0005-0000-0000-0000D63E0000}"/>
    <cellStyle name="40% - Accent2 4 4 2 4" xfId="22272" xr:uid="{00000000-0005-0000-0000-0000D73E0000}"/>
    <cellStyle name="40% - Accent2 4 4 2 4 2" xfId="18172" xr:uid="{00000000-0005-0000-0000-0000D83E0000}"/>
    <cellStyle name="40% - Accent2 4 4 2 5" xfId="22276" xr:uid="{00000000-0005-0000-0000-0000D93E0000}"/>
    <cellStyle name="40% - Accent2 4 4 3" xfId="18173" xr:uid="{00000000-0005-0000-0000-0000DA3E0000}"/>
    <cellStyle name="40% - Accent2 4 4 3 2" xfId="18176" xr:uid="{00000000-0005-0000-0000-0000DB3E0000}"/>
    <cellStyle name="40% - Accent2 4 4 3 2 2" xfId="18178" xr:uid="{00000000-0005-0000-0000-0000DC3E0000}"/>
    <cellStyle name="40% - Accent2 4 4 3 2 2 2" xfId="14204" xr:uid="{00000000-0005-0000-0000-0000DD3E0000}"/>
    <cellStyle name="40% - Accent2 4 4 3 2 3" xfId="18180" xr:uid="{00000000-0005-0000-0000-0000DE3E0000}"/>
    <cellStyle name="40% - Accent2 4 4 3 3" xfId="18182" xr:uid="{00000000-0005-0000-0000-0000DF3E0000}"/>
    <cellStyle name="40% - Accent2 4 4 3 3 2" xfId="18184" xr:uid="{00000000-0005-0000-0000-0000E03E0000}"/>
    <cellStyle name="40% - Accent2 4 4 3 4" xfId="22295" xr:uid="{00000000-0005-0000-0000-0000E13E0000}"/>
    <cellStyle name="40% - Accent2 4 4 4" xfId="11822" xr:uid="{00000000-0005-0000-0000-0000E23E0000}"/>
    <cellStyle name="40% - Accent2 4 4 4 2" xfId="18186" xr:uid="{00000000-0005-0000-0000-0000E33E0000}"/>
    <cellStyle name="40% - Accent2 4 4 4 2 2" xfId="15350" xr:uid="{00000000-0005-0000-0000-0000E43E0000}"/>
    <cellStyle name="40% - Accent2 4 4 4 3" xfId="18190" xr:uid="{00000000-0005-0000-0000-0000E53E0000}"/>
    <cellStyle name="40% - Accent2 4 4 5" xfId="15096" xr:uid="{00000000-0005-0000-0000-0000E63E0000}"/>
    <cellStyle name="40% - Accent2 4 4 5 2" xfId="18193" xr:uid="{00000000-0005-0000-0000-0000E73E0000}"/>
    <cellStyle name="40% - Accent2 4 4 6" xfId="15101" xr:uid="{00000000-0005-0000-0000-0000E83E0000}"/>
    <cellStyle name="40% - Accent2 4 5" xfId="33851" xr:uid="{00000000-0005-0000-0000-0000E93E0000}"/>
    <cellStyle name="40% - Accent2 4 5 2" xfId="18197" xr:uid="{00000000-0005-0000-0000-0000EA3E0000}"/>
    <cellStyle name="40% - Accent2 4 5 2 2" xfId="18199" xr:uid="{00000000-0005-0000-0000-0000EB3E0000}"/>
    <cellStyle name="40% - Accent2 4 5 2 2 2" xfId="18203" xr:uid="{00000000-0005-0000-0000-0000EC3E0000}"/>
    <cellStyle name="40% - Accent2 4 5 2 2 2 2" xfId="18204" xr:uid="{00000000-0005-0000-0000-0000ED3E0000}"/>
    <cellStyle name="40% - Accent2 4 5 2 2 3" xfId="29615" xr:uid="{00000000-0005-0000-0000-0000EE3E0000}"/>
    <cellStyle name="40% - Accent2 4 5 2 3" xfId="18205" xr:uid="{00000000-0005-0000-0000-0000EF3E0000}"/>
    <cellStyle name="40% - Accent2 4 5 2 3 2" xfId="31956" xr:uid="{00000000-0005-0000-0000-0000F03E0000}"/>
    <cellStyle name="40% - Accent2 4 5 2 4" xfId="22312" xr:uid="{00000000-0005-0000-0000-0000F13E0000}"/>
    <cellStyle name="40% - Accent2 4 5 3" xfId="18208" xr:uid="{00000000-0005-0000-0000-0000F23E0000}"/>
    <cellStyle name="40% - Accent2 4 5 3 2" xfId="18212" xr:uid="{00000000-0005-0000-0000-0000F33E0000}"/>
    <cellStyle name="40% - Accent2 4 5 3 2 2" xfId="17726" xr:uid="{00000000-0005-0000-0000-0000F43E0000}"/>
    <cellStyle name="40% - Accent2 4 5 3 3" xfId="18216" xr:uid="{00000000-0005-0000-0000-0000F53E0000}"/>
    <cellStyle name="40% - Accent2 4 5 4" xfId="18218" xr:uid="{00000000-0005-0000-0000-0000F63E0000}"/>
    <cellStyle name="40% - Accent2 4 5 4 2" xfId="27618" xr:uid="{00000000-0005-0000-0000-0000F73E0000}"/>
    <cellStyle name="40% - Accent2 4 5 5" xfId="15106" xr:uid="{00000000-0005-0000-0000-0000F83E0000}"/>
    <cellStyle name="40% - Accent2 4 6" xfId="28261" xr:uid="{00000000-0005-0000-0000-0000F93E0000}"/>
    <cellStyle name="40% - Accent2 4 6 2" xfId="473" xr:uid="{00000000-0005-0000-0000-0000FA3E0000}"/>
    <cellStyle name="40% - Accent2 4 6 2 2" xfId="18224" xr:uid="{00000000-0005-0000-0000-0000FB3E0000}"/>
    <cellStyle name="40% - Accent2 4 6 2 2 2" xfId="18229" xr:uid="{00000000-0005-0000-0000-0000FC3E0000}"/>
    <cellStyle name="40% - Accent2 4 6 2 3" xfId="18232" xr:uid="{00000000-0005-0000-0000-0000FD3E0000}"/>
    <cellStyle name="40% - Accent2 4 6 3" xfId="33452" xr:uid="{00000000-0005-0000-0000-0000FE3E0000}"/>
    <cellStyle name="40% - Accent2 4 6 3 2" xfId="17971" xr:uid="{00000000-0005-0000-0000-0000FF3E0000}"/>
    <cellStyle name="40% - Accent2 4 6 4" xfId="18234" xr:uid="{00000000-0005-0000-0000-0000003F0000}"/>
    <cellStyle name="40% - Accent2 4 7" xfId="18239" xr:uid="{00000000-0005-0000-0000-0000013F0000}"/>
    <cellStyle name="40% - Accent2 4 7 2" xfId="5575" xr:uid="{00000000-0005-0000-0000-0000023F0000}"/>
    <cellStyle name="40% - Accent2 4 7 2 2" xfId="12499" xr:uid="{00000000-0005-0000-0000-0000033F0000}"/>
    <cellStyle name="40% - Accent2 4 7 3" xfId="12419" xr:uid="{00000000-0005-0000-0000-0000043F0000}"/>
    <cellStyle name="40% - Accent2 4 8" xfId="12500" xr:uid="{00000000-0005-0000-0000-0000053F0000}"/>
    <cellStyle name="40% - Accent2 4 8 2" xfId="12504" xr:uid="{00000000-0005-0000-0000-0000063F0000}"/>
    <cellStyle name="40% - Accent2 4 9" xfId="12505" xr:uid="{00000000-0005-0000-0000-0000073F0000}"/>
    <cellStyle name="40% - Accent2 5" xfId="6150" xr:uid="{00000000-0005-0000-0000-0000083F0000}"/>
    <cellStyle name="40% - Accent2 5 2" xfId="18241" xr:uid="{00000000-0005-0000-0000-0000093F0000}"/>
    <cellStyle name="40% - Accent2 5 2 2" xfId="24366" xr:uid="{00000000-0005-0000-0000-00000A3F0000}"/>
    <cellStyle name="40% - Accent2 5 2 2 2" xfId="3779" xr:uid="{00000000-0005-0000-0000-00000B3F0000}"/>
    <cellStyle name="40% - Accent2 5 2 2 2 2" xfId="3782" xr:uid="{00000000-0005-0000-0000-00000C3F0000}"/>
    <cellStyle name="40% - Accent2 5 2 2 2 2 2" xfId="14692" xr:uid="{00000000-0005-0000-0000-00000D3F0000}"/>
    <cellStyle name="40% - Accent2 5 2 2 2 2 2 2" xfId="18242" xr:uid="{00000000-0005-0000-0000-00000E3F0000}"/>
    <cellStyle name="40% - Accent2 5 2 2 2 2 2 2 2" xfId="18245" xr:uid="{00000000-0005-0000-0000-00000F3F0000}"/>
    <cellStyle name="40% - Accent2 5 2 2 2 2 2 3" xfId="18248" xr:uid="{00000000-0005-0000-0000-0000103F0000}"/>
    <cellStyle name="40% - Accent2 5 2 2 2 2 3" xfId="14704" xr:uid="{00000000-0005-0000-0000-0000113F0000}"/>
    <cellStyle name="40% - Accent2 5 2 2 2 2 3 2" xfId="25225" xr:uid="{00000000-0005-0000-0000-0000123F0000}"/>
    <cellStyle name="40% - Accent2 5 2 2 2 2 4" xfId="3471" xr:uid="{00000000-0005-0000-0000-0000133F0000}"/>
    <cellStyle name="40% - Accent2 5 2 2 2 3" xfId="18253" xr:uid="{00000000-0005-0000-0000-0000143F0000}"/>
    <cellStyle name="40% - Accent2 5 2 2 2 3 2" xfId="31082" xr:uid="{00000000-0005-0000-0000-0000153F0000}"/>
    <cellStyle name="40% - Accent2 5 2 2 2 3 2 2" xfId="14466" xr:uid="{00000000-0005-0000-0000-0000163F0000}"/>
    <cellStyle name="40% - Accent2 5 2 2 2 3 3" xfId="32059" xr:uid="{00000000-0005-0000-0000-0000173F0000}"/>
    <cellStyle name="40% - Accent2 5 2 2 2 4" xfId="18255" xr:uid="{00000000-0005-0000-0000-0000183F0000}"/>
    <cellStyle name="40% - Accent2 5 2 2 2 4 2" xfId="6404" xr:uid="{00000000-0005-0000-0000-0000193F0000}"/>
    <cellStyle name="40% - Accent2 5 2 2 2 5" xfId="18257" xr:uid="{00000000-0005-0000-0000-00001A3F0000}"/>
    <cellStyle name="40% - Accent2 5 2 2 3" xfId="3784" xr:uid="{00000000-0005-0000-0000-00001B3F0000}"/>
    <cellStyle name="40% - Accent2 5 2 2 3 2" xfId="18261" xr:uid="{00000000-0005-0000-0000-00001C3F0000}"/>
    <cellStyle name="40% - Accent2 5 2 2 3 2 2" xfId="24512" xr:uid="{00000000-0005-0000-0000-00001D3F0000}"/>
    <cellStyle name="40% - Accent2 5 2 2 3 2 2 2" xfId="31987" xr:uid="{00000000-0005-0000-0000-00001E3F0000}"/>
    <cellStyle name="40% - Accent2 5 2 2 3 2 3" xfId="12813" xr:uid="{00000000-0005-0000-0000-00001F3F0000}"/>
    <cellStyle name="40% - Accent2 5 2 2 3 3" xfId="18264" xr:uid="{00000000-0005-0000-0000-0000203F0000}"/>
    <cellStyle name="40% - Accent2 5 2 2 3 3 2" xfId="32349" xr:uid="{00000000-0005-0000-0000-0000213F0000}"/>
    <cellStyle name="40% - Accent2 5 2 2 3 4" xfId="26069" xr:uid="{00000000-0005-0000-0000-0000223F0000}"/>
    <cellStyle name="40% - Accent2 5 2 2 4" xfId="18266" xr:uid="{00000000-0005-0000-0000-0000233F0000}"/>
    <cellStyle name="40% - Accent2 5 2 2 4 2" xfId="18269" xr:uid="{00000000-0005-0000-0000-0000243F0000}"/>
    <cellStyle name="40% - Accent2 5 2 2 4 2 2" xfId="111" xr:uid="{00000000-0005-0000-0000-0000253F0000}"/>
    <cellStyle name="40% - Accent2 5 2 2 4 3" xfId="18271" xr:uid="{00000000-0005-0000-0000-0000263F0000}"/>
    <cellStyle name="40% - Accent2 5 2 2 5" xfId="32699" xr:uid="{00000000-0005-0000-0000-0000273F0000}"/>
    <cellStyle name="40% - Accent2 5 2 2 5 2" xfId="31951" xr:uid="{00000000-0005-0000-0000-0000283F0000}"/>
    <cellStyle name="40% - Accent2 5 2 2 6" xfId="7" xr:uid="{00000000-0005-0000-0000-0000293F0000}"/>
    <cellStyle name="40% - Accent2 5 2 3" xfId="1117" xr:uid="{00000000-0005-0000-0000-00002A3F0000}"/>
    <cellStyle name="40% - Accent2 5 2 3 2" xfId="3907" xr:uid="{00000000-0005-0000-0000-00002B3F0000}"/>
    <cellStyle name="40% - Accent2 5 2 3 2 2" xfId="18273" xr:uid="{00000000-0005-0000-0000-00002C3F0000}"/>
    <cellStyle name="40% - Accent2 5 2 3 2 2 2" xfId="13936" xr:uid="{00000000-0005-0000-0000-00002D3F0000}"/>
    <cellStyle name="40% - Accent2 5 2 3 2 2 2 2" xfId="2153" xr:uid="{00000000-0005-0000-0000-00002E3F0000}"/>
    <cellStyle name="40% - Accent2 5 2 3 2 2 3" xfId="15037" xr:uid="{00000000-0005-0000-0000-00002F3F0000}"/>
    <cellStyle name="40% - Accent2 5 2 3 2 3" xfId="18276" xr:uid="{00000000-0005-0000-0000-0000303F0000}"/>
    <cellStyle name="40% - Accent2 5 2 3 2 3 2" xfId="13725" xr:uid="{00000000-0005-0000-0000-0000313F0000}"/>
    <cellStyle name="40% - Accent2 5 2 3 2 4" xfId="18279" xr:uid="{00000000-0005-0000-0000-0000323F0000}"/>
    <cellStyle name="40% - Accent2 5 2 3 3" xfId="13942" xr:uid="{00000000-0005-0000-0000-0000333F0000}"/>
    <cellStyle name="40% - Accent2 5 2 3 3 2" xfId="18282" xr:uid="{00000000-0005-0000-0000-0000343F0000}"/>
    <cellStyle name="40% - Accent2 5 2 3 3 2 2" xfId="15041" xr:uid="{00000000-0005-0000-0000-0000353F0000}"/>
    <cellStyle name="40% - Accent2 5 2 3 3 3" xfId="18285" xr:uid="{00000000-0005-0000-0000-0000363F0000}"/>
    <cellStyle name="40% - Accent2 5 2 3 4" xfId="13943" xr:uid="{00000000-0005-0000-0000-0000373F0000}"/>
    <cellStyle name="40% - Accent2 5 2 3 4 2" xfId="18287" xr:uid="{00000000-0005-0000-0000-0000383F0000}"/>
    <cellStyle name="40% - Accent2 5 2 3 5" xfId="13954" xr:uid="{00000000-0005-0000-0000-0000393F0000}"/>
    <cellStyle name="40% - Accent2 5 2 4" xfId="25912" xr:uid="{00000000-0005-0000-0000-00003A3F0000}"/>
    <cellStyle name="40% - Accent2 5 2 4 2" xfId="9941" xr:uid="{00000000-0005-0000-0000-00003B3F0000}"/>
    <cellStyle name="40% - Accent2 5 2 4 2 2" xfId="18291" xr:uid="{00000000-0005-0000-0000-00003C3F0000}"/>
    <cellStyle name="40% - Accent2 5 2 4 2 2 2" xfId="4160" xr:uid="{00000000-0005-0000-0000-00003D3F0000}"/>
    <cellStyle name="40% - Accent2 5 2 4 2 3" xfId="18294" xr:uid="{00000000-0005-0000-0000-00003E3F0000}"/>
    <cellStyle name="40% - Accent2 5 2 4 3" xfId="4169" xr:uid="{00000000-0005-0000-0000-00003F3F0000}"/>
    <cellStyle name="40% - Accent2 5 2 4 3 2" xfId="18296" xr:uid="{00000000-0005-0000-0000-0000403F0000}"/>
    <cellStyle name="40% - Accent2 5 2 4 4" xfId="5770" xr:uid="{00000000-0005-0000-0000-0000413F0000}"/>
    <cellStyle name="40% - Accent2 5 2 5" xfId="1835" xr:uid="{00000000-0005-0000-0000-0000423F0000}"/>
    <cellStyle name="40% - Accent2 5 2 5 2" xfId="4311" xr:uid="{00000000-0005-0000-0000-0000433F0000}"/>
    <cellStyle name="40% - Accent2 5 2 5 2 2" xfId="18301" xr:uid="{00000000-0005-0000-0000-0000443F0000}"/>
    <cellStyle name="40% - Accent2 5 2 5 3" xfId="4317" xr:uid="{00000000-0005-0000-0000-0000453F0000}"/>
    <cellStyle name="40% - Accent2 5 2 6" xfId="1840" xr:uid="{00000000-0005-0000-0000-0000463F0000}"/>
    <cellStyle name="40% - Accent2 5 2 6 2" xfId="4415" xr:uid="{00000000-0005-0000-0000-0000473F0000}"/>
    <cellStyle name="40% - Accent2 5 2 7" xfId="8966" xr:uid="{00000000-0005-0000-0000-0000483F0000}"/>
    <cellStyle name="40% - Accent2 5 3" xfId="3666" xr:uid="{00000000-0005-0000-0000-0000493F0000}"/>
    <cellStyle name="40% - Accent2 5 3 2" xfId="1892" xr:uid="{00000000-0005-0000-0000-00004A3F0000}"/>
    <cellStyle name="40% - Accent2 5 3 2 2" xfId="4314" xr:uid="{00000000-0005-0000-0000-00004B3F0000}"/>
    <cellStyle name="40% - Accent2 5 3 2 2 2" xfId="18303" xr:uid="{00000000-0005-0000-0000-00004C3F0000}"/>
    <cellStyle name="40% - Accent2 5 3 2 2 2 2" xfId="12333" xr:uid="{00000000-0005-0000-0000-00004D3F0000}"/>
    <cellStyle name="40% - Accent2 5 3 2 2 2 2 2" xfId="18305" xr:uid="{00000000-0005-0000-0000-00004E3F0000}"/>
    <cellStyle name="40% - Accent2 5 3 2 2 2 3" xfId="15591" xr:uid="{00000000-0005-0000-0000-00004F3F0000}"/>
    <cellStyle name="40% - Accent2 5 3 2 2 3" xfId="18306" xr:uid="{00000000-0005-0000-0000-0000503F0000}"/>
    <cellStyle name="40% - Accent2 5 3 2 2 3 2" xfId="33940" xr:uid="{00000000-0005-0000-0000-0000513F0000}"/>
    <cellStyle name="40% - Accent2 5 3 2 2 4" xfId="18307" xr:uid="{00000000-0005-0000-0000-0000523F0000}"/>
    <cellStyle name="40% - Accent2 5 3 2 3" xfId="18309" xr:uid="{00000000-0005-0000-0000-0000533F0000}"/>
    <cellStyle name="40% - Accent2 5 3 2 3 2" xfId="18310" xr:uid="{00000000-0005-0000-0000-0000543F0000}"/>
    <cellStyle name="40% - Accent2 5 3 2 3 2 2" xfId="15614" xr:uid="{00000000-0005-0000-0000-0000553F0000}"/>
    <cellStyle name="40% - Accent2 5 3 2 3 3" xfId="18312" xr:uid="{00000000-0005-0000-0000-0000563F0000}"/>
    <cellStyle name="40% - Accent2 5 3 2 4" xfId="18313" xr:uid="{00000000-0005-0000-0000-0000573F0000}"/>
    <cellStyle name="40% - Accent2 5 3 2 4 2" xfId="18314" xr:uid="{00000000-0005-0000-0000-0000583F0000}"/>
    <cellStyle name="40% - Accent2 5 3 2 5" xfId="2220" xr:uid="{00000000-0005-0000-0000-0000593F0000}"/>
    <cellStyle name="40% - Accent2 5 3 3" xfId="151" xr:uid="{00000000-0005-0000-0000-00005A3F0000}"/>
    <cellStyle name="40% - Accent2 5 3 3 2" xfId="13983" xr:uid="{00000000-0005-0000-0000-00005B3F0000}"/>
    <cellStyle name="40% - Accent2 5 3 3 2 2" xfId="18315" xr:uid="{00000000-0005-0000-0000-00005C3F0000}"/>
    <cellStyle name="40% - Accent2 5 3 3 2 2 2" xfId="15803" xr:uid="{00000000-0005-0000-0000-00005D3F0000}"/>
    <cellStyle name="40% - Accent2 5 3 3 2 3" xfId="18317" xr:uid="{00000000-0005-0000-0000-00005E3F0000}"/>
    <cellStyle name="40% - Accent2 5 3 3 3" xfId="13991" xr:uid="{00000000-0005-0000-0000-00005F3F0000}"/>
    <cellStyle name="40% - Accent2 5 3 3 3 2" xfId="18320" xr:uid="{00000000-0005-0000-0000-0000603F0000}"/>
    <cellStyle name="40% - Accent2 5 3 3 4" xfId="13995" xr:uid="{00000000-0005-0000-0000-0000613F0000}"/>
    <cellStyle name="40% - Accent2 5 3 4" xfId="326" xr:uid="{00000000-0005-0000-0000-0000623F0000}"/>
    <cellStyle name="40% - Accent2 5 3 4 2" xfId="4341" xr:uid="{00000000-0005-0000-0000-0000633F0000}"/>
    <cellStyle name="40% - Accent2 5 3 4 2 2" xfId="18323" xr:uid="{00000000-0005-0000-0000-0000643F0000}"/>
    <cellStyle name="40% - Accent2 5 3 4 3" xfId="4659" xr:uid="{00000000-0005-0000-0000-0000653F0000}"/>
    <cellStyle name="40% - Accent2 5 3 5" xfId="9191" xr:uid="{00000000-0005-0000-0000-0000663F0000}"/>
    <cellStyle name="40% - Accent2 5 3 5 2" xfId="4751" xr:uid="{00000000-0005-0000-0000-0000673F0000}"/>
    <cellStyle name="40% - Accent2 5 3 6" xfId="6060" xr:uid="{00000000-0005-0000-0000-0000683F0000}"/>
    <cellStyle name="40% - Accent2 5 4" xfId="3274" xr:uid="{00000000-0005-0000-0000-0000693F0000}"/>
    <cellStyle name="40% - Accent2 5 4 2" xfId="1529" xr:uid="{00000000-0005-0000-0000-00006A3F0000}"/>
    <cellStyle name="40% - Accent2 5 4 2 2" xfId="18326" xr:uid="{00000000-0005-0000-0000-00006B3F0000}"/>
    <cellStyle name="40% - Accent2 5 4 2 2 2" xfId="18328" xr:uid="{00000000-0005-0000-0000-00006C3F0000}"/>
    <cellStyle name="40% - Accent2 5 4 2 2 2 2" xfId="13957" xr:uid="{00000000-0005-0000-0000-00006D3F0000}"/>
    <cellStyle name="40% - Accent2 5 4 2 2 3" xfId="18329" xr:uid="{00000000-0005-0000-0000-00006E3F0000}"/>
    <cellStyle name="40% - Accent2 5 4 2 3" xfId="18330" xr:uid="{00000000-0005-0000-0000-00006F3F0000}"/>
    <cellStyle name="40% - Accent2 5 4 2 3 2" xfId="18331" xr:uid="{00000000-0005-0000-0000-0000703F0000}"/>
    <cellStyle name="40% - Accent2 5 4 2 4" xfId="22752" xr:uid="{00000000-0005-0000-0000-0000713F0000}"/>
    <cellStyle name="40% - Accent2 5 4 3" xfId="356" xr:uid="{00000000-0005-0000-0000-0000723F0000}"/>
    <cellStyle name="40% - Accent2 5 4 3 2" xfId="9537" xr:uid="{00000000-0005-0000-0000-0000733F0000}"/>
    <cellStyle name="40% - Accent2 5 4 3 2 2" xfId="18332" xr:uid="{00000000-0005-0000-0000-0000743F0000}"/>
    <cellStyle name="40% - Accent2 5 4 3 3" xfId="14004" xr:uid="{00000000-0005-0000-0000-0000753F0000}"/>
    <cellStyle name="40% - Accent2 5 4 4" xfId="1944" xr:uid="{00000000-0005-0000-0000-0000763F0000}"/>
    <cellStyle name="40% - Accent2 5 4 4 2" xfId="4927" xr:uid="{00000000-0005-0000-0000-0000773F0000}"/>
    <cellStyle name="40% - Accent2 5 4 5" xfId="24839" xr:uid="{00000000-0005-0000-0000-0000783F0000}"/>
    <cellStyle name="40% - Accent2 5 5" xfId="10883" xr:uid="{00000000-0005-0000-0000-0000793F0000}"/>
    <cellStyle name="40% - Accent2 5 5 2" xfId="18334" xr:uid="{00000000-0005-0000-0000-00007A3F0000}"/>
    <cellStyle name="40% - Accent2 5 5 2 2" xfId="18337" xr:uid="{00000000-0005-0000-0000-00007B3F0000}"/>
    <cellStyle name="40% - Accent2 5 5 2 2 2" xfId="32649" xr:uid="{00000000-0005-0000-0000-00007C3F0000}"/>
    <cellStyle name="40% - Accent2 5 5 2 3" xfId="18339" xr:uid="{00000000-0005-0000-0000-00007D3F0000}"/>
    <cellStyle name="40% - Accent2 5 5 3" xfId="1963" xr:uid="{00000000-0005-0000-0000-00007E3F0000}"/>
    <cellStyle name="40% - Accent2 5 5 3 2" xfId="14008" xr:uid="{00000000-0005-0000-0000-00007F3F0000}"/>
    <cellStyle name="40% - Accent2 5 5 4" xfId="2450" xr:uid="{00000000-0005-0000-0000-0000803F0000}"/>
    <cellStyle name="40% - Accent2 5 6" xfId="12233" xr:uid="{00000000-0005-0000-0000-0000813F0000}"/>
    <cellStyle name="40% - Accent2 5 6 2" xfId="20796" xr:uid="{00000000-0005-0000-0000-0000823F0000}"/>
    <cellStyle name="40% - Accent2 5 6 2 2" xfId="18340" xr:uid="{00000000-0005-0000-0000-0000833F0000}"/>
    <cellStyle name="40% - Accent2 5 6 3" xfId="20803" xr:uid="{00000000-0005-0000-0000-0000843F0000}"/>
    <cellStyle name="40% - Accent2 5 7" xfId="13437" xr:uid="{00000000-0005-0000-0000-0000853F0000}"/>
    <cellStyle name="40% - Accent2 5 7 2" xfId="2717" xr:uid="{00000000-0005-0000-0000-0000863F0000}"/>
    <cellStyle name="40% - Accent2 5 8" xfId="8104" xr:uid="{00000000-0005-0000-0000-0000873F0000}"/>
    <cellStyle name="40% - Accent2 6" xfId="18341" xr:uid="{00000000-0005-0000-0000-0000883F0000}"/>
    <cellStyle name="40% - Accent2 6 2" xfId="17743" xr:uid="{00000000-0005-0000-0000-0000893F0000}"/>
    <cellStyle name="40% - Accent2 6 2 2" xfId="18342" xr:uid="{00000000-0005-0000-0000-00008A3F0000}"/>
    <cellStyle name="40% - Accent2 6 2 2 2" xfId="5460" xr:uid="{00000000-0005-0000-0000-00008B3F0000}"/>
    <cellStyle name="40% - Accent2 6 2 2 2 2" xfId="26778" xr:uid="{00000000-0005-0000-0000-00008C3F0000}"/>
    <cellStyle name="40% - Accent2 6 2 2 2 2 2" xfId="16890" xr:uid="{00000000-0005-0000-0000-00008D3F0000}"/>
    <cellStyle name="40% - Accent2 6 2 2 2 2 2 2" xfId="24795" xr:uid="{00000000-0005-0000-0000-00008E3F0000}"/>
    <cellStyle name="40% - Accent2 6 2 2 2 2 3" xfId="571" xr:uid="{00000000-0005-0000-0000-00008F3F0000}"/>
    <cellStyle name="40% - Accent2 6 2 2 2 3" xfId="18343" xr:uid="{00000000-0005-0000-0000-0000903F0000}"/>
    <cellStyle name="40% - Accent2 6 2 2 2 3 2" xfId="31255" xr:uid="{00000000-0005-0000-0000-0000913F0000}"/>
    <cellStyle name="40% - Accent2 6 2 2 2 4" xfId="18345" xr:uid="{00000000-0005-0000-0000-0000923F0000}"/>
    <cellStyle name="40% - Accent2 6 2 2 3" xfId="25379" xr:uid="{00000000-0005-0000-0000-0000933F0000}"/>
    <cellStyle name="40% - Accent2 6 2 2 3 2" xfId="18347" xr:uid="{00000000-0005-0000-0000-0000943F0000}"/>
    <cellStyle name="40% - Accent2 6 2 2 3 2 2" xfId="18226" xr:uid="{00000000-0005-0000-0000-0000953F0000}"/>
    <cellStyle name="40% - Accent2 6 2 2 3 3" xfId="18350" xr:uid="{00000000-0005-0000-0000-0000963F0000}"/>
    <cellStyle name="40% - Accent2 6 2 2 4" xfId="18351" xr:uid="{00000000-0005-0000-0000-0000973F0000}"/>
    <cellStyle name="40% - Accent2 6 2 2 4 2" xfId="18352" xr:uid="{00000000-0005-0000-0000-0000983F0000}"/>
    <cellStyle name="40% - Accent2 6 2 2 5" xfId="33917" xr:uid="{00000000-0005-0000-0000-0000993F0000}"/>
    <cellStyle name="40% - Accent2 6 2 3" xfId="26915" xr:uid="{00000000-0005-0000-0000-00009A3F0000}"/>
    <cellStyle name="40% - Accent2 6 2 3 2" xfId="27543" xr:uid="{00000000-0005-0000-0000-00009B3F0000}"/>
    <cellStyle name="40% - Accent2 6 2 3 2 2" xfId="18354" xr:uid="{00000000-0005-0000-0000-00009C3F0000}"/>
    <cellStyle name="40% - Accent2 6 2 3 2 2 2" xfId="17169" xr:uid="{00000000-0005-0000-0000-00009D3F0000}"/>
    <cellStyle name="40% - Accent2 6 2 3 2 3" xfId="18359" xr:uid="{00000000-0005-0000-0000-00009E3F0000}"/>
    <cellStyle name="40% - Accent2 6 2 3 3" xfId="14102" xr:uid="{00000000-0005-0000-0000-00009F3F0000}"/>
    <cellStyle name="40% - Accent2 6 2 3 3 2" xfId="18362" xr:uid="{00000000-0005-0000-0000-0000A03F0000}"/>
    <cellStyle name="40% - Accent2 6 2 3 4" xfId="14105" xr:uid="{00000000-0005-0000-0000-0000A13F0000}"/>
    <cellStyle name="40% - Accent2 6 2 4" xfId="26765" xr:uid="{00000000-0005-0000-0000-0000A23F0000}"/>
    <cellStyle name="40% - Accent2 6 2 4 2" xfId="8885" xr:uid="{00000000-0005-0000-0000-0000A33F0000}"/>
    <cellStyle name="40% - Accent2 6 2 4 2 2" xfId="5681" xr:uid="{00000000-0005-0000-0000-0000A43F0000}"/>
    <cellStyle name="40% - Accent2 6 2 4 3" xfId="5903" xr:uid="{00000000-0005-0000-0000-0000A53F0000}"/>
    <cellStyle name="40% - Accent2 6 2 5" xfId="4073" xr:uid="{00000000-0005-0000-0000-0000A63F0000}"/>
    <cellStyle name="40% - Accent2 6 2 5 2" xfId="5912" xr:uid="{00000000-0005-0000-0000-0000A73F0000}"/>
    <cellStyle name="40% - Accent2 6 2 6" xfId="4885" xr:uid="{00000000-0005-0000-0000-0000A83F0000}"/>
    <cellStyle name="40% - Accent2 6 3" xfId="3679" xr:uid="{00000000-0005-0000-0000-0000A93F0000}"/>
    <cellStyle name="40% - Accent2 6 3 2" xfId="18366" xr:uid="{00000000-0005-0000-0000-0000AA3F0000}"/>
    <cellStyle name="40% - Accent2 6 3 2 2" xfId="18368" xr:uid="{00000000-0005-0000-0000-0000AB3F0000}"/>
    <cellStyle name="40% - Accent2 6 3 2 2 2" xfId="19212" xr:uid="{00000000-0005-0000-0000-0000AC3F0000}"/>
    <cellStyle name="40% - Accent2 6 3 2 2 2 2" xfId="19320" xr:uid="{00000000-0005-0000-0000-0000AD3F0000}"/>
    <cellStyle name="40% - Accent2 6 3 2 2 3" xfId="19591" xr:uid="{00000000-0005-0000-0000-0000AE3F0000}"/>
    <cellStyle name="40% - Accent2 6 3 2 3" xfId="18370" xr:uid="{00000000-0005-0000-0000-0000AF3F0000}"/>
    <cellStyle name="40% - Accent2 6 3 2 3 2" xfId="26967" xr:uid="{00000000-0005-0000-0000-0000B03F0000}"/>
    <cellStyle name="40% - Accent2 6 3 2 4" xfId="18373" xr:uid="{00000000-0005-0000-0000-0000B13F0000}"/>
    <cellStyle name="40% - Accent2 6 3 3" xfId="26770" xr:uid="{00000000-0005-0000-0000-0000B23F0000}"/>
    <cellStyle name="40% - Accent2 6 3 3 2" xfId="14126" xr:uid="{00000000-0005-0000-0000-0000B33F0000}"/>
    <cellStyle name="40% - Accent2 6 3 3 2 2" xfId="18377" xr:uid="{00000000-0005-0000-0000-0000B43F0000}"/>
    <cellStyle name="40% - Accent2 6 3 3 3" xfId="16952" xr:uid="{00000000-0005-0000-0000-0000B53F0000}"/>
    <cellStyle name="40% - Accent2 6 3 4" xfId="9064" xr:uid="{00000000-0005-0000-0000-0000B63F0000}"/>
    <cellStyle name="40% - Accent2 6 3 4 2" xfId="24627" xr:uid="{00000000-0005-0000-0000-0000B73F0000}"/>
    <cellStyle name="40% - Accent2 6 3 5" xfId="9076" xr:uid="{00000000-0005-0000-0000-0000B83F0000}"/>
    <cellStyle name="40% - Accent2 6 4" xfId="18383" xr:uid="{00000000-0005-0000-0000-0000B93F0000}"/>
    <cellStyle name="40% - Accent2 6 4 2" xfId="18385" xr:uid="{00000000-0005-0000-0000-0000BA3F0000}"/>
    <cellStyle name="40% - Accent2 6 4 2 2" xfId="18386" xr:uid="{00000000-0005-0000-0000-0000BB3F0000}"/>
    <cellStyle name="40% - Accent2 6 4 2 2 2" xfId="18388" xr:uid="{00000000-0005-0000-0000-0000BC3F0000}"/>
    <cellStyle name="40% - Accent2 6 4 2 3" xfId="18389" xr:uid="{00000000-0005-0000-0000-0000BD3F0000}"/>
    <cellStyle name="40% - Accent2 6 4 3" xfId="9099" xr:uid="{00000000-0005-0000-0000-0000BE3F0000}"/>
    <cellStyle name="40% - Accent2 6 4 3 2" xfId="11210" xr:uid="{00000000-0005-0000-0000-0000BF3F0000}"/>
    <cellStyle name="40% - Accent2 6 4 4" xfId="9105" xr:uid="{00000000-0005-0000-0000-0000C03F0000}"/>
    <cellStyle name="40% - Accent2 6 5" xfId="12238" xr:uid="{00000000-0005-0000-0000-0000C13F0000}"/>
    <cellStyle name="40% - Accent2 6 5 2" xfId="18392" xr:uid="{00000000-0005-0000-0000-0000C23F0000}"/>
    <cellStyle name="40% - Accent2 6 5 2 2" xfId="18394" xr:uid="{00000000-0005-0000-0000-0000C33F0000}"/>
    <cellStyle name="40% - Accent2 6 5 3" xfId="5350" xr:uid="{00000000-0005-0000-0000-0000C43F0000}"/>
    <cellStyle name="40% - Accent2 6 6" xfId="13441" xr:uid="{00000000-0005-0000-0000-0000C53F0000}"/>
    <cellStyle name="40% - Accent2 6 6 2" xfId="18396" xr:uid="{00000000-0005-0000-0000-0000C63F0000}"/>
    <cellStyle name="40% - Accent2 6 7" xfId="18398" xr:uid="{00000000-0005-0000-0000-0000C73F0000}"/>
    <cellStyle name="40% - Accent2 7" xfId="18400" xr:uid="{00000000-0005-0000-0000-0000C83F0000}"/>
    <cellStyle name="40% - Accent2 7 2" xfId="12685" xr:uid="{00000000-0005-0000-0000-0000C93F0000}"/>
    <cellStyle name="40% - Accent2 7 2 2" xfId="18403" xr:uid="{00000000-0005-0000-0000-0000CA3F0000}"/>
    <cellStyle name="40% - Accent2 7 2 2 2" xfId="18404" xr:uid="{00000000-0005-0000-0000-0000CB3F0000}"/>
    <cellStyle name="40% - Accent2 7 2 2 2 2" xfId="22690" xr:uid="{00000000-0005-0000-0000-0000CC3F0000}"/>
    <cellStyle name="40% - Accent2 7 2 2 2 2 2" xfId="18409" xr:uid="{00000000-0005-0000-0000-0000CD3F0000}"/>
    <cellStyle name="40% - Accent2 7 2 2 2 3" xfId="18411" xr:uid="{00000000-0005-0000-0000-0000CE3F0000}"/>
    <cellStyle name="40% - Accent2 7 2 2 3" xfId="18414" xr:uid="{00000000-0005-0000-0000-0000CF3F0000}"/>
    <cellStyle name="40% - Accent2 7 2 2 3 2" xfId="18416" xr:uid="{00000000-0005-0000-0000-0000D03F0000}"/>
    <cellStyle name="40% - Accent2 7 2 2 4" xfId="18418" xr:uid="{00000000-0005-0000-0000-0000D13F0000}"/>
    <cellStyle name="40% - Accent2 7 2 3" xfId="19391" xr:uid="{00000000-0005-0000-0000-0000D23F0000}"/>
    <cellStyle name="40% - Accent2 7 2 3 2" xfId="16678" xr:uid="{00000000-0005-0000-0000-0000D33F0000}"/>
    <cellStyle name="40% - Accent2 7 2 3 2 2" xfId="18420" xr:uid="{00000000-0005-0000-0000-0000D43F0000}"/>
    <cellStyle name="40% - Accent2 7 2 3 3" xfId="6148" xr:uid="{00000000-0005-0000-0000-0000D53F0000}"/>
    <cellStyle name="40% - Accent2 7 2 4" xfId="4206" xr:uid="{00000000-0005-0000-0000-0000D63F0000}"/>
    <cellStyle name="40% - Accent2 7 2 4 2" xfId="11530" xr:uid="{00000000-0005-0000-0000-0000D73F0000}"/>
    <cellStyle name="40% - Accent2 7 2 5" xfId="7983" xr:uid="{00000000-0005-0000-0000-0000D83F0000}"/>
    <cellStyle name="40% - Accent2 7 3" xfId="18421" xr:uid="{00000000-0005-0000-0000-0000D93F0000}"/>
    <cellStyle name="40% - Accent2 7 3 2" xfId="26752" xr:uid="{00000000-0005-0000-0000-0000DA3F0000}"/>
    <cellStyle name="40% - Accent2 7 3 2 2" xfId="18423" xr:uid="{00000000-0005-0000-0000-0000DB3F0000}"/>
    <cellStyle name="40% - Accent2 7 3 2 2 2" xfId="18425" xr:uid="{00000000-0005-0000-0000-0000DC3F0000}"/>
    <cellStyle name="40% - Accent2 7 3 2 3" xfId="18426" xr:uid="{00000000-0005-0000-0000-0000DD3F0000}"/>
    <cellStyle name="40% - Accent2 7 3 3" xfId="9156" xr:uid="{00000000-0005-0000-0000-0000DE3F0000}"/>
    <cellStyle name="40% - Accent2 7 3 3 2" xfId="10828" xr:uid="{00000000-0005-0000-0000-0000DF3F0000}"/>
    <cellStyle name="40% - Accent2 7 3 4" xfId="9162" xr:uid="{00000000-0005-0000-0000-0000E03F0000}"/>
    <cellStyle name="40% - Accent2 7 4" xfId="18428" xr:uid="{00000000-0005-0000-0000-0000E13F0000}"/>
    <cellStyle name="40% - Accent2 7 4 2" xfId="18431" xr:uid="{00000000-0005-0000-0000-0000E23F0000}"/>
    <cellStyle name="40% - Accent2 7 4 2 2" xfId="18433" xr:uid="{00000000-0005-0000-0000-0000E33F0000}"/>
    <cellStyle name="40% - Accent2 7 4 3" xfId="8060" xr:uid="{00000000-0005-0000-0000-0000E43F0000}"/>
    <cellStyle name="40% - Accent2 7 5" xfId="7067" xr:uid="{00000000-0005-0000-0000-0000E53F0000}"/>
    <cellStyle name="40% - Accent2 7 5 2" xfId="18435" xr:uid="{00000000-0005-0000-0000-0000E63F0000}"/>
    <cellStyle name="40% - Accent2 7 6" xfId="18437" xr:uid="{00000000-0005-0000-0000-0000E73F0000}"/>
    <cellStyle name="40% - Accent2 8" xfId="18438" xr:uid="{00000000-0005-0000-0000-0000E83F0000}"/>
    <cellStyle name="40% - Accent2 8 2" xfId="18440" xr:uid="{00000000-0005-0000-0000-0000E93F0000}"/>
    <cellStyle name="40% - Accent2 8 2 2" xfId="1376" xr:uid="{00000000-0005-0000-0000-0000EA3F0000}"/>
    <cellStyle name="40% - Accent2 8 2 2 2" xfId="18442" xr:uid="{00000000-0005-0000-0000-0000EB3F0000}"/>
    <cellStyle name="40% - Accent2 8 2 2 2 2" xfId="18445" xr:uid="{00000000-0005-0000-0000-0000EC3F0000}"/>
    <cellStyle name="40% - Accent2 8 2 2 3" xfId="18446" xr:uid="{00000000-0005-0000-0000-0000ED3F0000}"/>
    <cellStyle name="40% - Accent2 8 2 3" xfId="2434" xr:uid="{00000000-0005-0000-0000-0000EE3F0000}"/>
    <cellStyle name="40% - Accent2 8 2 3 2" xfId="10969" xr:uid="{00000000-0005-0000-0000-0000EF3F0000}"/>
    <cellStyle name="40% - Accent2 8 2 4" xfId="4215" xr:uid="{00000000-0005-0000-0000-0000F03F0000}"/>
    <cellStyle name="40% - Accent2 8 3" xfId="18448" xr:uid="{00000000-0005-0000-0000-0000F13F0000}"/>
    <cellStyle name="40% - Accent2 8 3 2" xfId="18452" xr:uid="{00000000-0005-0000-0000-0000F23F0000}"/>
    <cellStyle name="40% - Accent2 8 3 2 2" xfId="14372" xr:uid="{00000000-0005-0000-0000-0000F33F0000}"/>
    <cellStyle name="40% - Accent2 8 3 3" xfId="9212" xr:uid="{00000000-0005-0000-0000-0000F43F0000}"/>
    <cellStyle name="40% - Accent2 8 4" xfId="24260" xr:uid="{00000000-0005-0000-0000-0000F53F0000}"/>
    <cellStyle name="40% - Accent2 8 4 2" xfId="18456" xr:uid="{00000000-0005-0000-0000-0000F63F0000}"/>
    <cellStyle name="40% - Accent2 8 5" xfId="18457" xr:uid="{00000000-0005-0000-0000-0000F73F0000}"/>
    <cellStyle name="40% - Accent2 9" xfId="14363" xr:uid="{00000000-0005-0000-0000-0000F83F0000}"/>
    <cellStyle name="40% - Accent2 9 2" xfId="18458" xr:uid="{00000000-0005-0000-0000-0000F93F0000}"/>
    <cellStyle name="40% - Accent2 9 2 2" xfId="23065" xr:uid="{00000000-0005-0000-0000-0000FA3F0000}"/>
    <cellStyle name="40% - Accent2 9 2 2 2" xfId="18459" xr:uid="{00000000-0005-0000-0000-0000FB3F0000}"/>
    <cellStyle name="40% - Accent2 9 2 3" xfId="8873" xr:uid="{00000000-0005-0000-0000-0000FC3F0000}"/>
    <cellStyle name="40% - Accent2 9 3" xfId="32553" xr:uid="{00000000-0005-0000-0000-0000FD3F0000}"/>
    <cellStyle name="40% - Accent2 9 3 2" xfId="18461" xr:uid="{00000000-0005-0000-0000-0000FE3F0000}"/>
    <cellStyle name="40% - Accent2 9 4" xfId="30133" xr:uid="{00000000-0005-0000-0000-0000FF3F0000}"/>
    <cellStyle name="40% - Accent3 10" xfId="28071" xr:uid="{00000000-0005-0000-0000-000000400000}"/>
    <cellStyle name="40% - Accent3 10 2" xfId="18463" xr:uid="{00000000-0005-0000-0000-000001400000}"/>
    <cellStyle name="40% - Accent3 10 2 2" xfId="18466" xr:uid="{00000000-0005-0000-0000-000002400000}"/>
    <cellStyle name="40% - Accent3 10 3" xfId="29731" xr:uid="{00000000-0005-0000-0000-000003400000}"/>
    <cellStyle name="40% - Accent3 11" xfId="18468" xr:uid="{00000000-0005-0000-0000-000004400000}"/>
    <cellStyle name="40% - Accent3 11 2" xfId="18470" xr:uid="{00000000-0005-0000-0000-000005400000}"/>
    <cellStyle name="40% - Accent3 12" xfId="18586" xr:uid="{00000000-0005-0000-0000-000006400000}"/>
    <cellStyle name="40% - Accent3 13" xfId="3996" xr:uid="{00000000-0005-0000-0000-000007400000}"/>
    <cellStyle name="40% - Accent3 2" xfId="29673" xr:uid="{00000000-0005-0000-0000-000008400000}"/>
    <cellStyle name="40% - Accent3 2 10" xfId="24953" xr:uid="{00000000-0005-0000-0000-000009400000}"/>
    <cellStyle name="40% - Accent3 2 10 2" xfId="18471" xr:uid="{00000000-0005-0000-0000-00000A400000}"/>
    <cellStyle name="40% - Accent3 2 11" xfId="18473" xr:uid="{00000000-0005-0000-0000-00000B400000}"/>
    <cellStyle name="40% - Accent3 2 2" xfId="18476" xr:uid="{00000000-0005-0000-0000-00000C400000}"/>
    <cellStyle name="40% - Accent3 2 2 10" xfId="8054" xr:uid="{00000000-0005-0000-0000-00000D400000}"/>
    <cellStyle name="40% - Accent3 2 2 2" xfId="23092" xr:uid="{00000000-0005-0000-0000-00000E400000}"/>
    <cellStyle name="40% - Accent3 2 2 2 2" xfId="23097" xr:uid="{00000000-0005-0000-0000-00000F400000}"/>
    <cellStyle name="40% - Accent3 2 2 2 2 2" xfId="18478" xr:uid="{00000000-0005-0000-0000-000010400000}"/>
    <cellStyle name="40% - Accent3 2 2 2 2 2 2" xfId="23104" xr:uid="{00000000-0005-0000-0000-000011400000}"/>
    <cellStyle name="40% - Accent3 2 2 2 2 2 2 2" xfId="6869" xr:uid="{00000000-0005-0000-0000-000012400000}"/>
    <cellStyle name="40% - Accent3 2 2 2 2 2 2 2 2" xfId="31759" xr:uid="{00000000-0005-0000-0000-000013400000}"/>
    <cellStyle name="40% - Accent3 2 2 2 2 2 2 2 2 2" xfId="4665" xr:uid="{00000000-0005-0000-0000-000014400000}"/>
    <cellStyle name="40% - Accent3 2 2 2 2 2 2 2 2 2 2" xfId="18481" xr:uid="{00000000-0005-0000-0000-000015400000}"/>
    <cellStyle name="40% - Accent3 2 2 2 2 2 2 2 2 2 2 2" xfId="18485" xr:uid="{00000000-0005-0000-0000-000016400000}"/>
    <cellStyle name="40% - Accent3 2 2 2 2 2 2 2 2 2 3" xfId="15174" xr:uid="{00000000-0005-0000-0000-000017400000}"/>
    <cellStyle name="40% - Accent3 2 2 2 2 2 2 2 2 3" xfId="22092" xr:uid="{00000000-0005-0000-0000-000018400000}"/>
    <cellStyle name="40% - Accent3 2 2 2 2 2 2 2 2 3 2" xfId="18488" xr:uid="{00000000-0005-0000-0000-000019400000}"/>
    <cellStyle name="40% - Accent3 2 2 2 2 2 2 2 2 4" xfId="17441" xr:uid="{00000000-0005-0000-0000-00001A400000}"/>
    <cellStyle name="40% - Accent3 2 2 2 2 2 2 2 3" xfId="28695" xr:uid="{00000000-0005-0000-0000-00001B400000}"/>
    <cellStyle name="40% - Accent3 2 2 2 2 2 2 2 3 2" xfId="1116" xr:uid="{00000000-0005-0000-0000-00001C400000}"/>
    <cellStyle name="40% - Accent3 2 2 2 2 2 2 2 3 2 2" xfId="2674" xr:uid="{00000000-0005-0000-0000-00001D400000}"/>
    <cellStyle name="40% - Accent3 2 2 2 2 2 2 2 3 3" xfId="2360" xr:uid="{00000000-0005-0000-0000-00001E400000}"/>
    <cellStyle name="40% - Accent3 2 2 2 2 2 2 2 4" xfId="18492" xr:uid="{00000000-0005-0000-0000-00001F400000}"/>
    <cellStyle name="40% - Accent3 2 2 2 2 2 2 2 4 2" xfId="24943" xr:uid="{00000000-0005-0000-0000-000020400000}"/>
    <cellStyle name="40% - Accent3 2 2 2 2 2 2 2 5" xfId="31739" xr:uid="{00000000-0005-0000-0000-000021400000}"/>
    <cellStyle name="40% - Accent3 2 2 2 2 2 2 3" xfId="13653" xr:uid="{00000000-0005-0000-0000-000022400000}"/>
    <cellStyle name="40% - Accent3 2 2 2 2 2 2 3 2" xfId="18493" xr:uid="{00000000-0005-0000-0000-000023400000}"/>
    <cellStyle name="40% - Accent3 2 2 2 2 2 2 3 2 2" xfId="17854" xr:uid="{00000000-0005-0000-0000-000024400000}"/>
    <cellStyle name="40% - Accent3 2 2 2 2 2 2 3 2 2 2" xfId="18494" xr:uid="{00000000-0005-0000-0000-000025400000}"/>
    <cellStyle name="40% - Accent3 2 2 2 2 2 2 3 2 3" xfId="23307" xr:uid="{00000000-0005-0000-0000-000026400000}"/>
    <cellStyle name="40% - Accent3 2 2 2 2 2 2 3 3" xfId="18501" xr:uid="{00000000-0005-0000-0000-000027400000}"/>
    <cellStyle name="40% - Accent3 2 2 2 2 2 2 3 3 2" xfId="2044" xr:uid="{00000000-0005-0000-0000-000028400000}"/>
    <cellStyle name="40% - Accent3 2 2 2 2 2 2 3 4" xfId="18503" xr:uid="{00000000-0005-0000-0000-000029400000}"/>
    <cellStyle name="40% - Accent3 2 2 2 2 2 2 4" xfId="13668" xr:uid="{00000000-0005-0000-0000-00002A400000}"/>
    <cellStyle name="40% - Accent3 2 2 2 2 2 2 4 2" xfId="18507" xr:uid="{00000000-0005-0000-0000-00002B400000}"/>
    <cellStyle name="40% - Accent3 2 2 2 2 2 2 4 2 2" xfId="474" xr:uid="{00000000-0005-0000-0000-00002C400000}"/>
    <cellStyle name="40% - Accent3 2 2 2 2 2 2 4 3" xfId="18509" xr:uid="{00000000-0005-0000-0000-00002D400000}"/>
    <cellStyle name="40% - Accent3 2 2 2 2 2 2 5" xfId="17101" xr:uid="{00000000-0005-0000-0000-00002E400000}"/>
    <cellStyle name="40% - Accent3 2 2 2 2 2 2 5 2" xfId="15739" xr:uid="{00000000-0005-0000-0000-00002F400000}"/>
    <cellStyle name="40% - Accent3 2 2 2 2 2 2 6" xfId="13673" xr:uid="{00000000-0005-0000-0000-000030400000}"/>
    <cellStyle name="40% - Accent3 2 2 2 2 2 3" xfId="23753" xr:uid="{00000000-0005-0000-0000-000031400000}"/>
    <cellStyle name="40% - Accent3 2 2 2 2 2 3 2" xfId="24692" xr:uid="{00000000-0005-0000-0000-000032400000}"/>
    <cellStyle name="40% - Accent3 2 2 2 2 2 3 2 2" xfId="5645" xr:uid="{00000000-0005-0000-0000-000033400000}"/>
    <cellStyle name="40% - Accent3 2 2 2 2 2 3 2 2 2" xfId="33391" xr:uid="{00000000-0005-0000-0000-000034400000}"/>
    <cellStyle name="40% - Accent3 2 2 2 2 2 3 2 2 2 2" xfId="18520" xr:uid="{00000000-0005-0000-0000-000035400000}"/>
    <cellStyle name="40% - Accent3 2 2 2 2 2 3 2 2 3" xfId="18523" xr:uid="{00000000-0005-0000-0000-000036400000}"/>
    <cellStyle name="40% - Accent3 2 2 2 2 2 3 2 3" xfId="18528" xr:uid="{00000000-0005-0000-0000-000037400000}"/>
    <cellStyle name="40% - Accent3 2 2 2 2 2 3 2 3 2" xfId="2442" xr:uid="{00000000-0005-0000-0000-000038400000}"/>
    <cellStyle name="40% - Accent3 2 2 2 2 2 3 2 4" xfId="28454" xr:uid="{00000000-0005-0000-0000-000039400000}"/>
    <cellStyle name="40% - Accent3 2 2 2 2 2 3 3" xfId="23133" xr:uid="{00000000-0005-0000-0000-00003A400000}"/>
    <cellStyle name="40% - Accent3 2 2 2 2 2 3 3 2" xfId="18531" xr:uid="{00000000-0005-0000-0000-00003B400000}"/>
    <cellStyle name="40% - Accent3 2 2 2 2 2 3 3 2 2" xfId="18532" xr:uid="{00000000-0005-0000-0000-00003C400000}"/>
    <cellStyle name="40% - Accent3 2 2 2 2 2 3 3 3" xfId="18534" xr:uid="{00000000-0005-0000-0000-00003D400000}"/>
    <cellStyle name="40% - Accent3 2 2 2 2 2 3 4" xfId="11268" xr:uid="{00000000-0005-0000-0000-00003E400000}"/>
    <cellStyle name="40% - Accent3 2 2 2 2 2 3 4 2" xfId="18538" xr:uid="{00000000-0005-0000-0000-00003F400000}"/>
    <cellStyle name="40% - Accent3 2 2 2 2 2 3 5" xfId="11318" xr:uid="{00000000-0005-0000-0000-000040400000}"/>
    <cellStyle name="40% - Accent3 2 2 2 2 2 4" xfId="23122" xr:uid="{00000000-0005-0000-0000-000041400000}"/>
    <cellStyle name="40% - Accent3 2 2 2 2 2 4 2" xfId="18542" xr:uid="{00000000-0005-0000-0000-000042400000}"/>
    <cellStyle name="40% - Accent3 2 2 2 2 2 4 2 2" xfId="23432" xr:uid="{00000000-0005-0000-0000-000043400000}"/>
    <cellStyle name="40% - Accent3 2 2 2 2 2 4 2 2 2" xfId="19131" xr:uid="{00000000-0005-0000-0000-000044400000}"/>
    <cellStyle name="40% - Accent3 2 2 2 2 2 4 2 3" xfId="18547" xr:uid="{00000000-0005-0000-0000-000045400000}"/>
    <cellStyle name="40% - Accent3 2 2 2 2 2 4 3" xfId="25700" xr:uid="{00000000-0005-0000-0000-000046400000}"/>
    <cellStyle name="40% - Accent3 2 2 2 2 2 4 3 2" xfId="23451" xr:uid="{00000000-0005-0000-0000-000047400000}"/>
    <cellStyle name="40% - Accent3 2 2 2 2 2 4 4" xfId="11309" xr:uid="{00000000-0005-0000-0000-000048400000}"/>
    <cellStyle name="40% - Accent3 2 2 2 2 2 5" xfId="18549" xr:uid="{00000000-0005-0000-0000-000049400000}"/>
    <cellStyle name="40% - Accent3 2 2 2 2 2 5 2" xfId="18550" xr:uid="{00000000-0005-0000-0000-00004A400000}"/>
    <cellStyle name="40% - Accent3 2 2 2 2 2 5 2 2" xfId="23515" xr:uid="{00000000-0005-0000-0000-00004B400000}"/>
    <cellStyle name="40% - Accent3 2 2 2 2 2 5 3" xfId="27141" xr:uid="{00000000-0005-0000-0000-00004C400000}"/>
    <cellStyle name="40% - Accent3 2 2 2 2 2 6" xfId="29345" xr:uid="{00000000-0005-0000-0000-00004D400000}"/>
    <cellStyle name="40% - Accent3 2 2 2 2 2 6 2" xfId="20523" xr:uid="{00000000-0005-0000-0000-00004E400000}"/>
    <cellStyle name="40% - Accent3 2 2 2 2 2 7" xfId="2096" xr:uid="{00000000-0005-0000-0000-00004F400000}"/>
    <cellStyle name="40% - Accent3 2 2 2 2 3" xfId="24708" xr:uid="{00000000-0005-0000-0000-000050400000}"/>
    <cellStyle name="40% - Accent3 2 2 2 2 3 2" xfId="19411" xr:uid="{00000000-0005-0000-0000-000051400000}"/>
    <cellStyle name="40% - Accent3 2 2 2 2 3 2 2" xfId="18553" xr:uid="{00000000-0005-0000-0000-000052400000}"/>
    <cellStyle name="40% - Accent3 2 2 2 2 3 2 2 2" xfId="18563" xr:uid="{00000000-0005-0000-0000-000053400000}"/>
    <cellStyle name="40% - Accent3 2 2 2 2 3 2 2 2 2" xfId="18565" xr:uid="{00000000-0005-0000-0000-000054400000}"/>
    <cellStyle name="40% - Accent3 2 2 2 2 3 2 2 2 2 2" xfId="31466" xr:uid="{00000000-0005-0000-0000-000055400000}"/>
    <cellStyle name="40% - Accent3 2 2 2 2 3 2 2 2 3" xfId="18567" xr:uid="{00000000-0005-0000-0000-000056400000}"/>
    <cellStyle name="40% - Accent3 2 2 2 2 3 2 2 3" xfId="33344" xr:uid="{00000000-0005-0000-0000-000057400000}"/>
    <cellStyle name="40% - Accent3 2 2 2 2 3 2 2 3 2" xfId="1315" xr:uid="{00000000-0005-0000-0000-000058400000}"/>
    <cellStyle name="40% - Accent3 2 2 2 2 3 2 2 4" xfId="18571" xr:uid="{00000000-0005-0000-0000-000059400000}"/>
    <cellStyle name="40% - Accent3 2 2 2 2 3 2 3" xfId="13767" xr:uid="{00000000-0005-0000-0000-00005A400000}"/>
    <cellStyle name="40% - Accent3 2 2 2 2 3 2 3 2" xfId="18572" xr:uid="{00000000-0005-0000-0000-00005B400000}"/>
    <cellStyle name="40% - Accent3 2 2 2 2 3 2 3 2 2" xfId="18573" xr:uid="{00000000-0005-0000-0000-00005C400000}"/>
    <cellStyle name="40% - Accent3 2 2 2 2 3 2 3 3" xfId="18574" xr:uid="{00000000-0005-0000-0000-00005D400000}"/>
    <cellStyle name="40% - Accent3 2 2 2 2 3 2 4" xfId="32227" xr:uid="{00000000-0005-0000-0000-00005E400000}"/>
    <cellStyle name="40% - Accent3 2 2 2 2 3 2 4 2" xfId="18578" xr:uid="{00000000-0005-0000-0000-00005F400000}"/>
    <cellStyle name="40% - Accent3 2 2 2 2 3 2 5" xfId="15879" xr:uid="{00000000-0005-0000-0000-000060400000}"/>
    <cellStyle name="40% - Accent3 2 2 2 2 3 3" xfId="21562" xr:uid="{00000000-0005-0000-0000-000061400000}"/>
    <cellStyle name="40% - Accent3 2 2 2 2 3 3 2" xfId="32247" xr:uid="{00000000-0005-0000-0000-000062400000}"/>
    <cellStyle name="40% - Accent3 2 2 2 2 3 3 2 2" xfId="18580" xr:uid="{00000000-0005-0000-0000-000063400000}"/>
    <cellStyle name="40% - Accent3 2 2 2 2 3 3 2 2 2" xfId="17914" xr:uid="{00000000-0005-0000-0000-000064400000}"/>
    <cellStyle name="40% - Accent3 2 2 2 2 3 3 2 3" xfId="18581" xr:uid="{00000000-0005-0000-0000-000065400000}"/>
    <cellStyle name="40% - Accent3 2 2 2 2 3 3 3" xfId="28237" xr:uid="{00000000-0005-0000-0000-000066400000}"/>
    <cellStyle name="40% - Accent3 2 2 2 2 3 3 3 2" xfId="18582" xr:uid="{00000000-0005-0000-0000-000067400000}"/>
    <cellStyle name="40% - Accent3 2 2 2 2 3 3 4" xfId="11381" xr:uid="{00000000-0005-0000-0000-000068400000}"/>
    <cellStyle name="40% - Accent3 2 2 2 2 3 4" xfId="18583" xr:uid="{00000000-0005-0000-0000-000069400000}"/>
    <cellStyle name="40% - Accent3 2 2 2 2 3 4 2" xfId="18584" xr:uid="{00000000-0005-0000-0000-00006A400000}"/>
    <cellStyle name="40% - Accent3 2 2 2 2 3 4 2 2" xfId="23689" xr:uid="{00000000-0005-0000-0000-00006B400000}"/>
    <cellStyle name="40% - Accent3 2 2 2 2 3 4 3" xfId="3997" xr:uid="{00000000-0005-0000-0000-00006C400000}"/>
    <cellStyle name="40% - Accent3 2 2 2 2 3 5" xfId="18587" xr:uid="{00000000-0005-0000-0000-00006D400000}"/>
    <cellStyle name="40% - Accent3 2 2 2 2 3 5 2" xfId="27502" xr:uid="{00000000-0005-0000-0000-00006E400000}"/>
    <cellStyle name="40% - Accent3 2 2 2 2 3 6" xfId="18970" xr:uid="{00000000-0005-0000-0000-00006F400000}"/>
    <cellStyle name="40% - Accent3 2 2 2 2 4" xfId="22437" xr:uid="{00000000-0005-0000-0000-000070400000}"/>
    <cellStyle name="40% - Accent3 2 2 2 2 4 2" xfId="19437" xr:uid="{00000000-0005-0000-0000-000071400000}"/>
    <cellStyle name="40% - Accent3 2 2 2 2 4 2 2" xfId="17420" xr:uid="{00000000-0005-0000-0000-000072400000}"/>
    <cellStyle name="40% - Accent3 2 2 2 2 4 2 2 2" xfId="3241" xr:uid="{00000000-0005-0000-0000-000073400000}"/>
    <cellStyle name="40% - Accent3 2 2 2 2 4 2 2 2 2" xfId="18600" xr:uid="{00000000-0005-0000-0000-000074400000}"/>
    <cellStyle name="40% - Accent3 2 2 2 2 4 2 2 3" xfId="29798" xr:uid="{00000000-0005-0000-0000-000075400000}"/>
    <cellStyle name="40% - Accent3 2 2 2 2 4 2 3" xfId="13806" xr:uid="{00000000-0005-0000-0000-000076400000}"/>
    <cellStyle name="40% - Accent3 2 2 2 2 4 2 3 2" xfId="12371" xr:uid="{00000000-0005-0000-0000-000077400000}"/>
    <cellStyle name="40% - Accent3 2 2 2 2 4 2 4" xfId="14855" xr:uid="{00000000-0005-0000-0000-000078400000}"/>
    <cellStyle name="40% - Accent3 2 2 2 2 4 3" xfId="1858" xr:uid="{00000000-0005-0000-0000-000079400000}"/>
    <cellStyle name="40% - Accent3 2 2 2 2 4 3 2" xfId="32271" xr:uid="{00000000-0005-0000-0000-00007A400000}"/>
    <cellStyle name="40% - Accent3 2 2 2 2 4 3 2 2" xfId="18603" xr:uid="{00000000-0005-0000-0000-00007B400000}"/>
    <cellStyle name="40% - Accent3 2 2 2 2 4 3 3" xfId="32792" xr:uid="{00000000-0005-0000-0000-00007C400000}"/>
    <cellStyle name="40% - Accent3 2 2 2 2 4 4" xfId="18604" xr:uid="{00000000-0005-0000-0000-00007D400000}"/>
    <cellStyle name="40% - Accent3 2 2 2 2 4 4 2" xfId="32897" xr:uid="{00000000-0005-0000-0000-00007E400000}"/>
    <cellStyle name="40% - Accent3 2 2 2 2 4 5" xfId="18605" xr:uid="{00000000-0005-0000-0000-00007F400000}"/>
    <cellStyle name="40% - Accent3 2 2 2 2 5" xfId="21609" xr:uid="{00000000-0005-0000-0000-000080400000}"/>
    <cellStyle name="40% - Accent3 2 2 2 2 5 2" xfId="1780" xr:uid="{00000000-0005-0000-0000-000081400000}"/>
    <cellStyle name="40% - Accent3 2 2 2 2 5 2 2" xfId="15072" xr:uid="{00000000-0005-0000-0000-000082400000}"/>
    <cellStyle name="40% - Accent3 2 2 2 2 5 2 2 2" xfId="6639" xr:uid="{00000000-0005-0000-0000-000083400000}"/>
    <cellStyle name="40% - Accent3 2 2 2 2 5 2 3" xfId="29327" xr:uid="{00000000-0005-0000-0000-000084400000}"/>
    <cellStyle name="40% - Accent3 2 2 2 2 5 3" xfId="18610" xr:uid="{00000000-0005-0000-0000-000085400000}"/>
    <cellStyle name="40% - Accent3 2 2 2 2 5 3 2" xfId="31206" xr:uid="{00000000-0005-0000-0000-000086400000}"/>
    <cellStyle name="40% - Accent3 2 2 2 2 5 4" xfId="18611" xr:uid="{00000000-0005-0000-0000-000087400000}"/>
    <cellStyle name="40% - Accent3 2 2 2 2 6" xfId="18612" xr:uid="{00000000-0005-0000-0000-000088400000}"/>
    <cellStyle name="40% - Accent3 2 2 2 2 6 2" xfId="18614" xr:uid="{00000000-0005-0000-0000-000089400000}"/>
    <cellStyle name="40% - Accent3 2 2 2 2 6 2 2" xfId="18617" xr:uid="{00000000-0005-0000-0000-00008A400000}"/>
    <cellStyle name="40% - Accent3 2 2 2 2 6 3" xfId="18620" xr:uid="{00000000-0005-0000-0000-00008B400000}"/>
    <cellStyle name="40% - Accent3 2 2 2 2 7" xfId="8888" xr:uid="{00000000-0005-0000-0000-00008C400000}"/>
    <cellStyle name="40% - Accent3 2 2 2 2 7 2" xfId="8892" xr:uid="{00000000-0005-0000-0000-00008D400000}"/>
    <cellStyle name="40% - Accent3 2 2 2 2 8" xfId="8899" xr:uid="{00000000-0005-0000-0000-00008E400000}"/>
    <cellStyle name="40% - Accent3 2 2 2 3" xfId="22511" xr:uid="{00000000-0005-0000-0000-00008F400000}"/>
    <cellStyle name="40% - Accent3 2 2 2 3 2" xfId="18623" xr:uid="{00000000-0005-0000-0000-000090400000}"/>
    <cellStyle name="40% - Accent3 2 2 2 3 2 2" xfId="23129" xr:uid="{00000000-0005-0000-0000-000091400000}"/>
    <cellStyle name="40% - Accent3 2 2 2 3 2 2 2" xfId="2608" xr:uid="{00000000-0005-0000-0000-000092400000}"/>
    <cellStyle name="40% - Accent3 2 2 2 3 2 2 2 2" xfId="18627" xr:uid="{00000000-0005-0000-0000-000093400000}"/>
    <cellStyle name="40% - Accent3 2 2 2 3 2 2 2 2 2" xfId="19740" xr:uid="{00000000-0005-0000-0000-000094400000}"/>
    <cellStyle name="40% - Accent3 2 2 2 3 2 2 2 2 2 2" xfId="3072" xr:uid="{00000000-0005-0000-0000-000095400000}"/>
    <cellStyle name="40% - Accent3 2 2 2 3 2 2 2 2 3" xfId="18632" xr:uid="{00000000-0005-0000-0000-000096400000}"/>
    <cellStyle name="40% - Accent3 2 2 2 3 2 2 2 3" xfId="18634" xr:uid="{00000000-0005-0000-0000-000097400000}"/>
    <cellStyle name="40% - Accent3 2 2 2 3 2 2 2 3 2" xfId="25555" xr:uid="{00000000-0005-0000-0000-000098400000}"/>
    <cellStyle name="40% - Accent3 2 2 2 3 2 2 2 4" xfId="18635" xr:uid="{00000000-0005-0000-0000-000099400000}"/>
    <cellStyle name="40% - Accent3 2 2 2 3 2 2 3" xfId="6552" xr:uid="{00000000-0005-0000-0000-00009A400000}"/>
    <cellStyle name="40% - Accent3 2 2 2 3 2 2 3 2" xfId="18637" xr:uid="{00000000-0005-0000-0000-00009B400000}"/>
    <cellStyle name="40% - Accent3 2 2 2 3 2 2 3 2 2" xfId="19737" xr:uid="{00000000-0005-0000-0000-00009C400000}"/>
    <cellStyle name="40% - Accent3 2 2 2 3 2 2 3 3" xfId="18691" xr:uid="{00000000-0005-0000-0000-00009D400000}"/>
    <cellStyle name="40% - Accent3 2 2 2 3 2 2 4" xfId="24662" xr:uid="{00000000-0005-0000-0000-00009E400000}"/>
    <cellStyle name="40% - Accent3 2 2 2 3 2 2 4 2" xfId="18638" xr:uid="{00000000-0005-0000-0000-00009F400000}"/>
    <cellStyle name="40% - Accent3 2 2 2 3 2 2 5" xfId="15260" xr:uid="{00000000-0005-0000-0000-0000A0400000}"/>
    <cellStyle name="40% - Accent3 2 2 2 3 2 3" xfId="23143" xr:uid="{00000000-0005-0000-0000-0000A1400000}"/>
    <cellStyle name="40% - Accent3 2 2 2 3 2 3 2" xfId="25548" xr:uid="{00000000-0005-0000-0000-0000A2400000}"/>
    <cellStyle name="40% - Accent3 2 2 2 3 2 3 2 2" xfId="18640" xr:uid="{00000000-0005-0000-0000-0000A3400000}"/>
    <cellStyle name="40% - Accent3 2 2 2 3 2 3 2 2 2" xfId="19774" xr:uid="{00000000-0005-0000-0000-0000A4400000}"/>
    <cellStyle name="40% - Accent3 2 2 2 3 2 3 2 3" xfId="11820" xr:uid="{00000000-0005-0000-0000-0000A5400000}"/>
    <cellStyle name="40% - Accent3 2 2 2 3 2 3 3" xfId="27651" xr:uid="{00000000-0005-0000-0000-0000A6400000}"/>
    <cellStyle name="40% - Accent3 2 2 2 3 2 3 3 2" xfId="18641" xr:uid="{00000000-0005-0000-0000-0000A7400000}"/>
    <cellStyle name="40% - Accent3 2 2 2 3 2 3 4" xfId="17293" xr:uid="{00000000-0005-0000-0000-0000A8400000}"/>
    <cellStyle name="40% - Accent3 2 2 2 3 2 4" xfId="18643" xr:uid="{00000000-0005-0000-0000-0000A9400000}"/>
    <cellStyle name="40% - Accent3 2 2 2 3 2 4 2" xfId="18649" xr:uid="{00000000-0005-0000-0000-0000AA400000}"/>
    <cellStyle name="40% - Accent3 2 2 2 3 2 4 2 2" xfId="18653" xr:uid="{00000000-0005-0000-0000-0000AB400000}"/>
    <cellStyle name="40% - Accent3 2 2 2 3 2 4 3" xfId="5984" xr:uid="{00000000-0005-0000-0000-0000AC400000}"/>
    <cellStyle name="40% - Accent3 2 2 2 3 2 5" xfId="18657" xr:uid="{00000000-0005-0000-0000-0000AD400000}"/>
    <cellStyle name="40% - Accent3 2 2 2 3 2 5 2" xfId="18659" xr:uid="{00000000-0005-0000-0000-0000AE400000}"/>
    <cellStyle name="40% - Accent3 2 2 2 3 2 6" xfId="18662" xr:uid="{00000000-0005-0000-0000-0000AF400000}"/>
    <cellStyle name="40% - Accent3 2 2 2 3 3" xfId="19434" xr:uid="{00000000-0005-0000-0000-0000B0400000}"/>
    <cellStyle name="40% - Accent3 2 2 2 3 3 2" xfId="21973" xr:uid="{00000000-0005-0000-0000-0000B1400000}"/>
    <cellStyle name="40% - Accent3 2 2 2 3 3 2 2" xfId="18664" xr:uid="{00000000-0005-0000-0000-0000B2400000}"/>
    <cellStyle name="40% - Accent3 2 2 2 3 3 2 2 2" xfId="18666" xr:uid="{00000000-0005-0000-0000-0000B3400000}"/>
    <cellStyle name="40% - Accent3 2 2 2 3 3 2 2 2 2" xfId="20067" xr:uid="{00000000-0005-0000-0000-0000B4400000}"/>
    <cellStyle name="40% - Accent3 2 2 2 3 3 2 2 3" xfId="1408" xr:uid="{00000000-0005-0000-0000-0000B5400000}"/>
    <cellStyle name="40% - Accent3 2 2 2 3 3 2 3" xfId="4401" xr:uid="{00000000-0005-0000-0000-0000B6400000}"/>
    <cellStyle name="40% - Accent3 2 2 2 3 3 2 3 2" xfId="18667" xr:uid="{00000000-0005-0000-0000-0000B7400000}"/>
    <cellStyle name="40% - Accent3 2 2 2 3 3 2 4" xfId="17383" xr:uid="{00000000-0005-0000-0000-0000B8400000}"/>
    <cellStyle name="40% - Accent3 2 2 2 3 3 3" xfId="18669" xr:uid="{00000000-0005-0000-0000-0000B9400000}"/>
    <cellStyle name="40% - Accent3 2 2 2 3 3 3 2" xfId="22975" xr:uid="{00000000-0005-0000-0000-0000BA400000}"/>
    <cellStyle name="40% - Accent3 2 2 2 3 3 3 2 2" xfId="18670" xr:uid="{00000000-0005-0000-0000-0000BB400000}"/>
    <cellStyle name="40% - Accent3 2 2 2 3 3 3 3" xfId="17975" xr:uid="{00000000-0005-0000-0000-0000BC400000}"/>
    <cellStyle name="40% - Accent3 2 2 2 3 3 4" xfId="18672" xr:uid="{00000000-0005-0000-0000-0000BD400000}"/>
    <cellStyle name="40% - Accent3 2 2 2 3 3 4 2" xfId="21361" xr:uid="{00000000-0005-0000-0000-0000BE400000}"/>
    <cellStyle name="40% - Accent3 2 2 2 3 3 5" xfId="18676" xr:uid="{00000000-0005-0000-0000-0000BF400000}"/>
    <cellStyle name="40% - Accent3 2 2 2 3 4" xfId="21632" xr:uid="{00000000-0005-0000-0000-0000C0400000}"/>
    <cellStyle name="40% - Accent3 2 2 2 3 4 2" xfId="5237" xr:uid="{00000000-0005-0000-0000-0000C1400000}"/>
    <cellStyle name="40% - Accent3 2 2 2 3 4 2 2" xfId="22390" xr:uid="{00000000-0005-0000-0000-0000C2400000}"/>
    <cellStyle name="40% - Accent3 2 2 2 3 4 2 2 2" xfId="18679" xr:uid="{00000000-0005-0000-0000-0000C3400000}"/>
    <cellStyle name="40% - Accent3 2 2 2 3 4 2 3" xfId="2244" xr:uid="{00000000-0005-0000-0000-0000C4400000}"/>
    <cellStyle name="40% - Accent3 2 2 2 3 4 3" xfId="18682" xr:uid="{00000000-0005-0000-0000-0000C5400000}"/>
    <cellStyle name="40% - Accent3 2 2 2 3 4 3 2" xfId="23000" xr:uid="{00000000-0005-0000-0000-0000C6400000}"/>
    <cellStyle name="40% - Accent3 2 2 2 3 4 4" xfId="17933" xr:uid="{00000000-0005-0000-0000-0000C7400000}"/>
    <cellStyle name="40% - Accent3 2 2 2 3 5" xfId="18683" xr:uid="{00000000-0005-0000-0000-0000C8400000}"/>
    <cellStyle name="40% - Accent3 2 2 2 3 5 2" xfId="18684" xr:uid="{00000000-0005-0000-0000-0000C9400000}"/>
    <cellStyle name="40% - Accent3 2 2 2 3 5 2 2" xfId="10171" xr:uid="{00000000-0005-0000-0000-0000CA400000}"/>
    <cellStyle name="40% - Accent3 2 2 2 3 5 3" xfId="18686" xr:uid="{00000000-0005-0000-0000-0000CB400000}"/>
    <cellStyle name="40% - Accent3 2 2 2 3 6" xfId="18687" xr:uid="{00000000-0005-0000-0000-0000CC400000}"/>
    <cellStyle name="40% - Accent3 2 2 2 3 6 2" xfId="18688" xr:uid="{00000000-0005-0000-0000-0000CD400000}"/>
    <cellStyle name="40% - Accent3 2 2 2 3 7" xfId="8907" xr:uid="{00000000-0005-0000-0000-0000CE400000}"/>
    <cellStyle name="40% - Accent3 2 2 2 4" xfId="8727" xr:uid="{00000000-0005-0000-0000-0000CF400000}"/>
    <cellStyle name="40% - Accent3 2 2 2 4 2" xfId="23147" xr:uid="{00000000-0005-0000-0000-0000D0400000}"/>
    <cellStyle name="40% - Accent3 2 2 2 4 2 2" xfId="18690" xr:uid="{00000000-0005-0000-0000-0000D1400000}"/>
    <cellStyle name="40% - Accent3 2 2 2 4 2 2 2" xfId="12557" xr:uid="{00000000-0005-0000-0000-0000D2400000}"/>
    <cellStyle name="40% - Accent3 2 2 2 4 2 2 2 2" xfId="2535" xr:uid="{00000000-0005-0000-0000-0000D3400000}"/>
    <cellStyle name="40% - Accent3 2 2 2 4 2 2 2 2 2" xfId="18694" xr:uid="{00000000-0005-0000-0000-0000D4400000}"/>
    <cellStyle name="40% - Accent3 2 2 2 4 2 2 2 3" xfId="18697" xr:uid="{00000000-0005-0000-0000-0000D5400000}"/>
    <cellStyle name="40% - Accent3 2 2 2 4 2 2 3" xfId="5507" xr:uid="{00000000-0005-0000-0000-0000D6400000}"/>
    <cellStyle name="40% - Accent3 2 2 2 4 2 2 3 2" xfId="315" xr:uid="{00000000-0005-0000-0000-0000D7400000}"/>
    <cellStyle name="40% - Accent3 2 2 2 4 2 2 4" xfId="8610" xr:uid="{00000000-0005-0000-0000-0000D8400000}"/>
    <cellStyle name="40% - Accent3 2 2 2 4 2 3" xfId="18700" xr:uid="{00000000-0005-0000-0000-0000D9400000}"/>
    <cellStyle name="40% - Accent3 2 2 2 4 2 3 2" xfId="18703" xr:uid="{00000000-0005-0000-0000-0000DA400000}"/>
    <cellStyle name="40% - Accent3 2 2 2 4 2 3 2 2" xfId="14158" xr:uid="{00000000-0005-0000-0000-0000DB400000}"/>
    <cellStyle name="40% - Accent3 2 2 2 4 2 3 3" xfId="5539" xr:uid="{00000000-0005-0000-0000-0000DC400000}"/>
    <cellStyle name="40% - Accent3 2 2 2 4 2 4" xfId="8732" xr:uid="{00000000-0005-0000-0000-0000DD400000}"/>
    <cellStyle name="40% - Accent3 2 2 2 4 2 4 2" xfId="18705" xr:uid="{00000000-0005-0000-0000-0000DE400000}"/>
    <cellStyle name="40% - Accent3 2 2 2 4 2 5" xfId="5295" xr:uid="{00000000-0005-0000-0000-0000DF400000}"/>
    <cellStyle name="40% - Accent3 2 2 2 4 3" xfId="21647" xr:uid="{00000000-0005-0000-0000-0000E0400000}"/>
    <cellStyle name="40% - Accent3 2 2 2 4 3 2" xfId="18708" xr:uid="{00000000-0005-0000-0000-0000E1400000}"/>
    <cellStyle name="40% - Accent3 2 2 2 4 3 2 2" xfId="18709" xr:uid="{00000000-0005-0000-0000-0000E2400000}"/>
    <cellStyle name="40% - Accent3 2 2 2 4 3 2 2 2" xfId="18712" xr:uid="{00000000-0005-0000-0000-0000E3400000}"/>
    <cellStyle name="40% - Accent3 2 2 2 4 3 2 3" xfId="5738" xr:uid="{00000000-0005-0000-0000-0000E4400000}"/>
    <cellStyle name="40% - Accent3 2 2 2 4 3 3" xfId="18714" xr:uid="{00000000-0005-0000-0000-0000E5400000}"/>
    <cellStyle name="40% - Accent3 2 2 2 4 3 3 2" xfId="18715" xr:uid="{00000000-0005-0000-0000-0000E6400000}"/>
    <cellStyle name="40% - Accent3 2 2 2 4 3 4" xfId="18718" xr:uid="{00000000-0005-0000-0000-0000E7400000}"/>
    <cellStyle name="40% - Accent3 2 2 2 4 4" xfId="18720" xr:uid="{00000000-0005-0000-0000-0000E8400000}"/>
    <cellStyle name="40% - Accent3 2 2 2 4 4 2" xfId="33823" xr:uid="{00000000-0005-0000-0000-0000E9400000}"/>
    <cellStyle name="40% - Accent3 2 2 2 4 4 2 2" xfId="18721" xr:uid="{00000000-0005-0000-0000-0000EA400000}"/>
    <cellStyle name="40% - Accent3 2 2 2 4 4 3" xfId="3382" xr:uid="{00000000-0005-0000-0000-0000EB400000}"/>
    <cellStyle name="40% - Accent3 2 2 2 4 5" xfId="18727" xr:uid="{00000000-0005-0000-0000-0000EC400000}"/>
    <cellStyle name="40% - Accent3 2 2 2 4 5 2" xfId="2183" xr:uid="{00000000-0005-0000-0000-0000ED400000}"/>
    <cellStyle name="40% - Accent3 2 2 2 4 6" xfId="18728" xr:uid="{00000000-0005-0000-0000-0000EE400000}"/>
    <cellStyle name="40% - Accent3 2 2 2 5" xfId="10674" xr:uid="{00000000-0005-0000-0000-0000EF400000}"/>
    <cellStyle name="40% - Accent3 2 2 2 5 2" xfId="23151" xr:uid="{00000000-0005-0000-0000-0000F0400000}"/>
    <cellStyle name="40% - Accent3 2 2 2 5 2 2" xfId="30477" xr:uid="{00000000-0005-0000-0000-0000F1400000}"/>
    <cellStyle name="40% - Accent3 2 2 2 5 2 2 2" xfId="30647" xr:uid="{00000000-0005-0000-0000-0000F2400000}"/>
    <cellStyle name="40% - Accent3 2 2 2 5 2 2 2 2" xfId="18731" xr:uid="{00000000-0005-0000-0000-0000F3400000}"/>
    <cellStyle name="40% - Accent3 2 2 2 5 2 2 3" xfId="6975" xr:uid="{00000000-0005-0000-0000-0000F4400000}"/>
    <cellStyle name="40% - Accent3 2 2 2 5 2 3" xfId="18734" xr:uid="{00000000-0005-0000-0000-0000F5400000}"/>
    <cellStyle name="40% - Accent3 2 2 2 5 2 3 2" xfId="14255" xr:uid="{00000000-0005-0000-0000-0000F6400000}"/>
    <cellStyle name="40% - Accent3 2 2 2 5 2 4" xfId="18737" xr:uid="{00000000-0005-0000-0000-0000F7400000}"/>
    <cellStyle name="40% - Accent3 2 2 2 5 3" xfId="33751" xr:uid="{00000000-0005-0000-0000-0000F8400000}"/>
    <cellStyle name="40% - Accent3 2 2 2 5 3 2" xfId="30783" xr:uid="{00000000-0005-0000-0000-0000F9400000}"/>
    <cellStyle name="40% - Accent3 2 2 2 5 3 2 2" xfId="18741" xr:uid="{00000000-0005-0000-0000-0000FA400000}"/>
    <cellStyle name="40% - Accent3 2 2 2 5 3 3" xfId="24047" xr:uid="{00000000-0005-0000-0000-0000FB400000}"/>
    <cellStyle name="40% - Accent3 2 2 2 5 4" xfId="18748" xr:uid="{00000000-0005-0000-0000-0000FC400000}"/>
    <cellStyle name="40% - Accent3 2 2 2 5 4 2" xfId="28805" xr:uid="{00000000-0005-0000-0000-0000FD400000}"/>
    <cellStyle name="40% - Accent3 2 2 2 5 5" xfId="18749" xr:uid="{00000000-0005-0000-0000-0000FE400000}"/>
    <cellStyle name="40% - Accent3 2 2 2 6" xfId="13658" xr:uid="{00000000-0005-0000-0000-0000FF400000}"/>
    <cellStyle name="40% - Accent3 2 2 2 6 2" xfId="13662" xr:uid="{00000000-0005-0000-0000-000000410000}"/>
    <cellStyle name="40% - Accent3 2 2 2 6 2 2" xfId="29484" xr:uid="{00000000-0005-0000-0000-000001410000}"/>
    <cellStyle name="40% - Accent3 2 2 2 6 2 2 2" xfId="17186" xr:uid="{00000000-0005-0000-0000-000002410000}"/>
    <cellStyle name="40% - Accent3 2 2 2 6 2 3" xfId="13131" xr:uid="{00000000-0005-0000-0000-000003410000}"/>
    <cellStyle name="40% - Accent3 2 2 2 6 3" xfId="13665" xr:uid="{00000000-0005-0000-0000-000004410000}"/>
    <cellStyle name="40% - Accent3 2 2 2 6 3 2" xfId="30301" xr:uid="{00000000-0005-0000-0000-000005410000}"/>
    <cellStyle name="40% - Accent3 2 2 2 6 4" xfId="31907" xr:uid="{00000000-0005-0000-0000-000006410000}"/>
    <cellStyle name="40% - Accent3 2 2 2 7" xfId="30885" xr:uid="{00000000-0005-0000-0000-000007410000}"/>
    <cellStyle name="40% - Accent3 2 2 2 7 2" xfId="30690" xr:uid="{00000000-0005-0000-0000-000008410000}"/>
    <cellStyle name="40% - Accent3 2 2 2 7 2 2" xfId="30697" xr:uid="{00000000-0005-0000-0000-000009410000}"/>
    <cellStyle name="40% - Accent3 2 2 2 7 3" xfId="30216" xr:uid="{00000000-0005-0000-0000-00000A410000}"/>
    <cellStyle name="40% - Accent3 2 2 2 8" xfId="19091" xr:uid="{00000000-0005-0000-0000-00000B410000}"/>
    <cellStyle name="40% - Accent3 2 2 2 8 2" xfId="30817" xr:uid="{00000000-0005-0000-0000-00000C410000}"/>
    <cellStyle name="40% - Accent3 2 2 2 9" xfId="21488" xr:uid="{00000000-0005-0000-0000-00000D410000}"/>
    <cellStyle name="40% - Accent3 2 2 3" xfId="18751" xr:uid="{00000000-0005-0000-0000-00000E410000}"/>
    <cellStyle name="40% - Accent3 2 2 3 2" xfId="23160" xr:uid="{00000000-0005-0000-0000-00000F410000}"/>
    <cellStyle name="40% - Accent3 2 2 3 2 2" xfId="23166" xr:uid="{00000000-0005-0000-0000-000010410000}"/>
    <cellStyle name="40% - Accent3 2 2 3 2 2 2" xfId="23170" xr:uid="{00000000-0005-0000-0000-000011410000}"/>
    <cellStyle name="40% - Accent3 2 2 3 2 2 2 2" xfId="23923" xr:uid="{00000000-0005-0000-0000-000012410000}"/>
    <cellStyle name="40% - Accent3 2 2 3 2 2 2 2 2" xfId="18753" xr:uid="{00000000-0005-0000-0000-000013410000}"/>
    <cellStyle name="40% - Accent3 2 2 3 2 2 2 2 2 2" xfId="18756" xr:uid="{00000000-0005-0000-0000-000014410000}"/>
    <cellStyle name="40% - Accent3 2 2 3 2 2 2 2 2 2 2" xfId="18758" xr:uid="{00000000-0005-0000-0000-000015410000}"/>
    <cellStyle name="40% - Accent3 2 2 3 2 2 2 2 2 3" xfId="18760" xr:uid="{00000000-0005-0000-0000-000016410000}"/>
    <cellStyle name="40% - Accent3 2 2 3 2 2 2 2 3" xfId="18764" xr:uid="{00000000-0005-0000-0000-000017410000}"/>
    <cellStyle name="40% - Accent3 2 2 3 2 2 2 2 3 2" xfId="25537" xr:uid="{00000000-0005-0000-0000-000018410000}"/>
    <cellStyle name="40% - Accent3 2 2 3 2 2 2 2 4" xfId="30890" xr:uid="{00000000-0005-0000-0000-000019410000}"/>
    <cellStyle name="40% - Accent3 2 2 3 2 2 2 3" xfId="29713" xr:uid="{00000000-0005-0000-0000-00001A410000}"/>
    <cellStyle name="40% - Accent3 2 2 3 2 2 2 3 2" xfId="18765" xr:uid="{00000000-0005-0000-0000-00001B410000}"/>
    <cellStyle name="40% - Accent3 2 2 3 2 2 2 3 2 2" xfId="18766" xr:uid="{00000000-0005-0000-0000-00001C410000}"/>
    <cellStyle name="40% - Accent3 2 2 3 2 2 2 3 3" xfId="18768" xr:uid="{00000000-0005-0000-0000-00001D410000}"/>
    <cellStyle name="40% - Accent3 2 2 3 2 2 2 4" xfId="18772" xr:uid="{00000000-0005-0000-0000-00001E410000}"/>
    <cellStyle name="40% - Accent3 2 2 3 2 2 2 4 2" xfId="26473" xr:uid="{00000000-0005-0000-0000-00001F410000}"/>
    <cellStyle name="40% - Accent3 2 2 3 2 2 2 5" xfId="18776" xr:uid="{00000000-0005-0000-0000-000020410000}"/>
    <cellStyle name="40% - Accent3 2 2 3 2 2 3" xfId="23175" xr:uid="{00000000-0005-0000-0000-000021410000}"/>
    <cellStyle name="40% - Accent3 2 2 3 2 2 3 2" xfId="15469" xr:uid="{00000000-0005-0000-0000-000022410000}"/>
    <cellStyle name="40% - Accent3 2 2 3 2 2 3 2 2" xfId="18778" xr:uid="{00000000-0005-0000-0000-000023410000}"/>
    <cellStyle name="40% - Accent3 2 2 3 2 2 3 2 2 2" xfId="18779" xr:uid="{00000000-0005-0000-0000-000024410000}"/>
    <cellStyle name="40% - Accent3 2 2 3 2 2 3 2 3" xfId="18781" xr:uid="{00000000-0005-0000-0000-000025410000}"/>
    <cellStyle name="40% - Accent3 2 2 3 2 2 3 3" xfId="27675" xr:uid="{00000000-0005-0000-0000-000026410000}"/>
    <cellStyle name="40% - Accent3 2 2 3 2 2 3 3 2" xfId="18784" xr:uid="{00000000-0005-0000-0000-000027410000}"/>
    <cellStyle name="40% - Accent3 2 2 3 2 2 3 4" xfId="18785" xr:uid="{00000000-0005-0000-0000-000028410000}"/>
    <cellStyle name="40% - Accent3 2 2 3 2 2 4" xfId="722" xr:uid="{00000000-0005-0000-0000-000029410000}"/>
    <cellStyle name="40% - Accent3 2 2 3 2 2 4 2" xfId="18788" xr:uid="{00000000-0005-0000-0000-00002A410000}"/>
    <cellStyle name="40% - Accent3 2 2 3 2 2 4 2 2" xfId="18795" xr:uid="{00000000-0005-0000-0000-00002B410000}"/>
    <cellStyle name="40% - Accent3 2 2 3 2 2 4 3" xfId="16058" xr:uid="{00000000-0005-0000-0000-00002C410000}"/>
    <cellStyle name="40% - Accent3 2 2 3 2 2 5" xfId="1885" xr:uid="{00000000-0005-0000-0000-00002D410000}"/>
    <cellStyle name="40% - Accent3 2 2 3 2 2 5 2" xfId="33924" xr:uid="{00000000-0005-0000-0000-00002E410000}"/>
    <cellStyle name="40% - Accent3 2 2 3 2 2 6" xfId="1068" xr:uid="{00000000-0005-0000-0000-00002F410000}"/>
    <cellStyle name="40% - Accent3 2 2 3 2 3" xfId="21690" xr:uid="{00000000-0005-0000-0000-000030410000}"/>
    <cellStyle name="40% - Accent3 2 2 3 2 3 2" xfId="19508" xr:uid="{00000000-0005-0000-0000-000031410000}"/>
    <cellStyle name="40% - Accent3 2 2 3 2 3 2 2" xfId="25023" xr:uid="{00000000-0005-0000-0000-000032410000}"/>
    <cellStyle name="40% - Accent3 2 2 3 2 3 2 2 2" xfId="18797" xr:uid="{00000000-0005-0000-0000-000033410000}"/>
    <cellStyle name="40% - Accent3 2 2 3 2 3 2 2 2 2" xfId="18799" xr:uid="{00000000-0005-0000-0000-000034410000}"/>
    <cellStyle name="40% - Accent3 2 2 3 2 3 2 2 3" xfId="18801" xr:uid="{00000000-0005-0000-0000-000035410000}"/>
    <cellStyle name="40% - Accent3 2 2 3 2 3 2 3" xfId="28016" xr:uid="{00000000-0005-0000-0000-000036410000}"/>
    <cellStyle name="40% - Accent3 2 2 3 2 3 2 3 2" xfId="24570" xr:uid="{00000000-0005-0000-0000-000037410000}"/>
    <cellStyle name="40% - Accent3 2 2 3 2 3 2 4" xfId="18804" xr:uid="{00000000-0005-0000-0000-000038410000}"/>
    <cellStyle name="40% - Accent3 2 2 3 2 3 3" xfId="788" xr:uid="{00000000-0005-0000-0000-000039410000}"/>
    <cellStyle name="40% - Accent3 2 2 3 2 3 3 2" xfId="22195" xr:uid="{00000000-0005-0000-0000-00003A410000}"/>
    <cellStyle name="40% - Accent3 2 2 3 2 3 3 2 2" xfId="18806" xr:uid="{00000000-0005-0000-0000-00003B410000}"/>
    <cellStyle name="40% - Accent3 2 2 3 2 3 3 3" xfId="28500" xr:uid="{00000000-0005-0000-0000-00003C410000}"/>
    <cellStyle name="40% - Accent3 2 2 3 2 3 4" xfId="790" xr:uid="{00000000-0005-0000-0000-00003D410000}"/>
    <cellStyle name="40% - Accent3 2 2 3 2 3 4 2" xfId="31486" xr:uid="{00000000-0005-0000-0000-00003E410000}"/>
    <cellStyle name="40% - Accent3 2 2 3 2 3 5" xfId="4791" xr:uid="{00000000-0005-0000-0000-00003F410000}"/>
    <cellStyle name="40% - Accent3 2 2 3 2 4" xfId="21701" xr:uid="{00000000-0005-0000-0000-000040410000}"/>
    <cellStyle name="40% - Accent3 2 2 3 2 4 2" xfId="8339" xr:uid="{00000000-0005-0000-0000-000041410000}"/>
    <cellStyle name="40% - Accent3 2 2 3 2 4 2 2" xfId="30007" xr:uid="{00000000-0005-0000-0000-000042410000}"/>
    <cellStyle name="40% - Accent3 2 2 3 2 4 2 2 2" xfId="18808" xr:uid="{00000000-0005-0000-0000-000043410000}"/>
    <cellStyle name="40% - Accent3 2 2 3 2 4 2 3" xfId="28030" xr:uid="{00000000-0005-0000-0000-000044410000}"/>
    <cellStyle name="40% - Accent3 2 2 3 2 4 3" xfId="2605" xr:uid="{00000000-0005-0000-0000-000045410000}"/>
    <cellStyle name="40% - Accent3 2 2 3 2 4 3 2" xfId="28516" xr:uid="{00000000-0005-0000-0000-000046410000}"/>
    <cellStyle name="40% - Accent3 2 2 3 2 4 4" xfId="786" xr:uid="{00000000-0005-0000-0000-000047410000}"/>
    <cellStyle name="40% - Accent3 2 2 3 2 5" xfId="8989" xr:uid="{00000000-0005-0000-0000-000048410000}"/>
    <cellStyle name="40% - Accent3 2 2 3 2 5 2" xfId="11046" xr:uid="{00000000-0005-0000-0000-000049410000}"/>
    <cellStyle name="40% - Accent3 2 2 3 2 5 2 2" xfId="32356" xr:uid="{00000000-0005-0000-0000-00004A410000}"/>
    <cellStyle name="40% - Accent3 2 2 3 2 5 3" xfId="15639" xr:uid="{00000000-0005-0000-0000-00004B410000}"/>
    <cellStyle name="40% - Accent3 2 2 3 2 6" xfId="18818" xr:uid="{00000000-0005-0000-0000-00004C410000}"/>
    <cellStyle name="40% - Accent3 2 2 3 2 6 2" xfId="15650" xr:uid="{00000000-0005-0000-0000-00004D410000}"/>
    <cellStyle name="40% - Accent3 2 2 3 2 7" xfId="7735" xr:uid="{00000000-0005-0000-0000-00004E410000}"/>
    <cellStyle name="40% - Accent3 2 2 3 3" xfId="18823" xr:uid="{00000000-0005-0000-0000-00004F410000}"/>
    <cellStyle name="40% - Accent3 2 2 3 3 2" xfId="18827" xr:uid="{00000000-0005-0000-0000-000050410000}"/>
    <cellStyle name="40% - Accent3 2 2 3 3 2 2" xfId="595" xr:uid="{00000000-0005-0000-0000-000051410000}"/>
    <cellStyle name="40% - Accent3 2 2 3 3 2 2 2" xfId="33671" xr:uid="{00000000-0005-0000-0000-000052410000}"/>
    <cellStyle name="40% - Accent3 2 2 3 3 2 2 2 2" xfId="18829" xr:uid="{00000000-0005-0000-0000-000053410000}"/>
    <cellStyle name="40% - Accent3 2 2 3 3 2 2 2 2 2" xfId="7328" xr:uid="{00000000-0005-0000-0000-000054410000}"/>
    <cellStyle name="40% - Accent3 2 2 3 3 2 2 2 3" xfId="18830" xr:uid="{00000000-0005-0000-0000-000055410000}"/>
    <cellStyle name="40% - Accent3 2 2 3 3 2 2 3" xfId="18831" xr:uid="{00000000-0005-0000-0000-000056410000}"/>
    <cellStyle name="40% - Accent3 2 2 3 3 2 2 3 2" xfId="12629" xr:uid="{00000000-0005-0000-0000-000057410000}"/>
    <cellStyle name="40% - Accent3 2 2 3 3 2 2 4" xfId="24725" xr:uid="{00000000-0005-0000-0000-000058410000}"/>
    <cellStyle name="40% - Accent3 2 2 3 3 2 3" xfId="3435" xr:uid="{00000000-0005-0000-0000-000059410000}"/>
    <cellStyle name="40% - Accent3 2 2 3 3 2 3 2" xfId="18837" xr:uid="{00000000-0005-0000-0000-00005A410000}"/>
    <cellStyle name="40% - Accent3 2 2 3 3 2 3 2 2" xfId="18839" xr:uid="{00000000-0005-0000-0000-00005B410000}"/>
    <cellStyle name="40% - Accent3 2 2 3 3 2 3 3" xfId="33500" xr:uid="{00000000-0005-0000-0000-00005C410000}"/>
    <cellStyle name="40% - Accent3 2 2 3 3 2 4" xfId="8467" xr:uid="{00000000-0005-0000-0000-00005D410000}"/>
    <cellStyle name="40% - Accent3 2 2 3 3 2 4 2" xfId="33371" xr:uid="{00000000-0005-0000-0000-00005E410000}"/>
    <cellStyle name="40% - Accent3 2 2 3 3 2 5" xfId="4992" xr:uid="{00000000-0005-0000-0000-00005F410000}"/>
    <cellStyle name="40% - Accent3 2 2 3 3 3" xfId="21707" xr:uid="{00000000-0005-0000-0000-000060410000}"/>
    <cellStyle name="40% - Accent3 2 2 3 3 3 2" xfId="854" xr:uid="{00000000-0005-0000-0000-000061410000}"/>
    <cellStyle name="40% - Accent3 2 2 3 3 3 2 2" xfId="32954" xr:uid="{00000000-0005-0000-0000-000062410000}"/>
    <cellStyle name="40% - Accent3 2 2 3 3 3 2 2 2" xfId="18842" xr:uid="{00000000-0005-0000-0000-000063410000}"/>
    <cellStyle name="40% - Accent3 2 2 3 3 3 2 3" xfId="27444" xr:uid="{00000000-0005-0000-0000-000064410000}"/>
    <cellStyle name="40% - Accent3 2 2 3 3 3 3" xfId="3440" xr:uid="{00000000-0005-0000-0000-000065410000}"/>
    <cellStyle name="40% - Accent3 2 2 3 3 3 3 2" xfId="27186" xr:uid="{00000000-0005-0000-0000-000066410000}"/>
    <cellStyle name="40% - Accent3 2 2 3 3 3 4" xfId="9874" xr:uid="{00000000-0005-0000-0000-000067410000}"/>
    <cellStyle name="40% - Accent3 2 2 3 3 4" xfId="18843" xr:uid="{00000000-0005-0000-0000-000068410000}"/>
    <cellStyle name="40% - Accent3 2 2 3 3 4 2" xfId="2964" xr:uid="{00000000-0005-0000-0000-000069410000}"/>
    <cellStyle name="40% - Accent3 2 2 3 3 4 2 2" xfId="18846" xr:uid="{00000000-0005-0000-0000-00006A410000}"/>
    <cellStyle name="40% - Accent3 2 2 3 3 4 3" xfId="6678" xr:uid="{00000000-0005-0000-0000-00006B410000}"/>
    <cellStyle name="40% - Accent3 2 2 3 3 5" xfId="18848" xr:uid="{00000000-0005-0000-0000-00006C410000}"/>
    <cellStyle name="40% - Accent3 2 2 3 3 5 2" xfId="15684" xr:uid="{00000000-0005-0000-0000-00006D410000}"/>
    <cellStyle name="40% - Accent3 2 2 3 3 6" xfId="18851" xr:uid="{00000000-0005-0000-0000-00006E410000}"/>
    <cellStyle name="40% - Accent3 2 2 3 4" xfId="9432" xr:uid="{00000000-0005-0000-0000-00006F410000}"/>
    <cellStyle name="40% - Accent3 2 2 3 4 2" xfId="23179" xr:uid="{00000000-0005-0000-0000-000070410000}"/>
    <cellStyle name="40% - Accent3 2 2 3 4 2 2" xfId="4548" xr:uid="{00000000-0005-0000-0000-000071410000}"/>
    <cellStyle name="40% - Accent3 2 2 3 4 2 2 2" xfId="25822" xr:uid="{00000000-0005-0000-0000-000072410000}"/>
    <cellStyle name="40% - Accent3 2 2 3 4 2 2 2 2" xfId="133" xr:uid="{00000000-0005-0000-0000-000073410000}"/>
    <cellStyle name="40% - Accent3 2 2 3 4 2 2 3" xfId="18856" xr:uid="{00000000-0005-0000-0000-000074410000}"/>
    <cellStyle name="40% - Accent3 2 2 3 4 2 3" xfId="2423" xr:uid="{00000000-0005-0000-0000-000075410000}"/>
    <cellStyle name="40% - Accent3 2 2 3 4 2 3 2" xfId="18858" xr:uid="{00000000-0005-0000-0000-000076410000}"/>
    <cellStyle name="40% - Accent3 2 2 3 4 2 4" xfId="9892" xr:uid="{00000000-0005-0000-0000-000077410000}"/>
    <cellStyle name="40% - Accent3 2 2 3 4 3" xfId="18862" xr:uid="{00000000-0005-0000-0000-000078410000}"/>
    <cellStyle name="40% - Accent3 2 2 3 4 3 2" xfId="2505" xr:uid="{00000000-0005-0000-0000-000079410000}"/>
    <cellStyle name="40% - Accent3 2 2 3 4 3 2 2" xfId="25868" xr:uid="{00000000-0005-0000-0000-00007A410000}"/>
    <cellStyle name="40% - Accent3 2 2 3 4 3 3" xfId="4431" xr:uid="{00000000-0005-0000-0000-00007B410000}"/>
    <cellStyle name="40% - Accent3 2 2 3 4 4" xfId="18869" xr:uid="{00000000-0005-0000-0000-00007C410000}"/>
    <cellStyle name="40% - Accent3 2 2 3 4 4 2" xfId="2537" xr:uid="{00000000-0005-0000-0000-00007D410000}"/>
    <cellStyle name="40% - Accent3 2 2 3 4 5" xfId="33061" xr:uid="{00000000-0005-0000-0000-00007E410000}"/>
    <cellStyle name="40% - Accent3 2 2 3 5" xfId="18517" xr:uid="{00000000-0005-0000-0000-00007F410000}"/>
    <cellStyle name="40% - Accent3 2 2 3 5 2" xfId="26123" xr:uid="{00000000-0005-0000-0000-000080410000}"/>
    <cellStyle name="40% - Accent3 2 2 3 5 2 2" xfId="2654" xr:uid="{00000000-0005-0000-0000-000081410000}"/>
    <cellStyle name="40% - Accent3 2 2 3 5 2 2 2" xfId="26000" xr:uid="{00000000-0005-0000-0000-000082410000}"/>
    <cellStyle name="40% - Accent3 2 2 3 5 2 3" xfId="9737" xr:uid="{00000000-0005-0000-0000-000083410000}"/>
    <cellStyle name="40% - Accent3 2 2 3 5 3" xfId="18872" xr:uid="{00000000-0005-0000-0000-000084410000}"/>
    <cellStyle name="40% - Accent3 2 2 3 5 3 2" xfId="1509" xr:uid="{00000000-0005-0000-0000-000085410000}"/>
    <cellStyle name="40% - Accent3 2 2 3 5 4" xfId="31934" xr:uid="{00000000-0005-0000-0000-000086410000}"/>
    <cellStyle name="40% - Accent3 2 2 3 6" xfId="23138" xr:uid="{00000000-0005-0000-0000-000087410000}"/>
    <cellStyle name="40% - Accent3 2 2 3 6 2" xfId="859" xr:uid="{00000000-0005-0000-0000-000088410000}"/>
    <cellStyle name="40% - Accent3 2 2 3 6 2 2" xfId="2755" xr:uid="{00000000-0005-0000-0000-000089410000}"/>
    <cellStyle name="40% - Accent3 2 2 3 6 3" xfId="3400" xr:uid="{00000000-0005-0000-0000-00008A410000}"/>
    <cellStyle name="40% - Accent3 2 2 3 7" xfId="11271" xr:uid="{00000000-0005-0000-0000-00008B410000}"/>
    <cellStyle name="40% - Accent3 2 2 3 7 2" xfId="872" xr:uid="{00000000-0005-0000-0000-00008C410000}"/>
    <cellStyle name="40% - Accent3 2 2 3 8" xfId="32129" xr:uid="{00000000-0005-0000-0000-00008D410000}"/>
    <cellStyle name="40% - Accent3 2 2 4" xfId="18874" xr:uid="{00000000-0005-0000-0000-00008E410000}"/>
    <cellStyle name="40% - Accent3 2 2 4 2" xfId="23183" xr:uid="{00000000-0005-0000-0000-00008F410000}"/>
    <cellStyle name="40% - Accent3 2 2 4 2 2" xfId="23190" xr:uid="{00000000-0005-0000-0000-000090410000}"/>
    <cellStyle name="40% - Accent3 2 2 4 2 2 2" xfId="23194" xr:uid="{00000000-0005-0000-0000-000091410000}"/>
    <cellStyle name="40% - Accent3 2 2 4 2 2 2 2" xfId="16692" xr:uid="{00000000-0005-0000-0000-000092410000}"/>
    <cellStyle name="40% - Accent3 2 2 4 2 2 2 2 2" xfId="16199" xr:uid="{00000000-0005-0000-0000-000093410000}"/>
    <cellStyle name="40% - Accent3 2 2 4 2 2 2 2 2 2" xfId="16949" xr:uid="{00000000-0005-0000-0000-000094410000}"/>
    <cellStyle name="40% - Accent3 2 2 4 2 2 2 2 3" xfId="8826" xr:uid="{00000000-0005-0000-0000-000095410000}"/>
    <cellStyle name="40% - Accent3 2 2 4 2 2 2 3" xfId="29820" xr:uid="{00000000-0005-0000-0000-000096410000}"/>
    <cellStyle name="40% - Accent3 2 2 4 2 2 2 3 2" xfId="16248" xr:uid="{00000000-0005-0000-0000-000097410000}"/>
    <cellStyle name="40% - Accent3 2 2 4 2 2 2 4" xfId="18894" xr:uid="{00000000-0005-0000-0000-000098410000}"/>
    <cellStyle name="40% - Accent3 2 2 4 2 2 3" xfId="994" xr:uid="{00000000-0005-0000-0000-000099410000}"/>
    <cellStyle name="40% - Accent3 2 2 4 2 2 3 2" xfId="18896" xr:uid="{00000000-0005-0000-0000-00009A410000}"/>
    <cellStyle name="40% - Accent3 2 2 4 2 2 3 2 2" xfId="16367" xr:uid="{00000000-0005-0000-0000-00009B410000}"/>
    <cellStyle name="40% - Accent3 2 2 4 2 2 3 3" xfId="33841" xr:uid="{00000000-0005-0000-0000-00009C410000}"/>
    <cellStyle name="40% - Accent3 2 2 4 2 2 4" xfId="10433" xr:uid="{00000000-0005-0000-0000-00009D410000}"/>
    <cellStyle name="40% - Accent3 2 2 4 2 2 4 2" xfId="18898" xr:uid="{00000000-0005-0000-0000-00009E410000}"/>
    <cellStyle name="40% - Accent3 2 2 4 2 2 5" xfId="11792" xr:uid="{00000000-0005-0000-0000-00009F410000}"/>
    <cellStyle name="40% - Accent3 2 2 4 2 3" xfId="18901" xr:uid="{00000000-0005-0000-0000-0000A0410000}"/>
    <cellStyle name="40% - Accent3 2 2 4 2 3 2" xfId="1038" xr:uid="{00000000-0005-0000-0000-0000A1410000}"/>
    <cellStyle name="40% - Accent3 2 2 4 2 3 2 2" xfId="32303" xr:uid="{00000000-0005-0000-0000-0000A2410000}"/>
    <cellStyle name="40% - Accent3 2 2 4 2 3 2 2 2" xfId="18127" xr:uid="{00000000-0005-0000-0000-0000A3410000}"/>
    <cellStyle name="40% - Accent3 2 2 4 2 3 2 3" xfId="29072" xr:uid="{00000000-0005-0000-0000-0000A4410000}"/>
    <cellStyle name="40% - Accent3 2 2 4 2 3 3" xfId="1043" xr:uid="{00000000-0005-0000-0000-0000A5410000}"/>
    <cellStyle name="40% - Accent3 2 2 4 2 3 3 2" xfId="20253" xr:uid="{00000000-0005-0000-0000-0000A6410000}"/>
    <cellStyle name="40% - Accent3 2 2 4 2 3 4" xfId="11811" xr:uid="{00000000-0005-0000-0000-0000A7410000}"/>
    <cellStyle name="40% - Accent3 2 2 4 2 4" xfId="3645" xr:uid="{00000000-0005-0000-0000-0000A8410000}"/>
    <cellStyle name="40% - Accent3 2 2 4 2 4 2" xfId="1258" xr:uid="{00000000-0005-0000-0000-0000A9410000}"/>
    <cellStyle name="40% - Accent3 2 2 4 2 4 2 2" xfId="33578" xr:uid="{00000000-0005-0000-0000-0000AA410000}"/>
    <cellStyle name="40% - Accent3 2 2 4 2 4 3" xfId="1272" xr:uid="{00000000-0005-0000-0000-0000AB410000}"/>
    <cellStyle name="40% - Accent3 2 2 4 2 5" xfId="1772" xr:uid="{00000000-0005-0000-0000-0000AC410000}"/>
    <cellStyle name="40% - Accent3 2 2 4 2 5 2" xfId="15730" xr:uid="{00000000-0005-0000-0000-0000AD410000}"/>
    <cellStyle name="40% - Accent3 2 2 4 2 6" xfId="18904" xr:uid="{00000000-0005-0000-0000-0000AE410000}"/>
    <cellStyle name="40% - Accent3 2 2 4 3" xfId="12983" xr:uid="{00000000-0005-0000-0000-0000AF410000}"/>
    <cellStyle name="40% - Accent3 2 2 4 3 2" xfId="23199" xr:uid="{00000000-0005-0000-0000-0000B0410000}"/>
    <cellStyle name="40% - Accent3 2 2 4 3 2 2" xfId="2961" xr:uid="{00000000-0005-0000-0000-0000B1410000}"/>
    <cellStyle name="40% - Accent3 2 2 4 3 2 2 2" xfId="29509" xr:uid="{00000000-0005-0000-0000-0000B2410000}"/>
    <cellStyle name="40% - Accent3 2 2 4 3 2 2 2 2" xfId="18907" xr:uid="{00000000-0005-0000-0000-0000B3410000}"/>
    <cellStyle name="40% - Accent3 2 2 4 3 2 2 3" xfId="33522" xr:uid="{00000000-0005-0000-0000-0000B4410000}"/>
    <cellStyle name="40% - Accent3 2 2 4 3 2 3" xfId="3464" xr:uid="{00000000-0005-0000-0000-0000B5410000}"/>
    <cellStyle name="40% - Accent3 2 2 4 3 2 3 2" xfId="29520" xr:uid="{00000000-0005-0000-0000-0000B6410000}"/>
    <cellStyle name="40% - Accent3 2 2 4 3 2 4" xfId="10382" xr:uid="{00000000-0005-0000-0000-0000B7410000}"/>
    <cellStyle name="40% - Accent3 2 2 4 3 3" xfId="18410" xr:uid="{00000000-0005-0000-0000-0000B8410000}"/>
    <cellStyle name="40% - Accent3 2 2 4 3 3 2" xfId="1021" xr:uid="{00000000-0005-0000-0000-0000B9410000}"/>
    <cellStyle name="40% - Accent3 2 2 4 3 3 2 2" xfId="18911" xr:uid="{00000000-0005-0000-0000-0000BA410000}"/>
    <cellStyle name="40% - Accent3 2 2 4 3 3 3" xfId="3481" xr:uid="{00000000-0005-0000-0000-0000BB410000}"/>
    <cellStyle name="40% - Accent3 2 2 4 3 4" xfId="28812" xr:uid="{00000000-0005-0000-0000-0000BC410000}"/>
    <cellStyle name="40% - Accent3 2 2 4 3 4 2" xfId="1373" xr:uid="{00000000-0005-0000-0000-0000BD410000}"/>
    <cellStyle name="40% - Accent3 2 2 4 3 5" xfId="18913" xr:uid="{00000000-0005-0000-0000-0000BE410000}"/>
    <cellStyle name="40% - Accent3 2 2 4 4" xfId="18917" xr:uid="{00000000-0005-0000-0000-0000BF410000}"/>
    <cellStyle name="40% - Accent3 2 2 4 4 2" xfId="31373" xr:uid="{00000000-0005-0000-0000-0000C0410000}"/>
    <cellStyle name="40% - Accent3 2 2 4 4 2 2" xfId="31879" xr:uid="{00000000-0005-0000-0000-0000C1410000}"/>
    <cellStyle name="40% - Accent3 2 2 4 4 2 2 2" xfId="26238" xr:uid="{00000000-0005-0000-0000-0000C2410000}"/>
    <cellStyle name="40% - Accent3 2 2 4 4 2 3" xfId="18050" xr:uid="{00000000-0005-0000-0000-0000C3410000}"/>
    <cellStyle name="40% - Accent3 2 2 4 4 3" xfId="18919" xr:uid="{00000000-0005-0000-0000-0000C4410000}"/>
    <cellStyle name="40% - Accent3 2 2 4 4 3 2" xfId="1203" xr:uid="{00000000-0005-0000-0000-0000C5410000}"/>
    <cellStyle name="40% - Accent3 2 2 4 4 4" xfId="29890" xr:uid="{00000000-0005-0000-0000-0000C6410000}"/>
    <cellStyle name="40% - Accent3 2 2 4 5" xfId="24307" xr:uid="{00000000-0005-0000-0000-0000C7410000}"/>
    <cellStyle name="40% - Accent3 2 2 4 5 2" xfId="27640" xr:uid="{00000000-0005-0000-0000-0000C8410000}"/>
    <cellStyle name="40% - Accent3 2 2 4 5 2 2" xfId="2983" xr:uid="{00000000-0005-0000-0000-0000C9410000}"/>
    <cellStyle name="40% - Accent3 2 2 4 5 3" xfId="31946" xr:uid="{00000000-0005-0000-0000-0000CA410000}"/>
    <cellStyle name="40% - Accent3 2 2 4 6" xfId="120" xr:uid="{00000000-0005-0000-0000-0000CB410000}"/>
    <cellStyle name="40% - Accent3 2 2 4 6 2" xfId="2545" xr:uid="{00000000-0005-0000-0000-0000CC410000}"/>
    <cellStyle name="40% - Accent3 2 2 4 7" xfId="24390" xr:uid="{00000000-0005-0000-0000-0000CD410000}"/>
    <cellStyle name="40% - Accent3 2 2 5" xfId="13357" xr:uid="{00000000-0005-0000-0000-0000CE410000}"/>
    <cellStyle name="40% - Accent3 2 2 5 2" xfId="23203" xr:uid="{00000000-0005-0000-0000-0000CF410000}"/>
    <cellStyle name="40% - Accent3 2 2 5 2 2" xfId="23206" xr:uid="{00000000-0005-0000-0000-0000D0410000}"/>
    <cellStyle name="40% - Accent3 2 2 5 2 2 2" xfId="1236" xr:uid="{00000000-0005-0000-0000-0000D1410000}"/>
    <cellStyle name="40% - Accent3 2 2 5 2 2 2 2" xfId="565" xr:uid="{00000000-0005-0000-0000-0000D2410000}"/>
    <cellStyle name="40% - Accent3 2 2 5 2 2 2 2 2" xfId="5025" xr:uid="{00000000-0005-0000-0000-0000D3410000}"/>
    <cellStyle name="40% - Accent3 2 2 5 2 2 2 3" xfId="29881" xr:uid="{00000000-0005-0000-0000-0000D4410000}"/>
    <cellStyle name="40% - Accent3 2 2 5 2 2 3" xfId="6590" xr:uid="{00000000-0005-0000-0000-0000D5410000}"/>
    <cellStyle name="40% - Accent3 2 2 5 2 2 3 2" xfId="32576" xr:uid="{00000000-0005-0000-0000-0000D6410000}"/>
    <cellStyle name="40% - Accent3 2 2 5 2 2 4" xfId="11933" xr:uid="{00000000-0005-0000-0000-0000D7410000}"/>
    <cellStyle name="40% - Accent3 2 2 5 2 3" xfId="4850" xr:uid="{00000000-0005-0000-0000-0000D8410000}"/>
    <cellStyle name="40% - Accent3 2 2 5 2 3 2" xfId="930" xr:uid="{00000000-0005-0000-0000-0000D9410000}"/>
    <cellStyle name="40% - Accent3 2 2 5 2 3 2 2" xfId="31574" xr:uid="{00000000-0005-0000-0000-0000DA410000}"/>
    <cellStyle name="40% - Accent3 2 2 5 2 3 3" xfId="6613" xr:uid="{00000000-0005-0000-0000-0000DB410000}"/>
    <cellStyle name="40% - Accent3 2 2 5 2 4" xfId="3669" xr:uid="{00000000-0005-0000-0000-0000DC410000}"/>
    <cellStyle name="40% - Accent3 2 2 5 2 4 2" xfId="1308" xr:uid="{00000000-0005-0000-0000-0000DD410000}"/>
    <cellStyle name="40% - Accent3 2 2 5 2 5" xfId="1137" xr:uid="{00000000-0005-0000-0000-0000DE410000}"/>
    <cellStyle name="40% - Accent3 2 2 5 3" xfId="18922" xr:uid="{00000000-0005-0000-0000-0000DF410000}"/>
    <cellStyle name="40% - Accent3 2 2 5 3 2" xfId="22606" xr:uid="{00000000-0005-0000-0000-0000E0410000}"/>
    <cellStyle name="40% - Accent3 2 2 5 3 2 2" xfId="26417" xr:uid="{00000000-0005-0000-0000-0000E1410000}"/>
    <cellStyle name="40% - Accent3 2 2 5 3 2 2 2" xfId="19863" xr:uid="{00000000-0005-0000-0000-0000E2410000}"/>
    <cellStyle name="40% - Accent3 2 2 5 3 2 3" xfId="21052" xr:uid="{00000000-0005-0000-0000-0000E3410000}"/>
    <cellStyle name="40% - Accent3 2 2 5 3 3" xfId="18926" xr:uid="{00000000-0005-0000-0000-0000E4410000}"/>
    <cellStyle name="40% - Accent3 2 2 5 3 3 2" xfId="27461" xr:uid="{00000000-0005-0000-0000-0000E5410000}"/>
    <cellStyle name="40% - Accent3 2 2 5 3 4" xfId="18931" xr:uid="{00000000-0005-0000-0000-0000E6410000}"/>
    <cellStyle name="40% - Accent3 2 2 5 4" xfId="20053" xr:uid="{00000000-0005-0000-0000-0000E7410000}"/>
    <cellStyle name="40% - Accent3 2 2 5 4 2" xfId="20056" xr:uid="{00000000-0005-0000-0000-0000E8410000}"/>
    <cellStyle name="40% - Accent3 2 2 5 4 2 2" xfId="1847" xr:uid="{00000000-0005-0000-0000-0000E9410000}"/>
    <cellStyle name="40% - Accent3 2 2 5 4 3" xfId="20064" xr:uid="{00000000-0005-0000-0000-0000EA410000}"/>
    <cellStyle name="40% - Accent3 2 2 5 5" xfId="33795" xr:uid="{00000000-0005-0000-0000-0000EB410000}"/>
    <cellStyle name="40% - Accent3 2 2 5 5 2" xfId="18934" xr:uid="{00000000-0005-0000-0000-0000EC410000}"/>
    <cellStyle name="40% - Accent3 2 2 5 6" xfId="27142" xr:uid="{00000000-0005-0000-0000-0000ED410000}"/>
    <cellStyle name="40% - Accent3 2 2 6" xfId="23215" xr:uid="{00000000-0005-0000-0000-0000EE410000}"/>
    <cellStyle name="40% - Accent3 2 2 6 2" xfId="18939" xr:uid="{00000000-0005-0000-0000-0000EF410000}"/>
    <cellStyle name="40% - Accent3 2 2 6 2 2" xfId="18942" xr:uid="{00000000-0005-0000-0000-0000F0410000}"/>
    <cellStyle name="40% - Accent3 2 2 6 2 2 2" xfId="5336" xr:uid="{00000000-0005-0000-0000-0000F1410000}"/>
    <cellStyle name="40% - Accent3 2 2 6 2 2 2 2" xfId="16598" xr:uid="{00000000-0005-0000-0000-0000F2410000}"/>
    <cellStyle name="40% - Accent3 2 2 6 2 2 3" xfId="263" xr:uid="{00000000-0005-0000-0000-0000F3410000}"/>
    <cellStyle name="40% - Accent3 2 2 6 2 3" xfId="23510" xr:uid="{00000000-0005-0000-0000-0000F4410000}"/>
    <cellStyle name="40% - Accent3 2 2 6 2 3 2" xfId="1471" xr:uid="{00000000-0005-0000-0000-0000F5410000}"/>
    <cellStyle name="40% - Accent3 2 2 6 2 4" xfId="18944" xr:uid="{00000000-0005-0000-0000-0000F6410000}"/>
    <cellStyle name="40% - Accent3 2 2 6 3" xfId="22658" xr:uid="{00000000-0005-0000-0000-0000F7410000}"/>
    <cellStyle name="40% - Accent3 2 2 6 3 2" xfId="18948" xr:uid="{00000000-0005-0000-0000-0000F8410000}"/>
    <cellStyle name="40% - Accent3 2 2 6 3 2 2" xfId="895" xr:uid="{00000000-0005-0000-0000-0000F9410000}"/>
    <cellStyle name="40% - Accent3 2 2 6 3 3" xfId="18950" xr:uid="{00000000-0005-0000-0000-0000FA410000}"/>
    <cellStyle name="40% - Accent3 2 2 6 4" xfId="18952" xr:uid="{00000000-0005-0000-0000-0000FB410000}"/>
    <cellStyle name="40% - Accent3 2 2 6 4 2" xfId="19773" xr:uid="{00000000-0005-0000-0000-0000FC410000}"/>
    <cellStyle name="40% - Accent3 2 2 6 5" xfId="20525" xr:uid="{00000000-0005-0000-0000-0000FD410000}"/>
    <cellStyle name="40% - Accent3 2 2 7" xfId="23223" xr:uid="{00000000-0005-0000-0000-0000FE410000}"/>
    <cellStyle name="40% - Accent3 2 2 7 2" xfId="10137" xr:uid="{00000000-0005-0000-0000-0000FF410000}"/>
    <cellStyle name="40% - Accent3 2 2 7 2 2" xfId="13974" xr:uid="{00000000-0005-0000-0000-000000420000}"/>
    <cellStyle name="40% - Accent3 2 2 7 2 2 2" xfId="703" xr:uid="{00000000-0005-0000-0000-000001420000}"/>
    <cellStyle name="40% - Accent3 2 2 7 2 3" xfId="13977" xr:uid="{00000000-0005-0000-0000-000002420000}"/>
    <cellStyle name="40% - Accent3 2 2 7 3" xfId="13979" xr:uid="{00000000-0005-0000-0000-000003420000}"/>
    <cellStyle name="40% - Accent3 2 2 7 3 2" xfId="13982" xr:uid="{00000000-0005-0000-0000-000004420000}"/>
    <cellStyle name="40% - Accent3 2 2 7 4" xfId="10438" xr:uid="{00000000-0005-0000-0000-000005420000}"/>
    <cellStyle name="40% - Accent3 2 2 8" xfId="13986" xr:uid="{00000000-0005-0000-0000-000006420000}"/>
    <cellStyle name="40% - Accent3 2 2 8 2" xfId="13987" xr:uid="{00000000-0005-0000-0000-000007420000}"/>
    <cellStyle name="40% - Accent3 2 2 8 2 2" xfId="15804" xr:uid="{00000000-0005-0000-0000-000008420000}"/>
    <cellStyle name="40% - Accent3 2 2 8 3" xfId="13989" xr:uid="{00000000-0005-0000-0000-000009420000}"/>
    <cellStyle name="40% - Accent3 2 2 9" xfId="13994" xr:uid="{00000000-0005-0000-0000-00000A420000}"/>
    <cellStyle name="40% - Accent3 2 2 9 2" xfId="18321" xr:uid="{00000000-0005-0000-0000-00000B420000}"/>
    <cellStyle name="40% - Accent3 2 3" xfId="18959" xr:uid="{00000000-0005-0000-0000-00000C420000}"/>
    <cellStyle name="40% - Accent3 2 3 2" xfId="23231" xr:uid="{00000000-0005-0000-0000-00000D420000}"/>
    <cellStyle name="40% - Accent3 2 3 2 2" xfId="23236" xr:uid="{00000000-0005-0000-0000-00000E420000}"/>
    <cellStyle name="40% - Accent3 2 3 2 2 2" xfId="14636" xr:uid="{00000000-0005-0000-0000-00000F420000}"/>
    <cellStyle name="40% - Accent3 2 3 2 2 2 2" xfId="6341" xr:uid="{00000000-0005-0000-0000-000010420000}"/>
    <cellStyle name="40% - Accent3 2 3 2 2 2 2 2" xfId="18966" xr:uid="{00000000-0005-0000-0000-000011420000}"/>
    <cellStyle name="40% - Accent3 2 3 2 2 2 2 2 2" xfId="18841" xr:uid="{00000000-0005-0000-0000-000012420000}"/>
    <cellStyle name="40% - Accent3 2 3 2 2 2 2 2 2 2" xfId="2235" xr:uid="{00000000-0005-0000-0000-000013420000}"/>
    <cellStyle name="40% - Accent3 2 3 2 2 2 2 2 2 2 2" xfId="26918" xr:uid="{00000000-0005-0000-0000-000014420000}"/>
    <cellStyle name="40% - Accent3 2 3 2 2 2 2 2 2 3" xfId="3829" xr:uid="{00000000-0005-0000-0000-000015420000}"/>
    <cellStyle name="40% - Accent3 2 3 2 2 2 2 2 3" xfId="22164" xr:uid="{00000000-0005-0000-0000-000016420000}"/>
    <cellStyle name="40% - Accent3 2 3 2 2 2 2 2 3 2" xfId="2659" xr:uid="{00000000-0005-0000-0000-000017420000}"/>
    <cellStyle name="40% - Accent3 2 3 2 2 2 2 2 4" xfId="11482" xr:uid="{00000000-0005-0000-0000-000018420000}"/>
    <cellStyle name="40% - Accent3 2 3 2 2 2 2 3" xfId="18968" xr:uid="{00000000-0005-0000-0000-000019420000}"/>
    <cellStyle name="40% - Accent3 2 3 2 2 2 2 3 2" xfId="20379" xr:uid="{00000000-0005-0000-0000-00001A420000}"/>
    <cellStyle name="40% - Accent3 2 3 2 2 2 2 3 2 2" xfId="4709" xr:uid="{00000000-0005-0000-0000-00001B420000}"/>
    <cellStyle name="40% - Accent3 2 3 2 2 2 2 3 3" xfId="32718" xr:uid="{00000000-0005-0000-0000-00001C420000}"/>
    <cellStyle name="40% - Accent3 2 3 2 2 2 2 4" xfId="18972" xr:uid="{00000000-0005-0000-0000-00001D420000}"/>
    <cellStyle name="40% - Accent3 2 3 2 2 2 2 4 2" xfId="7674" xr:uid="{00000000-0005-0000-0000-00001E420000}"/>
    <cellStyle name="40% - Accent3 2 3 2 2 2 2 5" xfId="18975" xr:uid="{00000000-0005-0000-0000-00001F420000}"/>
    <cellStyle name="40% - Accent3 2 3 2 2 2 3" xfId="2558" xr:uid="{00000000-0005-0000-0000-000020420000}"/>
    <cellStyle name="40% - Accent3 2 3 2 2 2 3 2" xfId="18978" xr:uid="{00000000-0005-0000-0000-000021420000}"/>
    <cellStyle name="40% - Accent3 2 3 2 2 2 3 2 2" xfId="22448" xr:uid="{00000000-0005-0000-0000-000022420000}"/>
    <cellStyle name="40% - Accent3 2 3 2 2 2 3 2 2 2" xfId="460" xr:uid="{00000000-0005-0000-0000-000023420000}"/>
    <cellStyle name="40% - Accent3 2 3 2 2 2 3 2 3" xfId="14227" xr:uid="{00000000-0005-0000-0000-000024420000}"/>
    <cellStyle name="40% - Accent3 2 3 2 2 2 3 3" xfId="23254" xr:uid="{00000000-0005-0000-0000-000025420000}"/>
    <cellStyle name="40% - Accent3 2 3 2 2 2 3 3 2" xfId="1084" xr:uid="{00000000-0005-0000-0000-000026420000}"/>
    <cellStyle name="40% - Accent3 2 3 2 2 2 3 4" xfId="10367" xr:uid="{00000000-0005-0000-0000-000027420000}"/>
    <cellStyle name="40% - Accent3 2 3 2 2 2 4" xfId="644" xr:uid="{00000000-0005-0000-0000-000028420000}"/>
    <cellStyle name="40% - Accent3 2 3 2 2 2 4 2" xfId="18980" xr:uid="{00000000-0005-0000-0000-000029420000}"/>
    <cellStyle name="40% - Accent3 2 3 2 2 2 4 2 2" xfId="1613" xr:uid="{00000000-0005-0000-0000-00002A420000}"/>
    <cellStyle name="40% - Accent3 2 3 2 2 2 4 3" xfId="18982" xr:uid="{00000000-0005-0000-0000-00002B420000}"/>
    <cellStyle name="40% - Accent3 2 3 2 2 2 5" xfId="18759" xr:uid="{00000000-0005-0000-0000-00002C420000}"/>
    <cellStyle name="40% - Accent3 2 3 2 2 2 5 2" xfId="18988" xr:uid="{00000000-0005-0000-0000-00002D420000}"/>
    <cellStyle name="40% - Accent3 2 3 2 2 2 6" xfId="23131" xr:uid="{00000000-0005-0000-0000-00002E420000}"/>
    <cellStyle name="40% - Accent3 2 3 2 2 3" xfId="18990" xr:uid="{00000000-0005-0000-0000-00002F420000}"/>
    <cellStyle name="40% - Accent3 2 3 2 2 3 2" xfId="4780" xr:uid="{00000000-0005-0000-0000-000030420000}"/>
    <cellStyle name="40% - Accent3 2 3 2 2 3 2 2" xfId="18993" xr:uid="{00000000-0005-0000-0000-000031420000}"/>
    <cellStyle name="40% - Accent3 2 3 2 2 3 2 2 2" xfId="20636" xr:uid="{00000000-0005-0000-0000-000032420000}"/>
    <cellStyle name="40% - Accent3 2 3 2 2 3 2 2 2 2" xfId="18999" xr:uid="{00000000-0005-0000-0000-000033420000}"/>
    <cellStyle name="40% - Accent3 2 3 2 2 3 2 2 3" xfId="24644" xr:uid="{00000000-0005-0000-0000-000034420000}"/>
    <cellStyle name="40% - Accent3 2 3 2 2 3 2 3" xfId="19005" xr:uid="{00000000-0005-0000-0000-000035420000}"/>
    <cellStyle name="40% - Accent3 2 3 2 2 3 2 3 2" xfId="11571" xr:uid="{00000000-0005-0000-0000-000036420000}"/>
    <cellStyle name="40% - Accent3 2 3 2 2 3 2 4" xfId="19008" xr:uid="{00000000-0005-0000-0000-000037420000}"/>
    <cellStyle name="40% - Accent3 2 3 2 2 3 3" xfId="400" xr:uid="{00000000-0005-0000-0000-000038420000}"/>
    <cellStyle name="40% - Accent3 2 3 2 2 3 3 2" xfId="19010" xr:uid="{00000000-0005-0000-0000-000039420000}"/>
    <cellStyle name="40% - Accent3 2 3 2 2 3 3 2 2" xfId="14249" xr:uid="{00000000-0005-0000-0000-00003A420000}"/>
    <cellStyle name="40% - Accent3 2 3 2 2 3 3 3" xfId="19011" xr:uid="{00000000-0005-0000-0000-00003B420000}"/>
    <cellStyle name="40% - Accent3 2 3 2 2 3 4" xfId="31944" xr:uid="{00000000-0005-0000-0000-00003C420000}"/>
    <cellStyle name="40% - Accent3 2 3 2 2 3 4 2" xfId="19012" xr:uid="{00000000-0005-0000-0000-00003D420000}"/>
    <cellStyle name="40% - Accent3 2 3 2 2 3 5" xfId="28079" xr:uid="{00000000-0005-0000-0000-00003E420000}"/>
    <cellStyle name="40% - Accent3 2 3 2 2 4" xfId="21770" xr:uid="{00000000-0005-0000-0000-00003F420000}"/>
    <cellStyle name="40% - Accent3 2 3 2 2 4 2" xfId="2056" xr:uid="{00000000-0005-0000-0000-000040420000}"/>
    <cellStyle name="40% - Accent3 2 3 2 2 4 2 2" xfId="19013" xr:uid="{00000000-0005-0000-0000-000041420000}"/>
    <cellStyle name="40% - Accent3 2 3 2 2 4 2 2 2" xfId="10772" xr:uid="{00000000-0005-0000-0000-000042420000}"/>
    <cellStyle name="40% - Accent3 2 3 2 2 4 2 3" xfId="19045" xr:uid="{00000000-0005-0000-0000-000043420000}"/>
    <cellStyle name="40% - Accent3 2 3 2 2 4 3" xfId="2388" xr:uid="{00000000-0005-0000-0000-000044420000}"/>
    <cellStyle name="40% - Accent3 2 3 2 2 4 3 2" xfId="19022" xr:uid="{00000000-0005-0000-0000-000045420000}"/>
    <cellStyle name="40% - Accent3 2 3 2 2 4 4" xfId="19047" xr:uid="{00000000-0005-0000-0000-000046420000}"/>
    <cellStyle name="40% - Accent3 2 3 2 2 5" xfId="19018" xr:uid="{00000000-0005-0000-0000-000047420000}"/>
    <cellStyle name="40% - Accent3 2 3 2 2 5 2" xfId="19021" xr:uid="{00000000-0005-0000-0000-000048420000}"/>
    <cellStyle name="40% - Accent3 2 3 2 2 5 2 2" xfId="20573" xr:uid="{00000000-0005-0000-0000-000049420000}"/>
    <cellStyle name="40% - Accent3 2 3 2 2 5 3" xfId="19024" xr:uid="{00000000-0005-0000-0000-00004A420000}"/>
    <cellStyle name="40% - Accent3 2 3 2 2 6" xfId="27745" xr:uid="{00000000-0005-0000-0000-00004B420000}"/>
    <cellStyle name="40% - Accent3 2 3 2 2 6 2" xfId="27753" xr:uid="{00000000-0005-0000-0000-00004C420000}"/>
    <cellStyle name="40% - Accent3 2 3 2 2 7" xfId="24358" xr:uid="{00000000-0005-0000-0000-00004D420000}"/>
    <cellStyle name="40% - Accent3 2 3 2 3" xfId="22682" xr:uid="{00000000-0005-0000-0000-00004E420000}"/>
    <cellStyle name="40% - Accent3 2 3 2 3 2" xfId="19027" xr:uid="{00000000-0005-0000-0000-00004F420000}"/>
    <cellStyle name="40% - Accent3 2 3 2 3 2 2" xfId="4753" xr:uid="{00000000-0005-0000-0000-000050420000}"/>
    <cellStyle name="40% - Accent3 2 3 2 3 2 2 2" xfId="19031" xr:uid="{00000000-0005-0000-0000-000051420000}"/>
    <cellStyle name="40% - Accent3 2 3 2 3 2 2 2 2" xfId="24804" xr:uid="{00000000-0005-0000-0000-000052420000}"/>
    <cellStyle name="40% - Accent3 2 3 2 3 2 2 2 2 2" xfId="29377" xr:uid="{00000000-0005-0000-0000-000053420000}"/>
    <cellStyle name="40% - Accent3 2 3 2 3 2 2 2 3" xfId="24806" xr:uid="{00000000-0005-0000-0000-000054420000}"/>
    <cellStyle name="40% - Accent3 2 3 2 3 2 2 3" xfId="19033" xr:uid="{00000000-0005-0000-0000-000055420000}"/>
    <cellStyle name="40% - Accent3 2 3 2 3 2 2 3 2" xfId="24827" xr:uid="{00000000-0005-0000-0000-000056420000}"/>
    <cellStyle name="40% - Accent3 2 3 2 3 2 2 4" xfId="19038" xr:uid="{00000000-0005-0000-0000-000057420000}"/>
    <cellStyle name="40% - Accent3 2 3 2 3 2 3" xfId="6705" xr:uid="{00000000-0005-0000-0000-000058420000}"/>
    <cellStyle name="40% - Accent3 2 3 2 3 2 3 2" xfId="19064" xr:uid="{00000000-0005-0000-0000-000059420000}"/>
    <cellStyle name="40% - Accent3 2 3 2 3 2 3 2 2" xfId="29518" xr:uid="{00000000-0005-0000-0000-00005A420000}"/>
    <cellStyle name="40% - Accent3 2 3 2 3 2 3 3" xfId="19039" xr:uid="{00000000-0005-0000-0000-00005B420000}"/>
    <cellStyle name="40% - Accent3 2 3 2 3 2 4" xfId="21150" xr:uid="{00000000-0005-0000-0000-00005C420000}"/>
    <cellStyle name="40% - Accent3 2 3 2 3 2 4 2" xfId="28574" xr:uid="{00000000-0005-0000-0000-00005D420000}"/>
    <cellStyle name="40% - Accent3 2 3 2 3 2 5" xfId="21984" xr:uid="{00000000-0005-0000-0000-00005E420000}"/>
    <cellStyle name="40% - Accent3 2 3 2 3 3" xfId="21779" xr:uid="{00000000-0005-0000-0000-00005F420000}"/>
    <cellStyle name="40% - Accent3 2 3 2 3 3 2" xfId="181" xr:uid="{00000000-0005-0000-0000-000060420000}"/>
    <cellStyle name="40% - Accent3 2 3 2 3 3 2 2" xfId="28760" xr:uid="{00000000-0005-0000-0000-000061420000}"/>
    <cellStyle name="40% - Accent3 2 3 2 3 3 2 2 2" xfId="29851" xr:uid="{00000000-0005-0000-0000-000062420000}"/>
    <cellStyle name="40% - Accent3 2 3 2 3 3 2 3" xfId="28764" xr:uid="{00000000-0005-0000-0000-000063420000}"/>
    <cellStyle name="40% - Accent3 2 3 2 3 3 3" xfId="19042" xr:uid="{00000000-0005-0000-0000-000064420000}"/>
    <cellStyle name="40% - Accent3 2 3 2 3 3 3 2" xfId="19044" xr:uid="{00000000-0005-0000-0000-000065420000}"/>
    <cellStyle name="40% - Accent3 2 3 2 3 3 4" xfId="25960" xr:uid="{00000000-0005-0000-0000-000066420000}"/>
    <cellStyle name="40% - Accent3 2 3 2 3 4" xfId="20562" xr:uid="{00000000-0005-0000-0000-000067420000}"/>
    <cellStyle name="40% - Accent3 2 3 2 3 4 2" xfId="32746" xr:uid="{00000000-0005-0000-0000-000068420000}"/>
    <cellStyle name="40% - Accent3 2 3 2 3 4 2 2" xfId="19046" xr:uid="{00000000-0005-0000-0000-000069420000}"/>
    <cellStyle name="40% - Accent3 2 3 2 3 4 3" xfId="19048" xr:uid="{00000000-0005-0000-0000-00006A420000}"/>
    <cellStyle name="40% - Accent3 2 3 2 3 5" xfId="19050" xr:uid="{00000000-0005-0000-0000-00006B420000}"/>
    <cellStyle name="40% - Accent3 2 3 2 3 5 2" xfId="19052" xr:uid="{00000000-0005-0000-0000-00006C420000}"/>
    <cellStyle name="40% - Accent3 2 3 2 3 6" xfId="22558" xr:uid="{00000000-0005-0000-0000-00006D420000}"/>
    <cellStyle name="40% - Accent3 2 3 2 4" xfId="8740" xr:uid="{00000000-0005-0000-0000-00006E420000}"/>
    <cellStyle name="40% - Accent3 2 3 2 4 2" xfId="23241" xr:uid="{00000000-0005-0000-0000-00006F420000}"/>
    <cellStyle name="40% - Accent3 2 3 2 4 2 2" xfId="5941" xr:uid="{00000000-0005-0000-0000-000070420000}"/>
    <cellStyle name="40% - Accent3 2 3 2 4 2 2 2" xfId="28523" xr:uid="{00000000-0005-0000-0000-000071420000}"/>
    <cellStyle name="40% - Accent3 2 3 2 4 2 2 2 2" xfId="22953" xr:uid="{00000000-0005-0000-0000-000072420000}"/>
    <cellStyle name="40% - Accent3 2 3 2 4 2 2 3" xfId="27866" xr:uid="{00000000-0005-0000-0000-000073420000}"/>
    <cellStyle name="40% - Accent3 2 3 2 4 2 3" xfId="22724" xr:uid="{00000000-0005-0000-0000-000074420000}"/>
    <cellStyle name="40% - Accent3 2 3 2 4 2 3 2" xfId="19054" xr:uid="{00000000-0005-0000-0000-000075420000}"/>
    <cellStyle name="40% - Accent3 2 3 2 4 2 4" xfId="20675" xr:uid="{00000000-0005-0000-0000-000076420000}"/>
    <cellStyle name="40% - Accent3 2 3 2 4 3" xfId="5032" xr:uid="{00000000-0005-0000-0000-000077420000}"/>
    <cellStyle name="40% - Accent3 2 3 2 4 3 2" xfId="31653" xr:uid="{00000000-0005-0000-0000-000078420000}"/>
    <cellStyle name="40% - Accent3 2 3 2 4 3 2 2" xfId="19055" xr:uid="{00000000-0005-0000-0000-000079420000}"/>
    <cellStyle name="40% - Accent3 2 3 2 4 3 3" xfId="28197" xr:uid="{00000000-0005-0000-0000-00007A420000}"/>
    <cellStyle name="40% - Accent3 2 3 2 4 4" xfId="5039" xr:uid="{00000000-0005-0000-0000-00007B420000}"/>
    <cellStyle name="40% - Accent3 2 3 2 4 4 2" xfId="21173" xr:uid="{00000000-0005-0000-0000-00007C420000}"/>
    <cellStyle name="40% - Accent3 2 3 2 4 5" xfId="19057" xr:uid="{00000000-0005-0000-0000-00007D420000}"/>
    <cellStyle name="40% - Accent3 2 3 2 5" xfId="18558" xr:uid="{00000000-0005-0000-0000-00007E420000}"/>
    <cellStyle name="40% - Accent3 2 3 2 5 2" xfId="2166" xr:uid="{00000000-0005-0000-0000-00007F420000}"/>
    <cellStyle name="40% - Accent3 2 3 2 5 2 2" xfId="22735" xr:uid="{00000000-0005-0000-0000-000080420000}"/>
    <cellStyle name="40% - Accent3 2 3 2 5 2 2 2" xfId="19058" xr:uid="{00000000-0005-0000-0000-000081420000}"/>
    <cellStyle name="40% - Accent3 2 3 2 5 2 3" xfId="19059" xr:uid="{00000000-0005-0000-0000-000082420000}"/>
    <cellStyle name="40% - Accent3 2 3 2 5 3" xfId="488" xr:uid="{00000000-0005-0000-0000-000083420000}"/>
    <cellStyle name="40% - Accent3 2 3 2 5 3 2" xfId="20656" xr:uid="{00000000-0005-0000-0000-000084420000}"/>
    <cellStyle name="40% - Accent3 2 3 2 5 4" xfId="20666" xr:uid="{00000000-0005-0000-0000-000085420000}"/>
    <cellStyle name="40% - Accent3 2 3 2 6" xfId="32034" xr:uid="{00000000-0005-0000-0000-000086420000}"/>
    <cellStyle name="40% - Accent3 2 3 2 6 2" xfId="32345" xr:uid="{00000000-0005-0000-0000-000087420000}"/>
    <cellStyle name="40% - Accent3 2 3 2 6 2 2" xfId="27997" xr:uid="{00000000-0005-0000-0000-000088420000}"/>
    <cellStyle name="40% - Accent3 2 3 2 6 3" xfId="30353" xr:uid="{00000000-0005-0000-0000-000089420000}"/>
    <cellStyle name="40% - Accent3 2 3 2 7" xfId="32228" xr:uid="{00000000-0005-0000-0000-00008A420000}"/>
    <cellStyle name="40% - Accent3 2 3 2 7 2" xfId="2402" xr:uid="{00000000-0005-0000-0000-00008B420000}"/>
    <cellStyle name="40% - Accent3 2 3 2 8" xfId="32678" xr:uid="{00000000-0005-0000-0000-00008C420000}"/>
    <cellStyle name="40% - Accent3 2 3 3" xfId="19062" xr:uid="{00000000-0005-0000-0000-00008D420000}"/>
    <cellStyle name="40% - Accent3 2 3 3 2" xfId="23246" xr:uid="{00000000-0005-0000-0000-00008E420000}"/>
    <cellStyle name="40% - Accent3 2 3 3 2 2" xfId="14717" xr:uid="{00000000-0005-0000-0000-00008F420000}"/>
    <cellStyle name="40% - Accent3 2 3 3 2 2 2" xfId="10067" xr:uid="{00000000-0005-0000-0000-000090420000}"/>
    <cellStyle name="40% - Accent3 2 3 3 2 2 2 2" xfId="33132" xr:uid="{00000000-0005-0000-0000-000091420000}"/>
    <cellStyle name="40% - Accent3 2 3 3 2 2 2 2 2" xfId="10591" xr:uid="{00000000-0005-0000-0000-000092420000}"/>
    <cellStyle name="40% - Accent3 2 3 3 2 2 2 2 2 2" xfId="19063" xr:uid="{00000000-0005-0000-0000-000093420000}"/>
    <cellStyle name="40% - Accent3 2 3 3 2 2 2 2 3" xfId="12935" xr:uid="{00000000-0005-0000-0000-000094420000}"/>
    <cellStyle name="40% - Accent3 2 3 3 2 2 2 3" xfId="6474" xr:uid="{00000000-0005-0000-0000-000095420000}"/>
    <cellStyle name="40% - Accent3 2 3 3 2 2 2 3 2" xfId="12937" xr:uid="{00000000-0005-0000-0000-000096420000}"/>
    <cellStyle name="40% - Accent3 2 3 3 2 2 2 4" xfId="19068" xr:uid="{00000000-0005-0000-0000-000097420000}"/>
    <cellStyle name="40% - Accent3 2 3 3 2 2 3" xfId="1655" xr:uid="{00000000-0005-0000-0000-000098420000}"/>
    <cellStyle name="40% - Accent3 2 3 3 2 2 3 2" xfId="19399" xr:uid="{00000000-0005-0000-0000-000099420000}"/>
    <cellStyle name="40% - Accent3 2 3 3 2 2 3 2 2" xfId="12947" xr:uid="{00000000-0005-0000-0000-00009A420000}"/>
    <cellStyle name="40% - Accent3 2 3 3 2 2 3 3" xfId="19073" xr:uid="{00000000-0005-0000-0000-00009B420000}"/>
    <cellStyle name="40% - Accent3 2 3 3 2 2 4" xfId="2009" xr:uid="{00000000-0005-0000-0000-00009C420000}"/>
    <cellStyle name="40% - Accent3 2 3 3 2 2 4 2" xfId="1677" xr:uid="{00000000-0005-0000-0000-00009D420000}"/>
    <cellStyle name="40% - Accent3 2 3 3 2 2 5" xfId="5468" xr:uid="{00000000-0005-0000-0000-00009E420000}"/>
    <cellStyle name="40% - Accent3 2 3 3 2 3" xfId="20002" xr:uid="{00000000-0005-0000-0000-00009F420000}"/>
    <cellStyle name="40% - Accent3 2 3 3 2 3 2" xfId="3700" xr:uid="{00000000-0005-0000-0000-0000A0420000}"/>
    <cellStyle name="40% - Accent3 2 3 3 2 3 2 2" xfId="19074" xr:uid="{00000000-0005-0000-0000-0000A1420000}"/>
    <cellStyle name="40% - Accent3 2 3 3 2 3 2 2 2" xfId="12962" xr:uid="{00000000-0005-0000-0000-0000A2420000}"/>
    <cellStyle name="40% - Accent3 2 3 3 2 3 2 3" xfId="19408" xr:uid="{00000000-0005-0000-0000-0000A3420000}"/>
    <cellStyle name="40% - Accent3 2 3 3 2 3 3" xfId="2035" xr:uid="{00000000-0005-0000-0000-0000A4420000}"/>
    <cellStyle name="40% - Accent3 2 3 3 2 3 3 2" xfId="33818" xr:uid="{00000000-0005-0000-0000-0000A5420000}"/>
    <cellStyle name="40% - Accent3 2 3 3 2 3 4" xfId="6004" xr:uid="{00000000-0005-0000-0000-0000A6420000}"/>
    <cellStyle name="40% - Accent3 2 3 3 2 4" xfId="19077" xr:uid="{00000000-0005-0000-0000-0000A7420000}"/>
    <cellStyle name="40% - Accent3 2 3 3 2 4 2" xfId="14014" xr:uid="{00000000-0005-0000-0000-0000A8420000}"/>
    <cellStyle name="40% - Accent3 2 3 3 2 4 2 2" xfId="19159" xr:uid="{00000000-0005-0000-0000-0000A9420000}"/>
    <cellStyle name="40% - Accent3 2 3 3 2 4 3" xfId="9119" xr:uid="{00000000-0005-0000-0000-0000AA420000}"/>
    <cellStyle name="40% - Accent3 2 3 3 2 5" xfId="25707" xr:uid="{00000000-0005-0000-0000-0000AB420000}"/>
    <cellStyle name="40% - Accent3 2 3 3 2 5 2" xfId="29027" xr:uid="{00000000-0005-0000-0000-0000AC420000}"/>
    <cellStyle name="40% - Accent3 2 3 3 2 6" xfId="24384" xr:uid="{00000000-0005-0000-0000-0000AD420000}"/>
    <cellStyle name="40% - Accent3 2 3 3 3" xfId="19084" xr:uid="{00000000-0005-0000-0000-0000AE420000}"/>
    <cellStyle name="40% - Accent3 2 3 3 3 2" xfId="23250" xr:uid="{00000000-0005-0000-0000-0000AF420000}"/>
    <cellStyle name="40% - Accent3 2 3 3 3 2 2" xfId="21756" xr:uid="{00000000-0005-0000-0000-0000B0420000}"/>
    <cellStyle name="40% - Accent3 2 3 3 3 2 2 2" xfId="19087" xr:uid="{00000000-0005-0000-0000-0000B1420000}"/>
    <cellStyle name="40% - Accent3 2 3 3 3 2 2 2 2" xfId="3703" xr:uid="{00000000-0005-0000-0000-0000B2420000}"/>
    <cellStyle name="40% - Accent3 2 3 3 3 2 2 3" xfId="24760" xr:uid="{00000000-0005-0000-0000-0000B3420000}"/>
    <cellStyle name="40% - Accent3 2 3 3 3 2 3" xfId="15568" xr:uid="{00000000-0005-0000-0000-0000B4420000}"/>
    <cellStyle name="40% - Accent3 2 3 3 3 2 3 2" xfId="19088" xr:uid="{00000000-0005-0000-0000-0000B5420000}"/>
    <cellStyle name="40% - Accent3 2 3 3 3 2 4" xfId="15987" xr:uid="{00000000-0005-0000-0000-0000B6420000}"/>
    <cellStyle name="40% - Accent3 2 3 3 3 3" xfId="13802" xr:uid="{00000000-0005-0000-0000-0000B7420000}"/>
    <cellStyle name="40% - Accent3 2 3 3 3 3 2" xfId="33547" xr:uid="{00000000-0005-0000-0000-0000B8420000}"/>
    <cellStyle name="40% - Accent3 2 3 3 3 3 2 2" xfId="19089" xr:uid="{00000000-0005-0000-0000-0000B9420000}"/>
    <cellStyle name="40% - Accent3 2 3 3 3 3 3" xfId="5062" xr:uid="{00000000-0005-0000-0000-0000BA420000}"/>
    <cellStyle name="40% - Accent3 2 3 3 3 4" xfId="19094" xr:uid="{00000000-0005-0000-0000-0000BB420000}"/>
    <cellStyle name="40% - Accent3 2 3 3 3 4 2" xfId="5078" xr:uid="{00000000-0005-0000-0000-0000BC420000}"/>
    <cellStyle name="40% - Accent3 2 3 3 3 5" xfId="19526" xr:uid="{00000000-0005-0000-0000-0000BD420000}"/>
    <cellStyle name="40% - Accent3 2 3 3 4" xfId="19098" xr:uid="{00000000-0005-0000-0000-0000BE420000}"/>
    <cellStyle name="40% - Accent3 2 3 3 4 2" xfId="186" xr:uid="{00000000-0005-0000-0000-0000BF420000}"/>
    <cellStyle name="40% - Accent3 2 3 3 4 2 2" xfId="27537" xr:uid="{00000000-0005-0000-0000-0000C0420000}"/>
    <cellStyle name="40% - Accent3 2 3 3 4 2 2 2" xfId="19100" xr:uid="{00000000-0005-0000-0000-0000C1420000}"/>
    <cellStyle name="40% - Accent3 2 3 3 4 2 3" xfId="5114" xr:uid="{00000000-0005-0000-0000-0000C2420000}"/>
    <cellStyle name="40% - Accent3 2 3 3 4 3" xfId="6877" xr:uid="{00000000-0005-0000-0000-0000C3420000}"/>
    <cellStyle name="40% - Accent3 2 3 3 4 3 2" xfId="5124" xr:uid="{00000000-0005-0000-0000-0000C4420000}"/>
    <cellStyle name="40% - Accent3 2 3 3 4 4" xfId="19106" xr:uid="{00000000-0005-0000-0000-0000C5420000}"/>
    <cellStyle name="40% - Accent3 2 3 3 5" xfId="32248" xr:uid="{00000000-0005-0000-0000-0000C6420000}"/>
    <cellStyle name="40% - Accent3 2 3 3 5 2" xfId="22786" xr:uid="{00000000-0005-0000-0000-0000C7420000}"/>
    <cellStyle name="40% - Accent3 2 3 3 5 2 2" xfId="5143" xr:uid="{00000000-0005-0000-0000-0000C8420000}"/>
    <cellStyle name="40% - Accent3 2 3 3 5 3" xfId="19109" xr:uid="{00000000-0005-0000-0000-0000C9420000}"/>
    <cellStyle name="40% - Accent3 2 3 3 6" xfId="13736" xr:uid="{00000000-0005-0000-0000-0000CA420000}"/>
    <cellStyle name="40% - Accent3 2 3 3 6 2" xfId="32709" xr:uid="{00000000-0005-0000-0000-0000CB420000}"/>
    <cellStyle name="40% - Accent3 2 3 3 7" xfId="27649" xr:uid="{00000000-0005-0000-0000-0000CC420000}"/>
    <cellStyle name="40% - Accent3 2 3 4" xfId="19111" xr:uid="{00000000-0005-0000-0000-0000CD420000}"/>
    <cellStyle name="40% - Accent3 2 3 4 2" xfId="19115" xr:uid="{00000000-0005-0000-0000-0000CE420000}"/>
    <cellStyle name="40% - Accent3 2 3 4 2 2" xfId="23265" xr:uid="{00000000-0005-0000-0000-0000CF420000}"/>
    <cellStyle name="40% - Accent3 2 3 4 2 2 2" xfId="4419" xr:uid="{00000000-0005-0000-0000-0000D0420000}"/>
    <cellStyle name="40% - Accent3 2 3 4 2 2 2 2" xfId="3053" xr:uid="{00000000-0005-0000-0000-0000D1420000}"/>
    <cellStyle name="40% - Accent3 2 3 4 2 2 2 2 2" xfId="13186" xr:uid="{00000000-0005-0000-0000-0000D2420000}"/>
    <cellStyle name="40% - Accent3 2 3 4 2 2 2 3" xfId="1223" xr:uid="{00000000-0005-0000-0000-0000D3420000}"/>
    <cellStyle name="40% - Accent3 2 3 4 2 2 3" xfId="288" xr:uid="{00000000-0005-0000-0000-0000D4420000}"/>
    <cellStyle name="40% - Accent3 2 3 4 2 2 3 2" xfId="1385" xr:uid="{00000000-0005-0000-0000-0000D5420000}"/>
    <cellStyle name="40% - Accent3 2 3 4 2 2 4" xfId="12064" xr:uid="{00000000-0005-0000-0000-0000D6420000}"/>
    <cellStyle name="40% - Accent3 2 3 4 2 3" xfId="26982" xr:uid="{00000000-0005-0000-0000-0000D7420000}"/>
    <cellStyle name="40% - Accent3 2 3 4 2 3 2" xfId="2185" xr:uid="{00000000-0005-0000-0000-0000D8420000}"/>
    <cellStyle name="40% - Accent3 2 3 4 2 3 2 2" xfId="2282" xr:uid="{00000000-0005-0000-0000-0000D9420000}"/>
    <cellStyle name="40% - Accent3 2 3 4 2 3 3" xfId="300" xr:uid="{00000000-0005-0000-0000-0000DA420000}"/>
    <cellStyle name="40% - Accent3 2 3 4 2 4" xfId="8477" xr:uid="{00000000-0005-0000-0000-0000DB420000}"/>
    <cellStyle name="40% - Accent3 2 3 4 2 4 2" xfId="8212" xr:uid="{00000000-0005-0000-0000-0000DC420000}"/>
    <cellStyle name="40% - Accent3 2 3 4 2 5" xfId="24712" xr:uid="{00000000-0005-0000-0000-0000DD420000}"/>
    <cellStyle name="40% - Accent3 2 3 4 3" xfId="19120" xr:uid="{00000000-0005-0000-0000-0000DE420000}"/>
    <cellStyle name="40% - Accent3 2 3 4 3 2" xfId="22820" xr:uid="{00000000-0005-0000-0000-0000DF420000}"/>
    <cellStyle name="40% - Accent3 2 3 4 3 2 2" xfId="17006" xr:uid="{00000000-0005-0000-0000-0000E0420000}"/>
    <cellStyle name="40% - Accent3 2 3 4 3 2 2 2" xfId="4812" xr:uid="{00000000-0005-0000-0000-0000E1420000}"/>
    <cellStyle name="40% - Accent3 2 3 4 3 2 3" xfId="2627" xr:uid="{00000000-0005-0000-0000-0000E2420000}"/>
    <cellStyle name="40% - Accent3 2 3 4 3 3" xfId="19125" xr:uid="{00000000-0005-0000-0000-0000E3420000}"/>
    <cellStyle name="40% - Accent3 2 3 4 3 3 2" xfId="2261" xr:uid="{00000000-0005-0000-0000-0000E4420000}"/>
    <cellStyle name="40% - Accent3 2 3 4 3 4" xfId="24717" xr:uid="{00000000-0005-0000-0000-0000E5420000}"/>
    <cellStyle name="40% - Accent3 2 3 4 4" xfId="22823" xr:uid="{00000000-0005-0000-0000-0000E6420000}"/>
    <cellStyle name="40% - Accent3 2 3 4 4 2" xfId="33955" xr:uid="{00000000-0005-0000-0000-0000E7420000}"/>
    <cellStyle name="40% - Accent3 2 3 4 4 2 2" xfId="2180" xr:uid="{00000000-0005-0000-0000-0000E8420000}"/>
    <cellStyle name="40% - Accent3 2 3 4 4 3" xfId="19127" xr:uid="{00000000-0005-0000-0000-0000E9420000}"/>
    <cellStyle name="40% - Accent3 2 3 4 5" xfId="32257" xr:uid="{00000000-0005-0000-0000-0000EA420000}"/>
    <cellStyle name="40% - Accent3 2 3 4 5 2" xfId="19130" xr:uid="{00000000-0005-0000-0000-0000EB420000}"/>
    <cellStyle name="40% - Accent3 2 3 4 6" xfId="3870" xr:uid="{00000000-0005-0000-0000-0000EC420000}"/>
    <cellStyle name="40% - Accent3 2 3 5" xfId="23274" xr:uid="{00000000-0005-0000-0000-0000ED420000}"/>
    <cellStyle name="40% - Accent3 2 3 5 2" xfId="23279" xr:uid="{00000000-0005-0000-0000-0000EE420000}"/>
    <cellStyle name="40% - Accent3 2 3 5 2 2" xfId="26994" xr:uid="{00000000-0005-0000-0000-0000EF420000}"/>
    <cellStyle name="40% - Accent3 2 3 5 2 2 2" xfId="1222" xr:uid="{00000000-0005-0000-0000-0000F0420000}"/>
    <cellStyle name="40% - Accent3 2 3 5 2 2 2 2" xfId="19132" xr:uid="{00000000-0005-0000-0000-0000F1420000}"/>
    <cellStyle name="40% - Accent3 2 3 5 2 2 3" xfId="11107" xr:uid="{00000000-0005-0000-0000-0000F2420000}"/>
    <cellStyle name="40% - Accent3 2 3 5 2 3" xfId="19135" xr:uid="{00000000-0005-0000-0000-0000F3420000}"/>
    <cellStyle name="40% - Accent3 2 3 5 2 3 2" xfId="2325" xr:uid="{00000000-0005-0000-0000-0000F4420000}"/>
    <cellStyle name="40% - Accent3 2 3 5 2 4" xfId="19137" xr:uid="{00000000-0005-0000-0000-0000F5420000}"/>
    <cellStyle name="40% - Accent3 2 3 5 3" xfId="22891" xr:uid="{00000000-0005-0000-0000-0000F6420000}"/>
    <cellStyle name="40% - Accent3 2 3 5 3 2" xfId="26603" xr:uid="{00000000-0005-0000-0000-0000F7420000}"/>
    <cellStyle name="40% - Accent3 2 3 5 3 2 2" xfId="17056" xr:uid="{00000000-0005-0000-0000-0000F8420000}"/>
    <cellStyle name="40% - Accent3 2 3 5 3 3" xfId="19140" xr:uid="{00000000-0005-0000-0000-0000F9420000}"/>
    <cellStyle name="40% - Accent3 2 3 5 4" xfId="20640" xr:uid="{00000000-0005-0000-0000-0000FA420000}"/>
    <cellStyle name="40% - Accent3 2 3 5 4 2" xfId="27500" xr:uid="{00000000-0005-0000-0000-0000FB420000}"/>
    <cellStyle name="40% - Accent3 2 3 5 5" xfId="25090" xr:uid="{00000000-0005-0000-0000-0000FC420000}"/>
    <cellStyle name="40% - Accent3 2 3 6" xfId="23281" xr:uid="{00000000-0005-0000-0000-0000FD420000}"/>
    <cellStyle name="40% - Accent3 2 3 6 2" xfId="20930" xr:uid="{00000000-0005-0000-0000-0000FE420000}"/>
    <cellStyle name="40% - Accent3 2 3 6 2 2" xfId="21925" xr:uid="{00000000-0005-0000-0000-0000FF420000}"/>
    <cellStyle name="40% - Accent3 2 3 6 2 2 2" xfId="2350" xr:uid="{00000000-0005-0000-0000-000000430000}"/>
    <cellStyle name="40% - Accent3 2 3 6 2 3" xfId="19144" xr:uid="{00000000-0005-0000-0000-000001430000}"/>
    <cellStyle name="40% - Accent3 2 3 6 3" xfId="19146" xr:uid="{00000000-0005-0000-0000-000002430000}"/>
    <cellStyle name="40% - Accent3 2 3 6 3 2" xfId="30998" xr:uid="{00000000-0005-0000-0000-000003430000}"/>
    <cellStyle name="40% - Accent3 2 3 6 4" xfId="22103" xr:uid="{00000000-0005-0000-0000-000004430000}"/>
    <cellStyle name="40% - Accent3 2 3 7" xfId="5801" xr:uid="{00000000-0005-0000-0000-000005430000}"/>
    <cellStyle name="40% - Accent3 2 3 7 2" xfId="4642" xr:uid="{00000000-0005-0000-0000-000006430000}"/>
    <cellStyle name="40% - Accent3 2 3 7 2 2" xfId="4646" xr:uid="{00000000-0005-0000-0000-000007430000}"/>
    <cellStyle name="40% - Accent3 2 3 7 3" xfId="4651" xr:uid="{00000000-0005-0000-0000-000008430000}"/>
    <cellStyle name="40% - Accent3 2 3 8" xfId="4342" xr:uid="{00000000-0005-0000-0000-000009430000}"/>
    <cellStyle name="40% - Accent3 2 3 8 2" xfId="4655" xr:uid="{00000000-0005-0000-0000-00000A430000}"/>
    <cellStyle name="40% - Accent3 2 3 9" xfId="4660" xr:uid="{00000000-0005-0000-0000-00000B430000}"/>
    <cellStyle name="40% - Accent3 2 4" xfId="19149" xr:uid="{00000000-0005-0000-0000-00000C430000}"/>
    <cellStyle name="40% - Accent3 2 4 2" xfId="23285" xr:uid="{00000000-0005-0000-0000-00000D430000}"/>
    <cellStyle name="40% - Accent3 2 4 2 2" xfId="22767" xr:uid="{00000000-0005-0000-0000-00000E430000}"/>
    <cellStyle name="40% - Accent3 2 4 2 2 2" xfId="17357" xr:uid="{00000000-0005-0000-0000-00000F430000}"/>
    <cellStyle name="40% - Accent3 2 4 2 2 2 2" xfId="23288" xr:uid="{00000000-0005-0000-0000-000010430000}"/>
    <cellStyle name="40% - Accent3 2 4 2 2 2 2 2" xfId="17471" xr:uid="{00000000-0005-0000-0000-000011430000}"/>
    <cellStyle name="40% - Accent3 2 4 2 2 2 2 2 2" xfId="15834" xr:uid="{00000000-0005-0000-0000-000012430000}"/>
    <cellStyle name="40% - Accent3 2 4 2 2 2 2 2 2 2" xfId="13356" xr:uid="{00000000-0005-0000-0000-000013430000}"/>
    <cellStyle name="40% - Accent3 2 4 2 2 2 2 2 3" xfId="15838" xr:uid="{00000000-0005-0000-0000-000014430000}"/>
    <cellStyle name="40% - Accent3 2 4 2 2 2 2 3" xfId="17474" xr:uid="{00000000-0005-0000-0000-000015430000}"/>
    <cellStyle name="40% - Accent3 2 4 2 2 2 2 3 2" xfId="15841" xr:uid="{00000000-0005-0000-0000-000016430000}"/>
    <cellStyle name="40% - Accent3 2 4 2 2 2 2 4" xfId="19155" xr:uid="{00000000-0005-0000-0000-000017430000}"/>
    <cellStyle name="40% - Accent3 2 4 2 2 2 3" xfId="17370" xr:uid="{00000000-0005-0000-0000-000018430000}"/>
    <cellStyle name="40% - Accent3 2 4 2 2 2 3 2" xfId="17476" xr:uid="{00000000-0005-0000-0000-000019430000}"/>
    <cellStyle name="40% - Accent3 2 4 2 2 2 3 2 2" xfId="12468" xr:uid="{00000000-0005-0000-0000-00001A430000}"/>
    <cellStyle name="40% - Accent3 2 4 2 2 2 3 3" xfId="27885" xr:uid="{00000000-0005-0000-0000-00001B430000}"/>
    <cellStyle name="40% - Accent3 2 4 2 2 2 4" xfId="17377" xr:uid="{00000000-0005-0000-0000-00001C430000}"/>
    <cellStyle name="40% - Accent3 2 4 2 2 2 4 2" xfId="19157" xr:uid="{00000000-0005-0000-0000-00001D430000}"/>
    <cellStyle name="40% - Accent3 2 4 2 2 2 5" xfId="33357" xr:uid="{00000000-0005-0000-0000-00001E430000}"/>
    <cellStyle name="40% - Accent3 2 4 2 2 3" xfId="21833" xr:uid="{00000000-0005-0000-0000-00001F430000}"/>
    <cellStyle name="40% - Accent3 2 4 2 2 3 2" xfId="17389" xr:uid="{00000000-0005-0000-0000-000020430000}"/>
    <cellStyle name="40% - Accent3 2 4 2 2 3 2 2" xfId="33086" xr:uid="{00000000-0005-0000-0000-000021430000}"/>
    <cellStyle name="40% - Accent3 2 4 2 2 3 2 2 2" xfId="15924" xr:uid="{00000000-0005-0000-0000-000022430000}"/>
    <cellStyle name="40% - Accent3 2 4 2 2 3 2 3" xfId="33324" xr:uid="{00000000-0005-0000-0000-000023430000}"/>
    <cellStyle name="40% - Accent3 2 4 2 2 3 3" xfId="17395" xr:uid="{00000000-0005-0000-0000-000024430000}"/>
    <cellStyle name="40% - Accent3 2 4 2 2 3 3 2" xfId="25221" xr:uid="{00000000-0005-0000-0000-000025430000}"/>
    <cellStyle name="40% - Accent3 2 4 2 2 3 4" xfId="19158" xr:uid="{00000000-0005-0000-0000-000026430000}"/>
    <cellStyle name="40% - Accent3 2 4 2 2 4" xfId="15019" xr:uid="{00000000-0005-0000-0000-000027430000}"/>
    <cellStyle name="40% - Accent3 2 4 2 2 4 2" xfId="17398" xr:uid="{00000000-0005-0000-0000-000028430000}"/>
    <cellStyle name="40% - Accent3 2 4 2 2 4 2 2" xfId="32219" xr:uid="{00000000-0005-0000-0000-000029430000}"/>
    <cellStyle name="40% - Accent3 2 4 2 2 4 3" xfId="19160" xr:uid="{00000000-0005-0000-0000-00002A430000}"/>
    <cellStyle name="40% - Accent3 2 4 2 2 5" xfId="14851" xr:uid="{00000000-0005-0000-0000-00002B430000}"/>
    <cellStyle name="40% - Accent3 2 4 2 2 5 2" xfId="19163" xr:uid="{00000000-0005-0000-0000-00002C430000}"/>
    <cellStyle name="40% - Accent3 2 4 2 2 6" xfId="24456" xr:uid="{00000000-0005-0000-0000-00002D430000}"/>
    <cellStyle name="40% - Accent3 2 4 2 3" xfId="17403" xr:uid="{00000000-0005-0000-0000-00002E430000}"/>
    <cellStyle name="40% - Accent3 2 4 2 3 2" xfId="22988" xr:uid="{00000000-0005-0000-0000-00002F430000}"/>
    <cellStyle name="40% - Accent3 2 4 2 3 2 2" xfId="22991" xr:uid="{00000000-0005-0000-0000-000030430000}"/>
    <cellStyle name="40% - Accent3 2 4 2 3 2 2 2" xfId="17512" xr:uid="{00000000-0005-0000-0000-000031430000}"/>
    <cellStyle name="40% - Accent3 2 4 2 3 2 2 2 2" xfId="16219" xr:uid="{00000000-0005-0000-0000-000032430000}"/>
    <cellStyle name="40% - Accent3 2 4 2 3 2 2 3" xfId="19164" xr:uid="{00000000-0005-0000-0000-000033430000}"/>
    <cellStyle name="40% - Accent3 2 4 2 3 2 3" xfId="17407" xr:uid="{00000000-0005-0000-0000-000034430000}"/>
    <cellStyle name="40% - Accent3 2 4 2 3 2 3 2" xfId="25434" xr:uid="{00000000-0005-0000-0000-000035430000}"/>
    <cellStyle name="40% - Accent3 2 4 2 3 2 4" xfId="19166" xr:uid="{00000000-0005-0000-0000-000036430000}"/>
    <cellStyle name="40% - Accent3 2 4 2 3 3" xfId="22995" xr:uid="{00000000-0005-0000-0000-000037430000}"/>
    <cellStyle name="40% - Accent3 2 4 2 3 3 2" xfId="17409" xr:uid="{00000000-0005-0000-0000-000038430000}"/>
    <cellStyle name="40% - Accent3 2 4 2 3 3 2 2" xfId="19168" xr:uid="{00000000-0005-0000-0000-000039430000}"/>
    <cellStyle name="40% - Accent3 2 4 2 3 3 3" xfId="19169" xr:uid="{00000000-0005-0000-0000-00003A430000}"/>
    <cellStyle name="40% - Accent3 2 4 2 3 4" xfId="31585" xr:uid="{00000000-0005-0000-0000-00003B430000}"/>
    <cellStyle name="40% - Accent3 2 4 2 3 4 2" xfId="17603" xr:uid="{00000000-0005-0000-0000-00003C430000}"/>
    <cellStyle name="40% - Accent3 2 4 2 3 5" xfId="23338" xr:uid="{00000000-0005-0000-0000-00003D430000}"/>
    <cellStyle name="40% - Accent3 2 4 2 4" xfId="17411" xr:uid="{00000000-0005-0000-0000-00003E430000}"/>
    <cellStyle name="40% - Accent3 2 4 2 4 2" xfId="57" xr:uid="{00000000-0005-0000-0000-00003F430000}"/>
    <cellStyle name="40% - Accent3 2 4 2 4 2 2" xfId="17417" xr:uid="{00000000-0005-0000-0000-000040430000}"/>
    <cellStyle name="40% - Accent3 2 4 2 4 2 2 2" xfId="4793" xr:uid="{00000000-0005-0000-0000-000041430000}"/>
    <cellStyle name="40% - Accent3 2 4 2 4 2 3" xfId="19174" xr:uid="{00000000-0005-0000-0000-000042430000}"/>
    <cellStyle name="40% - Accent3 2 4 2 4 3" xfId="5105" xr:uid="{00000000-0005-0000-0000-000043430000}"/>
    <cellStyle name="40% - Accent3 2 4 2 4 3 2" xfId="19178" xr:uid="{00000000-0005-0000-0000-000044430000}"/>
    <cellStyle name="40% - Accent3 2 4 2 4 4" xfId="23353" xr:uid="{00000000-0005-0000-0000-000045430000}"/>
    <cellStyle name="40% - Accent3 2 4 2 5" xfId="30956" xr:uid="{00000000-0005-0000-0000-000046430000}"/>
    <cellStyle name="40% - Accent3 2 4 2 5 2" xfId="21389" xr:uid="{00000000-0005-0000-0000-000047430000}"/>
    <cellStyle name="40% - Accent3 2 4 2 5 2 2" xfId="19183" xr:uid="{00000000-0005-0000-0000-000048430000}"/>
    <cellStyle name="40% - Accent3 2 4 2 5 3" xfId="21284" xr:uid="{00000000-0005-0000-0000-000049430000}"/>
    <cellStyle name="40% - Accent3 2 4 2 6" xfId="14615" xr:uid="{00000000-0005-0000-0000-00004A430000}"/>
    <cellStyle name="40% - Accent3 2 4 2 6 2" xfId="13808" xr:uid="{00000000-0005-0000-0000-00004B430000}"/>
    <cellStyle name="40% - Accent3 2 4 2 7" xfId="23475" xr:uid="{00000000-0005-0000-0000-00004C430000}"/>
    <cellStyle name="40% - Accent3 2 4 3" xfId="19186" xr:uid="{00000000-0005-0000-0000-00004D430000}"/>
    <cellStyle name="40% - Accent3 2 4 3 2" xfId="22090" xr:uid="{00000000-0005-0000-0000-00004E430000}"/>
    <cellStyle name="40% - Accent3 2 4 3 2 2" xfId="27164" xr:uid="{00000000-0005-0000-0000-00004F430000}"/>
    <cellStyle name="40% - Accent3 2 4 3 2 2 2" xfId="23545" xr:uid="{00000000-0005-0000-0000-000050430000}"/>
    <cellStyle name="40% - Accent3 2 4 3 2 2 2 2" xfId="17530" xr:uid="{00000000-0005-0000-0000-000051430000}"/>
    <cellStyle name="40% - Accent3 2 4 3 2 2 2 2 2" xfId="17735" xr:uid="{00000000-0005-0000-0000-000052430000}"/>
    <cellStyle name="40% - Accent3 2 4 3 2 2 2 3" xfId="8797" xr:uid="{00000000-0005-0000-0000-000053430000}"/>
    <cellStyle name="40% - Accent3 2 4 3 2 2 3" xfId="109" xr:uid="{00000000-0005-0000-0000-000054430000}"/>
    <cellStyle name="40% - Accent3 2 4 3 2 2 3 2" xfId="19193" xr:uid="{00000000-0005-0000-0000-000055430000}"/>
    <cellStyle name="40% - Accent3 2 4 3 2 2 4" xfId="2648" xr:uid="{00000000-0005-0000-0000-000056430000}"/>
    <cellStyle name="40% - Accent3 2 4 3 2 3" xfId="17438" xr:uid="{00000000-0005-0000-0000-000057430000}"/>
    <cellStyle name="40% - Accent3 2 4 3 2 3 2" xfId="6765" xr:uid="{00000000-0005-0000-0000-000058430000}"/>
    <cellStyle name="40% - Accent3 2 4 3 2 3 2 2" xfId="22011" xr:uid="{00000000-0005-0000-0000-000059430000}"/>
    <cellStyle name="40% - Accent3 2 4 3 2 3 3" xfId="2671" xr:uid="{00000000-0005-0000-0000-00005A430000}"/>
    <cellStyle name="40% - Accent3 2 4 3 2 4" xfId="14897" xr:uid="{00000000-0005-0000-0000-00005B430000}"/>
    <cellStyle name="40% - Accent3 2 4 3 2 4 2" xfId="2677" xr:uid="{00000000-0005-0000-0000-00005C430000}"/>
    <cellStyle name="40% - Accent3 2 4 3 2 5" xfId="19197" xr:uid="{00000000-0005-0000-0000-00005D430000}"/>
    <cellStyle name="40% - Accent3 2 4 3 3" xfId="17445" xr:uid="{00000000-0005-0000-0000-00005E430000}"/>
    <cellStyle name="40% - Accent3 2 4 3 3 2" xfId="23009" xr:uid="{00000000-0005-0000-0000-00005F430000}"/>
    <cellStyle name="40% - Accent3 2 4 3 3 2 2" xfId="4253" xr:uid="{00000000-0005-0000-0000-000060430000}"/>
    <cellStyle name="40% - Accent3 2 4 3 3 2 2 2" xfId="19198" xr:uid="{00000000-0005-0000-0000-000061430000}"/>
    <cellStyle name="40% - Accent3 2 4 3 3 2 3" xfId="13885" xr:uid="{00000000-0005-0000-0000-000062430000}"/>
    <cellStyle name="40% - Accent3 2 4 3 3 3" xfId="17451" xr:uid="{00000000-0005-0000-0000-000063430000}"/>
    <cellStyle name="40% - Accent3 2 4 3 3 3 2" xfId="5083" xr:uid="{00000000-0005-0000-0000-000064430000}"/>
    <cellStyle name="40% - Accent3 2 4 3 3 4" xfId="19200" xr:uid="{00000000-0005-0000-0000-000065430000}"/>
    <cellStyle name="40% - Accent3 2 4 3 4" xfId="17454" xr:uid="{00000000-0005-0000-0000-000066430000}"/>
    <cellStyle name="40% - Accent3 2 4 3 4 2" xfId="21417" xr:uid="{00000000-0005-0000-0000-000067430000}"/>
    <cellStyle name="40% - Accent3 2 4 3 4 2 2" xfId="5129" xr:uid="{00000000-0005-0000-0000-000068430000}"/>
    <cellStyle name="40% - Accent3 2 4 3 4 3" xfId="19202" xr:uid="{00000000-0005-0000-0000-000069430000}"/>
    <cellStyle name="40% - Accent3 2 4 3 5" xfId="32272" xr:uid="{00000000-0005-0000-0000-00006A430000}"/>
    <cellStyle name="40% - Accent3 2 4 3 5 2" xfId="27516" xr:uid="{00000000-0005-0000-0000-00006B430000}"/>
    <cellStyle name="40% - Accent3 2 4 3 6" xfId="32793" xr:uid="{00000000-0005-0000-0000-00006C430000}"/>
    <cellStyle name="40% - Accent3 2 4 4" xfId="19205" xr:uid="{00000000-0005-0000-0000-00006D430000}"/>
    <cellStyle name="40% - Accent3 2 4 4 2" xfId="20191" xr:uid="{00000000-0005-0000-0000-00006E430000}"/>
    <cellStyle name="40% - Accent3 2 4 4 2 2" xfId="2344" xr:uid="{00000000-0005-0000-0000-00006F430000}"/>
    <cellStyle name="40% - Accent3 2 4 4 2 2 2" xfId="2734" xr:uid="{00000000-0005-0000-0000-000070430000}"/>
    <cellStyle name="40% - Accent3 2 4 4 2 2 2 2" xfId="19215" xr:uid="{00000000-0005-0000-0000-000071430000}"/>
    <cellStyle name="40% - Accent3 2 4 4 2 2 3" xfId="2748" xr:uid="{00000000-0005-0000-0000-000072430000}"/>
    <cellStyle name="40% - Accent3 2 4 4 2 3" xfId="8507" xr:uid="{00000000-0005-0000-0000-000073430000}"/>
    <cellStyle name="40% - Accent3 2 4 4 2 3 2" xfId="2777" xr:uid="{00000000-0005-0000-0000-000074430000}"/>
    <cellStyle name="40% - Accent3 2 4 4 2 4" xfId="15994" xr:uid="{00000000-0005-0000-0000-000075430000}"/>
    <cellStyle name="40% - Accent3 2 4 4 3" xfId="3333" xr:uid="{00000000-0005-0000-0000-000076430000}"/>
    <cellStyle name="40% - Accent3 2 4 4 3 2" xfId="192" xr:uid="{00000000-0005-0000-0000-000077430000}"/>
    <cellStyle name="40% - Accent3 2 4 4 3 2 2" xfId="2805" xr:uid="{00000000-0005-0000-0000-000078430000}"/>
    <cellStyle name="40% - Accent3 2 4 4 3 3" xfId="15997" xr:uid="{00000000-0005-0000-0000-000079430000}"/>
    <cellStyle name="40% - Accent3 2 4 4 4" xfId="10996" xr:uid="{00000000-0005-0000-0000-00007A430000}"/>
    <cellStyle name="40% - Accent3 2 4 4 4 2" xfId="33417" xr:uid="{00000000-0005-0000-0000-00007B430000}"/>
    <cellStyle name="40% - Accent3 2 4 4 5" xfId="29992" xr:uid="{00000000-0005-0000-0000-00007C430000}"/>
    <cellStyle name="40% - Accent3 2 4 5" xfId="29923" xr:uid="{00000000-0005-0000-0000-00007D430000}"/>
    <cellStyle name="40% - Accent3 2 4 5 2" xfId="750" xr:uid="{00000000-0005-0000-0000-00007E430000}"/>
    <cellStyle name="40% - Accent3 2 4 5 2 2" xfId="1909" xr:uid="{00000000-0005-0000-0000-00007F430000}"/>
    <cellStyle name="40% - Accent3 2 4 5 2 2 2" xfId="15375" xr:uid="{00000000-0005-0000-0000-000080430000}"/>
    <cellStyle name="40% - Accent3 2 4 5 2 3" xfId="16007" xr:uid="{00000000-0005-0000-0000-000081430000}"/>
    <cellStyle name="40% - Accent3 2 4 5 3" xfId="3349" xr:uid="{00000000-0005-0000-0000-000082430000}"/>
    <cellStyle name="40% - Accent3 2 4 5 3 2" xfId="16011" xr:uid="{00000000-0005-0000-0000-000083430000}"/>
    <cellStyle name="40% - Accent3 2 4 5 4" xfId="25113" xr:uid="{00000000-0005-0000-0000-000084430000}"/>
    <cellStyle name="40% - Accent3 2 4 6" xfId="28224" xr:uid="{00000000-0005-0000-0000-000085430000}"/>
    <cellStyle name="40% - Accent3 2 4 6 2" xfId="4552" xr:uid="{00000000-0005-0000-0000-000086430000}"/>
    <cellStyle name="40% - Accent3 2 4 6 2 2" xfId="16349" xr:uid="{00000000-0005-0000-0000-000087430000}"/>
    <cellStyle name="40% - Accent3 2 4 6 3" xfId="16453" xr:uid="{00000000-0005-0000-0000-000088430000}"/>
    <cellStyle name="40% - Accent3 2 4 7" xfId="4354" xr:uid="{00000000-0005-0000-0000-000089430000}"/>
    <cellStyle name="40% - Accent3 2 4 7 2" xfId="13138" xr:uid="{00000000-0005-0000-0000-00008A430000}"/>
    <cellStyle name="40% - Accent3 2 4 8" xfId="4752" xr:uid="{00000000-0005-0000-0000-00008B430000}"/>
    <cellStyle name="40% - Accent3 2 5" xfId="23296" xr:uid="{00000000-0005-0000-0000-00008C430000}"/>
    <cellStyle name="40% - Accent3 2 5 2" xfId="23301" xr:uid="{00000000-0005-0000-0000-00008D430000}"/>
    <cellStyle name="40% - Accent3 2 5 2 2" xfId="23304" xr:uid="{00000000-0005-0000-0000-00008E430000}"/>
    <cellStyle name="40% - Accent3 2 5 2 2 2" xfId="17832" xr:uid="{00000000-0005-0000-0000-00008F430000}"/>
    <cellStyle name="40% - Accent3 2 5 2 2 2 2" xfId="17568" xr:uid="{00000000-0005-0000-0000-000090430000}"/>
    <cellStyle name="40% - Accent3 2 5 2 2 2 2 2" xfId="17570" xr:uid="{00000000-0005-0000-0000-000091430000}"/>
    <cellStyle name="40% - Accent3 2 5 2 2 2 2 2 2" xfId="19227" xr:uid="{00000000-0005-0000-0000-000092430000}"/>
    <cellStyle name="40% - Accent3 2 5 2 2 2 2 3" xfId="30029" xr:uid="{00000000-0005-0000-0000-000093430000}"/>
    <cellStyle name="40% - Accent3 2 5 2 2 2 3" xfId="17578" xr:uid="{00000000-0005-0000-0000-000094430000}"/>
    <cellStyle name="40% - Accent3 2 5 2 2 2 3 2" xfId="7688" xr:uid="{00000000-0005-0000-0000-000095430000}"/>
    <cellStyle name="40% - Accent3 2 5 2 2 2 4" xfId="23697" xr:uid="{00000000-0005-0000-0000-000096430000}"/>
    <cellStyle name="40% - Accent3 2 5 2 2 3" xfId="17840" xr:uid="{00000000-0005-0000-0000-000097430000}"/>
    <cellStyle name="40% - Accent3 2 5 2 2 3 2" xfId="27041" xr:uid="{00000000-0005-0000-0000-000098430000}"/>
    <cellStyle name="40% - Accent3 2 5 2 2 3 2 2" xfId="887" xr:uid="{00000000-0005-0000-0000-000099430000}"/>
    <cellStyle name="40% - Accent3 2 5 2 2 3 3" xfId="28019" xr:uid="{00000000-0005-0000-0000-00009A430000}"/>
    <cellStyle name="40% - Accent3 2 5 2 2 4" xfId="32690" xr:uid="{00000000-0005-0000-0000-00009B430000}"/>
    <cellStyle name="40% - Accent3 2 5 2 2 4 2" xfId="32212" xr:uid="{00000000-0005-0000-0000-00009C430000}"/>
    <cellStyle name="40% - Accent3 2 5 2 2 5" xfId="32038" xr:uid="{00000000-0005-0000-0000-00009D430000}"/>
    <cellStyle name="40% - Accent3 2 5 2 3" xfId="17846" xr:uid="{00000000-0005-0000-0000-00009E430000}"/>
    <cellStyle name="40% - Accent3 2 5 2 3 2" xfId="23799" xr:uid="{00000000-0005-0000-0000-00009F430000}"/>
    <cellStyle name="40% - Accent3 2 5 2 3 2 2" xfId="33885" xr:uid="{00000000-0005-0000-0000-0000A0430000}"/>
    <cellStyle name="40% - Accent3 2 5 2 3 2 2 2" xfId="19230" xr:uid="{00000000-0005-0000-0000-0000A1430000}"/>
    <cellStyle name="40% - Accent3 2 5 2 3 2 3" xfId="23751" xr:uid="{00000000-0005-0000-0000-0000A2430000}"/>
    <cellStyle name="40% - Accent3 2 5 2 3 3" xfId="31620" xr:uid="{00000000-0005-0000-0000-0000A3430000}"/>
    <cellStyle name="40% - Accent3 2 5 2 3 3 2" xfId="30011" xr:uid="{00000000-0005-0000-0000-0000A4430000}"/>
    <cellStyle name="40% - Accent3 2 5 2 3 4" xfId="32250" xr:uid="{00000000-0005-0000-0000-0000A5430000}"/>
    <cellStyle name="40% - Accent3 2 5 2 4" xfId="15191" xr:uid="{00000000-0005-0000-0000-0000A6430000}"/>
    <cellStyle name="40% - Accent3 2 5 2 4 2" xfId="3" xr:uid="{00000000-0005-0000-0000-0000A7430000}"/>
    <cellStyle name="40% - Accent3 2 5 2 4 2 2" xfId="23127" xr:uid="{00000000-0005-0000-0000-0000A8430000}"/>
    <cellStyle name="40% - Accent3 2 5 2 4 3" xfId="25777" xr:uid="{00000000-0005-0000-0000-0000A9430000}"/>
    <cellStyle name="40% - Accent3 2 5 2 5" xfId="22944" xr:uid="{00000000-0005-0000-0000-0000AA430000}"/>
    <cellStyle name="40% - Accent3 2 5 2 5 2" xfId="25040" xr:uid="{00000000-0005-0000-0000-0000AB430000}"/>
    <cellStyle name="40% - Accent3 2 5 2 6" xfId="28923" xr:uid="{00000000-0005-0000-0000-0000AC430000}"/>
    <cellStyle name="40% - Accent3 2 5 3" xfId="23306" xr:uid="{00000000-0005-0000-0000-0000AD430000}"/>
    <cellStyle name="40% - Accent3 2 5 3 2" xfId="22115" xr:uid="{00000000-0005-0000-0000-0000AE430000}"/>
    <cellStyle name="40% - Accent3 2 5 3 2 2" xfId="20443" xr:uid="{00000000-0005-0000-0000-0000AF430000}"/>
    <cellStyle name="40% - Accent3 2 5 3 2 2 2" xfId="17636" xr:uid="{00000000-0005-0000-0000-0000B0430000}"/>
    <cellStyle name="40% - Accent3 2 5 3 2 2 2 2" xfId="19239" xr:uid="{00000000-0005-0000-0000-0000B1430000}"/>
    <cellStyle name="40% - Accent3 2 5 3 2 2 3" xfId="23841" xr:uid="{00000000-0005-0000-0000-0000B2430000}"/>
    <cellStyle name="40% - Accent3 2 5 3 2 3" xfId="17876" xr:uid="{00000000-0005-0000-0000-0000B3430000}"/>
    <cellStyle name="40% - Accent3 2 5 3 2 3 2" xfId="19240" xr:uid="{00000000-0005-0000-0000-0000B4430000}"/>
    <cellStyle name="40% - Accent3 2 5 3 2 4" xfId="19245" xr:uid="{00000000-0005-0000-0000-0000B5430000}"/>
    <cellStyle name="40% - Accent3 2 5 3 3" xfId="17880" xr:uid="{00000000-0005-0000-0000-0000B6430000}"/>
    <cellStyle name="40% - Accent3 2 5 3 3 2" xfId="31980" xr:uid="{00000000-0005-0000-0000-0000B7430000}"/>
    <cellStyle name="40% - Accent3 2 5 3 3 2 2" xfId="24749" xr:uid="{00000000-0005-0000-0000-0000B8430000}"/>
    <cellStyle name="40% - Accent3 2 5 3 3 3" xfId="19251" xr:uid="{00000000-0005-0000-0000-0000B9430000}"/>
    <cellStyle name="40% - Accent3 2 5 3 4" xfId="15081" xr:uid="{00000000-0005-0000-0000-0000BA430000}"/>
    <cellStyle name="40% - Accent3 2 5 3 4 2" xfId="19257" xr:uid="{00000000-0005-0000-0000-0000BB430000}"/>
    <cellStyle name="40% - Accent3 2 5 3 5" xfId="27859" xr:uid="{00000000-0005-0000-0000-0000BC430000}"/>
    <cellStyle name="40% - Accent3 2 5 4" xfId="19264" xr:uid="{00000000-0005-0000-0000-0000BD430000}"/>
    <cellStyle name="40% - Accent3 2 5 4 2" xfId="23173" xr:uid="{00000000-0005-0000-0000-0000BE430000}"/>
    <cellStyle name="40% - Accent3 2 5 4 2 2" xfId="27667" xr:uid="{00000000-0005-0000-0000-0000BF430000}"/>
    <cellStyle name="40% - Accent3 2 5 4 2 2 2" xfId="23915" xr:uid="{00000000-0005-0000-0000-0000C0430000}"/>
    <cellStyle name="40% - Accent3 2 5 4 2 3" xfId="16036" xr:uid="{00000000-0005-0000-0000-0000C1430000}"/>
    <cellStyle name="40% - Accent3 2 5 4 3" xfId="27670" xr:uid="{00000000-0005-0000-0000-0000C2430000}"/>
    <cellStyle name="40% - Accent3 2 5 4 3 2" xfId="16041" xr:uid="{00000000-0005-0000-0000-0000C3430000}"/>
    <cellStyle name="40% - Accent3 2 5 4 4" xfId="19270" xr:uid="{00000000-0005-0000-0000-0000C4430000}"/>
    <cellStyle name="40% - Accent3 2 5 5" xfId="19277" xr:uid="{00000000-0005-0000-0000-0000C5430000}"/>
    <cellStyle name="40% - Accent3 2 5 5 2" xfId="21699" xr:uid="{00000000-0005-0000-0000-0000C6430000}"/>
    <cellStyle name="40% - Accent3 2 5 5 2 2" xfId="710" xr:uid="{00000000-0005-0000-0000-0000C7430000}"/>
    <cellStyle name="40% - Accent3 2 5 5 3" xfId="16477" xr:uid="{00000000-0005-0000-0000-0000C8430000}"/>
    <cellStyle name="40% - Accent3 2 5 6" xfId="22391" xr:uid="{00000000-0005-0000-0000-0000C9430000}"/>
    <cellStyle name="40% - Accent3 2 5 6 2" xfId="21288" xr:uid="{00000000-0005-0000-0000-0000CA430000}"/>
    <cellStyle name="40% - Accent3 2 5 7" xfId="2246" xr:uid="{00000000-0005-0000-0000-0000CB430000}"/>
    <cellStyle name="40% - Accent3 2 6" xfId="23031" xr:uid="{00000000-0005-0000-0000-0000CC430000}"/>
    <cellStyle name="40% - Accent3 2 6 2" xfId="33392" xr:uid="{00000000-0005-0000-0000-0000CD430000}"/>
    <cellStyle name="40% - Accent3 2 6 2 2" xfId="18209" xr:uid="{00000000-0005-0000-0000-0000CE430000}"/>
    <cellStyle name="40% - Accent3 2 6 2 2 2" xfId="23476" xr:uid="{00000000-0005-0000-0000-0000CF430000}"/>
    <cellStyle name="40% - Accent3 2 6 2 2 2 2" xfId="17727" xr:uid="{00000000-0005-0000-0000-0000D0430000}"/>
    <cellStyle name="40% - Accent3 2 6 2 2 2 2 2" xfId="19280" xr:uid="{00000000-0005-0000-0000-0000D1430000}"/>
    <cellStyle name="40% - Accent3 2 6 2 2 2 3" xfId="19281" xr:uid="{00000000-0005-0000-0000-0000D2430000}"/>
    <cellStyle name="40% - Accent3 2 6 2 2 3" xfId="18217" xr:uid="{00000000-0005-0000-0000-0000D3430000}"/>
    <cellStyle name="40% - Accent3 2 6 2 2 3 2" xfId="32305" xr:uid="{00000000-0005-0000-0000-0000D4430000}"/>
    <cellStyle name="40% - Accent3 2 6 2 2 4" xfId="32299" xr:uid="{00000000-0005-0000-0000-0000D5430000}"/>
    <cellStyle name="40% - Accent3 2 6 2 3" xfId="18220" xr:uid="{00000000-0005-0000-0000-0000D6430000}"/>
    <cellStyle name="40% - Accent3 2 6 2 3 2" xfId="33768" xr:uid="{00000000-0005-0000-0000-0000D7430000}"/>
    <cellStyle name="40% - Accent3 2 6 2 3 2 2" xfId="15406" xr:uid="{00000000-0005-0000-0000-0000D8430000}"/>
    <cellStyle name="40% - Accent3 2 6 2 3 3" xfId="302" xr:uid="{00000000-0005-0000-0000-0000D9430000}"/>
    <cellStyle name="40% - Accent3 2 6 2 4" xfId="15107" xr:uid="{00000000-0005-0000-0000-0000DA430000}"/>
    <cellStyle name="40% - Accent3 2 6 2 4 2" xfId="19284" xr:uid="{00000000-0005-0000-0000-0000DB430000}"/>
    <cellStyle name="40% - Accent3 2 6 2 5" xfId="18619" xr:uid="{00000000-0005-0000-0000-0000DC430000}"/>
    <cellStyle name="40% - Accent3 2 6 3" xfId="18524" xr:uid="{00000000-0005-0000-0000-0000DD430000}"/>
    <cellStyle name="40% - Accent3 2 6 3 2" xfId="33453" xr:uid="{00000000-0005-0000-0000-0000DE430000}"/>
    <cellStyle name="40% - Accent3 2 6 3 2 2" xfId="17979" xr:uid="{00000000-0005-0000-0000-0000DF430000}"/>
    <cellStyle name="40% - Accent3 2 6 3 2 2 2" xfId="31707" xr:uid="{00000000-0005-0000-0000-0000E0430000}"/>
    <cellStyle name="40% - Accent3 2 6 3 2 3" xfId="19287" xr:uid="{00000000-0005-0000-0000-0000E1430000}"/>
    <cellStyle name="40% - Accent3 2 6 3 3" xfId="18235" xr:uid="{00000000-0005-0000-0000-0000E2430000}"/>
    <cellStyle name="40% - Accent3 2 6 3 3 2" xfId="19290" xr:uid="{00000000-0005-0000-0000-0000E3430000}"/>
    <cellStyle name="40% - Accent3 2 6 3 4" xfId="19295" xr:uid="{00000000-0005-0000-0000-0000E4430000}"/>
    <cellStyle name="40% - Accent3 2 6 4" xfId="19298" xr:uid="{00000000-0005-0000-0000-0000E5430000}"/>
    <cellStyle name="40% - Accent3 2 6 4 2" xfId="2223" xr:uid="{00000000-0005-0000-0000-0000E6430000}"/>
    <cellStyle name="40% - Accent3 2 6 4 2 2" xfId="16059" xr:uid="{00000000-0005-0000-0000-0000E7430000}"/>
    <cellStyle name="40% - Accent3 2 6 4 3" xfId="22406" xr:uid="{00000000-0005-0000-0000-0000E8430000}"/>
    <cellStyle name="40% - Accent3 2 6 5" xfId="19305" xr:uid="{00000000-0005-0000-0000-0000E9430000}"/>
    <cellStyle name="40% - Accent3 2 6 5 2" xfId="19307" xr:uid="{00000000-0005-0000-0000-0000EA430000}"/>
    <cellStyle name="40% - Accent3 2 6 6" xfId="33538" xr:uid="{00000000-0005-0000-0000-0000EB430000}"/>
    <cellStyle name="40% - Accent3 2 7" xfId="20689" xr:uid="{00000000-0005-0000-0000-0000EC430000}"/>
    <cellStyle name="40% - Accent3 2 7 2" xfId="2443" xr:uid="{00000000-0005-0000-0000-0000ED430000}"/>
    <cellStyle name="40% - Accent3 2 7 2 2" xfId="1965" xr:uid="{00000000-0005-0000-0000-0000EE430000}"/>
    <cellStyle name="40% - Accent3 2 7 2 2 2" xfId="2447" xr:uid="{00000000-0005-0000-0000-0000EF430000}"/>
    <cellStyle name="40% - Accent3 2 7 2 2 2 2" xfId="6146" xr:uid="{00000000-0005-0000-0000-0000F0430000}"/>
    <cellStyle name="40% - Accent3 2 7 2 2 3" xfId="31793" xr:uid="{00000000-0005-0000-0000-0000F1430000}"/>
    <cellStyle name="40% - Accent3 2 7 2 3" xfId="2451" xr:uid="{00000000-0005-0000-0000-0000F2430000}"/>
    <cellStyle name="40% - Accent3 2 7 2 3 2" xfId="32111" xr:uid="{00000000-0005-0000-0000-0000F3430000}"/>
    <cellStyle name="40% - Accent3 2 7 2 4" xfId="19309" xr:uid="{00000000-0005-0000-0000-0000F4430000}"/>
    <cellStyle name="40% - Accent3 2 7 3" xfId="2466" xr:uid="{00000000-0005-0000-0000-0000F5430000}"/>
    <cellStyle name="40% - Accent3 2 7 3 2" xfId="2479" xr:uid="{00000000-0005-0000-0000-0000F6430000}"/>
    <cellStyle name="40% - Accent3 2 7 3 2 2" xfId="19311" xr:uid="{00000000-0005-0000-0000-0000F7430000}"/>
    <cellStyle name="40% - Accent3 2 7 3 3" xfId="16080" xr:uid="{00000000-0005-0000-0000-0000F8430000}"/>
    <cellStyle name="40% - Accent3 2 7 4" xfId="11540" xr:uid="{00000000-0005-0000-0000-0000F9430000}"/>
    <cellStyle name="40% - Accent3 2 7 4 2" xfId="16083" xr:uid="{00000000-0005-0000-0000-0000FA430000}"/>
    <cellStyle name="40% - Accent3 2 7 5" xfId="19313" xr:uid="{00000000-0005-0000-0000-0000FB430000}"/>
    <cellStyle name="40% - Accent3 2 8" xfId="19317" xr:uid="{00000000-0005-0000-0000-0000FC430000}"/>
    <cellStyle name="40% - Accent3 2 8 2" xfId="2513" xr:uid="{00000000-0005-0000-0000-0000FD430000}"/>
    <cellStyle name="40% - Accent3 2 8 2 2" xfId="4604" xr:uid="{00000000-0005-0000-0000-0000FE430000}"/>
    <cellStyle name="40% - Accent3 2 8 2 2 2" xfId="32929" xr:uid="{00000000-0005-0000-0000-0000FF430000}"/>
    <cellStyle name="40% - Accent3 2 8 2 3" xfId="32081" xr:uid="{00000000-0005-0000-0000-000000440000}"/>
    <cellStyle name="40% - Accent3 2 8 3" xfId="2522" xr:uid="{00000000-0005-0000-0000-000001440000}"/>
    <cellStyle name="40% - Accent3 2 8 3 2" xfId="16097" xr:uid="{00000000-0005-0000-0000-000002440000}"/>
    <cellStyle name="40% - Accent3 2 8 4" xfId="16517" xr:uid="{00000000-0005-0000-0000-000003440000}"/>
    <cellStyle name="40% - Accent3 2 9" xfId="20590" xr:uid="{00000000-0005-0000-0000-000004440000}"/>
    <cellStyle name="40% - Accent3 2 9 2" xfId="5" xr:uid="{00000000-0005-0000-0000-000005440000}"/>
    <cellStyle name="40% - Accent3 2 9 2 2" xfId="19318" xr:uid="{00000000-0005-0000-0000-000006440000}"/>
    <cellStyle name="40% - Accent3 2 9 3" xfId="21412" xr:uid="{00000000-0005-0000-0000-000007440000}"/>
    <cellStyle name="40% - Accent3 3" xfId="18367" xr:uid="{00000000-0005-0000-0000-000008440000}"/>
    <cellStyle name="40% - Accent3 3 10" xfId="19319" xr:uid="{00000000-0005-0000-0000-000009440000}"/>
    <cellStyle name="40% - Accent3 3 2" xfId="19211" xr:uid="{00000000-0005-0000-0000-00000A440000}"/>
    <cellStyle name="40% - Accent3 3 2 2" xfId="19322" xr:uid="{00000000-0005-0000-0000-00000B440000}"/>
    <cellStyle name="40% - Accent3 3 2 2 2" xfId="22530" xr:uid="{00000000-0005-0000-0000-00000C440000}"/>
    <cellStyle name="40% - Accent3 3 2 2 2 2" xfId="19326" xr:uid="{00000000-0005-0000-0000-00000D440000}"/>
    <cellStyle name="40% - Accent3 3 2 2 2 2 2" xfId="25480" xr:uid="{00000000-0005-0000-0000-00000E440000}"/>
    <cellStyle name="40% - Accent3 3 2 2 2 2 2 2" xfId="3133" xr:uid="{00000000-0005-0000-0000-00000F440000}"/>
    <cellStyle name="40% - Accent3 3 2 2 2 2 2 2 2" xfId="23825" xr:uid="{00000000-0005-0000-0000-000010440000}"/>
    <cellStyle name="40% - Accent3 3 2 2 2 2 2 2 2 2" xfId="7221" xr:uid="{00000000-0005-0000-0000-000011440000}"/>
    <cellStyle name="40% - Accent3 3 2 2 2 2 2 2 2 2 2" xfId="19328" xr:uid="{00000000-0005-0000-0000-000012440000}"/>
    <cellStyle name="40% - Accent3 3 2 2 2 2 2 2 2 3" xfId="14527" xr:uid="{00000000-0005-0000-0000-000013440000}"/>
    <cellStyle name="40% - Accent3 3 2 2 2 2 2 2 3" xfId="19333" xr:uid="{00000000-0005-0000-0000-000014440000}"/>
    <cellStyle name="40% - Accent3 3 2 2 2 2 2 2 3 2" xfId="19017" xr:uid="{00000000-0005-0000-0000-000015440000}"/>
    <cellStyle name="40% - Accent3 3 2 2 2 2 2 2 4" xfId="15275" xr:uid="{00000000-0005-0000-0000-000016440000}"/>
    <cellStyle name="40% - Accent3 3 2 2 2 2 2 3" xfId="19334" xr:uid="{00000000-0005-0000-0000-000017440000}"/>
    <cellStyle name="40% - Accent3 3 2 2 2 2 2 3 2" xfId="16268" xr:uid="{00000000-0005-0000-0000-000018440000}"/>
    <cellStyle name="40% - Accent3 3 2 2 2 2 2 3 2 2" xfId="22615" xr:uid="{00000000-0005-0000-0000-000019440000}"/>
    <cellStyle name="40% - Accent3 3 2 2 2 2 2 3 3" xfId="16275" xr:uid="{00000000-0005-0000-0000-00001A440000}"/>
    <cellStyle name="40% - Accent3 3 2 2 2 2 2 4" xfId="26034" xr:uid="{00000000-0005-0000-0000-00001B440000}"/>
    <cellStyle name="40% - Accent3 3 2 2 2 2 2 4 2" xfId="16280" xr:uid="{00000000-0005-0000-0000-00001C440000}"/>
    <cellStyle name="40% - Accent3 3 2 2 2 2 2 5" xfId="28373" xr:uid="{00000000-0005-0000-0000-00001D440000}"/>
    <cellStyle name="40% - Accent3 3 2 2 2 2 3" xfId="25051" xr:uid="{00000000-0005-0000-0000-00001E440000}"/>
    <cellStyle name="40% - Accent3 3 2 2 2 2 3 2" xfId="24166" xr:uid="{00000000-0005-0000-0000-00001F440000}"/>
    <cellStyle name="40% - Accent3 3 2 2 2 2 3 2 2" xfId="19338" xr:uid="{00000000-0005-0000-0000-000020440000}"/>
    <cellStyle name="40% - Accent3 3 2 2 2 2 3 2 2 2" xfId="31150" xr:uid="{00000000-0005-0000-0000-000021440000}"/>
    <cellStyle name="40% - Accent3 3 2 2 2 2 3 2 3" xfId="20874" xr:uid="{00000000-0005-0000-0000-000022440000}"/>
    <cellStyle name="40% - Accent3 3 2 2 2 2 3 3" xfId="19340" xr:uid="{00000000-0005-0000-0000-000023440000}"/>
    <cellStyle name="40% - Accent3 3 2 2 2 2 3 3 2" xfId="16293" xr:uid="{00000000-0005-0000-0000-000024440000}"/>
    <cellStyle name="40% - Accent3 3 2 2 2 2 3 4" xfId="23624" xr:uid="{00000000-0005-0000-0000-000025440000}"/>
    <cellStyle name="40% - Accent3 3 2 2 2 2 4" xfId="23681" xr:uid="{00000000-0005-0000-0000-000026440000}"/>
    <cellStyle name="40% - Accent3 3 2 2 2 2 4 2" xfId="19344" xr:uid="{00000000-0005-0000-0000-000027440000}"/>
    <cellStyle name="40% - Accent3 3 2 2 2 2 4 2 2" xfId="1238" xr:uid="{00000000-0005-0000-0000-000028440000}"/>
    <cellStyle name="40% - Accent3 3 2 2 2 2 4 3" xfId="19351" xr:uid="{00000000-0005-0000-0000-000029440000}"/>
    <cellStyle name="40% - Accent3 3 2 2 2 2 5" xfId="29182" xr:uid="{00000000-0005-0000-0000-00002A440000}"/>
    <cellStyle name="40% - Accent3 3 2 2 2 2 5 2" xfId="26897" xr:uid="{00000000-0005-0000-0000-00002B440000}"/>
    <cellStyle name="40% - Accent3 3 2 2 2 2 6" xfId="19357" xr:uid="{00000000-0005-0000-0000-00002C440000}"/>
    <cellStyle name="40% - Accent3 3 2 2 2 3" xfId="22523" xr:uid="{00000000-0005-0000-0000-00002D440000}"/>
    <cellStyle name="40% - Accent3 3 2 2 2 3 2" xfId="27809" xr:uid="{00000000-0005-0000-0000-00002E440000}"/>
    <cellStyle name="40% - Accent3 3 2 2 2 3 2 2" xfId="29168" xr:uid="{00000000-0005-0000-0000-00002F440000}"/>
    <cellStyle name="40% - Accent3 3 2 2 2 3 2 2 2" xfId="19361" xr:uid="{00000000-0005-0000-0000-000030440000}"/>
    <cellStyle name="40% - Accent3 3 2 2 2 3 2 2 2 2" xfId="15957" xr:uid="{00000000-0005-0000-0000-000031440000}"/>
    <cellStyle name="40% - Accent3 3 2 2 2 3 2 2 3" xfId="19362" xr:uid="{00000000-0005-0000-0000-000032440000}"/>
    <cellStyle name="40% - Accent3 3 2 2 2 3 2 3" xfId="27302" xr:uid="{00000000-0005-0000-0000-000033440000}"/>
    <cellStyle name="40% - Accent3 3 2 2 2 3 2 3 2" xfId="16412" xr:uid="{00000000-0005-0000-0000-000034440000}"/>
    <cellStyle name="40% - Accent3 3 2 2 2 3 2 4" xfId="19363" xr:uid="{00000000-0005-0000-0000-000035440000}"/>
    <cellStyle name="40% - Accent3 3 2 2 2 3 3" xfId="22539" xr:uid="{00000000-0005-0000-0000-000036440000}"/>
    <cellStyle name="40% - Accent3 3 2 2 2 3 3 2" xfId="21601" xr:uid="{00000000-0005-0000-0000-000037440000}"/>
    <cellStyle name="40% - Accent3 3 2 2 2 3 3 2 2" xfId="19365" xr:uid="{00000000-0005-0000-0000-000038440000}"/>
    <cellStyle name="40% - Accent3 3 2 2 2 3 3 3" xfId="19366" xr:uid="{00000000-0005-0000-0000-000039440000}"/>
    <cellStyle name="40% - Accent3 3 2 2 2 3 4" xfId="29003" xr:uid="{00000000-0005-0000-0000-00003A440000}"/>
    <cellStyle name="40% - Accent3 3 2 2 2 3 4 2" xfId="19370" xr:uid="{00000000-0005-0000-0000-00003B440000}"/>
    <cellStyle name="40% - Accent3 3 2 2 2 3 5" xfId="29008" xr:uid="{00000000-0005-0000-0000-00003C440000}"/>
    <cellStyle name="40% - Accent3 3 2 2 2 4" xfId="22542" xr:uid="{00000000-0005-0000-0000-00003D440000}"/>
    <cellStyle name="40% - Accent3 3 2 2 2 4 2" xfId="20560" xr:uid="{00000000-0005-0000-0000-00003E440000}"/>
    <cellStyle name="40% - Accent3 3 2 2 2 4 2 2" xfId="30053" xr:uid="{00000000-0005-0000-0000-00003F440000}"/>
    <cellStyle name="40% - Accent3 3 2 2 2 4 2 2 2" xfId="19375" xr:uid="{00000000-0005-0000-0000-000040440000}"/>
    <cellStyle name="40% - Accent3 3 2 2 2 4 2 3" xfId="19377" xr:uid="{00000000-0005-0000-0000-000041440000}"/>
    <cellStyle name="40% - Accent3 3 2 2 2 4 3" xfId="14685" xr:uid="{00000000-0005-0000-0000-000042440000}"/>
    <cellStyle name="40% - Accent3 3 2 2 2 4 3 2" xfId="25584" xr:uid="{00000000-0005-0000-0000-000043440000}"/>
    <cellStyle name="40% - Accent3 3 2 2 2 4 4" xfId="32575" xr:uid="{00000000-0005-0000-0000-000044440000}"/>
    <cellStyle name="40% - Accent3 3 2 2 2 5" xfId="22545" xr:uid="{00000000-0005-0000-0000-000045440000}"/>
    <cellStyle name="40% - Accent3 3 2 2 2 5 2" xfId="19380" xr:uid="{00000000-0005-0000-0000-000046440000}"/>
    <cellStyle name="40% - Accent3 3 2 2 2 5 2 2" xfId="29404" xr:uid="{00000000-0005-0000-0000-000047440000}"/>
    <cellStyle name="40% - Accent3 3 2 2 2 5 3" xfId="22850" xr:uid="{00000000-0005-0000-0000-000048440000}"/>
    <cellStyle name="40% - Accent3 3 2 2 2 6" xfId="19381" xr:uid="{00000000-0005-0000-0000-000049440000}"/>
    <cellStyle name="40% - Accent3 3 2 2 2 6 2" xfId="25786" xr:uid="{00000000-0005-0000-0000-00004A440000}"/>
    <cellStyle name="40% - Accent3 3 2 2 2 7" xfId="10657" xr:uid="{00000000-0005-0000-0000-00004B440000}"/>
    <cellStyle name="40% - Accent3 3 2 2 3" xfId="19388" xr:uid="{00000000-0005-0000-0000-00004C440000}"/>
    <cellStyle name="40% - Accent3 3 2 2 3 2" xfId="25493" xr:uid="{00000000-0005-0000-0000-00004D440000}"/>
    <cellStyle name="40% - Accent3 3 2 2 3 2 2" xfId="25501" xr:uid="{00000000-0005-0000-0000-00004E440000}"/>
    <cellStyle name="40% - Accent3 3 2 2 3 2 2 2" xfId="33666" xr:uid="{00000000-0005-0000-0000-00004F440000}"/>
    <cellStyle name="40% - Accent3 3 2 2 3 2 2 2 2" xfId="19393" xr:uid="{00000000-0005-0000-0000-000050440000}"/>
    <cellStyle name="40% - Accent3 3 2 2 3 2 2 2 2 2" xfId="19396" xr:uid="{00000000-0005-0000-0000-000051440000}"/>
    <cellStyle name="40% - Accent3 3 2 2 3 2 2 2 3" xfId="19401" xr:uid="{00000000-0005-0000-0000-000052440000}"/>
    <cellStyle name="40% - Accent3 3 2 2 3 2 2 3" xfId="19403" xr:uid="{00000000-0005-0000-0000-000053440000}"/>
    <cellStyle name="40% - Accent3 3 2 2 3 2 2 3 2" xfId="18201" xr:uid="{00000000-0005-0000-0000-000054440000}"/>
    <cellStyle name="40% - Accent3 3 2 2 3 2 2 4" xfId="15679" xr:uid="{00000000-0005-0000-0000-000055440000}"/>
    <cellStyle name="40% - Accent3 3 2 2 3 2 3" xfId="25505" xr:uid="{00000000-0005-0000-0000-000056440000}"/>
    <cellStyle name="40% - Accent3 3 2 2 3 2 3 2" xfId="19404" xr:uid="{00000000-0005-0000-0000-000057440000}"/>
    <cellStyle name="40% - Accent3 3 2 2 3 2 3 2 2" xfId="19407" xr:uid="{00000000-0005-0000-0000-000058440000}"/>
    <cellStyle name="40% - Accent3 3 2 2 3 2 3 3" xfId="19409" xr:uid="{00000000-0005-0000-0000-000059440000}"/>
    <cellStyle name="40% - Accent3 3 2 2 3 2 4" xfId="19414" xr:uid="{00000000-0005-0000-0000-00005A440000}"/>
    <cellStyle name="40% - Accent3 3 2 2 3 2 4 2" xfId="19419" xr:uid="{00000000-0005-0000-0000-00005B440000}"/>
    <cellStyle name="40% - Accent3 3 2 2 3 2 5" xfId="19420" xr:uid="{00000000-0005-0000-0000-00005C440000}"/>
    <cellStyle name="40% - Accent3 3 2 2 3 3" xfId="22548" xr:uid="{00000000-0005-0000-0000-00005D440000}"/>
    <cellStyle name="40% - Accent3 3 2 2 3 3 2" xfId="22301" xr:uid="{00000000-0005-0000-0000-00005E440000}"/>
    <cellStyle name="40% - Accent3 3 2 2 3 3 2 2" xfId="2171" xr:uid="{00000000-0005-0000-0000-00005F440000}"/>
    <cellStyle name="40% - Accent3 3 2 2 3 3 2 2 2" xfId="24761" xr:uid="{00000000-0005-0000-0000-000060440000}"/>
    <cellStyle name="40% - Accent3 3 2 2 3 3 2 3" xfId="19425" xr:uid="{00000000-0005-0000-0000-000061440000}"/>
    <cellStyle name="40% - Accent3 3 2 2 3 3 3" xfId="19429" xr:uid="{00000000-0005-0000-0000-000062440000}"/>
    <cellStyle name="40% - Accent3 3 2 2 3 3 3 2" xfId="19432" xr:uid="{00000000-0005-0000-0000-000063440000}"/>
    <cellStyle name="40% - Accent3 3 2 2 3 3 4" xfId="19439" xr:uid="{00000000-0005-0000-0000-000064440000}"/>
    <cellStyle name="40% - Accent3 3 2 2 3 4" xfId="19603" xr:uid="{00000000-0005-0000-0000-000065440000}"/>
    <cellStyle name="40% - Accent3 3 2 2 3 4 2" xfId="19442" xr:uid="{00000000-0005-0000-0000-000066440000}"/>
    <cellStyle name="40% - Accent3 3 2 2 3 4 2 2" xfId="20995" xr:uid="{00000000-0005-0000-0000-000067440000}"/>
    <cellStyle name="40% - Accent3 3 2 2 3 4 3" xfId="19444" xr:uid="{00000000-0005-0000-0000-000068440000}"/>
    <cellStyle name="40% - Accent3 3 2 2 3 5" xfId="24399" xr:uid="{00000000-0005-0000-0000-000069440000}"/>
    <cellStyle name="40% - Accent3 3 2 2 3 5 2" xfId="19450" xr:uid="{00000000-0005-0000-0000-00006A440000}"/>
    <cellStyle name="40% - Accent3 3 2 2 3 6" xfId="19453" xr:uid="{00000000-0005-0000-0000-00006B440000}"/>
    <cellStyle name="40% - Accent3 3 2 2 4" xfId="8750" xr:uid="{00000000-0005-0000-0000-00006C440000}"/>
    <cellStyle name="40% - Accent3 3 2 2 4 2" xfId="25508" xr:uid="{00000000-0005-0000-0000-00006D440000}"/>
    <cellStyle name="40% - Accent3 3 2 2 4 2 2" xfId="19455" xr:uid="{00000000-0005-0000-0000-00006E440000}"/>
    <cellStyle name="40% - Accent3 3 2 2 4 2 2 2" xfId="19458" xr:uid="{00000000-0005-0000-0000-00006F440000}"/>
    <cellStyle name="40% - Accent3 3 2 2 4 2 2 2 2" xfId="19464" xr:uid="{00000000-0005-0000-0000-000070440000}"/>
    <cellStyle name="40% - Accent3 3 2 2 4 2 2 3" xfId="5516" xr:uid="{00000000-0005-0000-0000-000071440000}"/>
    <cellStyle name="40% - Accent3 3 2 2 4 2 3" xfId="4041" xr:uid="{00000000-0005-0000-0000-000072440000}"/>
    <cellStyle name="40% - Accent3 3 2 2 4 2 3 2" xfId="21512" xr:uid="{00000000-0005-0000-0000-000073440000}"/>
    <cellStyle name="40% - Accent3 3 2 2 4 2 4" xfId="24127" xr:uid="{00000000-0005-0000-0000-000074440000}"/>
    <cellStyle name="40% - Accent3 3 2 2 4 3" xfId="22554" xr:uid="{00000000-0005-0000-0000-000075440000}"/>
    <cellStyle name="40% - Accent3 3 2 2 4 3 2" xfId="16136" xr:uid="{00000000-0005-0000-0000-000076440000}"/>
    <cellStyle name="40% - Accent3 3 2 2 4 3 2 2" xfId="31368" xr:uid="{00000000-0005-0000-0000-000077440000}"/>
    <cellStyle name="40% - Accent3 3 2 2 4 3 3" xfId="16145" xr:uid="{00000000-0005-0000-0000-000078440000}"/>
    <cellStyle name="40% - Accent3 3 2 2 4 4" xfId="26210" xr:uid="{00000000-0005-0000-0000-000079440000}"/>
    <cellStyle name="40% - Accent3 3 2 2 4 4 2" xfId="16157" xr:uid="{00000000-0005-0000-0000-00007A440000}"/>
    <cellStyle name="40% - Accent3 3 2 2 4 5" xfId="16161" xr:uid="{00000000-0005-0000-0000-00007B440000}"/>
    <cellStyle name="40% - Accent3 3 2 2 5" xfId="11285" xr:uid="{00000000-0005-0000-0000-00007C440000}"/>
    <cellStyle name="40% - Accent3 3 2 2 5 2" xfId="25516" xr:uid="{00000000-0005-0000-0000-00007D440000}"/>
    <cellStyle name="40% - Accent3 3 2 2 5 2 2" xfId="21212" xr:uid="{00000000-0005-0000-0000-00007E440000}"/>
    <cellStyle name="40% - Accent3 3 2 2 5 2 2 2" xfId="23667" xr:uid="{00000000-0005-0000-0000-00007F440000}"/>
    <cellStyle name="40% - Accent3 3 2 2 5 2 3" xfId="29723" xr:uid="{00000000-0005-0000-0000-000080440000}"/>
    <cellStyle name="40% - Accent3 3 2 2 5 3" xfId="16167" xr:uid="{00000000-0005-0000-0000-000081440000}"/>
    <cellStyle name="40% - Accent3 3 2 2 5 3 2" xfId="16171" xr:uid="{00000000-0005-0000-0000-000082440000}"/>
    <cellStyle name="40% - Accent3 3 2 2 5 4" xfId="33183" xr:uid="{00000000-0005-0000-0000-000083440000}"/>
    <cellStyle name="40% - Accent3 3 2 2 6" xfId="3882" xr:uid="{00000000-0005-0000-0000-000084440000}"/>
    <cellStyle name="40% - Accent3 3 2 2 6 2" xfId="3890" xr:uid="{00000000-0005-0000-0000-000085440000}"/>
    <cellStyle name="40% - Accent3 3 2 2 6 2 2" xfId="4277" xr:uid="{00000000-0005-0000-0000-000086440000}"/>
    <cellStyle name="40% - Accent3 3 2 2 6 3" xfId="3896" xr:uid="{00000000-0005-0000-0000-000087440000}"/>
    <cellStyle name="40% - Accent3 3 2 2 7" xfId="3902" xr:uid="{00000000-0005-0000-0000-000088440000}"/>
    <cellStyle name="40% - Accent3 3 2 2 7 2" xfId="8436" xr:uid="{00000000-0005-0000-0000-000089440000}"/>
    <cellStyle name="40% - Accent3 3 2 2 8" xfId="3910" xr:uid="{00000000-0005-0000-0000-00008A440000}"/>
    <cellStyle name="40% - Accent3 3 2 3" xfId="19471" xr:uid="{00000000-0005-0000-0000-00008B440000}"/>
    <cellStyle name="40% - Accent3 3 2 3 2" xfId="25520" xr:uid="{00000000-0005-0000-0000-00008C440000}"/>
    <cellStyle name="40% - Accent3 3 2 3 2 2" xfId="25526" xr:uid="{00000000-0005-0000-0000-00008D440000}"/>
    <cellStyle name="40% - Accent3 3 2 3 2 2 2" xfId="25530" xr:uid="{00000000-0005-0000-0000-00008E440000}"/>
    <cellStyle name="40% - Accent3 3 2 3 2 2 2 2" xfId="15718" xr:uid="{00000000-0005-0000-0000-00008F440000}"/>
    <cellStyle name="40% - Accent3 3 2 3 2 2 2 2 2" xfId="19475" xr:uid="{00000000-0005-0000-0000-000090440000}"/>
    <cellStyle name="40% - Accent3 3 2 3 2 2 2 2 2 2" xfId="3362" xr:uid="{00000000-0005-0000-0000-000091440000}"/>
    <cellStyle name="40% - Accent3 3 2 3 2 2 2 2 3" xfId="19479" xr:uid="{00000000-0005-0000-0000-000092440000}"/>
    <cellStyle name="40% - Accent3 3 2 3 2 2 2 3" xfId="19483" xr:uid="{00000000-0005-0000-0000-000093440000}"/>
    <cellStyle name="40% - Accent3 3 2 3 2 2 2 3 2" xfId="19850" xr:uid="{00000000-0005-0000-0000-000094440000}"/>
    <cellStyle name="40% - Accent3 3 2 3 2 2 2 4" xfId="1026" xr:uid="{00000000-0005-0000-0000-000095440000}"/>
    <cellStyle name="40% - Accent3 3 2 3 2 2 3" xfId="25533" xr:uid="{00000000-0005-0000-0000-000096440000}"/>
    <cellStyle name="40% - Accent3 3 2 3 2 2 3 2" xfId="27947" xr:uid="{00000000-0005-0000-0000-000097440000}"/>
    <cellStyle name="40% - Accent3 3 2 3 2 2 3 2 2" xfId="19485" xr:uid="{00000000-0005-0000-0000-000098440000}"/>
    <cellStyle name="40% - Accent3 3 2 3 2 2 3 3" xfId="30242" xr:uid="{00000000-0005-0000-0000-000099440000}"/>
    <cellStyle name="40% - Accent3 3 2 3 2 2 4" xfId="25938" xr:uid="{00000000-0005-0000-0000-00009A440000}"/>
    <cellStyle name="40% - Accent3 3 2 3 2 2 4 2" xfId="10307" xr:uid="{00000000-0005-0000-0000-00009B440000}"/>
    <cellStyle name="40% - Accent3 3 2 3 2 2 5" xfId="19488" xr:uid="{00000000-0005-0000-0000-00009C440000}"/>
    <cellStyle name="40% - Accent3 3 2 3 2 3" xfId="22576" xr:uid="{00000000-0005-0000-0000-00009D440000}"/>
    <cellStyle name="40% - Accent3 3 2 3 2 3 2" xfId="24266" xr:uid="{00000000-0005-0000-0000-00009E440000}"/>
    <cellStyle name="40% - Accent3 3 2 3 2 3 2 2" xfId="19621" xr:uid="{00000000-0005-0000-0000-00009F440000}"/>
    <cellStyle name="40% - Accent3 3 2 3 2 3 2 2 2" xfId="23646" xr:uid="{00000000-0005-0000-0000-0000A0440000}"/>
    <cellStyle name="40% - Accent3 3 2 3 2 3 2 3" xfId="19490" xr:uid="{00000000-0005-0000-0000-0000A1440000}"/>
    <cellStyle name="40% - Accent3 3 2 3 2 3 3" xfId="8012" xr:uid="{00000000-0005-0000-0000-0000A2440000}"/>
    <cellStyle name="40% - Accent3 3 2 3 2 3 3 2" xfId="30631" xr:uid="{00000000-0005-0000-0000-0000A3440000}"/>
    <cellStyle name="40% - Accent3 3 2 3 2 3 4" xfId="24079" xr:uid="{00000000-0005-0000-0000-0000A4440000}"/>
    <cellStyle name="40% - Accent3 3 2 3 2 4" xfId="20603" xr:uid="{00000000-0005-0000-0000-0000A5440000}"/>
    <cellStyle name="40% - Accent3 3 2 3 2 4 2" xfId="76" xr:uid="{00000000-0005-0000-0000-0000A6440000}"/>
    <cellStyle name="40% - Accent3 3 2 3 2 4 2 2" xfId="19492" xr:uid="{00000000-0005-0000-0000-0000A7440000}"/>
    <cellStyle name="40% - Accent3 3 2 3 2 4 3" xfId="32424" xr:uid="{00000000-0005-0000-0000-0000A8440000}"/>
    <cellStyle name="40% - Accent3 3 2 3 2 5" xfId="19378" xr:uid="{00000000-0005-0000-0000-0000A9440000}"/>
    <cellStyle name="40% - Accent3 3 2 3 2 5 2" xfId="13013" xr:uid="{00000000-0005-0000-0000-0000AA440000}"/>
    <cellStyle name="40% - Accent3 3 2 3 2 6" xfId="32397" xr:uid="{00000000-0005-0000-0000-0000AB440000}"/>
    <cellStyle name="40% - Accent3 3 2 3 3" xfId="19496" xr:uid="{00000000-0005-0000-0000-0000AC440000}"/>
    <cellStyle name="40% - Accent3 3 2 3 3 2" xfId="25540" xr:uid="{00000000-0005-0000-0000-0000AD440000}"/>
    <cellStyle name="40% - Accent3 3 2 3 3 2 2" xfId="20295" xr:uid="{00000000-0005-0000-0000-0000AE440000}"/>
    <cellStyle name="40% - Accent3 3 2 3 3 2 2 2" xfId="31193" xr:uid="{00000000-0005-0000-0000-0000AF440000}"/>
    <cellStyle name="40% - Accent3 3 2 3 3 2 2 2 2" xfId="28204" xr:uid="{00000000-0005-0000-0000-0000B0440000}"/>
    <cellStyle name="40% - Accent3 3 2 3 3 2 2 3" xfId="19504" xr:uid="{00000000-0005-0000-0000-0000B1440000}"/>
    <cellStyle name="40% - Accent3 3 2 3 3 2 3" xfId="25989" xr:uid="{00000000-0005-0000-0000-0000B2440000}"/>
    <cellStyle name="40% - Accent3 3 2 3 3 2 3 2" xfId="19506" xr:uid="{00000000-0005-0000-0000-0000B3440000}"/>
    <cellStyle name="40% - Accent3 3 2 3 3 2 4" xfId="19514" xr:uid="{00000000-0005-0000-0000-0000B4440000}"/>
    <cellStyle name="40% - Accent3 3 2 3 3 3" xfId="22583" xr:uid="{00000000-0005-0000-0000-0000B5440000}"/>
    <cellStyle name="40% - Accent3 3 2 3 3 3 2" xfId="8020" xr:uid="{00000000-0005-0000-0000-0000B6440000}"/>
    <cellStyle name="40% - Accent3 3 2 3 3 3 2 2" xfId="19516" xr:uid="{00000000-0005-0000-0000-0000B7440000}"/>
    <cellStyle name="40% - Accent3 3 2 3 3 3 3" xfId="19520" xr:uid="{00000000-0005-0000-0000-0000B8440000}"/>
    <cellStyle name="40% - Accent3 3 2 3 3 4" xfId="26216" xr:uid="{00000000-0005-0000-0000-0000B9440000}"/>
    <cellStyle name="40% - Accent3 3 2 3 3 4 2" xfId="31526" xr:uid="{00000000-0005-0000-0000-0000BA440000}"/>
    <cellStyle name="40% - Accent3 3 2 3 3 5" xfId="26708" xr:uid="{00000000-0005-0000-0000-0000BB440000}"/>
    <cellStyle name="40% - Accent3 3 2 3 4" xfId="11292" xr:uid="{00000000-0005-0000-0000-0000BC440000}"/>
    <cellStyle name="40% - Accent3 3 2 3 4 2" xfId="25544" xr:uid="{00000000-0005-0000-0000-0000BD440000}"/>
    <cellStyle name="40% - Accent3 3 2 3 4 2 2" xfId="19521" xr:uid="{00000000-0005-0000-0000-0000BE440000}"/>
    <cellStyle name="40% - Accent3 3 2 3 4 2 2 2" xfId="19523" xr:uid="{00000000-0005-0000-0000-0000BF440000}"/>
    <cellStyle name="40% - Accent3 3 2 3 4 2 3" xfId="19531" xr:uid="{00000000-0005-0000-0000-0000C0440000}"/>
    <cellStyle name="40% - Accent3 3 2 3 4 3" xfId="16213" xr:uid="{00000000-0005-0000-0000-0000C1440000}"/>
    <cellStyle name="40% - Accent3 3 2 3 4 3 2" xfId="16216" xr:uid="{00000000-0005-0000-0000-0000C2440000}"/>
    <cellStyle name="40% - Accent3 3 2 3 4 4" xfId="33136" xr:uid="{00000000-0005-0000-0000-0000C3440000}"/>
    <cellStyle name="40% - Accent3 3 2 3 5" xfId="25550" xr:uid="{00000000-0005-0000-0000-0000C4440000}"/>
    <cellStyle name="40% - Accent3 3 2 3 5 2" xfId="24893" xr:uid="{00000000-0005-0000-0000-0000C5440000}"/>
    <cellStyle name="40% - Accent3 3 2 3 5 2 2" xfId="19534" xr:uid="{00000000-0005-0000-0000-0000C6440000}"/>
    <cellStyle name="40% - Accent3 3 2 3 5 3" xfId="16233" xr:uid="{00000000-0005-0000-0000-0000C7440000}"/>
    <cellStyle name="40% - Accent3 3 2 3 6" xfId="3368" xr:uid="{00000000-0005-0000-0000-0000C8440000}"/>
    <cellStyle name="40% - Accent3 3 2 3 6 2" xfId="3942" xr:uid="{00000000-0005-0000-0000-0000C9440000}"/>
    <cellStyle name="40% - Accent3 3 2 3 7" xfId="3944" xr:uid="{00000000-0005-0000-0000-0000CA440000}"/>
    <cellStyle name="40% - Accent3 3 2 4" xfId="19543" xr:uid="{00000000-0005-0000-0000-0000CB440000}"/>
    <cellStyle name="40% - Accent3 3 2 4 2" xfId="19547" xr:uid="{00000000-0005-0000-0000-0000CC440000}"/>
    <cellStyle name="40% - Accent3 3 2 4 2 2" xfId="25565" xr:uid="{00000000-0005-0000-0000-0000CD440000}"/>
    <cellStyle name="40% - Accent3 3 2 4 2 2 2" xfId="25569" xr:uid="{00000000-0005-0000-0000-0000CE440000}"/>
    <cellStyle name="40% - Accent3 3 2 4 2 2 2 2" xfId="18971" xr:uid="{00000000-0005-0000-0000-0000CF440000}"/>
    <cellStyle name="40% - Accent3 3 2 4 2 2 2 2 2" xfId="7675" xr:uid="{00000000-0005-0000-0000-0000D0440000}"/>
    <cellStyle name="40% - Accent3 3 2 4 2 2 2 3" xfId="18974" xr:uid="{00000000-0005-0000-0000-0000D1440000}"/>
    <cellStyle name="40% - Accent3 3 2 4 2 2 3" xfId="27938" xr:uid="{00000000-0005-0000-0000-0000D2440000}"/>
    <cellStyle name="40% - Accent3 3 2 4 2 2 3 2" xfId="10373" xr:uid="{00000000-0005-0000-0000-0000D3440000}"/>
    <cellStyle name="40% - Accent3 3 2 4 2 2 4" xfId="12150" xr:uid="{00000000-0005-0000-0000-0000D4440000}"/>
    <cellStyle name="40% - Accent3 3 2 4 2 3" xfId="22593" xr:uid="{00000000-0005-0000-0000-0000D5440000}"/>
    <cellStyle name="40% - Accent3 3 2 4 2 3 2" xfId="8046" xr:uid="{00000000-0005-0000-0000-0000D6440000}"/>
    <cellStyle name="40% - Accent3 3 2 4 2 3 2 2" xfId="19007" xr:uid="{00000000-0005-0000-0000-0000D7440000}"/>
    <cellStyle name="40% - Accent3 3 2 4 2 3 3" xfId="19551" xr:uid="{00000000-0005-0000-0000-0000D8440000}"/>
    <cellStyle name="40% - Accent3 3 2 4 2 4" xfId="2796" xr:uid="{00000000-0005-0000-0000-0000D9440000}"/>
    <cellStyle name="40% - Accent3 3 2 4 2 4 2" xfId="33127" xr:uid="{00000000-0005-0000-0000-0000DA440000}"/>
    <cellStyle name="40% - Accent3 3 2 4 2 5" xfId="26147" xr:uid="{00000000-0005-0000-0000-0000DB440000}"/>
    <cellStyle name="40% - Accent3 3 2 4 3" xfId="19557" xr:uid="{00000000-0005-0000-0000-0000DC440000}"/>
    <cellStyle name="40% - Accent3 3 2 4 3 2" xfId="25571" xr:uid="{00000000-0005-0000-0000-0000DD440000}"/>
    <cellStyle name="40% - Accent3 3 2 4 3 2 2" xfId="30074" xr:uid="{00000000-0005-0000-0000-0000DE440000}"/>
    <cellStyle name="40% - Accent3 3 2 4 3 2 2 2" xfId="19036" xr:uid="{00000000-0005-0000-0000-0000DF440000}"/>
    <cellStyle name="40% - Accent3 3 2 4 3 2 3" xfId="19565" xr:uid="{00000000-0005-0000-0000-0000E0440000}"/>
    <cellStyle name="40% - Accent3 3 2 4 3 3" xfId="23824" xr:uid="{00000000-0005-0000-0000-0000E1440000}"/>
    <cellStyle name="40% - Accent3 3 2 4 3 3 2" xfId="19567" xr:uid="{00000000-0005-0000-0000-0000E2440000}"/>
    <cellStyle name="40% - Accent3 3 2 4 3 4" xfId="19329" xr:uid="{00000000-0005-0000-0000-0000E3440000}"/>
    <cellStyle name="40% - Accent3 3 2 4 4" xfId="23585" xr:uid="{00000000-0005-0000-0000-0000E4440000}"/>
    <cellStyle name="40% - Accent3 3 2 4 4 2" xfId="30577" xr:uid="{00000000-0005-0000-0000-0000E5440000}"/>
    <cellStyle name="40% - Accent3 3 2 4 4 2 2" xfId="19570" xr:uid="{00000000-0005-0000-0000-0000E6440000}"/>
    <cellStyle name="40% - Accent3 3 2 4 4 3" xfId="20850" xr:uid="{00000000-0005-0000-0000-0000E7440000}"/>
    <cellStyle name="40% - Accent3 3 2 4 5" xfId="33244" xr:uid="{00000000-0005-0000-0000-0000E8440000}"/>
    <cellStyle name="40% - Accent3 3 2 4 5 2" xfId="19574" xr:uid="{00000000-0005-0000-0000-0000E9440000}"/>
    <cellStyle name="40% - Accent3 3 2 4 6" xfId="3974" xr:uid="{00000000-0005-0000-0000-0000EA440000}"/>
    <cellStyle name="40% - Accent3 3 2 5" xfId="25574" xr:uid="{00000000-0005-0000-0000-0000EB440000}"/>
    <cellStyle name="40% - Accent3 3 2 5 2" xfId="19576" xr:uid="{00000000-0005-0000-0000-0000EC440000}"/>
    <cellStyle name="40% - Accent3 3 2 5 2 2" xfId="24370" xr:uid="{00000000-0005-0000-0000-0000ED440000}"/>
    <cellStyle name="40% - Accent3 3 2 5 2 2 2" xfId="30524" xr:uid="{00000000-0005-0000-0000-0000EE440000}"/>
    <cellStyle name="40% - Accent3 3 2 5 2 2 2 2" xfId="19069" xr:uid="{00000000-0005-0000-0000-0000EF440000}"/>
    <cellStyle name="40% - Accent3 3 2 5 2 2 3" xfId="16805" xr:uid="{00000000-0005-0000-0000-0000F0440000}"/>
    <cellStyle name="40% - Accent3 3 2 5 2 3" xfId="33803" xr:uid="{00000000-0005-0000-0000-0000F1440000}"/>
    <cellStyle name="40% - Accent3 3 2 5 2 3 2" xfId="31313" xr:uid="{00000000-0005-0000-0000-0000F2440000}"/>
    <cellStyle name="40% - Accent3 3 2 5 2 4" xfId="32819" xr:uid="{00000000-0005-0000-0000-0000F3440000}"/>
    <cellStyle name="40% - Accent3 3 2 5 3" xfId="19582" xr:uid="{00000000-0005-0000-0000-0000F4440000}"/>
    <cellStyle name="40% - Accent3 3 2 5 3 2" xfId="6541" xr:uid="{00000000-0005-0000-0000-0000F5440000}"/>
    <cellStyle name="40% - Accent3 3 2 5 3 2 2" xfId="22726" xr:uid="{00000000-0005-0000-0000-0000F6440000}"/>
    <cellStyle name="40% - Accent3 3 2 5 3 3" xfId="19337" xr:uid="{00000000-0005-0000-0000-0000F7440000}"/>
    <cellStyle name="40% - Accent3 3 2 5 4" xfId="24320" xr:uid="{00000000-0005-0000-0000-0000F8440000}"/>
    <cellStyle name="40% - Accent3 3 2 5 4 2" xfId="20428" xr:uid="{00000000-0005-0000-0000-0000F9440000}"/>
    <cellStyle name="40% - Accent3 3 2 5 5" xfId="26128" xr:uid="{00000000-0005-0000-0000-0000FA440000}"/>
    <cellStyle name="40% - Accent3 3 2 6" xfId="25579" xr:uid="{00000000-0005-0000-0000-0000FB440000}"/>
    <cellStyle name="40% - Accent3 3 2 6 2" xfId="25581" xr:uid="{00000000-0005-0000-0000-0000FC440000}"/>
    <cellStyle name="40% - Accent3 3 2 6 2 2" xfId="19584" xr:uid="{00000000-0005-0000-0000-0000FD440000}"/>
    <cellStyle name="40% - Accent3 3 2 6 2 2 2" xfId="19587" xr:uid="{00000000-0005-0000-0000-0000FE440000}"/>
    <cellStyle name="40% - Accent3 3 2 6 2 3" xfId="922" xr:uid="{00000000-0005-0000-0000-0000FF440000}"/>
    <cellStyle name="40% - Accent3 3 2 6 3" xfId="26496" xr:uid="{00000000-0005-0000-0000-000000450000}"/>
    <cellStyle name="40% - Accent3 3 2 6 3 2" xfId="20451" xr:uid="{00000000-0005-0000-0000-000001450000}"/>
    <cellStyle name="40% - Accent3 3 2 6 4" xfId="19794" xr:uid="{00000000-0005-0000-0000-000002450000}"/>
    <cellStyle name="40% - Accent3 3 2 7" xfId="25587" xr:uid="{00000000-0005-0000-0000-000003450000}"/>
    <cellStyle name="40% - Accent3 3 2 7 2" xfId="6909" xr:uid="{00000000-0005-0000-0000-000004450000}"/>
    <cellStyle name="40% - Accent3 3 2 7 2 2" xfId="1812" xr:uid="{00000000-0005-0000-0000-000005450000}"/>
    <cellStyle name="40% - Accent3 3 2 7 3" xfId="2875" xr:uid="{00000000-0005-0000-0000-000006450000}"/>
    <cellStyle name="40% - Accent3 3 2 8" xfId="32774" xr:uid="{00000000-0005-0000-0000-000007450000}"/>
    <cellStyle name="40% - Accent3 3 2 8 2" xfId="4490" xr:uid="{00000000-0005-0000-0000-000008450000}"/>
    <cellStyle name="40% - Accent3 3 2 9" xfId="14007" xr:uid="{00000000-0005-0000-0000-000009450000}"/>
    <cellStyle name="40% - Accent3 3 3" xfId="19588" xr:uid="{00000000-0005-0000-0000-00000A450000}"/>
    <cellStyle name="40% - Accent3 3 3 2" xfId="19598" xr:uid="{00000000-0005-0000-0000-00000B450000}"/>
    <cellStyle name="40% - Accent3 3 3 2 2" xfId="19600" xr:uid="{00000000-0005-0000-0000-00000C450000}"/>
    <cellStyle name="40% - Accent3 3 3 2 2 2" xfId="15968" xr:uid="{00000000-0005-0000-0000-00000D450000}"/>
    <cellStyle name="40% - Accent3 3 3 2 2 2 2" xfId="1250" xr:uid="{00000000-0005-0000-0000-00000E450000}"/>
    <cellStyle name="40% - Accent3 3 3 2 2 2 2 2" xfId="19601" xr:uid="{00000000-0005-0000-0000-00000F450000}"/>
    <cellStyle name="40% - Accent3 3 3 2 2 2 2 2 2" xfId="19606" xr:uid="{00000000-0005-0000-0000-000010450000}"/>
    <cellStyle name="40% - Accent3 3 3 2 2 2 2 2 2 2" xfId="19608" xr:uid="{00000000-0005-0000-0000-000011450000}"/>
    <cellStyle name="40% - Accent3 3 3 2 2 2 2 2 3" xfId="32288" xr:uid="{00000000-0005-0000-0000-000012450000}"/>
    <cellStyle name="40% - Accent3 3 3 2 2 2 2 3" xfId="19613" xr:uid="{00000000-0005-0000-0000-000013450000}"/>
    <cellStyle name="40% - Accent3 3 3 2 2 2 2 3 2" xfId="29647" xr:uid="{00000000-0005-0000-0000-000014450000}"/>
    <cellStyle name="40% - Accent3 3 3 2 2 2 2 4" xfId="19620" xr:uid="{00000000-0005-0000-0000-000015450000}"/>
    <cellStyle name="40% - Accent3 3 3 2 2 2 3" xfId="25591" xr:uid="{00000000-0005-0000-0000-000016450000}"/>
    <cellStyle name="40% - Accent3 3 3 2 2 2 3 2" xfId="33674" xr:uid="{00000000-0005-0000-0000-000017450000}"/>
    <cellStyle name="40% - Accent3 3 3 2 2 2 3 2 2" xfId="11549" xr:uid="{00000000-0005-0000-0000-000018450000}"/>
    <cellStyle name="40% - Accent3 3 3 2 2 2 3 3" xfId="32668" xr:uid="{00000000-0005-0000-0000-000019450000}"/>
    <cellStyle name="40% - Accent3 3 3 2 2 2 4" xfId="14619" xr:uid="{00000000-0005-0000-0000-00001A450000}"/>
    <cellStyle name="40% - Accent3 3 3 2 2 2 4 2" xfId="19623" xr:uid="{00000000-0005-0000-0000-00001B450000}"/>
    <cellStyle name="40% - Accent3 3 3 2 2 2 5" xfId="7428" xr:uid="{00000000-0005-0000-0000-00001C450000}"/>
    <cellStyle name="40% - Accent3 3 3 2 2 3" xfId="23742" xr:uid="{00000000-0005-0000-0000-00001D450000}"/>
    <cellStyle name="40% - Accent3 3 3 2 2 3 2" xfId="22620" xr:uid="{00000000-0005-0000-0000-00001E450000}"/>
    <cellStyle name="40% - Accent3 3 3 2 2 3 2 2" xfId="19631" xr:uid="{00000000-0005-0000-0000-00001F450000}"/>
    <cellStyle name="40% - Accent3 3 3 2 2 3 2 2 2" xfId="23192" xr:uid="{00000000-0005-0000-0000-000020450000}"/>
    <cellStyle name="40% - Accent3 3 3 2 2 3 2 3" xfId="19632" xr:uid="{00000000-0005-0000-0000-000021450000}"/>
    <cellStyle name="40% - Accent3 3 3 2 2 3 3" xfId="14738" xr:uid="{00000000-0005-0000-0000-000022450000}"/>
    <cellStyle name="40% - Accent3 3 3 2 2 3 3 2" xfId="33214" xr:uid="{00000000-0005-0000-0000-000023450000}"/>
    <cellStyle name="40% - Accent3 3 3 2 2 3 4" xfId="5481" xr:uid="{00000000-0005-0000-0000-000024450000}"/>
    <cellStyle name="40% - Accent3 3 3 2 2 4" xfId="20283" xr:uid="{00000000-0005-0000-0000-000025450000}"/>
    <cellStyle name="40% - Accent3 3 3 2 2 4 2" xfId="32693" xr:uid="{00000000-0005-0000-0000-000026450000}"/>
    <cellStyle name="40% - Accent3 3 3 2 2 4 2 2" xfId="30564" xr:uid="{00000000-0005-0000-0000-000027450000}"/>
    <cellStyle name="40% - Accent3 3 3 2 2 4 3" xfId="7818" xr:uid="{00000000-0005-0000-0000-000028450000}"/>
    <cellStyle name="40% - Accent3 3 3 2 2 5" xfId="25313" xr:uid="{00000000-0005-0000-0000-000029450000}"/>
    <cellStyle name="40% - Accent3 3 3 2 2 5 2" xfId="29588" xr:uid="{00000000-0005-0000-0000-00002A450000}"/>
    <cellStyle name="40% - Accent3 3 3 2 2 6" xfId="13406" xr:uid="{00000000-0005-0000-0000-00002B450000}"/>
    <cellStyle name="40% - Accent3 3 3 2 3" xfId="19634" xr:uid="{00000000-0005-0000-0000-00002C450000}"/>
    <cellStyle name="40% - Accent3 3 3 2 3 2" xfId="23704" xr:uid="{00000000-0005-0000-0000-00002D450000}"/>
    <cellStyle name="40% - Accent3 3 3 2 3 2 2" xfId="20266" xr:uid="{00000000-0005-0000-0000-00002E450000}"/>
    <cellStyle name="40% - Accent3 3 3 2 3 2 2 2" xfId="19637" xr:uid="{00000000-0005-0000-0000-00002F450000}"/>
    <cellStyle name="40% - Accent3 3 3 2 3 2 2 2 2" xfId="19643" xr:uid="{00000000-0005-0000-0000-000030450000}"/>
    <cellStyle name="40% - Accent3 3 3 2 3 2 2 3" xfId="19645" xr:uid="{00000000-0005-0000-0000-000031450000}"/>
    <cellStyle name="40% - Accent3 3 3 2 3 2 3" xfId="6130" xr:uid="{00000000-0005-0000-0000-000032450000}"/>
    <cellStyle name="40% - Accent3 3 3 2 3 2 3 2" xfId="33408" xr:uid="{00000000-0005-0000-0000-000033450000}"/>
    <cellStyle name="40% - Accent3 3 3 2 3 2 4" xfId="4203" xr:uid="{00000000-0005-0000-0000-000034450000}"/>
    <cellStyle name="40% - Accent3 3 3 2 3 3" xfId="23486" xr:uid="{00000000-0005-0000-0000-000035450000}"/>
    <cellStyle name="40% - Accent3 3 3 2 3 3 2" xfId="799" xr:uid="{00000000-0005-0000-0000-000036450000}"/>
    <cellStyle name="40% - Accent3 3 3 2 3 3 2 2" xfId="19647" xr:uid="{00000000-0005-0000-0000-000037450000}"/>
    <cellStyle name="40% - Accent3 3 3 2 3 3 3" xfId="5621" xr:uid="{00000000-0005-0000-0000-000038450000}"/>
    <cellStyle name="40% - Accent3 3 3 2 3 4" xfId="24857" xr:uid="{00000000-0005-0000-0000-000039450000}"/>
    <cellStyle name="40% - Accent3 3 3 2 3 4 2" xfId="6722" xr:uid="{00000000-0005-0000-0000-00003A450000}"/>
    <cellStyle name="40% - Accent3 3 3 2 3 5" xfId="19649" xr:uid="{00000000-0005-0000-0000-00003B450000}"/>
    <cellStyle name="40% - Accent3 3 3 2 4" xfId="19650" xr:uid="{00000000-0005-0000-0000-00003C450000}"/>
    <cellStyle name="40% - Accent3 3 3 2 4 2" xfId="25595" xr:uid="{00000000-0005-0000-0000-00003D450000}"/>
    <cellStyle name="40% - Accent3 3 3 2 4 2 2" xfId="583" xr:uid="{00000000-0005-0000-0000-00003E450000}"/>
    <cellStyle name="40% - Accent3 3 3 2 4 2 2 2" xfId="19653" xr:uid="{00000000-0005-0000-0000-00003F450000}"/>
    <cellStyle name="40% - Accent3 3 3 2 4 2 3" xfId="4244" xr:uid="{00000000-0005-0000-0000-000040450000}"/>
    <cellStyle name="40% - Accent3 3 3 2 4 3" xfId="3317" xr:uid="{00000000-0005-0000-0000-000041450000}"/>
    <cellStyle name="40% - Accent3 3 3 2 4 3 2" xfId="16346" xr:uid="{00000000-0005-0000-0000-000042450000}"/>
    <cellStyle name="40% - Accent3 3 3 2 4 4" xfId="16354" xr:uid="{00000000-0005-0000-0000-000043450000}"/>
    <cellStyle name="40% - Accent3 3 3 2 5" xfId="28925" xr:uid="{00000000-0005-0000-0000-000044450000}"/>
    <cellStyle name="40% - Accent3 3 3 2 5 2" xfId="2579" xr:uid="{00000000-0005-0000-0000-000045450000}"/>
    <cellStyle name="40% - Accent3 3 3 2 5 2 2" xfId="19655" xr:uid="{00000000-0005-0000-0000-000046450000}"/>
    <cellStyle name="40% - Accent3 3 3 2 5 3" xfId="16359" xr:uid="{00000000-0005-0000-0000-000047450000}"/>
    <cellStyle name="40% - Accent3 3 3 2 6" xfId="4403" xr:uid="{00000000-0005-0000-0000-000048450000}"/>
    <cellStyle name="40% - Accent3 3 3 2 6 2" xfId="3822" xr:uid="{00000000-0005-0000-0000-000049450000}"/>
    <cellStyle name="40% - Accent3 3 3 2 7" xfId="4416" xr:uid="{00000000-0005-0000-0000-00004A450000}"/>
    <cellStyle name="40% - Accent3 3 3 3" xfId="19658" xr:uid="{00000000-0005-0000-0000-00004B450000}"/>
    <cellStyle name="40% - Accent3 3 3 3 2" xfId="19662" xr:uid="{00000000-0005-0000-0000-00004C450000}"/>
    <cellStyle name="40% - Accent3 3 3 3 2 2" xfId="25603" xr:uid="{00000000-0005-0000-0000-00004D450000}"/>
    <cellStyle name="40% - Accent3 3 3 3 2 2 2" xfId="26357" xr:uid="{00000000-0005-0000-0000-00004E450000}"/>
    <cellStyle name="40% - Accent3 3 3 3 2 2 2 2" xfId="19665" xr:uid="{00000000-0005-0000-0000-00004F450000}"/>
    <cellStyle name="40% - Accent3 3 3 3 2 2 2 2 2" xfId="6844" xr:uid="{00000000-0005-0000-0000-000050450000}"/>
    <cellStyle name="40% - Accent3 3 3 3 2 2 2 3" xfId="19669" xr:uid="{00000000-0005-0000-0000-000051450000}"/>
    <cellStyle name="40% - Accent3 3 3 3 2 2 3" xfId="26365" xr:uid="{00000000-0005-0000-0000-000052450000}"/>
    <cellStyle name="40% - Accent3 3 3 3 2 2 3 2" xfId="19671" xr:uid="{00000000-0005-0000-0000-000053450000}"/>
    <cellStyle name="40% - Accent3 3 3 3 2 2 4" xfId="3304" xr:uid="{00000000-0005-0000-0000-000054450000}"/>
    <cellStyle name="40% - Accent3 3 3 3 2 3" xfId="23763" xr:uid="{00000000-0005-0000-0000-000055450000}"/>
    <cellStyle name="40% - Accent3 3 3 3 2 3 2" xfId="26372" xr:uid="{00000000-0005-0000-0000-000056450000}"/>
    <cellStyle name="40% - Accent3 3 3 3 2 3 2 2" xfId="2588" xr:uid="{00000000-0005-0000-0000-000057450000}"/>
    <cellStyle name="40% - Accent3 3 3 3 2 3 3" xfId="3376" xr:uid="{00000000-0005-0000-0000-000058450000}"/>
    <cellStyle name="40% - Accent3 3 3 3 2 4" xfId="32812" xr:uid="{00000000-0005-0000-0000-000059450000}"/>
    <cellStyle name="40% - Accent3 3 3 3 2 4 2" xfId="32516" xr:uid="{00000000-0005-0000-0000-00005A450000}"/>
    <cellStyle name="40% - Accent3 3 3 3 2 5" xfId="30681" xr:uid="{00000000-0005-0000-0000-00005B450000}"/>
    <cellStyle name="40% - Accent3 3 3 3 3" xfId="15214" xr:uid="{00000000-0005-0000-0000-00005C450000}"/>
    <cellStyle name="40% - Accent3 3 3 3 3 2" xfId="25605" xr:uid="{00000000-0005-0000-0000-00005D450000}"/>
    <cellStyle name="40% - Accent3 3 3 3 3 2 2" xfId="25081" xr:uid="{00000000-0005-0000-0000-00005E450000}"/>
    <cellStyle name="40% - Accent3 3 3 3 3 2 2 2" xfId="30813" xr:uid="{00000000-0005-0000-0000-00005F450000}"/>
    <cellStyle name="40% - Accent3 3 3 3 3 2 3" xfId="15376" xr:uid="{00000000-0005-0000-0000-000060450000}"/>
    <cellStyle name="40% - Accent3 3 3 3 3 3" xfId="3322" xr:uid="{00000000-0005-0000-0000-000061450000}"/>
    <cellStyle name="40% - Accent3 3 3 3 3 3 2" xfId="32230" xr:uid="{00000000-0005-0000-0000-000062450000}"/>
    <cellStyle name="40% - Accent3 3 3 3 3 4" xfId="24057" xr:uid="{00000000-0005-0000-0000-000063450000}"/>
    <cellStyle name="40% - Accent3 3 3 3 4" xfId="25102" xr:uid="{00000000-0005-0000-0000-000064450000}"/>
    <cellStyle name="40% - Accent3 3 3 3 4 2" xfId="1192" xr:uid="{00000000-0005-0000-0000-000065450000}"/>
    <cellStyle name="40% - Accent3 3 3 3 4 2 2" xfId="25112" xr:uid="{00000000-0005-0000-0000-000066450000}"/>
    <cellStyle name="40% - Accent3 3 3 3 4 3" xfId="16385" xr:uid="{00000000-0005-0000-0000-000067450000}"/>
    <cellStyle name="40% - Accent3 3 3 3 5" xfId="33320" xr:uid="{00000000-0005-0000-0000-000068450000}"/>
    <cellStyle name="40% - Accent3 3 3 3 5 2" xfId="25120" xr:uid="{00000000-0005-0000-0000-000069450000}"/>
    <cellStyle name="40% - Accent3 3 3 3 6" xfId="4446" xr:uid="{00000000-0005-0000-0000-00006A450000}"/>
    <cellStyle name="40% - Accent3 3 3 4" xfId="20121" xr:uid="{00000000-0005-0000-0000-00006B450000}"/>
    <cellStyle name="40% - Accent3 3 3 4 2" xfId="19676" xr:uid="{00000000-0005-0000-0000-00006C450000}"/>
    <cellStyle name="40% - Accent3 3 3 4 2 2" xfId="25613" xr:uid="{00000000-0005-0000-0000-00006D450000}"/>
    <cellStyle name="40% - Accent3 3 3 4 2 2 2" xfId="24181" xr:uid="{00000000-0005-0000-0000-00006E450000}"/>
    <cellStyle name="40% - Accent3 3 3 4 2 2 2 2" xfId="19156" xr:uid="{00000000-0005-0000-0000-00006F450000}"/>
    <cellStyle name="40% - Accent3 3 3 4 2 2 3" xfId="10162" xr:uid="{00000000-0005-0000-0000-000070450000}"/>
    <cellStyle name="40% - Accent3 3 3 4 2 3" xfId="19291" xr:uid="{00000000-0005-0000-0000-000071450000}"/>
    <cellStyle name="40% - Accent3 3 3 4 2 3 2" xfId="23023" xr:uid="{00000000-0005-0000-0000-000072450000}"/>
    <cellStyle name="40% - Accent3 3 3 4 2 4" xfId="29236" xr:uid="{00000000-0005-0000-0000-000073450000}"/>
    <cellStyle name="40% - Accent3 3 3 4 3" xfId="19684" xr:uid="{00000000-0005-0000-0000-000074450000}"/>
    <cellStyle name="40% - Accent3 3 3 4 3 2" xfId="406" xr:uid="{00000000-0005-0000-0000-000075450000}"/>
    <cellStyle name="40% - Accent3 3 3 4 3 2 2" xfId="19687" xr:uid="{00000000-0005-0000-0000-000076450000}"/>
    <cellStyle name="40% - Accent3 3 3 4 3 3" xfId="19123" xr:uid="{00000000-0005-0000-0000-000077450000}"/>
    <cellStyle name="40% - Accent3 3 3 4 4" xfId="21112" xr:uid="{00000000-0005-0000-0000-000078450000}"/>
    <cellStyle name="40% - Accent3 3 3 4 4 2" xfId="25178" xr:uid="{00000000-0005-0000-0000-000079450000}"/>
    <cellStyle name="40% - Accent3 3 3 4 5" xfId="31301" xr:uid="{00000000-0005-0000-0000-00007A450000}"/>
    <cellStyle name="40% - Accent3 3 3 5" xfId="15136" xr:uid="{00000000-0005-0000-0000-00007B450000}"/>
    <cellStyle name="40% - Accent3 3 3 5 2" xfId="22490" xr:uid="{00000000-0005-0000-0000-00007C450000}"/>
    <cellStyle name="40% - Accent3 3 3 5 2 2" xfId="27270" xr:uid="{00000000-0005-0000-0000-00007D450000}"/>
    <cellStyle name="40% - Accent3 3 3 5 2 2 2" xfId="25344" xr:uid="{00000000-0005-0000-0000-00007E450000}"/>
    <cellStyle name="40% - Accent3 3 3 5 2 3" xfId="19691" xr:uid="{00000000-0005-0000-0000-00007F450000}"/>
    <cellStyle name="40% - Accent3 3 3 5 3" xfId="19694" xr:uid="{00000000-0005-0000-0000-000080450000}"/>
    <cellStyle name="40% - Accent3 3 3 5 3 2" xfId="20533" xr:uid="{00000000-0005-0000-0000-000081450000}"/>
    <cellStyle name="40% - Accent3 3 3 5 4" xfId="25150" xr:uid="{00000000-0005-0000-0000-000082450000}"/>
    <cellStyle name="40% - Accent3 3 3 6" xfId="15140" xr:uid="{00000000-0005-0000-0000-000083450000}"/>
    <cellStyle name="40% - Accent3 3 3 6 2" xfId="14780" xr:uid="{00000000-0005-0000-0000-000084450000}"/>
    <cellStyle name="40% - Accent3 3 3 6 2 2" xfId="27552" xr:uid="{00000000-0005-0000-0000-000085450000}"/>
    <cellStyle name="40% - Accent3 3 3 6 3" xfId="25235" xr:uid="{00000000-0005-0000-0000-000086450000}"/>
    <cellStyle name="40% - Accent3 3 3 7" xfId="4378" xr:uid="{00000000-0005-0000-0000-000087450000}"/>
    <cellStyle name="40% - Accent3 3 3 7 2" xfId="4921" xr:uid="{00000000-0005-0000-0000-000088450000}"/>
    <cellStyle name="40% - Accent3 3 3 8" xfId="4931" xr:uid="{00000000-0005-0000-0000-000089450000}"/>
    <cellStyle name="40% - Accent3 3 4" xfId="19698" xr:uid="{00000000-0005-0000-0000-00008A450000}"/>
    <cellStyle name="40% - Accent3 3 4 2" xfId="19706" xr:uid="{00000000-0005-0000-0000-00008B450000}"/>
    <cellStyle name="40% - Accent3 3 4 2 2" xfId="19234" xr:uid="{00000000-0005-0000-0000-00008C450000}"/>
    <cellStyle name="40% - Accent3 3 4 2 2 2" xfId="23309" xr:uid="{00000000-0005-0000-0000-00008D450000}"/>
    <cellStyle name="40% - Accent3 3 4 2 2 2 2" xfId="22575" xr:uid="{00000000-0005-0000-0000-00008E450000}"/>
    <cellStyle name="40% - Accent3 3 4 2 2 2 2 2" xfId="17909" xr:uid="{00000000-0005-0000-0000-00008F450000}"/>
    <cellStyle name="40% - Accent3 3 4 2 2 2 2 2 2" xfId="10073" xr:uid="{00000000-0005-0000-0000-000090450000}"/>
    <cellStyle name="40% - Accent3 3 4 2 2 2 2 3" xfId="31093" xr:uid="{00000000-0005-0000-0000-000091450000}"/>
    <cellStyle name="40% - Accent3 3 4 2 2 2 3" xfId="18338" xr:uid="{00000000-0005-0000-0000-000092450000}"/>
    <cellStyle name="40% - Accent3 3 4 2 2 2 3 2" xfId="32141" xr:uid="{00000000-0005-0000-0000-000093450000}"/>
    <cellStyle name="40% - Accent3 3 4 2 2 2 4" xfId="19248" xr:uid="{00000000-0005-0000-0000-000094450000}"/>
    <cellStyle name="40% - Accent3 3 4 2 2 3" xfId="22666" xr:uid="{00000000-0005-0000-0000-000095450000}"/>
    <cellStyle name="40% - Accent3 3 4 2 2 3 2" xfId="31981" xr:uid="{00000000-0005-0000-0000-000096450000}"/>
    <cellStyle name="40% - Accent3 3 4 2 2 3 2 2" xfId="6658" xr:uid="{00000000-0005-0000-0000-000097450000}"/>
    <cellStyle name="40% - Accent3 3 4 2 2 3 3" xfId="27428" xr:uid="{00000000-0005-0000-0000-000098450000}"/>
    <cellStyle name="40% - Accent3 3 4 2 2 4" xfId="15082" xr:uid="{00000000-0005-0000-0000-000099450000}"/>
    <cellStyle name="40% - Accent3 3 4 2 2 4 2" xfId="19258" xr:uid="{00000000-0005-0000-0000-00009A450000}"/>
    <cellStyle name="40% - Accent3 3 4 2 2 5" xfId="31207" xr:uid="{00000000-0005-0000-0000-00009B450000}"/>
    <cellStyle name="40% - Accent3 3 4 2 3" xfId="19262" xr:uid="{00000000-0005-0000-0000-00009C450000}"/>
    <cellStyle name="40% - Accent3 3 4 2 3 2" xfId="19330" xr:uid="{00000000-0005-0000-0000-00009D450000}"/>
    <cellStyle name="40% - Accent3 3 4 2 3 2 2" xfId="9142" xr:uid="{00000000-0005-0000-0000-00009E450000}"/>
    <cellStyle name="40% - Accent3 3 4 2 3 2 2 2" xfId="19714" xr:uid="{00000000-0005-0000-0000-00009F450000}"/>
    <cellStyle name="40% - Accent3 3 4 2 3 2 3" xfId="16038" xr:uid="{00000000-0005-0000-0000-0000A0450000}"/>
    <cellStyle name="40% - Accent3 3 4 2 3 3" xfId="3355" xr:uid="{00000000-0005-0000-0000-0000A1450000}"/>
    <cellStyle name="40% - Accent3 3 4 2 3 3 2" xfId="16042" xr:uid="{00000000-0005-0000-0000-0000A2450000}"/>
    <cellStyle name="40% - Accent3 3 4 2 3 4" xfId="19269" xr:uid="{00000000-0005-0000-0000-0000A3450000}"/>
    <cellStyle name="40% - Accent3 3 4 2 4" xfId="19276" xr:uid="{00000000-0005-0000-0000-0000A4450000}"/>
    <cellStyle name="40% - Accent3 3 4 2 4 2" xfId="2099" xr:uid="{00000000-0005-0000-0000-0000A5450000}"/>
    <cellStyle name="40% - Accent3 3 4 2 4 2 2" xfId="5051" xr:uid="{00000000-0005-0000-0000-0000A6450000}"/>
    <cellStyle name="40% - Accent3 3 4 2 4 3" xfId="16478" xr:uid="{00000000-0005-0000-0000-0000A7450000}"/>
    <cellStyle name="40% - Accent3 3 4 2 5" xfId="22394" xr:uid="{00000000-0005-0000-0000-0000A8450000}"/>
    <cellStyle name="40% - Accent3 3 4 2 5 2" xfId="19278" xr:uid="{00000000-0005-0000-0000-0000A9450000}"/>
    <cellStyle name="40% - Accent3 3 4 2 6" xfId="2247" xr:uid="{00000000-0005-0000-0000-0000AA450000}"/>
    <cellStyle name="40% - Accent3 3 4 3" xfId="19716" xr:uid="{00000000-0005-0000-0000-0000AB450000}"/>
    <cellStyle name="40% - Accent3 3 4 3 2" xfId="18526" xr:uid="{00000000-0005-0000-0000-0000AC450000}"/>
    <cellStyle name="40% - Accent3 3 4 3 2 2" xfId="25620" xr:uid="{00000000-0005-0000-0000-0000AD450000}"/>
    <cellStyle name="40% - Accent3 3 4 3 2 2 2" xfId="17980" xr:uid="{00000000-0005-0000-0000-0000AE450000}"/>
    <cellStyle name="40% - Accent3 3 4 3 2 2 2 2" xfId="20771" xr:uid="{00000000-0005-0000-0000-0000AF450000}"/>
    <cellStyle name="40% - Accent3 3 4 3 2 2 3" xfId="19288" xr:uid="{00000000-0005-0000-0000-0000B0450000}"/>
    <cellStyle name="40% - Accent3 3 4 3 2 3" xfId="18237" xr:uid="{00000000-0005-0000-0000-0000B1450000}"/>
    <cellStyle name="40% - Accent3 3 4 3 2 3 2" xfId="19289" xr:uid="{00000000-0005-0000-0000-0000B2450000}"/>
    <cellStyle name="40% - Accent3 3 4 3 2 4" xfId="19294" xr:uid="{00000000-0005-0000-0000-0000B3450000}"/>
    <cellStyle name="40% - Accent3 3 4 3 3" xfId="19302" xr:uid="{00000000-0005-0000-0000-0000B4450000}"/>
    <cellStyle name="40% - Accent3 3 4 3 3 2" xfId="2225" xr:uid="{00000000-0005-0000-0000-0000B5450000}"/>
    <cellStyle name="40% - Accent3 3 4 3 3 2 2" xfId="16061" xr:uid="{00000000-0005-0000-0000-0000B6450000}"/>
    <cellStyle name="40% - Accent3 3 4 3 3 3" xfId="19559" xr:uid="{00000000-0005-0000-0000-0000B7450000}"/>
    <cellStyle name="40% - Accent3 3 4 3 4" xfId="22634" xr:uid="{00000000-0005-0000-0000-0000B8450000}"/>
    <cellStyle name="40% - Accent3 3 4 3 4 2" xfId="19308" xr:uid="{00000000-0005-0000-0000-0000B9450000}"/>
    <cellStyle name="40% - Accent3 3 4 3 5" xfId="33539" xr:uid="{00000000-0005-0000-0000-0000BA450000}"/>
    <cellStyle name="40% - Accent3 3 4 4" xfId="19719" xr:uid="{00000000-0005-0000-0000-0000BB450000}"/>
    <cellStyle name="40% - Accent3 3 4 4 2" xfId="6022" xr:uid="{00000000-0005-0000-0000-0000BC450000}"/>
    <cellStyle name="40% - Accent3 3 4 4 2 2" xfId="2480" xr:uid="{00000000-0005-0000-0000-0000BD450000}"/>
    <cellStyle name="40% - Accent3 3 4 4 2 2 2" xfId="19310" xr:uid="{00000000-0005-0000-0000-0000BE450000}"/>
    <cellStyle name="40% - Accent3 3 4 4 2 3" xfId="16082" xr:uid="{00000000-0005-0000-0000-0000BF450000}"/>
    <cellStyle name="40% - Accent3 3 4 4 3" xfId="3360" xr:uid="{00000000-0005-0000-0000-0000C0450000}"/>
    <cellStyle name="40% - Accent3 3 4 4 3 2" xfId="18811" xr:uid="{00000000-0005-0000-0000-0000C1450000}"/>
    <cellStyle name="40% - Accent3 3 4 4 4" xfId="29398" xr:uid="{00000000-0005-0000-0000-0000C2450000}"/>
    <cellStyle name="40% - Accent3 3 4 5" xfId="15144" xr:uid="{00000000-0005-0000-0000-0000C3450000}"/>
    <cellStyle name="40% - Accent3 3 4 5 2" xfId="2523" xr:uid="{00000000-0005-0000-0000-0000C4450000}"/>
    <cellStyle name="40% - Accent3 3 4 5 2 2" xfId="16098" xr:uid="{00000000-0005-0000-0000-0000C5450000}"/>
    <cellStyle name="40% - Accent3 3 4 5 3" xfId="16520" xr:uid="{00000000-0005-0000-0000-0000C6450000}"/>
    <cellStyle name="40% - Accent3 3 4 6" xfId="15152" xr:uid="{00000000-0005-0000-0000-0000C7450000}"/>
    <cellStyle name="40% - Accent3 3 4 6 2" xfId="21414" xr:uid="{00000000-0005-0000-0000-0000C8450000}"/>
    <cellStyle name="40% - Accent3 3 4 7" xfId="4984" xr:uid="{00000000-0005-0000-0000-0000C9450000}"/>
    <cellStyle name="40% - Accent3 3 5" xfId="21486" xr:uid="{00000000-0005-0000-0000-0000CA450000}"/>
    <cellStyle name="40% - Accent3 3 5 2" xfId="12959" xr:uid="{00000000-0005-0000-0000-0000CB450000}"/>
    <cellStyle name="40% - Accent3 3 5 2 2" xfId="19722" xr:uid="{00000000-0005-0000-0000-0000CC450000}"/>
    <cellStyle name="40% - Accent3 3 5 2 2 2" xfId="19626" xr:uid="{00000000-0005-0000-0000-0000CD450000}"/>
    <cellStyle name="40% - Accent3 3 5 2 2 2 2" xfId="18077" xr:uid="{00000000-0005-0000-0000-0000CE450000}"/>
    <cellStyle name="40% - Accent3 3 5 2 2 2 2 2" xfId="30512" xr:uid="{00000000-0005-0000-0000-0000CF450000}"/>
    <cellStyle name="40% - Accent3 3 5 2 2 2 3" xfId="19736" xr:uid="{00000000-0005-0000-0000-0000D0450000}"/>
    <cellStyle name="40% - Accent3 3 5 2 2 3" xfId="23481" xr:uid="{00000000-0005-0000-0000-0000D1450000}"/>
    <cellStyle name="40% - Accent3 3 5 2 2 3 2" xfId="19742" xr:uid="{00000000-0005-0000-0000-0000D2450000}"/>
    <cellStyle name="40% - Accent3 3 5 2 2 4" xfId="18630" xr:uid="{00000000-0005-0000-0000-0000D3450000}"/>
    <cellStyle name="40% - Accent3 3 5 2 3" xfId="19747" xr:uid="{00000000-0005-0000-0000-0000D4450000}"/>
    <cellStyle name="40% - Accent3 3 5 2 3 2" xfId="2683" xr:uid="{00000000-0005-0000-0000-0000D5450000}"/>
    <cellStyle name="40% - Accent3 3 5 2 3 2 2" xfId="16104" xr:uid="{00000000-0005-0000-0000-0000D6450000}"/>
    <cellStyle name="40% - Accent3 3 5 2 3 3" xfId="25552" xr:uid="{00000000-0005-0000-0000-0000D7450000}"/>
    <cellStyle name="40% - Accent3 3 5 2 4" xfId="22405" xr:uid="{00000000-0005-0000-0000-0000D8450000}"/>
    <cellStyle name="40% - Accent3 3 5 2 4 2" xfId="25490" xr:uid="{00000000-0005-0000-0000-0000D9450000}"/>
    <cellStyle name="40% - Accent3 3 5 2 5" xfId="19942" xr:uid="{00000000-0005-0000-0000-0000DA450000}"/>
    <cellStyle name="40% - Accent3 3 5 3" xfId="19725" xr:uid="{00000000-0005-0000-0000-0000DB450000}"/>
    <cellStyle name="40% - Accent3 3 5 3 2" xfId="19727" xr:uid="{00000000-0005-0000-0000-0000DC450000}"/>
    <cellStyle name="40% - Accent3 3 5 3 2 2" xfId="18078" xr:uid="{00000000-0005-0000-0000-0000DD450000}"/>
    <cellStyle name="40% - Accent3 3 5 3 2 2 2" xfId="19754" xr:uid="{00000000-0005-0000-0000-0000DE450000}"/>
    <cellStyle name="40% - Accent3 3 5 3 2 3" xfId="19734" xr:uid="{00000000-0005-0000-0000-0000DF450000}"/>
    <cellStyle name="40% - Accent3 3 5 3 3" xfId="19739" xr:uid="{00000000-0005-0000-0000-0000E0450000}"/>
    <cellStyle name="40% - Accent3 3 5 3 3 2" xfId="19743" xr:uid="{00000000-0005-0000-0000-0000E1450000}"/>
    <cellStyle name="40% - Accent3 3 5 3 4" xfId="18633" xr:uid="{00000000-0005-0000-0000-0000E2450000}"/>
    <cellStyle name="40% - Accent3 3 5 4" xfId="19749" xr:uid="{00000000-0005-0000-0000-0000E3450000}"/>
    <cellStyle name="40% - Accent3 3 5 4 2" xfId="27701" xr:uid="{00000000-0005-0000-0000-0000E4450000}"/>
    <cellStyle name="40% - Accent3 3 5 4 2 2" xfId="16105" xr:uid="{00000000-0005-0000-0000-0000E5450000}"/>
    <cellStyle name="40% - Accent3 3 5 4 3" xfId="25556" xr:uid="{00000000-0005-0000-0000-0000E6450000}"/>
    <cellStyle name="40% - Accent3 3 5 5" xfId="241" xr:uid="{00000000-0005-0000-0000-0000E7450000}"/>
    <cellStyle name="40% - Accent3 3 5 5 2" xfId="25489" xr:uid="{00000000-0005-0000-0000-0000E8450000}"/>
    <cellStyle name="40% - Accent3 3 5 6" xfId="22140" xr:uid="{00000000-0005-0000-0000-0000E9450000}"/>
    <cellStyle name="40% - Accent3 3 6" xfId="19757" xr:uid="{00000000-0005-0000-0000-0000EA450000}"/>
    <cellStyle name="40% - Accent3 3 6 2" xfId="18533" xr:uid="{00000000-0005-0000-0000-0000EB450000}"/>
    <cellStyle name="40% - Accent3 3 6 2 2" xfId="19758" xr:uid="{00000000-0005-0000-0000-0000EC450000}"/>
    <cellStyle name="40% - Accent3 3 6 2 2 2" xfId="19761" xr:uid="{00000000-0005-0000-0000-0000ED450000}"/>
    <cellStyle name="40% - Accent3 3 6 2 2 2 2" xfId="19770" xr:uid="{00000000-0005-0000-0000-0000EE450000}"/>
    <cellStyle name="40% - Accent3 3 6 2 2 3" xfId="19777" xr:uid="{00000000-0005-0000-0000-0000EF450000}"/>
    <cellStyle name="40% - Accent3 3 6 2 3" xfId="18489" xr:uid="{00000000-0005-0000-0000-0000F0450000}"/>
    <cellStyle name="40% - Accent3 3 6 2 3 2" xfId="19781" xr:uid="{00000000-0005-0000-0000-0000F1450000}"/>
    <cellStyle name="40% - Accent3 3 6 2 4" xfId="10182" xr:uid="{00000000-0005-0000-0000-0000F2450000}"/>
    <cellStyle name="40% - Accent3 3 6 3" xfId="19728" xr:uid="{00000000-0005-0000-0000-0000F3450000}"/>
    <cellStyle name="40% - Accent3 3 6 3 2" xfId="18079" xr:uid="{00000000-0005-0000-0000-0000F4450000}"/>
    <cellStyle name="40% - Accent3 3 6 3 2 2" xfId="19755" xr:uid="{00000000-0005-0000-0000-0000F5450000}"/>
    <cellStyle name="40% - Accent3 3 6 3 3" xfId="19738" xr:uid="{00000000-0005-0000-0000-0000F6450000}"/>
    <cellStyle name="40% - Accent3 3 6 4" xfId="23483" xr:uid="{00000000-0005-0000-0000-0000F7450000}"/>
    <cellStyle name="40% - Accent3 3 6 4 2" xfId="19744" xr:uid="{00000000-0005-0000-0000-0000F8450000}"/>
    <cellStyle name="40% - Accent3 3 6 5" xfId="18631" xr:uid="{00000000-0005-0000-0000-0000F9450000}"/>
    <cellStyle name="40% - Accent3 3 7" xfId="19786" xr:uid="{00000000-0005-0000-0000-0000FA450000}"/>
    <cellStyle name="40% - Accent3 3 7 2" xfId="2679" xr:uid="{00000000-0005-0000-0000-0000FB450000}"/>
    <cellStyle name="40% - Accent3 3 7 2 2" xfId="517" xr:uid="{00000000-0005-0000-0000-0000FC450000}"/>
    <cellStyle name="40% - Accent3 3 7 2 2 2" xfId="19791" xr:uid="{00000000-0005-0000-0000-0000FD450000}"/>
    <cellStyle name="40% - Accent3 3 7 2 3" xfId="23977" xr:uid="{00000000-0005-0000-0000-0000FE450000}"/>
    <cellStyle name="40% - Accent3 3 7 3" xfId="2685" xr:uid="{00000000-0005-0000-0000-0000FF450000}"/>
    <cellStyle name="40% - Accent3 3 7 3 2" xfId="16106" xr:uid="{00000000-0005-0000-0000-000000460000}"/>
    <cellStyle name="40% - Accent3 3 7 4" xfId="25554" xr:uid="{00000000-0005-0000-0000-000001460000}"/>
    <cellStyle name="40% - Accent3 3 8" xfId="16557" xr:uid="{00000000-0005-0000-0000-000002460000}"/>
    <cellStyle name="40% - Accent3 3 8 2" xfId="16564" xr:uid="{00000000-0005-0000-0000-000003460000}"/>
    <cellStyle name="40% - Accent3 3 8 2 2" xfId="19795" xr:uid="{00000000-0005-0000-0000-000004460000}"/>
    <cellStyle name="40% - Accent3 3 8 3" xfId="25488" xr:uid="{00000000-0005-0000-0000-000005460000}"/>
    <cellStyle name="40% - Accent3 3 9" xfId="16565" xr:uid="{00000000-0005-0000-0000-000006460000}"/>
    <cellStyle name="40% - Accent3 3 9 2" xfId="19799" xr:uid="{00000000-0005-0000-0000-000007460000}"/>
    <cellStyle name="40% - Accent3 4" xfId="18371" xr:uid="{00000000-0005-0000-0000-000008460000}"/>
    <cellStyle name="40% - Accent3 4 2" xfId="26966" xr:uid="{00000000-0005-0000-0000-000009460000}"/>
    <cellStyle name="40% - Accent3 4 2 2" xfId="19804" xr:uid="{00000000-0005-0000-0000-00000A460000}"/>
    <cellStyle name="40% - Accent3 4 2 2 2" xfId="27687" xr:uid="{00000000-0005-0000-0000-00000B460000}"/>
    <cellStyle name="40% - Accent3 4 2 2 2 2" xfId="23941" xr:uid="{00000000-0005-0000-0000-00000C460000}"/>
    <cellStyle name="40% - Accent3 4 2 2 2 2 2" xfId="24131" xr:uid="{00000000-0005-0000-0000-00000D460000}"/>
    <cellStyle name="40% - Accent3 4 2 2 2 2 2 2" xfId="19807" xr:uid="{00000000-0005-0000-0000-00000E460000}"/>
    <cellStyle name="40% - Accent3 4 2 2 2 2 2 2 2" xfId="30064" xr:uid="{00000000-0005-0000-0000-00000F460000}"/>
    <cellStyle name="40% - Accent3 4 2 2 2 2 2 2 2 2" xfId="1342" xr:uid="{00000000-0005-0000-0000-000010460000}"/>
    <cellStyle name="40% - Accent3 4 2 2 2 2 2 2 3" xfId="29660" xr:uid="{00000000-0005-0000-0000-000011460000}"/>
    <cellStyle name="40% - Accent3 4 2 2 2 2 2 3" xfId="19809" xr:uid="{00000000-0005-0000-0000-000012460000}"/>
    <cellStyle name="40% - Accent3 4 2 2 2 2 2 3 2" xfId="29636" xr:uid="{00000000-0005-0000-0000-000013460000}"/>
    <cellStyle name="40% - Accent3 4 2 2 2 2 2 4" xfId="19811" xr:uid="{00000000-0005-0000-0000-000014460000}"/>
    <cellStyle name="40% - Accent3 4 2 2 2 2 3" xfId="26978" xr:uid="{00000000-0005-0000-0000-000015460000}"/>
    <cellStyle name="40% - Accent3 4 2 2 2 2 3 2" xfId="19814" xr:uid="{00000000-0005-0000-0000-000016460000}"/>
    <cellStyle name="40% - Accent3 4 2 2 2 2 3 2 2" xfId="3474" xr:uid="{00000000-0005-0000-0000-000017460000}"/>
    <cellStyle name="40% - Accent3 4 2 2 2 2 3 3" xfId="19816" xr:uid="{00000000-0005-0000-0000-000018460000}"/>
    <cellStyle name="40% - Accent3 4 2 2 2 2 4" xfId="26985" xr:uid="{00000000-0005-0000-0000-000019460000}"/>
    <cellStyle name="40% - Accent3 4 2 2 2 2 4 2" xfId="13064" xr:uid="{00000000-0005-0000-0000-00001A460000}"/>
    <cellStyle name="40% - Accent3 4 2 2 2 2 5" xfId="5159" xr:uid="{00000000-0005-0000-0000-00001B460000}"/>
    <cellStyle name="40% - Accent3 4 2 2 2 3" xfId="19818" xr:uid="{00000000-0005-0000-0000-00001C460000}"/>
    <cellStyle name="40% - Accent3 4 2 2 2 3 2" xfId="22814" xr:uid="{00000000-0005-0000-0000-00001D460000}"/>
    <cellStyle name="40% - Accent3 4 2 2 2 3 2 2" xfId="19822" xr:uid="{00000000-0005-0000-0000-00001E460000}"/>
    <cellStyle name="40% - Accent3 4 2 2 2 3 2 2 2" xfId="19826" xr:uid="{00000000-0005-0000-0000-00001F460000}"/>
    <cellStyle name="40% - Accent3 4 2 2 2 3 2 3" xfId="19832" xr:uid="{00000000-0005-0000-0000-000020460000}"/>
    <cellStyle name="40% - Accent3 4 2 2 2 3 3" xfId="19385" xr:uid="{00000000-0005-0000-0000-000021460000}"/>
    <cellStyle name="40% - Accent3 4 2 2 2 3 3 2" xfId="19835" xr:uid="{00000000-0005-0000-0000-000022460000}"/>
    <cellStyle name="40% - Accent3 4 2 2 2 3 4" xfId="5172" xr:uid="{00000000-0005-0000-0000-000023460000}"/>
    <cellStyle name="40% - Accent3 4 2 2 2 4" xfId="20974" xr:uid="{00000000-0005-0000-0000-000024460000}"/>
    <cellStyle name="40% - Accent3 4 2 2 2 4 2" xfId="26580" xr:uid="{00000000-0005-0000-0000-000025460000}"/>
    <cellStyle name="40% - Accent3 4 2 2 2 4 2 2" xfId="12755" xr:uid="{00000000-0005-0000-0000-000026460000}"/>
    <cellStyle name="40% - Accent3 4 2 2 2 4 3" xfId="4362" xr:uid="{00000000-0005-0000-0000-000027460000}"/>
    <cellStyle name="40% - Accent3 4 2 2 2 5" xfId="19838" xr:uid="{00000000-0005-0000-0000-000028460000}"/>
    <cellStyle name="40% - Accent3 4 2 2 2 5 2" xfId="33850" xr:uid="{00000000-0005-0000-0000-000029460000}"/>
    <cellStyle name="40% - Accent3 4 2 2 2 6" xfId="19843" xr:uid="{00000000-0005-0000-0000-00002A460000}"/>
    <cellStyle name="40% - Accent3 4 2 2 3" xfId="24677" xr:uid="{00000000-0005-0000-0000-00002B460000}"/>
    <cellStyle name="40% - Accent3 4 2 2 3 2" xfId="26992" xr:uid="{00000000-0005-0000-0000-00002C460000}"/>
    <cellStyle name="40% - Accent3 4 2 2 3 2 2" xfId="23310" xr:uid="{00000000-0005-0000-0000-00002D460000}"/>
    <cellStyle name="40% - Accent3 4 2 2 3 2 2 2" xfId="19844" xr:uid="{00000000-0005-0000-0000-00002E460000}"/>
    <cellStyle name="40% - Accent3 4 2 2 3 2 2 2 2" xfId="19847" xr:uid="{00000000-0005-0000-0000-00002F460000}"/>
    <cellStyle name="40% - Accent3 4 2 2 3 2 2 3" xfId="19852" xr:uid="{00000000-0005-0000-0000-000030460000}"/>
    <cellStyle name="40% - Accent3 4 2 2 3 2 3" xfId="26562" xr:uid="{00000000-0005-0000-0000-000031460000}"/>
    <cellStyle name="40% - Accent3 4 2 2 3 2 3 2" xfId="19855" xr:uid="{00000000-0005-0000-0000-000032460000}"/>
    <cellStyle name="40% - Accent3 4 2 2 3 2 4" xfId="24775" xr:uid="{00000000-0005-0000-0000-000033460000}"/>
    <cellStyle name="40% - Accent3 4 2 2 3 3" xfId="19857" xr:uid="{00000000-0005-0000-0000-000034460000}"/>
    <cellStyle name="40% - Accent3 4 2 2 3 3 2" xfId="26598" xr:uid="{00000000-0005-0000-0000-000035460000}"/>
    <cellStyle name="40% - Accent3 4 2 2 3 3 2 2" xfId="19860" xr:uid="{00000000-0005-0000-0000-000036460000}"/>
    <cellStyle name="40% - Accent3 4 2 2 3 3 3" xfId="10871" xr:uid="{00000000-0005-0000-0000-000037460000}"/>
    <cellStyle name="40% - Accent3 4 2 2 3 4" xfId="19639" xr:uid="{00000000-0005-0000-0000-000038460000}"/>
    <cellStyle name="40% - Accent3 4 2 2 3 4 2" xfId="26606" xr:uid="{00000000-0005-0000-0000-000039460000}"/>
    <cellStyle name="40% - Accent3 4 2 2 3 5" xfId="19866" xr:uid="{00000000-0005-0000-0000-00003A460000}"/>
    <cellStyle name="40% - Accent3 4 2 2 4" xfId="12555" xr:uid="{00000000-0005-0000-0000-00003B460000}"/>
    <cellStyle name="40% - Accent3 4 2 2 4 2" xfId="26412" xr:uid="{00000000-0005-0000-0000-00003C460000}"/>
    <cellStyle name="40% - Accent3 4 2 2 4 2 2" xfId="27006" xr:uid="{00000000-0005-0000-0000-00003D460000}"/>
    <cellStyle name="40% - Accent3 4 2 2 4 2 2 2" xfId="5789" xr:uid="{00000000-0005-0000-0000-00003E460000}"/>
    <cellStyle name="40% - Accent3 4 2 2 4 2 3" xfId="7500" xr:uid="{00000000-0005-0000-0000-00003F460000}"/>
    <cellStyle name="40% - Accent3 4 2 2 4 3" xfId="20993" xr:uid="{00000000-0005-0000-0000-000040460000}"/>
    <cellStyle name="40% - Accent3 4 2 2 4 3 2" xfId="18067" xr:uid="{00000000-0005-0000-0000-000041460000}"/>
    <cellStyle name="40% - Accent3 4 2 2 4 4" xfId="18084" xr:uid="{00000000-0005-0000-0000-000042460000}"/>
    <cellStyle name="40% - Accent3 4 2 2 5" xfId="27011" xr:uid="{00000000-0005-0000-0000-000043460000}"/>
    <cellStyle name="40% - Accent3 4 2 2 5 2" xfId="26733" xr:uid="{00000000-0005-0000-0000-000044460000}"/>
    <cellStyle name="40% - Accent3 4 2 2 5 2 2" xfId="31832" xr:uid="{00000000-0005-0000-0000-000045460000}"/>
    <cellStyle name="40% - Accent3 4 2 2 5 3" xfId="30694" xr:uid="{00000000-0005-0000-0000-000046460000}"/>
    <cellStyle name="40% - Accent3 4 2 2 6" xfId="27017" xr:uid="{00000000-0005-0000-0000-000047460000}"/>
    <cellStyle name="40% - Accent3 4 2 2 6 2" xfId="317" xr:uid="{00000000-0005-0000-0000-000048460000}"/>
    <cellStyle name="40% - Accent3 4 2 2 7" xfId="5514" xr:uid="{00000000-0005-0000-0000-000049460000}"/>
    <cellStyle name="40% - Accent3 4 2 3" xfId="11545" xr:uid="{00000000-0005-0000-0000-00004A460000}"/>
    <cellStyle name="40% - Accent3 4 2 3 2" xfId="27028" xr:uid="{00000000-0005-0000-0000-00004B460000}"/>
    <cellStyle name="40% - Accent3 4 2 3 2 2" xfId="19871" xr:uid="{00000000-0005-0000-0000-00004C460000}"/>
    <cellStyle name="40% - Accent3 4 2 3 2 2 2" xfId="27035" xr:uid="{00000000-0005-0000-0000-00004D460000}"/>
    <cellStyle name="40% - Accent3 4 2 3 2 2 2 2" xfId="19873" xr:uid="{00000000-0005-0000-0000-00004E460000}"/>
    <cellStyle name="40% - Accent3 4 2 3 2 2 2 2 2" xfId="22809" xr:uid="{00000000-0005-0000-0000-00004F460000}"/>
    <cellStyle name="40% - Accent3 4 2 3 2 2 2 3" xfId="26280" xr:uid="{00000000-0005-0000-0000-000050460000}"/>
    <cellStyle name="40% - Accent3 4 2 3 2 2 3" xfId="22304" xr:uid="{00000000-0005-0000-0000-000051460000}"/>
    <cellStyle name="40% - Accent3 4 2 3 2 2 3 2" xfId="19878" xr:uid="{00000000-0005-0000-0000-000052460000}"/>
    <cellStyle name="40% - Accent3 4 2 3 2 2 4" xfId="5208" xr:uid="{00000000-0005-0000-0000-000053460000}"/>
    <cellStyle name="40% - Accent3 4 2 3 2 3" xfId="21006" xr:uid="{00000000-0005-0000-0000-000054460000}"/>
    <cellStyle name="40% - Accent3 4 2 3 2 3 2" xfId="21624" xr:uid="{00000000-0005-0000-0000-000055460000}"/>
    <cellStyle name="40% - Accent3 4 2 3 2 3 2 2" xfId="21790" xr:uid="{00000000-0005-0000-0000-000056460000}"/>
    <cellStyle name="40% - Accent3 4 2 3 2 3 3" xfId="670" xr:uid="{00000000-0005-0000-0000-000057460000}"/>
    <cellStyle name="40% - Accent3 4 2 3 2 4" xfId="21021" xr:uid="{00000000-0005-0000-0000-000058460000}"/>
    <cellStyle name="40% - Accent3 4 2 3 2 4 2" xfId="19885" xr:uid="{00000000-0005-0000-0000-000059460000}"/>
    <cellStyle name="40% - Accent3 4 2 3 2 5" xfId="25223" xr:uid="{00000000-0005-0000-0000-00005A460000}"/>
    <cellStyle name="40% - Accent3 4 2 3 3" xfId="19887" xr:uid="{00000000-0005-0000-0000-00005B460000}"/>
    <cellStyle name="40% - Accent3 4 2 3 3 2" xfId="24591" xr:uid="{00000000-0005-0000-0000-00005C460000}"/>
    <cellStyle name="40% - Accent3 4 2 3 3 2 2" xfId="22936" xr:uid="{00000000-0005-0000-0000-00005D460000}"/>
    <cellStyle name="40% - Accent3 4 2 3 3 2 2 2" xfId="13075" xr:uid="{00000000-0005-0000-0000-00005E460000}"/>
    <cellStyle name="40% - Accent3 4 2 3 3 2 3" xfId="12970" xr:uid="{00000000-0005-0000-0000-00005F460000}"/>
    <cellStyle name="40% - Accent3 4 2 3 3 3" xfId="27456" xr:uid="{00000000-0005-0000-0000-000060460000}"/>
    <cellStyle name="40% - Accent3 4 2 3 3 3 2" xfId="34018" xr:uid="{00000000-0005-0000-0000-000061460000}"/>
    <cellStyle name="40% - Accent3 4 2 3 3 4" xfId="31425" xr:uid="{00000000-0005-0000-0000-000062460000}"/>
    <cellStyle name="40% - Accent3 4 2 3 4" xfId="27038" xr:uid="{00000000-0005-0000-0000-000063460000}"/>
    <cellStyle name="40% - Accent3 4 2 3 4 2" xfId="30143" xr:uid="{00000000-0005-0000-0000-000064460000}"/>
    <cellStyle name="40% - Accent3 4 2 3 4 2 2" xfId="30128" xr:uid="{00000000-0005-0000-0000-000065460000}"/>
    <cellStyle name="40% - Accent3 4 2 3 4 3" xfId="18164" xr:uid="{00000000-0005-0000-0000-000066460000}"/>
    <cellStyle name="40% - Accent3 4 2 3 5" xfId="27045" xr:uid="{00000000-0005-0000-0000-000067460000}"/>
    <cellStyle name="40% - Accent3 4 2 3 5 2" xfId="19894" xr:uid="{00000000-0005-0000-0000-000068460000}"/>
    <cellStyle name="40% - Accent3 4 2 3 6" xfId="5542" xr:uid="{00000000-0005-0000-0000-000069460000}"/>
    <cellStyle name="40% - Accent3 4 2 4" xfId="27048" xr:uid="{00000000-0005-0000-0000-00006A460000}"/>
    <cellStyle name="40% - Accent3 4 2 4 2" xfId="24729" xr:uid="{00000000-0005-0000-0000-00006B460000}"/>
    <cellStyle name="40% - Accent3 4 2 4 2 2" xfId="26048" xr:uid="{00000000-0005-0000-0000-00006C460000}"/>
    <cellStyle name="40% - Accent3 4 2 4 2 2 2" xfId="27066" xr:uid="{00000000-0005-0000-0000-00006D460000}"/>
    <cellStyle name="40% - Accent3 4 2 4 2 2 2 2" xfId="19618" xr:uid="{00000000-0005-0000-0000-00006E460000}"/>
    <cellStyle name="40% - Accent3 4 2 4 2 2 3" xfId="27596" xr:uid="{00000000-0005-0000-0000-00006F460000}"/>
    <cellStyle name="40% - Accent3 4 2 4 2 3" xfId="24603" xr:uid="{00000000-0005-0000-0000-000070460000}"/>
    <cellStyle name="40% - Accent3 4 2 4 2 3 2" xfId="22635" xr:uid="{00000000-0005-0000-0000-000071460000}"/>
    <cellStyle name="40% - Accent3 4 2 4 2 4" xfId="32471" xr:uid="{00000000-0005-0000-0000-000072460000}"/>
    <cellStyle name="40% - Accent3 4 2 4 3" xfId="23886" xr:uid="{00000000-0005-0000-0000-000073460000}"/>
    <cellStyle name="40% - Accent3 4 2 4 3 2" xfId="22280" xr:uid="{00000000-0005-0000-0000-000074460000}"/>
    <cellStyle name="40% - Accent3 4 2 4 3 2 2" xfId="26759" xr:uid="{00000000-0005-0000-0000-000075460000}"/>
    <cellStyle name="40% - Accent3 4 2 4 3 3" xfId="29745" xr:uid="{00000000-0005-0000-0000-000076460000}"/>
    <cellStyle name="40% - Accent3 4 2 4 4" xfId="23677" xr:uid="{00000000-0005-0000-0000-000077460000}"/>
    <cellStyle name="40% - Accent3 4 2 4 4 2" xfId="30867" xr:uid="{00000000-0005-0000-0000-000078460000}"/>
    <cellStyle name="40% - Accent3 4 2 4 5" xfId="33457" xr:uid="{00000000-0005-0000-0000-000079460000}"/>
    <cellStyle name="40% - Accent3 4 2 5" xfId="27069" xr:uid="{00000000-0005-0000-0000-00007A460000}"/>
    <cellStyle name="40% - Accent3 4 2 5 2" xfId="27074" xr:uid="{00000000-0005-0000-0000-00007B460000}"/>
    <cellStyle name="40% - Accent3 4 2 5 2 2" xfId="26065" xr:uid="{00000000-0005-0000-0000-00007C460000}"/>
    <cellStyle name="40% - Accent3 4 2 5 2 2 2" xfId="30255" xr:uid="{00000000-0005-0000-0000-00007D460000}"/>
    <cellStyle name="40% - Accent3 4 2 5 2 3" xfId="22639" xr:uid="{00000000-0005-0000-0000-00007E460000}"/>
    <cellStyle name="40% - Accent3 4 2 5 3" xfId="26795" xr:uid="{00000000-0005-0000-0000-00007F460000}"/>
    <cellStyle name="40% - Accent3 4 2 5 3 2" xfId="20504" xr:uid="{00000000-0005-0000-0000-000080460000}"/>
    <cellStyle name="40% - Accent3 4 2 5 4" xfId="20352" xr:uid="{00000000-0005-0000-0000-000081460000}"/>
    <cellStyle name="40% - Accent3 4 2 6" xfId="27079" xr:uid="{00000000-0005-0000-0000-000082460000}"/>
    <cellStyle name="40% - Accent3 4 2 6 2" xfId="26613" xr:uid="{00000000-0005-0000-0000-000083460000}"/>
    <cellStyle name="40% - Accent3 4 2 6 2 2" xfId="19905" xr:uid="{00000000-0005-0000-0000-000084460000}"/>
    <cellStyle name="40% - Accent3 4 2 6 3" xfId="26624" xr:uid="{00000000-0005-0000-0000-000085460000}"/>
    <cellStyle name="40% - Accent3 4 2 7" xfId="27088" xr:uid="{00000000-0005-0000-0000-000086460000}"/>
    <cellStyle name="40% - Accent3 4 2 7 2" xfId="9138" xr:uid="{00000000-0005-0000-0000-000087460000}"/>
    <cellStyle name="40% - Accent3 4 2 8" xfId="14013" xr:uid="{00000000-0005-0000-0000-000088460000}"/>
    <cellStyle name="40% - Accent3 4 3" xfId="20905" xr:uid="{00000000-0005-0000-0000-000089460000}"/>
    <cellStyle name="40% - Accent3 4 3 2" xfId="19911" xr:uid="{00000000-0005-0000-0000-00008A460000}"/>
    <cellStyle name="40% - Accent3 4 3 2 2" xfId="21954" xr:uid="{00000000-0005-0000-0000-00008B460000}"/>
    <cellStyle name="40% - Accent3 4 3 2 2 2" xfId="27530" xr:uid="{00000000-0005-0000-0000-00008C460000}"/>
    <cellStyle name="40% - Accent3 4 3 2 2 2 2" xfId="19919" xr:uid="{00000000-0005-0000-0000-00008D460000}"/>
    <cellStyle name="40% - Accent3 4 3 2 2 2 2 2" xfId="17702" xr:uid="{00000000-0005-0000-0000-00008E460000}"/>
    <cellStyle name="40% - Accent3 4 3 2 2 2 2 2 2" xfId="20534" xr:uid="{00000000-0005-0000-0000-00008F460000}"/>
    <cellStyle name="40% - Accent3 4 3 2 2 2 2 3" xfId="17709" xr:uid="{00000000-0005-0000-0000-000090460000}"/>
    <cellStyle name="40% - Accent3 4 3 2 2 2 3" xfId="6254" xr:uid="{00000000-0005-0000-0000-000091460000}"/>
    <cellStyle name="40% - Accent3 4 3 2 2 2 3 2" xfId="17717" xr:uid="{00000000-0005-0000-0000-000092460000}"/>
    <cellStyle name="40% - Accent3 4 3 2 2 2 4" xfId="3210" xr:uid="{00000000-0005-0000-0000-000093460000}"/>
    <cellStyle name="40% - Accent3 4 3 2 2 3" xfId="19929" xr:uid="{00000000-0005-0000-0000-000094460000}"/>
    <cellStyle name="40% - Accent3 4 3 2 2 3 2" xfId="26644" xr:uid="{00000000-0005-0000-0000-000095460000}"/>
    <cellStyle name="40% - Accent3 4 3 2 2 3 2 2" xfId="17800" xr:uid="{00000000-0005-0000-0000-000096460000}"/>
    <cellStyle name="40% - Accent3 4 3 2 2 3 3" xfId="5244" xr:uid="{00000000-0005-0000-0000-000097460000}"/>
    <cellStyle name="40% - Accent3 4 3 2 2 4" xfId="21078" xr:uid="{00000000-0005-0000-0000-000098460000}"/>
    <cellStyle name="40% - Accent3 4 3 2 2 4 2" xfId="19931" xr:uid="{00000000-0005-0000-0000-000099460000}"/>
    <cellStyle name="40% - Accent3 4 3 2 2 5" xfId="30315" xr:uid="{00000000-0005-0000-0000-00009A460000}"/>
    <cellStyle name="40% - Accent3 4 3 2 3" xfId="19937" xr:uid="{00000000-0005-0000-0000-00009B460000}"/>
    <cellStyle name="40% - Accent3 4 3 2 3 2" xfId="20171" xr:uid="{00000000-0005-0000-0000-00009C460000}"/>
    <cellStyle name="40% - Accent3 4 3 2 3 2 2" xfId="27275" xr:uid="{00000000-0005-0000-0000-00009D460000}"/>
    <cellStyle name="40% - Accent3 4 3 2 3 2 2 2" xfId="18156" xr:uid="{00000000-0005-0000-0000-00009E460000}"/>
    <cellStyle name="40% - Accent3 4 3 2 3 2 3" xfId="13148" xr:uid="{00000000-0005-0000-0000-00009F460000}"/>
    <cellStyle name="40% - Accent3 4 3 2 3 3" xfId="21086" xr:uid="{00000000-0005-0000-0000-0000A0460000}"/>
    <cellStyle name="40% - Accent3 4 3 2 3 3 2" xfId="4173" xr:uid="{00000000-0005-0000-0000-0000A1460000}"/>
    <cellStyle name="40% - Accent3 4 3 2 3 4" xfId="4176" xr:uid="{00000000-0005-0000-0000-0000A2460000}"/>
    <cellStyle name="40% - Accent3 4 3 2 4" xfId="19945" xr:uid="{00000000-0005-0000-0000-0000A3460000}"/>
    <cellStyle name="40% - Accent3 4 3 2 4 2" xfId="27100" xr:uid="{00000000-0005-0000-0000-0000A4460000}"/>
    <cellStyle name="40% - Accent3 4 3 2 4 2 2" xfId="3811" xr:uid="{00000000-0005-0000-0000-0000A5460000}"/>
    <cellStyle name="40% - Accent3 4 3 2 4 3" xfId="4315" xr:uid="{00000000-0005-0000-0000-0000A6460000}"/>
    <cellStyle name="40% - Accent3 4 3 2 5" xfId="21318" xr:uid="{00000000-0005-0000-0000-0000A7460000}"/>
    <cellStyle name="40% - Accent3 4 3 2 5 2" xfId="4413" xr:uid="{00000000-0005-0000-0000-0000A8460000}"/>
    <cellStyle name="40% - Accent3 4 3 2 6" xfId="2293" xr:uid="{00000000-0005-0000-0000-0000A9460000}"/>
    <cellStyle name="40% - Accent3 4 3 3" xfId="19948" xr:uid="{00000000-0005-0000-0000-0000AA460000}"/>
    <cellStyle name="40% - Accent3 4 3 3 2" xfId="19951" xr:uid="{00000000-0005-0000-0000-0000AB460000}"/>
    <cellStyle name="40% - Accent3 4 3 3 2 2" xfId="27103" xr:uid="{00000000-0005-0000-0000-0000AC460000}"/>
    <cellStyle name="40% - Accent3 4 3 3 2 2 2" xfId="27111" xr:uid="{00000000-0005-0000-0000-0000AD460000}"/>
    <cellStyle name="40% - Accent3 4 3 3 2 2 2 2" xfId="19695" xr:uid="{00000000-0005-0000-0000-0000AE460000}"/>
    <cellStyle name="40% - Accent3 4 3 3 2 2 3" xfId="5255" xr:uid="{00000000-0005-0000-0000-0000AF460000}"/>
    <cellStyle name="40% - Accent3 4 3 3 2 3" xfId="21097" xr:uid="{00000000-0005-0000-0000-0000B0460000}"/>
    <cellStyle name="40% - Accent3 4 3 3 2 3 2" xfId="21794" xr:uid="{00000000-0005-0000-0000-0000B1460000}"/>
    <cellStyle name="40% - Accent3 4 3 3 2 4" xfId="29786" xr:uid="{00000000-0005-0000-0000-0000B2460000}"/>
    <cellStyle name="40% - Accent3 4 3 3 3" xfId="19954" xr:uid="{00000000-0005-0000-0000-0000B3460000}"/>
    <cellStyle name="40% - Accent3 4 3 3 3 2" xfId="15317" xr:uid="{00000000-0005-0000-0000-0000B4460000}"/>
    <cellStyle name="40% - Accent3 4 3 3 3 2 2" xfId="4987" xr:uid="{00000000-0005-0000-0000-0000B5460000}"/>
    <cellStyle name="40% - Accent3 4 3 3 3 3" xfId="11366" xr:uid="{00000000-0005-0000-0000-0000B6460000}"/>
    <cellStyle name="40% - Accent3 4 3 3 4" xfId="19958" xr:uid="{00000000-0005-0000-0000-0000B7460000}"/>
    <cellStyle name="40% - Accent3 4 3 3 4 2" xfId="4749" xr:uid="{00000000-0005-0000-0000-0000B8460000}"/>
    <cellStyle name="40% - Accent3 4 3 3 5" xfId="30705" xr:uid="{00000000-0005-0000-0000-0000B9460000}"/>
    <cellStyle name="40% - Accent3 4 3 4" xfId="19961" xr:uid="{00000000-0005-0000-0000-0000BA460000}"/>
    <cellStyle name="40% - Accent3 4 3 4 2" xfId="19963" xr:uid="{00000000-0005-0000-0000-0000BB460000}"/>
    <cellStyle name="40% - Accent3 4 3 4 2 2" xfId="26084" xr:uid="{00000000-0005-0000-0000-0000BC460000}"/>
    <cellStyle name="40% - Accent3 4 3 4 2 2 2" xfId="19967" xr:uid="{00000000-0005-0000-0000-0000BD460000}"/>
    <cellStyle name="40% - Accent3 4 3 4 2 3" xfId="28889" xr:uid="{00000000-0005-0000-0000-0000BE460000}"/>
    <cellStyle name="40% - Accent3 4 3 4 3" xfId="26905" xr:uid="{00000000-0005-0000-0000-0000BF460000}"/>
    <cellStyle name="40% - Accent3 4 3 4 3 2" xfId="14310" xr:uid="{00000000-0005-0000-0000-0000C0460000}"/>
    <cellStyle name="40% - Accent3 4 3 4 4" xfId="32821" xr:uid="{00000000-0005-0000-0000-0000C1460000}"/>
    <cellStyle name="40% - Accent3 4 3 5" xfId="15165" xr:uid="{00000000-0005-0000-0000-0000C2460000}"/>
    <cellStyle name="40% - Accent3 4 3 5 2" xfId="19970" xr:uid="{00000000-0005-0000-0000-0000C3460000}"/>
    <cellStyle name="40% - Accent3 4 3 5 2 2" xfId="22145" xr:uid="{00000000-0005-0000-0000-0000C4460000}"/>
    <cellStyle name="40% - Accent3 4 3 5 3" xfId="27268" xr:uid="{00000000-0005-0000-0000-0000C5460000}"/>
    <cellStyle name="40% - Accent3 4 3 6" xfId="22151" xr:uid="{00000000-0005-0000-0000-0000C6460000}"/>
    <cellStyle name="40% - Accent3 4 3 6 2" xfId="11388" xr:uid="{00000000-0005-0000-0000-0000C7460000}"/>
    <cellStyle name="40% - Accent3 4 3 7" xfId="10264" xr:uid="{00000000-0005-0000-0000-0000C8460000}"/>
    <cellStyle name="40% - Accent3 4 4" xfId="26168" xr:uid="{00000000-0005-0000-0000-0000C9460000}"/>
    <cellStyle name="40% - Accent3 4 4 2" xfId="19972" xr:uid="{00000000-0005-0000-0000-0000CA460000}"/>
    <cellStyle name="40% - Accent3 4 4 2 2" xfId="19979" xr:uid="{00000000-0005-0000-0000-0000CB460000}"/>
    <cellStyle name="40% - Accent3 4 4 2 2 2" xfId="27126" xr:uid="{00000000-0005-0000-0000-0000CC460000}"/>
    <cellStyle name="40% - Accent3 4 4 2 2 2 2" xfId="27127" xr:uid="{00000000-0005-0000-0000-0000CD460000}"/>
    <cellStyle name="40% - Accent3 4 4 2 2 2 2 2" xfId="21213" xr:uid="{00000000-0005-0000-0000-0000CE460000}"/>
    <cellStyle name="40% - Accent3 4 4 2 2 2 3" xfId="5275" xr:uid="{00000000-0005-0000-0000-0000CF460000}"/>
    <cellStyle name="40% - Accent3 4 4 2 2 3" xfId="19987" xr:uid="{00000000-0005-0000-0000-0000D0460000}"/>
    <cellStyle name="40% - Accent3 4 4 2 2 3 2" xfId="20006" xr:uid="{00000000-0005-0000-0000-0000D1460000}"/>
    <cellStyle name="40% - Accent3 4 4 2 2 4" xfId="20007" xr:uid="{00000000-0005-0000-0000-0000D2460000}"/>
    <cellStyle name="40% - Accent3 4 4 2 3" xfId="20013" xr:uid="{00000000-0005-0000-0000-0000D3460000}"/>
    <cellStyle name="40% - Accent3 4 4 2 3 2" xfId="5665" xr:uid="{00000000-0005-0000-0000-0000D4460000}"/>
    <cellStyle name="40% - Accent3 4 4 2 3 2 2" xfId="5676" xr:uid="{00000000-0005-0000-0000-0000D5460000}"/>
    <cellStyle name="40% - Accent3 4 4 2 3 3" xfId="5684" xr:uid="{00000000-0005-0000-0000-0000D6460000}"/>
    <cellStyle name="40% - Accent3 4 4 2 4" xfId="21325" xr:uid="{00000000-0005-0000-0000-0000D7460000}"/>
    <cellStyle name="40% - Accent3 4 4 2 4 2" xfId="14031" xr:uid="{00000000-0005-0000-0000-0000D8460000}"/>
    <cellStyle name="40% - Accent3 4 4 2 5" xfId="33899" xr:uid="{00000000-0005-0000-0000-0000D9460000}"/>
    <cellStyle name="40% - Accent3 4 4 3" xfId="20019" xr:uid="{00000000-0005-0000-0000-0000DA460000}"/>
    <cellStyle name="40% - Accent3 4 4 3 2" xfId="20022" xr:uid="{00000000-0005-0000-0000-0000DB460000}"/>
    <cellStyle name="40% - Accent3 4 4 3 2 2" xfId="28387" xr:uid="{00000000-0005-0000-0000-0000DC460000}"/>
    <cellStyle name="40% - Accent3 4 4 3 2 2 2" xfId="20027" xr:uid="{00000000-0005-0000-0000-0000DD460000}"/>
    <cellStyle name="40% - Accent3 4 4 3 2 3" xfId="20029" xr:uid="{00000000-0005-0000-0000-0000DE460000}"/>
    <cellStyle name="40% - Accent3 4 4 3 3" xfId="25722" xr:uid="{00000000-0005-0000-0000-0000DF460000}"/>
    <cellStyle name="40% - Accent3 4 4 3 3 2" xfId="5822" xr:uid="{00000000-0005-0000-0000-0000E0460000}"/>
    <cellStyle name="40% - Accent3 4 4 3 4" xfId="20037" xr:uid="{00000000-0005-0000-0000-0000E1460000}"/>
    <cellStyle name="40% - Accent3 4 4 4" xfId="18483" xr:uid="{00000000-0005-0000-0000-0000E2460000}"/>
    <cellStyle name="40% - Accent3 4 4 4 2" xfId="30138" xr:uid="{00000000-0005-0000-0000-0000E3460000}"/>
    <cellStyle name="40% - Accent3 4 4 4 2 2" xfId="16740" xr:uid="{00000000-0005-0000-0000-0000E4460000}"/>
    <cellStyle name="40% - Accent3 4 4 4 3" xfId="24704" xr:uid="{00000000-0005-0000-0000-0000E5460000}"/>
    <cellStyle name="40% - Accent3 4 4 5" xfId="15176" xr:uid="{00000000-0005-0000-0000-0000E6460000}"/>
    <cellStyle name="40% - Accent3 4 4 5 2" xfId="27602" xr:uid="{00000000-0005-0000-0000-0000E7460000}"/>
    <cellStyle name="40% - Accent3 4 4 6" xfId="3178" xr:uid="{00000000-0005-0000-0000-0000E8460000}"/>
    <cellStyle name="40% - Accent3 4 5" xfId="20047" xr:uid="{00000000-0005-0000-0000-0000E9460000}"/>
    <cellStyle name="40% - Accent3 4 5 2" xfId="20050" xr:uid="{00000000-0005-0000-0000-0000EA460000}"/>
    <cellStyle name="40% - Accent3 4 5 2 2" xfId="19989" xr:uid="{00000000-0005-0000-0000-0000EB460000}"/>
    <cellStyle name="40% - Accent3 4 5 2 2 2" xfId="20059" xr:uid="{00000000-0005-0000-0000-0000EC460000}"/>
    <cellStyle name="40% - Accent3 4 5 2 2 2 2" xfId="26030" xr:uid="{00000000-0005-0000-0000-0000ED460000}"/>
    <cellStyle name="40% - Accent3 4 5 2 2 3" xfId="20065" xr:uid="{00000000-0005-0000-0000-0000EE460000}"/>
    <cellStyle name="40% - Accent3 4 5 2 3" xfId="23725" xr:uid="{00000000-0005-0000-0000-0000EF460000}"/>
    <cellStyle name="40% - Accent3 4 5 2 3 2" xfId="6190" xr:uid="{00000000-0005-0000-0000-0000F0460000}"/>
    <cellStyle name="40% - Accent3 4 5 2 4" xfId="10199" xr:uid="{00000000-0005-0000-0000-0000F1460000}"/>
    <cellStyle name="40% - Accent3 4 5 3" xfId="19760" xr:uid="{00000000-0005-0000-0000-0000F2460000}"/>
    <cellStyle name="40% - Accent3 4 5 3 2" xfId="24053" xr:uid="{00000000-0005-0000-0000-0000F3460000}"/>
    <cellStyle name="40% - Accent3 4 5 3 2 2" xfId="19766" xr:uid="{00000000-0005-0000-0000-0000F4460000}"/>
    <cellStyle name="40% - Accent3 4 5 3 3" xfId="19775" xr:uid="{00000000-0005-0000-0000-0000F5460000}"/>
    <cellStyle name="40% - Accent3 4 5 4" xfId="18491" xr:uid="{00000000-0005-0000-0000-0000F6460000}"/>
    <cellStyle name="40% - Accent3 4 5 4 2" xfId="19782" xr:uid="{00000000-0005-0000-0000-0000F7460000}"/>
    <cellStyle name="40% - Accent3 4 5 5" xfId="10184" xr:uid="{00000000-0005-0000-0000-0000F8460000}"/>
    <cellStyle name="40% - Accent3 4 6" xfId="20069" xr:uid="{00000000-0005-0000-0000-0000F9460000}"/>
    <cellStyle name="40% - Accent3 4 6 2" xfId="18073" xr:uid="{00000000-0005-0000-0000-0000FA460000}"/>
    <cellStyle name="40% - Accent3 4 6 2 2" xfId="24287" xr:uid="{00000000-0005-0000-0000-0000FB460000}"/>
    <cellStyle name="40% - Accent3 4 6 2 2 2" xfId="21938" xr:uid="{00000000-0005-0000-0000-0000FC460000}"/>
    <cellStyle name="40% - Accent3 4 6 2 3" xfId="20077" xr:uid="{00000000-0005-0000-0000-0000FD460000}"/>
    <cellStyle name="40% - Accent3 4 6 3" xfId="18080" xr:uid="{00000000-0005-0000-0000-0000FE460000}"/>
    <cellStyle name="40% - Accent3 4 6 3 2" xfId="19750" xr:uid="{00000000-0005-0000-0000-0000FF460000}"/>
    <cellStyle name="40% - Accent3 4 6 4" xfId="19735" xr:uid="{00000000-0005-0000-0000-000000470000}"/>
    <cellStyle name="40% - Accent3 4 7" xfId="20086" xr:uid="{00000000-0005-0000-0000-000001470000}"/>
    <cellStyle name="40% - Accent3 4 7 2" xfId="9455" xr:uid="{00000000-0005-0000-0000-000002470000}"/>
    <cellStyle name="40% - Accent3 4 7 2 2" xfId="20093" xr:uid="{00000000-0005-0000-0000-000003470000}"/>
    <cellStyle name="40% - Accent3 4 7 3" xfId="19741" xr:uid="{00000000-0005-0000-0000-000004470000}"/>
    <cellStyle name="40% - Accent3 4 8" xfId="16568" xr:uid="{00000000-0005-0000-0000-000005470000}"/>
    <cellStyle name="40% - Accent3 4 8 2" xfId="20094" xr:uid="{00000000-0005-0000-0000-000006470000}"/>
    <cellStyle name="40% - Accent3 4 9" xfId="15995" xr:uid="{00000000-0005-0000-0000-000007470000}"/>
    <cellStyle name="40% - Accent3 5" xfId="18372" xr:uid="{00000000-0005-0000-0000-000008470000}"/>
    <cellStyle name="40% - Accent3 5 2" xfId="653" xr:uid="{00000000-0005-0000-0000-000009470000}"/>
    <cellStyle name="40% - Accent3 5 2 2" xfId="26873" xr:uid="{00000000-0005-0000-0000-00000A470000}"/>
    <cellStyle name="40% - Accent3 5 2 2 2" xfId="7111" xr:uid="{00000000-0005-0000-0000-00000B470000}"/>
    <cellStyle name="40% - Accent3 5 2 2 2 2" xfId="7113" xr:uid="{00000000-0005-0000-0000-00000C470000}"/>
    <cellStyle name="40% - Accent3 5 2 2 2 2 2" xfId="20095" xr:uid="{00000000-0005-0000-0000-00000D470000}"/>
    <cellStyle name="40% - Accent3 5 2 2 2 2 2 2" xfId="20096" xr:uid="{00000000-0005-0000-0000-00000E470000}"/>
    <cellStyle name="40% - Accent3 5 2 2 2 2 2 2 2" xfId="30580" xr:uid="{00000000-0005-0000-0000-00000F470000}"/>
    <cellStyle name="40% - Accent3 5 2 2 2 2 2 3" xfId="20097" xr:uid="{00000000-0005-0000-0000-000010470000}"/>
    <cellStyle name="40% - Accent3 5 2 2 2 2 3" xfId="3146" xr:uid="{00000000-0005-0000-0000-000011470000}"/>
    <cellStyle name="40% - Accent3 5 2 2 2 2 3 2" xfId="22048" xr:uid="{00000000-0005-0000-0000-000012470000}"/>
    <cellStyle name="40% - Accent3 5 2 2 2 2 4" xfId="27332" xr:uid="{00000000-0005-0000-0000-000013470000}"/>
    <cellStyle name="40% - Accent3 5 2 2 2 3" xfId="20099" xr:uid="{00000000-0005-0000-0000-000014470000}"/>
    <cellStyle name="40% - Accent3 5 2 2 2 3 2" xfId="20102" xr:uid="{00000000-0005-0000-0000-000015470000}"/>
    <cellStyle name="40% - Accent3 5 2 2 2 3 2 2" xfId="10894" xr:uid="{00000000-0005-0000-0000-000016470000}"/>
    <cellStyle name="40% - Accent3 5 2 2 2 3 3" xfId="4466" xr:uid="{00000000-0005-0000-0000-000017470000}"/>
    <cellStyle name="40% - Accent3 5 2 2 2 4" xfId="20104" xr:uid="{00000000-0005-0000-0000-000018470000}"/>
    <cellStyle name="40% - Accent3 5 2 2 2 4 2" xfId="20105" xr:uid="{00000000-0005-0000-0000-000019470000}"/>
    <cellStyle name="40% - Accent3 5 2 2 2 5" xfId="64" xr:uid="{00000000-0005-0000-0000-00001A470000}"/>
    <cellStyle name="40% - Accent3 5 2 2 3" xfId="7115" xr:uid="{00000000-0005-0000-0000-00001B470000}"/>
    <cellStyle name="40% - Accent3 5 2 2 3 2" xfId="20106" xr:uid="{00000000-0005-0000-0000-00001C470000}"/>
    <cellStyle name="40% - Accent3 5 2 2 3 2 2" xfId="20110" xr:uid="{00000000-0005-0000-0000-00001D470000}"/>
    <cellStyle name="40% - Accent3 5 2 2 3 2 2 2" xfId="29729" xr:uid="{00000000-0005-0000-0000-00001E470000}"/>
    <cellStyle name="40% - Accent3 5 2 2 3 2 3" xfId="13539" xr:uid="{00000000-0005-0000-0000-00001F470000}"/>
    <cellStyle name="40% - Accent3 5 2 2 3 3" xfId="20113" xr:uid="{00000000-0005-0000-0000-000020470000}"/>
    <cellStyle name="40% - Accent3 5 2 2 3 3 2" xfId="20115" xr:uid="{00000000-0005-0000-0000-000021470000}"/>
    <cellStyle name="40% - Accent3 5 2 2 3 4" xfId="20116" xr:uid="{00000000-0005-0000-0000-000022470000}"/>
    <cellStyle name="40% - Accent3 5 2 2 4" xfId="26221" xr:uid="{00000000-0005-0000-0000-000023470000}"/>
    <cellStyle name="40% - Accent3 5 2 2 4 2" xfId="20118" xr:uid="{00000000-0005-0000-0000-000024470000}"/>
    <cellStyle name="40% - Accent3 5 2 2 4 2 2" xfId="25558" xr:uid="{00000000-0005-0000-0000-000025470000}"/>
    <cellStyle name="40% - Accent3 5 2 2 4 3" xfId="25576" xr:uid="{00000000-0005-0000-0000-000026470000}"/>
    <cellStyle name="40% - Accent3 5 2 2 5" xfId="34036" xr:uid="{00000000-0005-0000-0000-000027470000}"/>
    <cellStyle name="40% - Accent3 5 2 2 5 2" xfId="20123" xr:uid="{00000000-0005-0000-0000-000028470000}"/>
    <cellStyle name="40% - Accent3 5 2 2 6" xfId="6692" xr:uid="{00000000-0005-0000-0000-000029470000}"/>
    <cellStyle name="40% - Accent3 5 2 3" xfId="2445" xr:uid="{00000000-0005-0000-0000-00002A470000}"/>
    <cellStyle name="40% - Accent3 5 2 3 2" xfId="11872" xr:uid="{00000000-0005-0000-0000-00002B470000}"/>
    <cellStyle name="40% - Accent3 5 2 3 2 2" xfId="20126" xr:uid="{00000000-0005-0000-0000-00002C470000}"/>
    <cellStyle name="40% - Accent3 5 2 3 2 2 2" xfId="20129" xr:uid="{00000000-0005-0000-0000-00002D470000}"/>
    <cellStyle name="40% - Accent3 5 2 3 2 2 2 2" xfId="20131" xr:uid="{00000000-0005-0000-0000-00002E470000}"/>
    <cellStyle name="40% - Accent3 5 2 3 2 2 3" xfId="5551" xr:uid="{00000000-0005-0000-0000-00002F470000}"/>
    <cellStyle name="40% - Accent3 5 2 3 2 3" xfId="20133" xr:uid="{00000000-0005-0000-0000-000030470000}"/>
    <cellStyle name="40% - Accent3 5 2 3 2 3 2" xfId="20135" xr:uid="{00000000-0005-0000-0000-000031470000}"/>
    <cellStyle name="40% - Accent3 5 2 3 2 4" xfId="20138" xr:uid="{00000000-0005-0000-0000-000032470000}"/>
    <cellStyle name="40% - Accent3 5 2 3 3" xfId="2455" xr:uid="{00000000-0005-0000-0000-000033470000}"/>
    <cellStyle name="40% - Accent3 5 2 3 3 2" xfId="20142" xr:uid="{00000000-0005-0000-0000-000034470000}"/>
    <cellStyle name="40% - Accent3 5 2 3 3 2 2" xfId="20146" xr:uid="{00000000-0005-0000-0000-000035470000}"/>
    <cellStyle name="40% - Accent3 5 2 3 3 3" xfId="20147" xr:uid="{00000000-0005-0000-0000-000036470000}"/>
    <cellStyle name="40% - Accent3 5 2 3 4" xfId="5894" xr:uid="{00000000-0005-0000-0000-000037470000}"/>
    <cellStyle name="40% - Accent3 5 2 3 4 2" xfId="20149" xr:uid="{00000000-0005-0000-0000-000038470000}"/>
    <cellStyle name="40% - Accent3 5 2 3 5" xfId="5899" xr:uid="{00000000-0005-0000-0000-000039470000}"/>
    <cellStyle name="40% - Accent3 5 2 4" xfId="2471" xr:uid="{00000000-0005-0000-0000-00003A470000}"/>
    <cellStyle name="40% - Accent3 5 2 4 2" xfId="2483" xr:uid="{00000000-0005-0000-0000-00003B470000}"/>
    <cellStyle name="40% - Accent3 5 2 4 2 2" xfId="20152" xr:uid="{00000000-0005-0000-0000-00003C470000}"/>
    <cellStyle name="40% - Accent3 5 2 4 2 2 2" xfId="20156" xr:uid="{00000000-0005-0000-0000-00003D470000}"/>
    <cellStyle name="40% - Accent3 5 2 4 2 3" xfId="20160" xr:uid="{00000000-0005-0000-0000-00003E470000}"/>
    <cellStyle name="40% - Accent3 5 2 4 3" xfId="2634" xr:uid="{00000000-0005-0000-0000-00003F470000}"/>
    <cellStyle name="40% - Accent3 5 2 4 3 2" xfId="20162" xr:uid="{00000000-0005-0000-0000-000040470000}"/>
    <cellStyle name="40% - Accent3 5 2 4 4" xfId="5908" xr:uid="{00000000-0005-0000-0000-000041470000}"/>
    <cellStyle name="40% - Accent3 5 2 5" xfId="107" xr:uid="{00000000-0005-0000-0000-000042470000}"/>
    <cellStyle name="40% - Accent3 5 2 5 2" xfId="2642" xr:uid="{00000000-0005-0000-0000-000043470000}"/>
    <cellStyle name="40% - Accent3 5 2 5 2 2" xfId="20165" xr:uid="{00000000-0005-0000-0000-000044470000}"/>
    <cellStyle name="40% - Accent3 5 2 5 3" xfId="20170" xr:uid="{00000000-0005-0000-0000-000045470000}"/>
    <cellStyle name="40% - Accent3 5 2 6" xfId="10426" xr:uid="{00000000-0005-0000-0000-000046470000}"/>
    <cellStyle name="40% - Accent3 5 2 6 2" xfId="20175" xr:uid="{00000000-0005-0000-0000-000047470000}"/>
    <cellStyle name="40% - Accent3 5 2 7" xfId="12780" xr:uid="{00000000-0005-0000-0000-000048470000}"/>
    <cellStyle name="40% - Accent3 5 3" xfId="2722" xr:uid="{00000000-0005-0000-0000-000049470000}"/>
    <cellStyle name="40% - Accent3 5 3 2" xfId="20181" xr:uid="{00000000-0005-0000-0000-00004A470000}"/>
    <cellStyle name="40% - Accent3 5 3 2 2" xfId="7426" xr:uid="{00000000-0005-0000-0000-00004B470000}"/>
    <cellStyle name="40% - Accent3 5 3 2 2 2" xfId="20183" xr:uid="{00000000-0005-0000-0000-00004C470000}"/>
    <cellStyle name="40% - Accent3 5 3 2 2 2 2" xfId="25984" xr:uid="{00000000-0005-0000-0000-00004D470000}"/>
    <cellStyle name="40% - Accent3 5 3 2 2 2 2 2" xfId="20185" xr:uid="{00000000-0005-0000-0000-00004E470000}"/>
    <cellStyle name="40% - Accent3 5 3 2 2 2 3" xfId="5401" xr:uid="{00000000-0005-0000-0000-00004F470000}"/>
    <cellStyle name="40% - Accent3 5 3 2 2 3" xfId="20189" xr:uid="{00000000-0005-0000-0000-000050470000}"/>
    <cellStyle name="40% - Accent3 5 3 2 2 3 2" xfId="21475" xr:uid="{00000000-0005-0000-0000-000051470000}"/>
    <cellStyle name="40% - Accent3 5 3 2 2 4" xfId="20204" xr:uid="{00000000-0005-0000-0000-000052470000}"/>
    <cellStyle name="40% - Accent3 5 3 2 3" xfId="804" xr:uid="{00000000-0005-0000-0000-000053470000}"/>
    <cellStyle name="40% - Accent3 5 3 2 3 2" xfId="16814" xr:uid="{00000000-0005-0000-0000-000054470000}"/>
    <cellStyle name="40% - Accent3 5 3 2 3 2 2" xfId="3469" xr:uid="{00000000-0005-0000-0000-000055470000}"/>
    <cellStyle name="40% - Accent3 5 3 2 3 3" xfId="346" xr:uid="{00000000-0005-0000-0000-000056470000}"/>
    <cellStyle name="40% - Accent3 5 3 2 4" xfId="27254" xr:uid="{00000000-0005-0000-0000-000057470000}"/>
    <cellStyle name="40% - Accent3 5 3 2 4 2" xfId="7419" xr:uid="{00000000-0005-0000-0000-000058470000}"/>
    <cellStyle name="40% - Accent3 5 3 2 5" xfId="31387" xr:uid="{00000000-0005-0000-0000-000059470000}"/>
    <cellStyle name="40% - Accent3 5 3 3" xfId="2515" xr:uid="{00000000-0005-0000-0000-00005A470000}"/>
    <cellStyle name="40% - Accent3 5 3 3 2" xfId="2519" xr:uid="{00000000-0005-0000-0000-00005B470000}"/>
    <cellStyle name="40% - Accent3 5 3 3 2 2" xfId="20206" xr:uid="{00000000-0005-0000-0000-00005C470000}"/>
    <cellStyle name="40% - Accent3 5 3 3 2 2 2" xfId="20207" xr:uid="{00000000-0005-0000-0000-00005D470000}"/>
    <cellStyle name="40% - Accent3 5 3 3 2 3" xfId="20212" xr:uid="{00000000-0005-0000-0000-00005E470000}"/>
    <cellStyle name="40% - Accent3 5 3 3 3" xfId="2660" xr:uid="{00000000-0005-0000-0000-00005F470000}"/>
    <cellStyle name="40% - Accent3 5 3 3 3 2" xfId="7629" xr:uid="{00000000-0005-0000-0000-000060470000}"/>
    <cellStyle name="40% - Accent3 5 3 3 4" xfId="5919" xr:uid="{00000000-0005-0000-0000-000061470000}"/>
    <cellStyle name="40% - Accent3 5 3 4" xfId="2527" xr:uid="{00000000-0005-0000-0000-000062470000}"/>
    <cellStyle name="40% - Accent3 5 3 4 2" xfId="2665" xr:uid="{00000000-0005-0000-0000-000063470000}"/>
    <cellStyle name="40% - Accent3 5 3 4 2 2" xfId="20215" xr:uid="{00000000-0005-0000-0000-000064470000}"/>
    <cellStyle name="40% - Accent3 5 3 4 3" xfId="21122" xr:uid="{00000000-0005-0000-0000-000065470000}"/>
    <cellStyle name="40% - Accent3 5 3 5" xfId="2669" xr:uid="{00000000-0005-0000-0000-000066470000}"/>
    <cellStyle name="40% - Accent3 5 3 5 2" xfId="21001" xr:uid="{00000000-0005-0000-0000-000067470000}"/>
    <cellStyle name="40% - Accent3 5 3 6" xfId="10428" xr:uid="{00000000-0005-0000-0000-000068470000}"/>
    <cellStyle name="40% - Accent3 5 4" xfId="24490" xr:uid="{00000000-0005-0000-0000-000069470000}"/>
    <cellStyle name="40% - Accent3 5 4 2" xfId="20216" xr:uid="{00000000-0005-0000-0000-00006A470000}"/>
    <cellStyle name="40% - Accent3 5 4 2 2" xfId="20218" xr:uid="{00000000-0005-0000-0000-00006B470000}"/>
    <cellStyle name="40% - Accent3 5 4 2 2 2" xfId="20225" xr:uid="{00000000-0005-0000-0000-00006C470000}"/>
    <cellStyle name="40% - Accent3 5 4 2 2 2 2" xfId="6448" xr:uid="{00000000-0005-0000-0000-00006D470000}"/>
    <cellStyle name="40% - Accent3 5 4 2 2 3" xfId="20230" xr:uid="{00000000-0005-0000-0000-00006E470000}"/>
    <cellStyle name="40% - Accent3 5 4 2 3" xfId="20231" xr:uid="{00000000-0005-0000-0000-00006F470000}"/>
    <cellStyle name="40% - Accent3 5 4 2 3 2" xfId="1299" xr:uid="{00000000-0005-0000-0000-000070470000}"/>
    <cellStyle name="40% - Accent3 5 4 2 4" xfId="25070" xr:uid="{00000000-0005-0000-0000-000071470000}"/>
    <cellStyle name="40% - Accent3 5 4 3" xfId="10" xr:uid="{00000000-0005-0000-0000-000072470000}"/>
    <cellStyle name="40% - Accent3 5 4 3 2" xfId="1633" xr:uid="{00000000-0005-0000-0000-000073470000}"/>
    <cellStyle name="40% - Accent3 5 4 3 2 2" xfId="20234" xr:uid="{00000000-0005-0000-0000-000074470000}"/>
    <cellStyle name="40% - Accent3 5 4 3 3" xfId="20249" xr:uid="{00000000-0005-0000-0000-000075470000}"/>
    <cellStyle name="40% - Accent3 5 4 4" xfId="2675" xr:uid="{00000000-0005-0000-0000-000076470000}"/>
    <cellStyle name="40% - Accent3 5 4 4 2" xfId="20256" xr:uid="{00000000-0005-0000-0000-000077470000}"/>
    <cellStyle name="40% - Accent3 5 4 5" xfId="23970" xr:uid="{00000000-0005-0000-0000-000078470000}"/>
    <cellStyle name="40% - Accent3 5 5" xfId="12247" xr:uid="{00000000-0005-0000-0000-000079470000}"/>
    <cellStyle name="40% - Accent3 5 5 2" xfId="20260" xr:uid="{00000000-0005-0000-0000-00007A470000}"/>
    <cellStyle name="40% - Accent3 5 5 2 2" xfId="24321" xr:uid="{00000000-0005-0000-0000-00007B470000}"/>
    <cellStyle name="40% - Accent3 5 5 2 2 2" xfId="5259" xr:uid="{00000000-0005-0000-0000-00007C470000}"/>
    <cellStyle name="40% - Accent3 5 5 2 3" xfId="20262" xr:uid="{00000000-0005-0000-0000-00007D470000}"/>
    <cellStyle name="40% - Accent3 5 5 3" xfId="518" xr:uid="{00000000-0005-0000-0000-00007E470000}"/>
    <cellStyle name="40% - Accent3 5 5 3 2" xfId="19788" xr:uid="{00000000-0005-0000-0000-00007F470000}"/>
    <cellStyle name="40% - Accent3 5 5 4" xfId="23978" xr:uid="{00000000-0005-0000-0000-000080470000}"/>
    <cellStyle name="40% - Accent3 5 6" xfId="13447" xr:uid="{00000000-0005-0000-0000-000081470000}"/>
    <cellStyle name="40% - Accent3 5 6 2" xfId="18094" xr:uid="{00000000-0005-0000-0000-000082470000}"/>
    <cellStyle name="40% - Accent3 5 6 2 2" xfId="27548" xr:uid="{00000000-0005-0000-0000-000083470000}"/>
    <cellStyle name="40% - Accent3 5 6 3" xfId="16107" xr:uid="{00000000-0005-0000-0000-000084470000}"/>
    <cellStyle name="40% - Accent3 5 7" xfId="20270" xr:uid="{00000000-0005-0000-0000-000085470000}"/>
    <cellStyle name="40% - Accent3 5 7 2" xfId="25930" xr:uid="{00000000-0005-0000-0000-000086470000}"/>
    <cellStyle name="40% - Accent3 5 8" xfId="6686" xr:uid="{00000000-0005-0000-0000-000087470000}"/>
    <cellStyle name="40% - Accent3 6" xfId="14973" xr:uid="{00000000-0005-0000-0000-000088470000}"/>
    <cellStyle name="40% - Accent3 6 2" xfId="20272" xr:uid="{00000000-0005-0000-0000-000089470000}"/>
    <cellStyle name="40% - Accent3 6 2 2" xfId="20622" xr:uid="{00000000-0005-0000-0000-00008A470000}"/>
    <cellStyle name="40% - Accent3 6 2 2 2" xfId="27631" xr:uid="{00000000-0005-0000-0000-00008B470000}"/>
    <cellStyle name="40% - Accent3 6 2 2 2 2" xfId="20277" xr:uid="{00000000-0005-0000-0000-00008C470000}"/>
    <cellStyle name="40% - Accent3 6 2 2 2 2 2" xfId="20281" xr:uid="{00000000-0005-0000-0000-00008D470000}"/>
    <cellStyle name="40% - Accent3 6 2 2 2 2 2 2" xfId="11886" xr:uid="{00000000-0005-0000-0000-00008E470000}"/>
    <cellStyle name="40% - Accent3 6 2 2 2 2 3" xfId="9802" xr:uid="{00000000-0005-0000-0000-00008F470000}"/>
    <cellStyle name="40% - Accent3 6 2 2 2 3" xfId="20287" xr:uid="{00000000-0005-0000-0000-000090470000}"/>
    <cellStyle name="40% - Accent3 6 2 2 2 3 2" xfId="20291" xr:uid="{00000000-0005-0000-0000-000091470000}"/>
    <cellStyle name="40% - Accent3 6 2 2 2 4" xfId="20292" xr:uid="{00000000-0005-0000-0000-000092470000}"/>
    <cellStyle name="40% - Accent3 6 2 2 3" xfId="26287" xr:uid="{00000000-0005-0000-0000-000093470000}"/>
    <cellStyle name="40% - Accent3 6 2 2 3 2" xfId="18647" xr:uid="{00000000-0005-0000-0000-000094470000}"/>
    <cellStyle name="40% - Accent3 6 2 2 3 2 2" xfId="20296" xr:uid="{00000000-0005-0000-0000-000095470000}"/>
    <cellStyle name="40% - Accent3 6 2 2 3 3" xfId="18658" xr:uid="{00000000-0005-0000-0000-000096470000}"/>
    <cellStyle name="40% - Accent3 6 2 2 4" xfId="20297" xr:uid="{00000000-0005-0000-0000-000097470000}"/>
    <cellStyle name="40% - Accent3 6 2 2 4 2" xfId="18673" xr:uid="{00000000-0005-0000-0000-000098470000}"/>
    <cellStyle name="40% - Accent3 6 2 2 5" xfId="29423" xr:uid="{00000000-0005-0000-0000-000099470000}"/>
    <cellStyle name="40% - Accent3 6 2 3" xfId="2681" xr:uid="{00000000-0005-0000-0000-00009A470000}"/>
    <cellStyle name="40% - Accent3 6 2 3 2" xfId="522" xr:uid="{00000000-0005-0000-0000-00009B470000}"/>
    <cellStyle name="40% - Accent3 6 2 3 2 2" xfId="20301" xr:uid="{00000000-0005-0000-0000-00009C470000}"/>
    <cellStyle name="40% - Accent3 6 2 3 2 2 2" xfId="20302" xr:uid="{00000000-0005-0000-0000-00009D470000}"/>
    <cellStyle name="40% - Accent3 6 2 3 2 3" xfId="20305" xr:uid="{00000000-0005-0000-0000-00009E470000}"/>
    <cellStyle name="40% - Accent3 6 2 3 3" xfId="1476" xr:uid="{00000000-0005-0000-0000-00009F470000}"/>
    <cellStyle name="40% - Accent3 6 2 3 3 2" xfId="8735" xr:uid="{00000000-0005-0000-0000-0000A0470000}"/>
    <cellStyle name="40% - Accent3 6 2 3 4" xfId="5927" xr:uid="{00000000-0005-0000-0000-0000A1470000}"/>
    <cellStyle name="40% - Accent3 6 2 4" xfId="4252" xr:uid="{00000000-0005-0000-0000-0000A2470000}"/>
    <cellStyle name="40% - Accent3 6 2 4 2" xfId="1513" xr:uid="{00000000-0005-0000-0000-0000A3470000}"/>
    <cellStyle name="40% - Accent3 6 2 4 2 2" xfId="20308" xr:uid="{00000000-0005-0000-0000-0000A4470000}"/>
    <cellStyle name="40% - Accent3 6 2 4 3" xfId="20312" xr:uid="{00000000-0005-0000-0000-0000A5470000}"/>
    <cellStyle name="40% - Accent3 6 2 5" xfId="5068" xr:uid="{00000000-0005-0000-0000-0000A6470000}"/>
    <cellStyle name="40% - Accent3 6 2 5 2" xfId="20316" xr:uid="{00000000-0005-0000-0000-0000A7470000}"/>
    <cellStyle name="40% - Accent3 6 2 6" xfId="10440" xr:uid="{00000000-0005-0000-0000-0000A8470000}"/>
    <cellStyle name="40% - Accent3 6 3" xfId="29546" xr:uid="{00000000-0005-0000-0000-0000A9470000}"/>
    <cellStyle name="40% - Accent3 6 3 2" xfId="20319" xr:uid="{00000000-0005-0000-0000-0000AA470000}"/>
    <cellStyle name="40% - Accent3 6 3 2 2" xfId="28978" xr:uid="{00000000-0005-0000-0000-0000AB470000}"/>
    <cellStyle name="40% - Accent3 6 3 2 2 2" xfId="22065" xr:uid="{00000000-0005-0000-0000-0000AC470000}"/>
    <cellStyle name="40% - Accent3 6 3 2 2 2 2" xfId="20320" xr:uid="{00000000-0005-0000-0000-0000AD470000}"/>
    <cellStyle name="40% - Accent3 6 3 2 2 3" xfId="20321" xr:uid="{00000000-0005-0000-0000-0000AE470000}"/>
    <cellStyle name="40% - Accent3 6 3 2 3" xfId="31689" xr:uid="{00000000-0005-0000-0000-0000AF470000}"/>
    <cellStyle name="40% - Accent3 6 3 2 3 2" xfId="830" xr:uid="{00000000-0005-0000-0000-0000B0470000}"/>
    <cellStyle name="40% - Accent3 6 3 2 4" xfId="22862" xr:uid="{00000000-0005-0000-0000-0000B1470000}"/>
    <cellStyle name="40% - Accent3 6 3 3" xfId="7962" xr:uid="{00000000-0005-0000-0000-0000B2470000}"/>
    <cellStyle name="40% - Accent3 6 3 3 2" xfId="1903" xr:uid="{00000000-0005-0000-0000-0000B3470000}"/>
    <cellStyle name="40% - Accent3 6 3 3 2 2" xfId="8708" xr:uid="{00000000-0005-0000-0000-0000B4470000}"/>
    <cellStyle name="40% - Accent3 6 3 3 3" xfId="20323" xr:uid="{00000000-0005-0000-0000-0000B5470000}"/>
    <cellStyle name="40% - Accent3 6 3 4" xfId="9300" xr:uid="{00000000-0005-0000-0000-0000B6470000}"/>
    <cellStyle name="40% - Accent3 6 3 4 2" xfId="20324" xr:uid="{00000000-0005-0000-0000-0000B7470000}"/>
    <cellStyle name="40% - Accent3 6 3 5" xfId="20327" xr:uid="{00000000-0005-0000-0000-0000B8470000}"/>
    <cellStyle name="40% - Accent3 6 4" xfId="6636" xr:uid="{00000000-0005-0000-0000-0000B9470000}"/>
    <cellStyle name="40% - Accent3 6 4 2" xfId="20331" xr:uid="{00000000-0005-0000-0000-0000BA470000}"/>
    <cellStyle name="40% - Accent3 6 4 2 2" xfId="20333" xr:uid="{00000000-0005-0000-0000-0000BB470000}"/>
    <cellStyle name="40% - Accent3 6 4 2 2 2" xfId="20335" xr:uid="{00000000-0005-0000-0000-0000BC470000}"/>
    <cellStyle name="40% - Accent3 6 4 2 3" xfId="3589" xr:uid="{00000000-0005-0000-0000-0000BD470000}"/>
    <cellStyle name="40% - Accent3 6 4 3" xfId="9324" xr:uid="{00000000-0005-0000-0000-0000BE470000}"/>
    <cellStyle name="40% - Accent3 6 4 3 2" xfId="20338" xr:uid="{00000000-0005-0000-0000-0000BF470000}"/>
    <cellStyle name="40% - Accent3 6 4 4" xfId="20342" xr:uid="{00000000-0005-0000-0000-0000C0470000}"/>
    <cellStyle name="40% - Accent3 6 5" xfId="13453" xr:uid="{00000000-0005-0000-0000-0000C1470000}"/>
    <cellStyle name="40% - Accent3 6 5 2" xfId="20349" xr:uid="{00000000-0005-0000-0000-0000C2470000}"/>
    <cellStyle name="40% - Accent3 6 5 2 2" xfId="20353" xr:uid="{00000000-0005-0000-0000-0000C3470000}"/>
    <cellStyle name="40% - Accent3 6 5 3" xfId="19797" xr:uid="{00000000-0005-0000-0000-0000C4470000}"/>
    <cellStyle name="40% - Accent3 6 6" xfId="18740" xr:uid="{00000000-0005-0000-0000-0000C5470000}"/>
    <cellStyle name="40% - Accent3 6 6 2" xfId="9337" xr:uid="{00000000-0005-0000-0000-0000C6470000}"/>
    <cellStyle name="40% - Accent3 6 7" xfId="20356" xr:uid="{00000000-0005-0000-0000-0000C7470000}"/>
    <cellStyle name="40% - Accent3 7" xfId="16946" xr:uid="{00000000-0005-0000-0000-0000C8470000}"/>
    <cellStyle name="40% - Accent3 7 2" xfId="5385" xr:uid="{00000000-0005-0000-0000-0000C9470000}"/>
    <cellStyle name="40% - Accent3 7 2 2" xfId="27130" xr:uid="{00000000-0005-0000-0000-0000CA470000}"/>
    <cellStyle name="40% - Accent3 7 2 2 2" xfId="20358" xr:uid="{00000000-0005-0000-0000-0000CB470000}"/>
    <cellStyle name="40% - Accent3 7 2 2 2 2" xfId="12448" xr:uid="{00000000-0005-0000-0000-0000CC470000}"/>
    <cellStyle name="40% - Accent3 7 2 2 2 2 2" xfId="33343" xr:uid="{00000000-0005-0000-0000-0000CD470000}"/>
    <cellStyle name="40% - Accent3 7 2 2 2 3" xfId="20360" xr:uid="{00000000-0005-0000-0000-0000CE470000}"/>
    <cellStyle name="40% - Accent3 7 2 2 3" xfId="32214" xr:uid="{00000000-0005-0000-0000-0000CF470000}"/>
    <cellStyle name="40% - Accent3 7 2 2 3 2" xfId="19040" xr:uid="{00000000-0005-0000-0000-0000D0470000}"/>
    <cellStyle name="40% - Accent3 7 2 2 4" xfId="33139" xr:uid="{00000000-0005-0000-0000-0000D1470000}"/>
    <cellStyle name="40% - Accent3 7 2 3" xfId="2020" xr:uid="{00000000-0005-0000-0000-0000D2470000}"/>
    <cellStyle name="40% - Accent3 7 2 3 2" xfId="2353" xr:uid="{00000000-0005-0000-0000-0000D3470000}"/>
    <cellStyle name="40% - Accent3 7 2 3 2 2" xfId="30470" xr:uid="{00000000-0005-0000-0000-0000D4470000}"/>
    <cellStyle name="40% - Accent3 7 2 3 3" xfId="20839" xr:uid="{00000000-0005-0000-0000-0000D5470000}"/>
    <cellStyle name="40% - Accent3 7 2 4" xfId="5127" xr:uid="{00000000-0005-0000-0000-0000D6470000}"/>
    <cellStyle name="40% - Accent3 7 2 4 2" xfId="22236" xr:uid="{00000000-0005-0000-0000-0000D7470000}"/>
    <cellStyle name="40% - Accent3 7 2 5" xfId="20361" xr:uid="{00000000-0005-0000-0000-0000D8470000}"/>
    <cellStyle name="40% - Accent3 7 3" xfId="11371" xr:uid="{00000000-0005-0000-0000-0000D9470000}"/>
    <cellStyle name="40% - Accent3 7 3 2" xfId="21928" xr:uid="{00000000-0005-0000-0000-0000DA470000}"/>
    <cellStyle name="40% - Accent3 7 3 2 2" xfId="20362" xr:uid="{00000000-0005-0000-0000-0000DB470000}"/>
    <cellStyle name="40% - Accent3 7 3 2 2 2" xfId="15758" xr:uid="{00000000-0005-0000-0000-0000DC470000}"/>
    <cellStyle name="40% - Accent3 7 3 2 3" xfId="29664" xr:uid="{00000000-0005-0000-0000-0000DD470000}"/>
    <cellStyle name="40% - Accent3 7 3 3" xfId="9353" xr:uid="{00000000-0005-0000-0000-0000DE470000}"/>
    <cellStyle name="40% - Accent3 7 3 3 2" xfId="20363" xr:uid="{00000000-0005-0000-0000-0000DF470000}"/>
    <cellStyle name="40% - Accent3 7 3 4" xfId="20369" xr:uid="{00000000-0005-0000-0000-0000E0470000}"/>
    <cellStyle name="40% - Accent3 7 4" xfId="11374" xr:uid="{00000000-0005-0000-0000-0000E1470000}"/>
    <cellStyle name="40% - Accent3 7 4 2" xfId="20373" xr:uid="{00000000-0005-0000-0000-0000E2470000}"/>
    <cellStyle name="40% - Accent3 7 4 2 2" xfId="25904" xr:uid="{00000000-0005-0000-0000-0000E3470000}"/>
    <cellStyle name="40% - Accent3 7 4 3" xfId="20376" xr:uid="{00000000-0005-0000-0000-0000E4470000}"/>
    <cellStyle name="40% - Accent3 7 5" xfId="726" xr:uid="{00000000-0005-0000-0000-0000E5470000}"/>
    <cellStyle name="40% - Accent3 7 5 2" xfId="11468" xr:uid="{00000000-0005-0000-0000-0000E6470000}"/>
    <cellStyle name="40% - Accent3 7 6" xfId="33992" xr:uid="{00000000-0005-0000-0000-0000E7470000}"/>
    <cellStyle name="40% - Accent3 8" xfId="20377" xr:uid="{00000000-0005-0000-0000-0000E8470000}"/>
    <cellStyle name="40% - Accent3 8 2" xfId="30505" xr:uid="{00000000-0005-0000-0000-0000E9470000}"/>
    <cellStyle name="40% - Accent3 8 2 2" xfId="26444" xr:uid="{00000000-0005-0000-0000-0000EA470000}"/>
    <cellStyle name="40% - Accent3 8 2 2 2" xfId="1602" xr:uid="{00000000-0005-0000-0000-0000EB470000}"/>
    <cellStyle name="40% - Accent3 8 2 2 2 2" xfId="2594" xr:uid="{00000000-0005-0000-0000-0000EC470000}"/>
    <cellStyle name="40% - Accent3 8 2 2 3" xfId="33192" xr:uid="{00000000-0005-0000-0000-0000ED470000}"/>
    <cellStyle name="40% - Accent3 8 2 3" xfId="638" xr:uid="{00000000-0005-0000-0000-0000EE470000}"/>
    <cellStyle name="40% - Accent3 8 2 3 2" xfId="20380" xr:uid="{00000000-0005-0000-0000-0000EF470000}"/>
    <cellStyle name="40% - Accent3 8 2 4" xfId="20383" xr:uid="{00000000-0005-0000-0000-0000F0470000}"/>
    <cellStyle name="40% - Accent3 8 3" xfId="9263" xr:uid="{00000000-0005-0000-0000-0000F1470000}"/>
    <cellStyle name="40% - Accent3 8 3 2" xfId="20388" xr:uid="{00000000-0005-0000-0000-0000F2470000}"/>
    <cellStyle name="40% - Accent3 8 3 2 2" xfId="12185" xr:uid="{00000000-0005-0000-0000-0000F3470000}"/>
    <cellStyle name="40% - Accent3 8 3 3" xfId="20391" xr:uid="{00000000-0005-0000-0000-0000F4470000}"/>
    <cellStyle name="40% - Accent3 8 4" xfId="9394" xr:uid="{00000000-0005-0000-0000-0000F5470000}"/>
    <cellStyle name="40% - Accent3 8 4 2" xfId="20393" xr:uid="{00000000-0005-0000-0000-0000F6470000}"/>
    <cellStyle name="40% - Accent3 8 5" xfId="15821" xr:uid="{00000000-0005-0000-0000-0000F7470000}"/>
    <cellStyle name="40% - Accent3 9" xfId="20394" xr:uid="{00000000-0005-0000-0000-0000F8470000}"/>
    <cellStyle name="40% - Accent3 9 2" xfId="30528" xr:uid="{00000000-0005-0000-0000-0000F9470000}"/>
    <cellStyle name="40% - Accent3 9 2 2" xfId="31975" xr:uid="{00000000-0005-0000-0000-0000FA470000}"/>
    <cellStyle name="40% - Accent3 9 2 2 2" xfId="21863" xr:uid="{00000000-0005-0000-0000-0000FB470000}"/>
    <cellStyle name="40% - Accent3 9 2 3" xfId="32758" xr:uid="{00000000-0005-0000-0000-0000FC470000}"/>
    <cellStyle name="40% - Accent3 9 3" xfId="3307" xr:uid="{00000000-0005-0000-0000-0000FD470000}"/>
    <cellStyle name="40% - Accent3 9 3 2" xfId="20396" xr:uid="{00000000-0005-0000-0000-0000FE470000}"/>
    <cellStyle name="40% - Accent3 9 4" xfId="16148" xr:uid="{00000000-0005-0000-0000-0000FF470000}"/>
    <cellStyle name="40% - Accent4 10" xfId="4794" xr:uid="{00000000-0005-0000-0000-000000480000}"/>
    <cellStyle name="40% - Accent4 10 2" xfId="20398" xr:uid="{00000000-0005-0000-0000-000001480000}"/>
    <cellStyle name="40% - Accent4 10 2 2" xfId="20399" xr:uid="{00000000-0005-0000-0000-000002480000}"/>
    <cellStyle name="40% - Accent4 10 3" xfId="19448" xr:uid="{00000000-0005-0000-0000-000003480000}"/>
    <cellStyle name="40% - Accent4 11" xfId="4273" xr:uid="{00000000-0005-0000-0000-000004480000}"/>
    <cellStyle name="40% - Accent4 11 2" xfId="20400" xr:uid="{00000000-0005-0000-0000-000005480000}"/>
    <cellStyle name="40% - Accent4 12" xfId="20402" xr:uid="{00000000-0005-0000-0000-000006480000}"/>
    <cellStyle name="40% - Accent4 13" xfId="20403" xr:uid="{00000000-0005-0000-0000-000007480000}"/>
    <cellStyle name="40% - Accent4 2" xfId="20404" xr:uid="{00000000-0005-0000-0000-000008480000}"/>
    <cellStyle name="40% - Accent4 2 10" xfId="22251" xr:uid="{00000000-0005-0000-0000-000009480000}"/>
    <cellStyle name="40% - Accent4 2 10 2" xfId="13523" xr:uid="{00000000-0005-0000-0000-00000A480000}"/>
    <cellStyle name="40% - Accent4 2 11" xfId="20406" xr:uid="{00000000-0005-0000-0000-00000B480000}"/>
    <cellStyle name="40% - Accent4 2 2" xfId="9601" xr:uid="{00000000-0005-0000-0000-00000C480000}"/>
    <cellStyle name="40% - Accent4 2 2 10" xfId="12901" xr:uid="{00000000-0005-0000-0000-00000D480000}"/>
    <cellStyle name="40% - Accent4 2 2 2" xfId="14123" xr:uid="{00000000-0005-0000-0000-00000E480000}"/>
    <cellStyle name="40% - Accent4 2 2 2 2" xfId="20407" xr:uid="{00000000-0005-0000-0000-00000F480000}"/>
    <cellStyle name="40% - Accent4 2 2 2 2 2" xfId="29346" xr:uid="{00000000-0005-0000-0000-000010480000}"/>
    <cellStyle name="40% - Accent4 2 2 2 2 2 2" xfId="25426" xr:uid="{00000000-0005-0000-0000-000011480000}"/>
    <cellStyle name="40% - Accent4 2 2 2 2 2 2 2" xfId="8086" xr:uid="{00000000-0005-0000-0000-000012480000}"/>
    <cellStyle name="40% - Accent4 2 2 2 2 2 2 2 2" xfId="4675" xr:uid="{00000000-0005-0000-0000-000013480000}"/>
    <cellStyle name="40% - Accent4 2 2 2 2 2 2 2 2 2" xfId="21864" xr:uid="{00000000-0005-0000-0000-000014480000}"/>
    <cellStyle name="40% - Accent4 2 2 2 2 2 2 2 2 2 2" xfId="24379" xr:uid="{00000000-0005-0000-0000-000015480000}"/>
    <cellStyle name="40% - Accent4 2 2 2 2 2 2 2 2 2 2 2" xfId="16586" xr:uid="{00000000-0005-0000-0000-000016480000}"/>
    <cellStyle name="40% - Accent4 2 2 2 2 2 2 2 2 2 3" xfId="26631" xr:uid="{00000000-0005-0000-0000-000017480000}"/>
    <cellStyle name="40% - Accent4 2 2 2 2 2 2 2 2 3" xfId="117" xr:uid="{00000000-0005-0000-0000-000018480000}"/>
    <cellStyle name="40% - Accent4 2 2 2 2 2 2 2 2 3 2" xfId="20413" xr:uid="{00000000-0005-0000-0000-000019480000}"/>
    <cellStyle name="40% - Accent4 2 2 2 2 2 2 2 2 4" xfId="23100" xr:uid="{00000000-0005-0000-0000-00001A480000}"/>
    <cellStyle name="40% - Accent4 2 2 2 2 2 2 2 3" xfId="20719" xr:uid="{00000000-0005-0000-0000-00001B480000}"/>
    <cellStyle name="40% - Accent4 2 2 2 2 2 2 2 3 2" xfId="22407" xr:uid="{00000000-0005-0000-0000-00001C480000}"/>
    <cellStyle name="40% - Accent4 2 2 2 2 2 2 2 3 2 2" xfId="33758" xr:uid="{00000000-0005-0000-0000-00001D480000}"/>
    <cellStyle name="40% - Accent4 2 2 2 2 2 2 2 3 3" xfId="16255" xr:uid="{00000000-0005-0000-0000-00001E480000}"/>
    <cellStyle name="40% - Accent4 2 2 2 2 2 2 2 4" xfId="26378" xr:uid="{00000000-0005-0000-0000-00001F480000}"/>
    <cellStyle name="40% - Accent4 2 2 2 2 2 2 2 4 2" xfId="23626" xr:uid="{00000000-0005-0000-0000-000020480000}"/>
    <cellStyle name="40% - Accent4 2 2 2 2 2 2 2 5" xfId="11276" xr:uid="{00000000-0005-0000-0000-000021480000}"/>
    <cellStyle name="40% - Accent4 2 2 2 2 2 2 3" xfId="8947" xr:uid="{00000000-0005-0000-0000-000022480000}"/>
    <cellStyle name="40% - Accent4 2 2 2 2 2 2 3 2" xfId="20728" xr:uid="{00000000-0005-0000-0000-000023480000}"/>
    <cellStyle name="40% - Accent4 2 2 2 2 2 2 3 2 2" xfId="21870" xr:uid="{00000000-0005-0000-0000-000024480000}"/>
    <cellStyle name="40% - Accent4 2 2 2 2 2 2 3 2 2 2" xfId="24304" xr:uid="{00000000-0005-0000-0000-000025480000}"/>
    <cellStyle name="40% - Accent4 2 2 2 2 2 2 3 2 3" xfId="13703" xr:uid="{00000000-0005-0000-0000-000026480000}"/>
    <cellStyle name="40% - Accent4 2 2 2 2 2 2 3 3" xfId="12386" xr:uid="{00000000-0005-0000-0000-000027480000}"/>
    <cellStyle name="40% - Accent4 2 2 2 2 2 2 3 3 2" xfId="23642" xr:uid="{00000000-0005-0000-0000-000028480000}"/>
    <cellStyle name="40% - Accent4 2 2 2 2 2 2 3 4" xfId="27378" xr:uid="{00000000-0005-0000-0000-000029480000}"/>
    <cellStyle name="40% - Accent4 2 2 2 2 2 2 4" xfId="31543" xr:uid="{00000000-0005-0000-0000-00002A480000}"/>
    <cellStyle name="40% - Accent4 2 2 2 2 2 2 4 2" xfId="12391" xr:uid="{00000000-0005-0000-0000-00002B480000}"/>
    <cellStyle name="40% - Accent4 2 2 2 2 2 2 4 2 2" xfId="23118" xr:uid="{00000000-0005-0000-0000-00002C480000}"/>
    <cellStyle name="40% - Accent4 2 2 2 2 2 2 4 3" xfId="15759" xr:uid="{00000000-0005-0000-0000-00002D480000}"/>
    <cellStyle name="40% - Accent4 2 2 2 2 2 2 5" xfId="25350" xr:uid="{00000000-0005-0000-0000-00002E480000}"/>
    <cellStyle name="40% - Accent4 2 2 2 2 2 2 5 2" xfId="15764" xr:uid="{00000000-0005-0000-0000-00002F480000}"/>
    <cellStyle name="40% - Accent4 2 2 2 2 2 2 6" xfId="33831" xr:uid="{00000000-0005-0000-0000-000030480000}"/>
    <cellStyle name="40% - Accent4 2 2 2 2 2 3" xfId="20418" xr:uid="{00000000-0005-0000-0000-000031480000}"/>
    <cellStyle name="40% - Accent4 2 2 2 2 2 3 2" xfId="33260" xr:uid="{00000000-0005-0000-0000-000032480000}"/>
    <cellStyle name="40% - Accent4 2 2 2 2 2 3 2 2" xfId="20741" xr:uid="{00000000-0005-0000-0000-000033480000}"/>
    <cellStyle name="40% - Accent4 2 2 2 2 2 3 2 2 2" xfId="20423" xr:uid="{00000000-0005-0000-0000-000034480000}"/>
    <cellStyle name="40% - Accent4 2 2 2 2 2 3 2 2 2 2" xfId="24803" xr:uid="{00000000-0005-0000-0000-000035480000}"/>
    <cellStyle name="40% - Accent4 2 2 2 2 2 3 2 2 3" xfId="5775" xr:uid="{00000000-0005-0000-0000-000036480000}"/>
    <cellStyle name="40% - Accent4 2 2 2 2 2 3 2 3" xfId="4726" xr:uid="{00000000-0005-0000-0000-000037480000}"/>
    <cellStyle name="40% - Accent4 2 2 2 2 2 3 2 3 2" xfId="33699" xr:uid="{00000000-0005-0000-0000-000038480000}"/>
    <cellStyle name="40% - Accent4 2 2 2 2 2 3 2 4" xfId="26453" xr:uid="{00000000-0005-0000-0000-000039480000}"/>
    <cellStyle name="40% - Accent4 2 2 2 2 2 3 3" xfId="26801" xr:uid="{00000000-0005-0000-0000-00003A480000}"/>
    <cellStyle name="40% - Accent4 2 2 2 2 2 3 3 2" xfId="5592" xr:uid="{00000000-0005-0000-0000-00003B480000}"/>
    <cellStyle name="40% - Accent4 2 2 2 2 2 3 3 2 2" xfId="22965" xr:uid="{00000000-0005-0000-0000-00003C480000}"/>
    <cellStyle name="40% - Accent4 2 2 2 2 2 3 3 3" xfId="5782" xr:uid="{00000000-0005-0000-0000-00003D480000}"/>
    <cellStyle name="40% - Accent4 2 2 2 2 2 3 4" xfId="21614" xr:uid="{00000000-0005-0000-0000-00003E480000}"/>
    <cellStyle name="40% - Accent4 2 2 2 2 2 3 4 2" xfId="5622" xr:uid="{00000000-0005-0000-0000-00003F480000}"/>
    <cellStyle name="40% - Accent4 2 2 2 2 2 3 5" xfId="21814" xr:uid="{00000000-0005-0000-0000-000040480000}"/>
    <cellStyle name="40% - Accent4 2 2 2 2 2 4" xfId="21224" xr:uid="{00000000-0005-0000-0000-000041480000}"/>
    <cellStyle name="40% - Accent4 2 2 2 2 2 4 2" xfId="20425" xr:uid="{00000000-0005-0000-0000-000042480000}"/>
    <cellStyle name="40% - Accent4 2 2 2 2 2 4 2 2" xfId="4743" xr:uid="{00000000-0005-0000-0000-000043480000}"/>
    <cellStyle name="40% - Accent4 2 2 2 2 2 4 2 2 2" xfId="27741" xr:uid="{00000000-0005-0000-0000-000044480000}"/>
    <cellStyle name="40% - Accent4 2 2 2 2 2 4 2 3" xfId="33330" xr:uid="{00000000-0005-0000-0000-000045480000}"/>
    <cellStyle name="40% - Accent4 2 2 2 2 2 4 3" xfId="33315" xr:uid="{00000000-0005-0000-0000-000046480000}"/>
    <cellStyle name="40% - Accent4 2 2 2 2 2 4 3 2" xfId="7560" xr:uid="{00000000-0005-0000-0000-000047480000}"/>
    <cellStyle name="40% - Accent4 2 2 2 2 2 4 4" xfId="20431" xr:uid="{00000000-0005-0000-0000-000048480000}"/>
    <cellStyle name="40% - Accent4 2 2 2 2 2 5" xfId="21228" xr:uid="{00000000-0005-0000-0000-000049480000}"/>
    <cellStyle name="40% - Accent4 2 2 2 2 2 5 2" xfId="20432" xr:uid="{00000000-0005-0000-0000-00004A480000}"/>
    <cellStyle name="40% - Accent4 2 2 2 2 2 5 2 2" xfId="20435" xr:uid="{00000000-0005-0000-0000-00004B480000}"/>
    <cellStyle name="40% - Accent4 2 2 2 2 2 5 3" xfId="20436" xr:uid="{00000000-0005-0000-0000-00004C480000}"/>
    <cellStyle name="40% - Accent4 2 2 2 2 2 6" xfId="33612" xr:uid="{00000000-0005-0000-0000-00004D480000}"/>
    <cellStyle name="40% - Accent4 2 2 2 2 2 6 2" xfId="22805" xr:uid="{00000000-0005-0000-0000-00004E480000}"/>
    <cellStyle name="40% - Accent4 2 2 2 2 2 7" xfId="20438" xr:uid="{00000000-0005-0000-0000-00004F480000}"/>
    <cellStyle name="40% - Accent4 2 2 2 2 3" xfId="20910" xr:uid="{00000000-0005-0000-0000-000050480000}"/>
    <cellStyle name="40% - Accent4 2 2 2 2 3 2" xfId="24658" xr:uid="{00000000-0005-0000-0000-000051480000}"/>
    <cellStyle name="40% - Accent4 2 2 2 2 3 2 2" xfId="6378" xr:uid="{00000000-0005-0000-0000-000052480000}"/>
    <cellStyle name="40% - Accent4 2 2 2 2 3 2 2 2" xfId="20784" xr:uid="{00000000-0005-0000-0000-000053480000}"/>
    <cellStyle name="40% - Accent4 2 2 2 2 3 2 2 2 2" xfId="17831" xr:uid="{00000000-0005-0000-0000-000054480000}"/>
    <cellStyle name="40% - Accent4 2 2 2 2 3 2 2 2 2 2" xfId="20641" xr:uid="{00000000-0005-0000-0000-000055480000}"/>
    <cellStyle name="40% - Accent4 2 2 2 2 3 2 2 2 3" xfId="17839" xr:uid="{00000000-0005-0000-0000-000056480000}"/>
    <cellStyle name="40% - Accent4 2 2 2 2 3 2 2 3" xfId="4760" xr:uid="{00000000-0005-0000-0000-000057480000}"/>
    <cellStyle name="40% - Accent4 2 2 2 2 3 2 2 3 2" xfId="23800" xr:uid="{00000000-0005-0000-0000-000058480000}"/>
    <cellStyle name="40% - Accent4 2 2 2 2 3 2 2 4" xfId="20440" xr:uid="{00000000-0005-0000-0000-000059480000}"/>
    <cellStyle name="40% - Accent4 2 2 2 2 3 2 3" xfId="2076" xr:uid="{00000000-0005-0000-0000-00005A480000}"/>
    <cellStyle name="40% - Accent4 2 2 2 2 3 2 3 2" xfId="4769" xr:uid="{00000000-0005-0000-0000-00005B480000}"/>
    <cellStyle name="40% - Accent4 2 2 2 2 3 2 3 2 2" xfId="20444" xr:uid="{00000000-0005-0000-0000-00005C480000}"/>
    <cellStyle name="40% - Accent4 2 2 2 2 3 2 3 3" xfId="16746" xr:uid="{00000000-0005-0000-0000-00005D480000}"/>
    <cellStyle name="40% - Accent4 2 2 2 2 3 2 4" xfId="6354" xr:uid="{00000000-0005-0000-0000-00005E480000}"/>
    <cellStyle name="40% - Accent4 2 2 2 2 3 2 4 2" xfId="15798" xr:uid="{00000000-0005-0000-0000-00005F480000}"/>
    <cellStyle name="40% - Accent4 2 2 2 2 3 2 5" xfId="20449" xr:uid="{00000000-0005-0000-0000-000060480000}"/>
    <cellStyle name="40% - Accent4 2 2 2 2 3 3" xfId="28442" xr:uid="{00000000-0005-0000-0000-000061480000}"/>
    <cellStyle name="40% - Accent4 2 2 2 2 3 3 2" xfId="6379" xr:uid="{00000000-0005-0000-0000-000062480000}"/>
    <cellStyle name="40% - Accent4 2 2 2 2 3 3 2 2" xfId="9144" xr:uid="{00000000-0005-0000-0000-000063480000}"/>
    <cellStyle name="40% - Accent4 2 2 2 2 3 3 2 2 2" xfId="23474" xr:uid="{00000000-0005-0000-0000-000064480000}"/>
    <cellStyle name="40% - Accent4 2 2 2 2 3 3 2 3" xfId="33763" xr:uid="{00000000-0005-0000-0000-000065480000}"/>
    <cellStyle name="40% - Accent4 2 2 2 2 3 3 3" xfId="25559" xr:uid="{00000000-0005-0000-0000-000066480000}"/>
    <cellStyle name="40% - Accent4 2 2 2 2 3 3 3 2" xfId="5778" xr:uid="{00000000-0005-0000-0000-000067480000}"/>
    <cellStyle name="40% - Accent4 2 2 2 2 3 3 4" xfId="20456" xr:uid="{00000000-0005-0000-0000-000068480000}"/>
    <cellStyle name="40% - Accent4 2 2 2 2 3 4" xfId="21242" xr:uid="{00000000-0005-0000-0000-000069480000}"/>
    <cellStyle name="40% - Accent4 2 2 2 2 3 4 2" xfId="20457" xr:uid="{00000000-0005-0000-0000-00006A480000}"/>
    <cellStyle name="40% - Accent4 2 2 2 2 3 4 2 2" xfId="20459" xr:uid="{00000000-0005-0000-0000-00006B480000}"/>
    <cellStyle name="40% - Accent4 2 2 2 2 3 4 3" xfId="20463" xr:uid="{00000000-0005-0000-0000-00006C480000}"/>
    <cellStyle name="40% - Accent4 2 2 2 2 3 5" xfId="33379" xr:uid="{00000000-0005-0000-0000-00006D480000}"/>
    <cellStyle name="40% - Accent4 2 2 2 2 3 5 2" xfId="20466" xr:uid="{00000000-0005-0000-0000-00006E480000}"/>
    <cellStyle name="40% - Accent4 2 2 2 2 3 6" xfId="19617" xr:uid="{00000000-0005-0000-0000-00006F480000}"/>
    <cellStyle name="40% - Accent4 2 2 2 2 4" xfId="20469" xr:uid="{00000000-0005-0000-0000-000070480000}"/>
    <cellStyle name="40% - Accent4 2 2 2 2 4 2" xfId="1334" xr:uid="{00000000-0005-0000-0000-000071480000}"/>
    <cellStyle name="40% - Accent4 2 2 2 2 4 2 2" xfId="6385" xr:uid="{00000000-0005-0000-0000-000072480000}"/>
    <cellStyle name="40% - Accent4 2 2 2 2 4 2 2 2" xfId="9544" xr:uid="{00000000-0005-0000-0000-000073480000}"/>
    <cellStyle name="40% - Accent4 2 2 2 2 4 2 2 2 2" xfId="19627" xr:uid="{00000000-0005-0000-0000-000074480000}"/>
    <cellStyle name="40% - Accent4 2 2 2 2 4 2 2 3" xfId="33802" xr:uid="{00000000-0005-0000-0000-000075480000}"/>
    <cellStyle name="40% - Accent4 2 2 2 2 4 2 3" xfId="20472" xr:uid="{00000000-0005-0000-0000-000076480000}"/>
    <cellStyle name="40% - Accent4 2 2 2 2 4 2 3 2" xfId="30590" xr:uid="{00000000-0005-0000-0000-000077480000}"/>
    <cellStyle name="40% - Accent4 2 2 2 2 4 2 4" xfId="20477" xr:uid="{00000000-0005-0000-0000-000078480000}"/>
    <cellStyle name="40% - Accent4 2 2 2 2 4 3" xfId="5959" xr:uid="{00000000-0005-0000-0000-000079480000}"/>
    <cellStyle name="40% - Accent4 2 2 2 2 4 3 2" xfId="24883" xr:uid="{00000000-0005-0000-0000-00007A480000}"/>
    <cellStyle name="40% - Accent4 2 2 2 2 4 3 2 2" xfId="20480" xr:uid="{00000000-0005-0000-0000-00007B480000}"/>
    <cellStyle name="40% - Accent4 2 2 2 2 4 3 3" xfId="20483" xr:uid="{00000000-0005-0000-0000-00007C480000}"/>
    <cellStyle name="40% - Accent4 2 2 2 2 4 4" xfId="5960" xr:uid="{00000000-0005-0000-0000-00007D480000}"/>
    <cellStyle name="40% - Accent4 2 2 2 2 4 4 2" xfId="20485" xr:uid="{00000000-0005-0000-0000-00007E480000}"/>
    <cellStyle name="40% - Accent4 2 2 2 2 4 5" xfId="20487" xr:uid="{00000000-0005-0000-0000-00007F480000}"/>
    <cellStyle name="40% - Accent4 2 2 2 2 5" xfId="20493" xr:uid="{00000000-0005-0000-0000-000080480000}"/>
    <cellStyle name="40% - Accent4 2 2 2 2 5 2" xfId="1455" xr:uid="{00000000-0005-0000-0000-000081480000}"/>
    <cellStyle name="40% - Accent4 2 2 2 2 5 2 2" xfId="27710" xr:uid="{00000000-0005-0000-0000-000082480000}"/>
    <cellStyle name="40% - Accent4 2 2 2 2 5 2 2 2" xfId="3017" xr:uid="{00000000-0005-0000-0000-000083480000}"/>
    <cellStyle name="40% - Accent4 2 2 2 2 5 2 3" xfId="20499" xr:uid="{00000000-0005-0000-0000-000084480000}"/>
    <cellStyle name="40% - Accent4 2 2 2 2 5 3" xfId="5965" xr:uid="{00000000-0005-0000-0000-000085480000}"/>
    <cellStyle name="40% - Accent4 2 2 2 2 5 3 2" xfId="20506" xr:uid="{00000000-0005-0000-0000-000086480000}"/>
    <cellStyle name="40% - Accent4 2 2 2 2 5 4" xfId="33586" xr:uid="{00000000-0005-0000-0000-000087480000}"/>
    <cellStyle name="40% - Accent4 2 2 2 2 6" xfId="20508" xr:uid="{00000000-0005-0000-0000-000088480000}"/>
    <cellStyle name="40% - Accent4 2 2 2 2 6 2" xfId="20511" xr:uid="{00000000-0005-0000-0000-000089480000}"/>
    <cellStyle name="40% - Accent4 2 2 2 2 6 2 2" xfId="23604" xr:uid="{00000000-0005-0000-0000-00008A480000}"/>
    <cellStyle name="40% - Accent4 2 2 2 2 6 3" xfId="33112" xr:uid="{00000000-0005-0000-0000-00008B480000}"/>
    <cellStyle name="40% - Accent4 2 2 2 2 7" xfId="25890" xr:uid="{00000000-0005-0000-0000-00008C480000}"/>
    <cellStyle name="40% - Accent4 2 2 2 2 7 2" xfId="13672" xr:uid="{00000000-0005-0000-0000-00008D480000}"/>
    <cellStyle name="40% - Accent4 2 2 2 2 8" xfId="22795" xr:uid="{00000000-0005-0000-0000-00008E480000}"/>
    <cellStyle name="40% - Accent4 2 2 2 3" xfId="20517" xr:uid="{00000000-0005-0000-0000-00008F480000}"/>
    <cellStyle name="40% - Accent4 2 2 2 3 2" xfId="18593" xr:uid="{00000000-0005-0000-0000-000090480000}"/>
    <cellStyle name="40% - Accent4 2 2 2 3 2 2" xfId="20524" xr:uid="{00000000-0005-0000-0000-000091480000}"/>
    <cellStyle name="40% - Accent4 2 2 2 3 2 2 2" xfId="20529" xr:uid="{00000000-0005-0000-0000-000092480000}"/>
    <cellStyle name="40% - Accent4 2 2 2 3 2 2 2 2" xfId="20732" xr:uid="{00000000-0005-0000-0000-000093480000}"/>
    <cellStyle name="40% - Accent4 2 2 2 3 2 2 2 2 2" xfId="8238" xr:uid="{00000000-0005-0000-0000-000094480000}"/>
    <cellStyle name="40% - Accent4 2 2 2 3 2 2 2 2 2 2" xfId="24179" xr:uid="{00000000-0005-0000-0000-000095480000}"/>
    <cellStyle name="40% - Accent4 2 2 2 3 2 2 2 2 3" xfId="20870" xr:uid="{00000000-0005-0000-0000-000096480000}"/>
    <cellStyle name="40% - Accent4 2 2 2 3 2 2 2 3" xfId="20743" xr:uid="{00000000-0005-0000-0000-000097480000}"/>
    <cellStyle name="40% - Accent4 2 2 2 3 2 2 2 3 2" xfId="26875" xr:uid="{00000000-0005-0000-0000-000098480000}"/>
    <cellStyle name="40% - Accent4 2 2 2 3 2 2 2 4" xfId="28618" xr:uid="{00000000-0005-0000-0000-000099480000}"/>
    <cellStyle name="40% - Accent4 2 2 2 3 2 2 3" xfId="33296" xr:uid="{00000000-0005-0000-0000-00009A480000}"/>
    <cellStyle name="40% - Accent4 2 2 2 3 2 2 3 2" xfId="18864" xr:uid="{00000000-0005-0000-0000-00009B480000}"/>
    <cellStyle name="40% - Accent4 2 2 2 3 2 2 3 2 2" xfId="24586" xr:uid="{00000000-0005-0000-0000-00009C480000}"/>
    <cellStyle name="40% - Accent4 2 2 2 3 2 2 3 3" xfId="20811" xr:uid="{00000000-0005-0000-0000-00009D480000}"/>
    <cellStyle name="40% - Accent4 2 2 2 3 2 2 4" xfId="27272" xr:uid="{00000000-0005-0000-0000-00009E480000}"/>
    <cellStyle name="40% - Accent4 2 2 2 3 2 2 4 2" xfId="20849" xr:uid="{00000000-0005-0000-0000-00009F480000}"/>
    <cellStyle name="40% - Accent4 2 2 2 3 2 2 5" xfId="26689" xr:uid="{00000000-0005-0000-0000-0000A0480000}"/>
    <cellStyle name="40% - Accent4 2 2 2 3 2 3" xfId="20530" xr:uid="{00000000-0005-0000-0000-0000A1480000}"/>
    <cellStyle name="40% - Accent4 2 2 2 3 2 3 2" xfId="20532" xr:uid="{00000000-0005-0000-0000-0000A2480000}"/>
    <cellStyle name="40% - Accent4 2 2 2 3 2 3 2 2" xfId="6519" xr:uid="{00000000-0005-0000-0000-0000A3480000}"/>
    <cellStyle name="40% - Accent4 2 2 2 3 2 3 2 2 2" xfId="32472" xr:uid="{00000000-0005-0000-0000-0000A4480000}"/>
    <cellStyle name="40% - Accent4 2 2 2 3 2 3 2 3" xfId="20926" xr:uid="{00000000-0005-0000-0000-0000A5480000}"/>
    <cellStyle name="40% - Accent4 2 2 2 3 2 3 3" xfId="33304" xr:uid="{00000000-0005-0000-0000-0000A6480000}"/>
    <cellStyle name="40% - Accent4 2 2 2 3 2 3 3 2" xfId="20989" xr:uid="{00000000-0005-0000-0000-0000A7480000}"/>
    <cellStyle name="40% - Accent4 2 2 2 3 2 3 4" xfId="20535" xr:uid="{00000000-0005-0000-0000-0000A8480000}"/>
    <cellStyle name="40% - Accent4 2 2 2 3 2 4" xfId="20538" xr:uid="{00000000-0005-0000-0000-0000A9480000}"/>
    <cellStyle name="40% - Accent4 2 2 2 3 2 4 2" xfId="22349" xr:uid="{00000000-0005-0000-0000-0000AA480000}"/>
    <cellStyle name="40% - Accent4 2 2 2 3 2 4 2 2" xfId="21060" xr:uid="{00000000-0005-0000-0000-0000AB480000}"/>
    <cellStyle name="40% - Accent4 2 2 2 3 2 4 3" xfId="20540" xr:uid="{00000000-0005-0000-0000-0000AC480000}"/>
    <cellStyle name="40% - Accent4 2 2 2 3 2 5" xfId="20543" xr:uid="{00000000-0005-0000-0000-0000AD480000}"/>
    <cellStyle name="40% - Accent4 2 2 2 3 2 5 2" xfId="20547" xr:uid="{00000000-0005-0000-0000-0000AE480000}"/>
    <cellStyle name="40% - Accent4 2 2 2 3 2 6" xfId="20551" xr:uid="{00000000-0005-0000-0000-0000AF480000}"/>
    <cellStyle name="40% - Accent4 2 2 2 3 3" xfId="20556" xr:uid="{00000000-0005-0000-0000-0000B0480000}"/>
    <cellStyle name="40% - Accent4 2 2 2 3 3 2" xfId="20564" xr:uid="{00000000-0005-0000-0000-0000B1480000}"/>
    <cellStyle name="40% - Accent4 2 2 2 3 3 2 2" xfId="6402" xr:uid="{00000000-0005-0000-0000-0000B2480000}"/>
    <cellStyle name="40% - Accent4 2 2 2 3 3 2 2 2" xfId="21337" xr:uid="{00000000-0005-0000-0000-0000B3480000}"/>
    <cellStyle name="40% - Accent4 2 2 2 3 3 2 2 2 2" xfId="22223" xr:uid="{00000000-0005-0000-0000-0000B4480000}"/>
    <cellStyle name="40% - Accent4 2 2 2 3 3 2 2 3" xfId="21342" xr:uid="{00000000-0005-0000-0000-0000B5480000}"/>
    <cellStyle name="40% - Accent4 2 2 2 3 3 2 3" xfId="20567" xr:uid="{00000000-0005-0000-0000-0000B6480000}"/>
    <cellStyle name="40% - Accent4 2 2 2 3 3 2 3 2" xfId="21394" xr:uid="{00000000-0005-0000-0000-0000B7480000}"/>
    <cellStyle name="40% - Accent4 2 2 2 3 3 2 4" xfId="20570" xr:uid="{00000000-0005-0000-0000-0000B8480000}"/>
    <cellStyle name="40% - Accent4 2 2 2 3 3 3" xfId="19829" xr:uid="{00000000-0005-0000-0000-0000B9480000}"/>
    <cellStyle name="40% - Accent4 2 2 2 3 3 3 2" xfId="24346" xr:uid="{00000000-0005-0000-0000-0000BA480000}"/>
    <cellStyle name="40% - Accent4 2 2 2 3 3 3 2 2" xfId="21459" xr:uid="{00000000-0005-0000-0000-0000BB480000}"/>
    <cellStyle name="40% - Accent4 2 2 2 3 3 3 3" xfId="20578" xr:uid="{00000000-0005-0000-0000-0000BC480000}"/>
    <cellStyle name="40% - Accent4 2 2 2 3 3 4" xfId="27977" xr:uid="{00000000-0005-0000-0000-0000BD480000}"/>
    <cellStyle name="40% - Accent4 2 2 2 3 3 4 2" xfId="20580" xr:uid="{00000000-0005-0000-0000-0000BE480000}"/>
    <cellStyle name="40% - Accent4 2 2 2 3 3 5" xfId="20584" xr:uid="{00000000-0005-0000-0000-0000BF480000}"/>
    <cellStyle name="40% - Accent4 2 2 2 3 4" xfId="25819" xr:uid="{00000000-0005-0000-0000-0000C0480000}"/>
    <cellStyle name="40% - Accent4 2 2 2 3 4 2" xfId="25632" xr:uid="{00000000-0005-0000-0000-0000C1480000}"/>
    <cellStyle name="40% - Accent4 2 2 2 3 4 2 2" xfId="26829" xr:uid="{00000000-0005-0000-0000-0000C2480000}"/>
    <cellStyle name="40% - Accent4 2 2 2 3 4 2 2 2" xfId="21686" xr:uid="{00000000-0005-0000-0000-0000C3480000}"/>
    <cellStyle name="40% - Accent4 2 2 2 3 4 2 3" xfId="20589" xr:uid="{00000000-0005-0000-0000-0000C4480000}"/>
    <cellStyle name="40% - Accent4 2 2 2 3 4 3" xfId="10661" xr:uid="{00000000-0005-0000-0000-0000C5480000}"/>
    <cellStyle name="40% - Accent4 2 2 2 3 4 3 2" xfId="20591" xr:uid="{00000000-0005-0000-0000-0000C6480000}"/>
    <cellStyle name="40% - Accent4 2 2 2 3 4 4" xfId="25833" xr:uid="{00000000-0005-0000-0000-0000C7480000}"/>
    <cellStyle name="40% - Accent4 2 2 2 3 5" xfId="25831" xr:uid="{00000000-0005-0000-0000-0000C8480000}"/>
    <cellStyle name="40% - Accent4 2 2 2 3 5 2" xfId="20594" xr:uid="{00000000-0005-0000-0000-0000C9480000}"/>
    <cellStyle name="40% - Accent4 2 2 2 3 5 2 2" xfId="30187" xr:uid="{00000000-0005-0000-0000-0000CA480000}"/>
    <cellStyle name="40% - Accent4 2 2 2 3 5 3" xfId="21575" xr:uid="{00000000-0005-0000-0000-0000CB480000}"/>
    <cellStyle name="40% - Accent4 2 2 2 3 6" xfId="20596" xr:uid="{00000000-0005-0000-0000-0000CC480000}"/>
    <cellStyle name="40% - Accent4 2 2 2 3 6 2" xfId="24115" xr:uid="{00000000-0005-0000-0000-0000CD480000}"/>
    <cellStyle name="40% - Accent4 2 2 2 3 7" xfId="20597" xr:uid="{00000000-0005-0000-0000-0000CE480000}"/>
    <cellStyle name="40% - Accent4 2 2 2 4" xfId="5099" xr:uid="{00000000-0005-0000-0000-0000CF480000}"/>
    <cellStyle name="40% - Accent4 2 2 2 4 2" xfId="20602" xr:uid="{00000000-0005-0000-0000-0000D0480000}"/>
    <cellStyle name="40% - Accent4 2 2 2 4 2 2" xfId="20608" xr:uid="{00000000-0005-0000-0000-0000D1480000}"/>
    <cellStyle name="40% - Accent4 2 2 2 4 2 2 2" xfId="22887" xr:uid="{00000000-0005-0000-0000-0000D2480000}"/>
    <cellStyle name="40% - Accent4 2 2 2 4 2 2 2 2" xfId="22096" xr:uid="{00000000-0005-0000-0000-0000D3480000}"/>
    <cellStyle name="40% - Accent4 2 2 2 4 2 2 2 2 2" xfId="4063" xr:uid="{00000000-0005-0000-0000-0000D4480000}"/>
    <cellStyle name="40% - Accent4 2 2 2 4 2 2 2 3" xfId="22100" xr:uid="{00000000-0005-0000-0000-0000D5480000}"/>
    <cellStyle name="40% - Accent4 2 2 2 4 2 2 3" xfId="33456" xr:uid="{00000000-0005-0000-0000-0000D6480000}"/>
    <cellStyle name="40% - Accent4 2 2 2 4 2 2 3 2" xfId="27321" xr:uid="{00000000-0005-0000-0000-0000D7480000}"/>
    <cellStyle name="40% - Accent4 2 2 2 4 2 2 4" xfId="27564" xr:uid="{00000000-0005-0000-0000-0000D8480000}"/>
    <cellStyle name="40% - Accent4 2 2 2 4 2 3" xfId="24158" xr:uid="{00000000-0005-0000-0000-0000D9480000}"/>
    <cellStyle name="40% - Accent4 2 2 2 4 2 3 2" xfId="32853" xr:uid="{00000000-0005-0000-0000-0000DA480000}"/>
    <cellStyle name="40% - Accent4 2 2 2 4 2 3 2 2" xfId="32208" xr:uid="{00000000-0005-0000-0000-0000DB480000}"/>
    <cellStyle name="40% - Accent4 2 2 2 4 2 3 3" xfId="28433" xr:uid="{00000000-0005-0000-0000-0000DC480000}"/>
    <cellStyle name="40% - Accent4 2 2 2 4 2 4" xfId="20610" xr:uid="{00000000-0005-0000-0000-0000DD480000}"/>
    <cellStyle name="40% - Accent4 2 2 2 4 2 4 2" xfId="26381" xr:uid="{00000000-0005-0000-0000-0000DE480000}"/>
    <cellStyle name="40% - Accent4 2 2 2 4 2 5" xfId="20617" xr:uid="{00000000-0005-0000-0000-0000DF480000}"/>
    <cellStyle name="40% - Accent4 2 2 2 4 3" xfId="20625" xr:uid="{00000000-0005-0000-0000-0000E0480000}"/>
    <cellStyle name="40% - Accent4 2 2 2 4 3 2" xfId="14822" xr:uid="{00000000-0005-0000-0000-0000E1480000}"/>
    <cellStyle name="40% - Accent4 2 2 2 4 3 2 2" xfId="25213" xr:uid="{00000000-0005-0000-0000-0000E2480000}"/>
    <cellStyle name="40% - Accent4 2 2 2 4 3 2 2 2" xfId="27774" xr:uid="{00000000-0005-0000-0000-0000E3480000}"/>
    <cellStyle name="40% - Accent4 2 2 2 4 3 2 3" xfId="20629" xr:uid="{00000000-0005-0000-0000-0000E4480000}"/>
    <cellStyle name="40% - Accent4 2 2 2 4 3 3" xfId="14842" xr:uid="{00000000-0005-0000-0000-0000E5480000}"/>
    <cellStyle name="40% - Accent4 2 2 2 4 3 3 2" xfId="22675" xr:uid="{00000000-0005-0000-0000-0000E6480000}"/>
    <cellStyle name="40% - Accent4 2 2 2 4 3 4" xfId="14852" xr:uid="{00000000-0005-0000-0000-0000E7480000}"/>
    <cellStyle name="40% - Accent4 2 2 2 4 4" xfId="25843" xr:uid="{00000000-0005-0000-0000-0000E8480000}"/>
    <cellStyle name="40% - Accent4 2 2 2 4 4 2" xfId="14884" xr:uid="{00000000-0005-0000-0000-0000E9480000}"/>
    <cellStyle name="40% - Accent4 2 2 2 4 4 2 2" xfId="20634" xr:uid="{00000000-0005-0000-0000-0000EA480000}"/>
    <cellStyle name="40% - Accent4 2 2 2 4 4 3" xfId="7531" xr:uid="{00000000-0005-0000-0000-0000EB480000}"/>
    <cellStyle name="40% - Accent4 2 2 2 4 5" xfId="20638" xr:uid="{00000000-0005-0000-0000-0000EC480000}"/>
    <cellStyle name="40% - Accent4 2 2 2 4 5 2" xfId="20401" xr:uid="{00000000-0005-0000-0000-0000ED480000}"/>
    <cellStyle name="40% - Accent4 2 2 2 4 6" xfId="20642" xr:uid="{00000000-0005-0000-0000-0000EE480000}"/>
    <cellStyle name="40% - Accent4 2 2 2 5" xfId="23920" xr:uid="{00000000-0005-0000-0000-0000EF480000}"/>
    <cellStyle name="40% - Accent4 2 2 2 5 2" xfId="20648" xr:uid="{00000000-0005-0000-0000-0000F0480000}"/>
    <cellStyle name="40% - Accent4 2 2 2 5 2 2" xfId="20654" xr:uid="{00000000-0005-0000-0000-0000F1480000}"/>
    <cellStyle name="40% - Accent4 2 2 2 5 2 2 2" xfId="1828" xr:uid="{00000000-0005-0000-0000-0000F2480000}"/>
    <cellStyle name="40% - Accent4 2 2 2 5 2 2 2 2" xfId="25126" xr:uid="{00000000-0005-0000-0000-0000F3480000}"/>
    <cellStyle name="40% - Accent4 2 2 2 5 2 2 3" xfId="20658" xr:uid="{00000000-0005-0000-0000-0000F4480000}"/>
    <cellStyle name="40% - Accent4 2 2 2 5 2 3" xfId="27154" xr:uid="{00000000-0005-0000-0000-0000F5480000}"/>
    <cellStyle name="40% - Accent4 2 2 2 5 2 3 2" xfId="30881" xr:uid="{00000000-0005-0000-0000-0000F6480000}"/>
    <cellStyle name="40% - Accent4 2 2 2 5 2 4" xfId="20664" xr:uid="{00000000-0005-0000-0000-0000F7480000}"/>
    <cellStyle name="40% - Accent4 2 2 2 5 3" xfId="20667" xr:uid="{00000000-0005-0000-0000-0000F8480000}"/>
    <cellStyle name="40% - Accent4 2 2 2 5 3 2" xfId="14948" xr:uid="{00000000-0005-0000-0000-0000F9480000}"/>
    <cellStyle name="40% - Accent4 2 2 2 5 3 2 2" xfId="20673" xr:uid="{00000000-0005-0000-0000-0000FA480000}"/>
    <cellStyle name="40% - Accent4 2 2 2 5 3 3" xfId="14960" xr:uid="{00000000-0005-0000-0000-0000FB480000}"/>
    <cellStyle name="40% - Accent4 2 2 2 5 4" xfId="20679" xr:uid="{00000000-0005-0000-0000-0000FC480000}"/>
    <cellStyle name="40% - Accent4 2 2 2 5 4 2" xfId="14982" xr:uid="{00000000-0005-0000-0000-0000FD480000}"/>
    <cellStyle name="40% - Accent4 2 2 2 5 5" xfId="22770" xr:uid="{00000000-0005-0000-0000-0000FE480000}"/>
    <cellStyle name="40% - Accent4 2 2 2 6" xfId="15463" xr:uid="{00000000-0005-0000-0000-0000FF480000}"/>
    <cellStyle name="40% - Accent4 2 2 2 6 2" xfId="20682" xr:uid="{00000000-0005-0000-0000-000000490000}"/>
    <cellStyle name="40% - Accent4 2 2 2 6 2 2" xfId="20691" xr:uid="{00000000-0005-0000-0000-000001490000}"/>
    <cellStyle name="40% - Accent4 2 2 2 6 2 2 2" xfId="20698" xr:uid="{00000000-0005-0000-0000-000002490000}"/>
    <cellStyle name="40% - Accent4 2 2 2 6 2 3" xfId="20701" xr:uid="{00000000-0005-0000-0000-000003490000}"/>
    <cellStyle name="40% - Accent4 2 2 2 6 3" xfId="20705" xr:uid="{00000000-0005-0000-0000-000004490000}"/>
    <cellStyle name="40% - Accent4 2 2 2 6 3 2" xfId="24757" xr:uid="{00000000-0005-0000-0000-000005490000}"/>
    <cellStyle name="40% - Accent4 2 2 2 6 4" xfId="20710" xr:uid="{00000000-0005-0000-0000-000006490000}"/>
    <cellStyle name="40% - Accent4 2 2 2 7" xfId="18774" xr:uid="{00000000-0005-0000-0000-000007490000}"/>
    <cellStyle name="40% - Accent4 2 2 2 7 2" xfId="20711" xr:uid="{00000000-0005-0000-0000-000008490000}"/>
    <cellStyle name="40% - Accent4 2 2 2 7 2 2" xfId="16881" xr:uid="{00000000-0005-0000-0000-000009490000}"/>
    <cellStyle name="40% - Accent4 2 2 2 7 3" xfId="20715" xr:uid="{00000000-0005-0000-0000-00000A490000}"/>
    <cellStyle name="40% - Accent4 2 2 2 8" xfId="29052" xr:uid="{00000000-0005-0000-0000-00000B490000}"/>
    <cellStyle name="40% - Accent4 2 2 2 8 2" xfId="4224" xr:uid="{00000000-0005-0000-0000-00000C490000}"/>
    <cellStyle name="40% - Accent4 2 2 2 9" xfId="30184" xr:uid="{00000000-0005-0000-0000-00000D490000}"/>
    <cellStyle name="40% - Accent4 2 2 3" xfId="21233" xr:uid="{00000000-0005-0000-0000-00000E490000}"/>
    <cellStyle name="40% - Accent4 2 2 3 2" xfId="12012" xr:uid="{00000000-0005-0000-0000-00000F490000}"/>
    <cellStyle name="40% - Accent4 2 2 3 2 2" xfId="18663" xr:uid="{00000000-0005-0000-0000-000010490000}"/>
    <cellStyle name="40% - Accent4 2 2 3 2 2 2" xfId="24713" xr:uid="{00000000-0005-0000-0000-000011490000}"/>
    <cellStyle name="40% - Accent4 2 2 3 2 2 2 2" xfId="16078" xr:uid="{00000000-0005-0000-0000-000012490000}"/>
    <cellStyle name="40% - Accent4 2 2 3 2 2 2 2 2" xfId="14035" xr:uid="{00000000-0005-0000-0000-000013490000}"/>
    <cellStyle name="40% - Accent4 2 2 3 2 2 2 2 2 2" xfId="22385" xr:uid="{00000000-0005-0000-0000-000014490000}"/>
    <cellStyle name="40% - Accent4 2 2 3 2 2 2 2 2 2 2" xfId="30632" xr:uid="{00000000-0005-0000-0000-000015490000}"/>
    <cellStyle name="40% - Accent4 2 2 3 2 2 2 2 2 3" xfId="22388" xr:uid="{00000000-0005-0000-0000-000016490000}"/>
    <cellStyle name="40% - Accent4 2 2 3 2 2 2 2 3" xfId="28629" xr:uid="{00000000-0005-0000-0000-000017490000}"/>
    <cellStyle name="40% - Accent4 2 2 3 2 2 2 2 3 2" xfId="528" xr:uid="{00000000-0005-0000-0000-000018490000}"/>
    <cellStyle name="40% - Accent4 2 2 3 2 2 2 2 4" xfId="14048" xr:uid="{00000000-0005-0000-0000-000019490000}"/>
    <cellStyle name="40% - Accent4 2 2 3 2 2 2 3" xfId="2131" xr:uid="{00000000-0005-0000-0000-00001A490000}"/>
    <cellStyle name="40% - Accent4 2 2 3 2 2 2 3 2" xfId="14057" xr:uid="{00000000-0005-0000-0000-00001B490000}"/>
    <cellStyle name="40% - Accent4 2 2 3 2 2 2 3 2 2" xfId="22401" xr:uid="{00000000-0005-0000-0000-00001C490000}"/>
    <cellStyle name="40% - Accent4 2 2 3 2 2 2 3 3" xfId="14060" xr:uid="{00000000-0005-0000-0000-00001D490000}"/>
    <cellStyle name="40% - Accent4 2 2 3 2 2 2 4" xfId="736" xr:uid="{00000000-0005-0000-0000-00001E490000}"/>
    <cellStyle name="40% - Accent4 2 2 3 2 2 2 4 2" xfId="14069" xr:uid="{00000000-0005-0000-0000-00001F490000}"/>
    <cellStyle name="40% - Accent4 2 2 3 2 2 2 5" xfId="22642" xr:uid="{00000000-0005-0000-0000-000020490000}"/>
    <cellStyle name="40% - Accent4 2 2 3 2 2 3" xfId="20716" xr:uid="{00000000-0005-0000-0000-000021490000}"/>
    <cellStyle name="40% - Accent4 2 2 3 2 2 3 2" xfId="10936" xr:uid="{00000000-0005-0000-0000-000022490000}"/>
    <cellStyle name="40% - Accent4 2 2 3 2 2 3 2 2" xfId="5842" xr:uid="{00000000-0005-0000-0000-000023490000}"/>
    <cellStyle name="40% - Accent4 2 2 3 2 2 3 2 2 2" xfId="24653" xr:uid="{00000000-0005-0000-0000-000024490000}"/>
    <cellStyle name="40% - Accent4 2 2 3 2 2 3 2 3" xfId="14130" xr:uid="{00000000-0005-0000-0000-000025490000}"/>
    <cellStyle name="40% - Accent4 2 2 3 2 2 3 3" xfId="10941" xr:uid="{00000000-0005-0000-0000-000026490000}"/>
    <cellStyle name="40% - Accent4 2 2 3 2 2 3 3 2" xfId="18744" xr:uid="{00000000-0005-0000-0000-000027490000}"/>
    <cellStyle name="40% - Accent4 2 2 3 2 2 3 4" xfId="12870" xr:uid="{00000000-0005-0000-0000-000028490000}"/>
    <cellStyle name="40% - Accent4 2 2 3 2 2 4" xfId="21382" xr:uid="{00000000-0005-0000-0000-000029490000}"/>
    <cellStyle name="40% - Accent4 2 2 3 2 2 4 2" xfId="10944" xr:uid="{00000000-0005-0000-0000-00002A490000}"/>
    <cellStyle name="40% - Accent4 2 2 3 2 2 4 2 2" xfId="14141" xr:uid="{00000000-0005-0000-0000-00002B490000}"/>
    <cellStyle name="40% - Accent4 2 2 3 2 2 4 3" xfId="4856" xr:uid="{00000000-0005-0000-0000-00002C490000}"/>
    <cellStyle name="40% - Accent4 2 2 3 2 2 5" xfId="33603" xr:uid="{00000000-0005-0000-0000-00002D490000}"/>
    <cellStyle name="40% - Accent4 2 2 3 2 2 5 2" xfId="26571" xr:uid="{00000000-0005-0000-0000-00002E490000}"/>
    <cellStyle name="40% - Accent4 2 2 3 2 2 6" xfId="30809" xr:uid="{00000000-0005-0000-0000-00002F490000}"/>
    <cellStyle name="40% - Accent4 2 2 3 2 3" xfId="20922" xr:uid="{00000000-0005-0000-0000-000030490000}"/>
    <cellStyle name="40% - Accent4 2 2 3 2 3 2" xfId="30888" xr:uid="{00000000-0005-0000-0000-000031490000}"/>
    <cellStyle name="40% - Accent4 2 2 3 2 3 2 2" xfId="6414" xr:uid="{00000000-0005-0000-0000-000032490000}"/>
    <cellStyle name="40% - Accent4 2 2 3 2 3 2 2 2" xfId="9570" xr:uid="{00000000-0005-0000-0000-000033490000}"/>
    <cellStyle name="40% - Accent4 2 2 3 2 3 2 2 2 2" xfId="12015" xr:uid="{00000000-0005-0000-0000-000034490000}"/>
    <cellStyle name="40% - Accent4 2 2 3 2 3 2 2 3" xfId="18360" xr:uid="{00000000-0005-0000-0000-000035490000}"/>
    <cellStyle name="40% - Accent4 2 2 3 2 3 2 3" xfId="4676" xr:uid="{00000000-0005-0000-0000-000036490000}"/>
    <cellStyle name="40% - Accent4 2 2 3 2 3 2 3 2" xfId="18364" xr:uid="{00000000-0005-0000-0000-000037490000}"/>
    <cellStyle name="40% - Accent4 2 2 3 2 3 2 4" xfId="20721" xr:uid="{00000000-0005-0000-0000-000038490000}"/>
    <cellStyle name="40% - Accent4 2 2 3 2 3 3" xfId="30898" xr:uid="{00000000-0005-0000-0000-000039490000}"/>
    <cellStyle name="40% - Accent4 2 2 3 2 3 3 2" xfId="10957" xr:uid="{00000000-0005-0000-0000-00003A490000}"/>
    <cellStyle name="40% - Accent4 2 2 3 2 3 3 2 2" xfId="10785" xr:uid="{00000000-0005-0000-0000-00003B490000}"/>
    <cellStyle name="40% - Accent4 2 2 3 2 3 3 3" xfId="20725" xr:uid="{00000000-0005-0000-0000-00003C490000}"/>
    <cellStyle name="40% - Accent4 2 2 3 2 3 4" xfId="30903" xr:uid="{00000000-0005-0000-0000-00003D490000}"/>
    <cellStyle name="40% - Accent4 2 2 3 2 3 4 2" xfId="20729" xr:uid="{00000000-0005-0000-0000-00003E490000}"/>
    <cellStyle name="40% - Accent4 2 2 3 2 3 5" xfId="30915" xr:uid="{00000000-0005-0000-0000-00003F490000}"/>
    <cellStyle name="40% - Accent4 2 2 3 2 4" xfId="20735" xr:uid="{00000000-0005-0000-0000-000040490000}"/>
    <cellStyle name="40% - Accent4 2 2 3 2 4 2" xfId="2334" xr:uid="{00000000-0005-0000-0000-000041490000}"/>
    <cellStyle name="40% - Accent4 2 2 3 2 4 2 2" xfId="25384" xr:uid="{00000000-0005-0000-0000-000042490000}"/>
    <cellStyle name="40% - Accent4 2 2 3 2 4 2 2 2" xfId="18378" xr:uid="{00000000-0005-0000-0000-000043490000}"/>
    <cellStyle name="40% - Accent4 2 2 3 2 4 2 3" xfId="20738" xr:uid="{00000000-0005-0000-0000-000044490000}"/>
    <cellStyle name="40% - Accent4 2 2 3 2 4 3" xfId="5986" xr:uid="{00000000-0005-0000-0000-000045490000}"/>
    <cellStyle name="40% - Accent4 2 2 3 2 4 3 2" xfId="21610" xr:uid="{00000000-0005-0000-0000-000046490000}"/>
    <cellStyle name="40% - Accent4 2 2 3 2 4 4" xfId="723" xr:uid="{00000000-0005-0000-0000-000047490000}"/>
    <cellStyle name="40% - Accent4 2 2 3 2 5" xfId="20744" xr:uid="{00000000-0005-0000-0000-000048490000}"/>
    <cellStyle name="40% - Accent4 2 2 3 2 5 2" xfId="2969" xr:uid="{00000000-0005-0000-0000-000049490000}"/>
    <cellStyle name="40% - Accent4 2 2 3 2 5 2 2" xfId="20746" xr:uid="{00000000-0005-0000-0000-00004A490000}"/>
    <cellStyle name="40% - Accent4 2 2 3 2 5 3" xfId="13875" xr:uid="{00000000-0005-0000-0000-00004B490000}"/>
    <cellStyle name="40% - Accent4 2 2 3 2 6" xfId="28617" xr:uid="{00000000-0005-0000-0000-00004C490000}"/>
    <cellStyle name="40% - Accent4 2 2 3 2 6 2" xfId="33089" xr:uid="{00000000-0005-0000-0000-00004D490000}"/>
    <cellStyle name="40% - Accent4 2 2 3 2 7" xfId="20747" xr:uid="{00000000-0005-0000-0000-00004E490000}"/>
    <cellStyle name="40% - Accent4 2 2 3 3" xfId="20749" xr:uid="{00000000-0005-0000-0000-00004F490000}"/>
    <cellStyle name="40% - Accent4 2 2 3 3 2" xfId="20752" xr:uid="{00000000-0005-0000-0000-000050490000}"/>
    <cellStyle name="40% - Accent4 2 2 3 3 2 2" xfId="30938" xr:uid="{00000000-0005-0000-0000-000051490000}"/>
    <cellStyle name="40% - Accent4 2 2 3 3 2 2 2" xfId="23522" xr:uid="{00000000-0005-0000-0000-000052490000}"/>
    <cellStyle name="40% - Accent4 2 2 3 3 2 2 2 2" xfId="23638" xr:uid="{00000000-0005-0000-0000-000053490000}"/>
    <cellStyle name="40% - Accent4 2 2 3 3 2 2 2 2 2" xfId="25141" xr:uid="{00000000-0005-0000-0000-000054490000}"/>
    <cellStyle name="40% - Accent4 2 2 3 3 2 2 2 3" xfId="23655" xr:uid="{00000000-0005-0000-0000-000055490000}"/>
    <cellStyle name="40% - Accent4 2 2 3 3 2 2 3" xfId="814" xr:uid="{00000000-0005-0000-0000-000056490000}"/>
    <cellStyle name="40% - Accent4 2 2 3 3 2 2 3 2" xfId="23492" xr:uid="{00000000-0005-0000-0000-000057490000}"/>
    <cellStyle name="40% - Accent4 2 2 3 3 2 2 4" xfId="27235" xr:uid="{00000000-0005-0000-0000-000058490000}"/>
    <cellStyle name="40% - Accent4 2 2 3 3 2 3" xfId="20756" xr:uid="{00000000-0005-0000-0000-000059490000}"/>
    <cellStyle name="40% - Accent4 2 2 3 3 2 3 2" xfId="12542" xr:uid="{00000000-0005-0000-0000-00005A490000}"/>
    <cellStyle name="40% - Accent4 2 2 3 3 2 3 2 2" xfId="25954" xr:uid="{00000000-0005-0000-0000-00005B490000}"/>
    <cellStyle name="40% - Accent4 2 2 3 3 2 3 3" xfId="6847" xr:uid="{00000000-0005-0000-0000-00005C490000}"/>
    <cellStyle name="40% - Accent4 2 2 3 3 2 4" xfId="5240" xr:uid="{00000000-0005-0000-0000-00005D490000}"/>
    <cellStyle name="40% - Accent4 2 2 3 3 2 4 2" xfId="12544" xr:uid="{00000000-0005-0000-0000-00005E490000}"/>
    <cellStyle name="40% - Accent4 2 2 3 3 2 5" xfId="20766" xr:uid="{00000000-0005-0000-0000-00005F490000}"/>
    <cellStyle name="40% - Accent4 2 2 3 3 3" xfId="20774" xr:uid="{00000000-0005-0000-0000-000060490000}"/>
    <cellStyle name="40% - Accent4 2 2 3 3 3 2" xfId="20782" xr:uid="{00000000-0005-0000-0000-000061490000}"/>
    <cellStyle name="40% - Accent4 2 2 3 3 3 2 2" xfId="25419" xr:uid="{00000000-0005-0000-0000-000062490000}"/>
    <cellStyle name="40% - Accent4 2 2 3 3 3 2 2 2" xfId="24112" xr:uid="{00000000-0005-0000-0000-000063490000}"/>
    <cellStyle name="40% - Accent4 2 2 3 3 3 2 3" xfId="20787" xr:uid="{00000000-0005-0000-0000-000064490000}"/>
    <cellStyle name="40% - Accent4 2 2 3 3 3 3" xfId="20791" xr:uid="{00000000-0005-0000-0000-000065490000}"/>
    <cellStyle name="40% - Accent4 2 2 3 3 3 3 2" xfId="898" xr:uid="{00000000-0005-0000-0000-000066490000}"/>
    <cellStyle name="40% - Accent4 2 2 3 3 3 4" xfId="20799" xr:uid="{00000000-0005-0000-0000-000067490000}"/>
    <cellStyle name="40% - Accent4 2 2 3 3 4" xfId="18865" xr:uid="{00000000-0005-0000-0000-000068490000}"/>
    <cellStyle name="40% - Accent4 2 2 3 3 4 2" xfId="20807" xr:uid="{00000000-0005-0000-0000-000069490000}"/>
    <cellStyle name="40% - Accent4 2 2 3 3 4 2 2" xfId="20809" xr:uid="{00000000-0005-0000-0000-00006A490000}"/>
    <cellStyle name="40% - Accent4 2 2 3 3 4 3" xfId="7592" xr:uid="{00000000-0005-0000-0000-00006B490000}"/>
    <cellStyle name="40% - Accent4 2 2 3 3 5" xfId="20812" xr:uid="{00000000-0005-0000-0000-00006C490000}"/>
    <cellStyle name="40% - Accent4 2 2 3 3 5 2" xfId="20813" xr:uid="{00000000-0005-0000-0000-00006D490000}"/>
    <cellStyle name="40% - Accent4 2 2 3 3 6" xfId="20816" xr:uid="{00000000-0005-0000-0000-00006E490000}"/>
    <cellStyle name="40% - Accent4 2 2 3 4" xfId="20818" xr:uid="{00000000-0005-0000-0000-00006F490000}"/>
    <cellStyle name="40% - Accent4 2 2 3 4 2" xfId="20820" xr:uid="{00000000-0005-0000-0000-000070490000}"/>
    <cellStyle name="40% - Accent4 2 2 3 4 2 2" xfId="20832" xr:uid="{00000000-0005-0000-0000-000071490000}"/>
    <cellStyle name="40% - Accent4 2 2 3 4 2 2 2" xfId="23121" xr:uid="{00000000-0005-0000-0000-000072490000}"/>
    <cellStyle name="40% - Accent4 2 2 3 4 2 2 2 2" xfId="30441" xr:uid="{00000000-0005-0000-0000-000073490000}"/>
    <cellStyle name="40% - Accent4 2 2 3 4 2 2 3" xfId="20833" xr:uid="{00000000-0005-0000-0000-000074490000}"/>
    <cellStyle name="40% - Accent4 2 2 3 4 2 3" xfId="20837" xr:uid="{00000000-0005-0000-0000-000075490000}"/>
    <cellStyle name="40% - Accent4 2 2 3 4 2 3 2" xfId="14234" xr:uid="{00000000-0005-0000-0000-000076490000}"/>
    <cellStyle name="40% - Accent4 2 2 3 4 2 4" xfId="13461" xr:uid="{00000000-0005-0000-0000-000077490000}"/>
    <cellStyle name="40% - Accent4 2 2 3 4 3" xfId="20842" xr:uid="{00000000-0005-0000-0000-000078490000}"/>
    <cellStyle name="40% - Accent4 2 2 3 4 3 2" xfId="15070" xr:uid="{00000000-0005-0000-0000-000079490000}"/>
    <cellStyle name="40% - Accent4 2 2 3 4 3 2 2" xfId="20844" xr:uid="{00000000-0005-0000-0000-00007A490000}"/>
    <cellStyle name="40% - Accent4 2 2 3 4 3 3" xfId="15074" xr:uid="{00000000-0005-0000-0000-00007B490000}"/>
    <cellStyle name="40% - Accent4 2 2 3 4 4" xfId="20848" xr:uid="{00000000-0005-0000-0000-00007C490000}"/>
    <cellStyle name="40% - Accent4 2 2 3 4 4 2" xfId="15103" xr:uid="{00000000-0005-0000-0000-00007D490000}"/>
    <cellStyle name="40% - Accent4 2 2 3 4 5" xfId="20854" xr:uid="{00000000-0005-0000-0000-00007E490000}"/>
    <cellStyle name="40% - Accent4 2 2 3 5" xfId="15470" xr:uid="{00000000-0005-0000-0000-00007F490000}"/>
    <cellStyle name="40% - Accent4 2 2 3 5 2" xfId="20859" xr:uid="{00000000-0005-0000-0000-000080490000}"/>
    <cellStyle name="40% - Accent4 2 2 3 5 2 2" xfId="20869" xr:uid="{00000000-0005-0000-0000-000081490000}"/>
    <cellStyle name="40% - Accent4 2 2 3 5 2 2 2" xfId="20871" xr:uid="{00000000-0005-0000-0000-000082490000}"/>
    <cellStyle name="40% - Accent4 2 2 3 5 2 3" xfId="20873" xr:uid="{00000000-0005-0000-0000-000083490000}"/>
    <cellStyle name="40% - Accent4 2 2 3 5 3" xfId="20876" xr:uid="{00000000-0005-0000-0000-000084490000}"/>
    <cellStyle name="40% - Accent4 2 2 3 5 3 2" xfId="15155" xr:uid="{00000000-0005-0000-0000-000085490000}"/>
    <cellStyle name="40% - Accent4 2 2 3 5 4" xfId="20880" xr:uid="{00000000-0005-0000-0000-000086490000}"/>
    <cellStyle name="40% - Accent4 2 2 3 6" xfId="18782" xr:uid="{00000000-0005-0000-0000-000087490000}"/>
    <cellStyle name="40% - Accent4 2 2 3 6 2" xfId="20883" xr:uid="{00000000-0005-0000-0000-000088490000}"/>
    <cellStyle name="40% - Accent4 2 2 3 6 2 2" xfId="20886" xr:uid="{00000000-0005-0000-0000-000089490000}"/>
    <cellStyle name="40% - Accent4 2 2 3 6 3" xfId="20889" xr:uid="{00000000-0005-0000-0000-00008A490000}"/>
    <cellStyle name="40% - Accent4 2 2 3 7" xfId="33198" xr:uid="{00000000-0005-0000-0000-00008B490000}"/>
    <cellStyle name="40% - Accent4 2 2 3 7 2" xfId="20891" xr:uid="{00000000-0005-0000-0000-00008C490000}"/>
    <cellStyle name="40% - Accent4 2 2 3 8" xfId="20892" xr:uid="{00000000-0005-0000-0000-00008D490000}"/>
    <cellStyle name="40% - Accent4 2 2 4" xfId="20894" xr:uid="{00000000-0005-0000-0000-00008E490000}"/>
    <cellStyle name="40% - Accent4 2 2 4 2" xfId="20902" xr:uid="{00000000-0005-0000-0000-00008F490000}"/>
    <cellStyle name="40% - Accent4 2 2 4 2 2" xfId="684" xr:uid="{00000000-0005-0000-0000-000090490000}"/>
    <cellStyle name="40% - Accent4 2 2 4 2 2 2" xfId="20907" xr:uid="{00000000-0005-0000-0000-000091490000}"/>
    <cellStyle name="40% - Accent4 2 2 4 2 2 2 2" xfId="20911" xr:uid="{00000000-0005-0000-0000-000092490000}"/>
    <cellStyle name="40% - Accent4 2 2 4 2 2 2 2 2" xfId="27122" xr:uid="{00000000-0005-0000-0000-000093490000}"/>
    <cellStyle name="40% - Accent4 2 2 4 2 2 2 2 2 2" xfId="20914" xr:uid="{00000000-0005-0000-0000-000094490000}"/>
    <cellStyle name="40% - Accent4 2 2 4 2 2 2 2 3" xfId="26305" xr:uid="{00000000-0005-0000-0000-000095490000}"/>
    <cellStyle name="40% - Accent4 2 2 4 2 2 2 3" xfId="20468" xr:uid="{00000000-0005-0000-0000-000096490000}"/>
    <cellStyle name="40% - Accent4 2 2 4 2 2 2 3 2" xfId="4280" xr:uid="{00000000-0005-0000-0000-000097490000}"/>
    <cellStyle name="40% - Accent4 2 2 4 2 2 2 4" xfId="20492" xr:uid="{00000000-0005-0000-0000-000098490000}"/>
    <cellStyle name="40% - Accent4 2 2 4 2 2 3" xfId="20917" xr:uid="{00000000-0005-0000-0000-000099490000}"/>
    <cellStyle name="40% - Accent4 2 2 4 2 2 3 2" xfId="20555" xr:uid="{00000000-0005-0000-0000-00009A490000}"/>
    <cellStyle name="40% - Accent4 2 2 4 2 2 3 2 2" xfId="20222" xr:uid="{00000000-0005-0000-0000-00009B490000}"/>
    <cellStyle name="40% - Accent4 2 2 4 2 2 3 3" xfId="25818" xr:uid="{00000000-0005-0000-0000-00009C490000}"/>
    <cellStyle name="40% - Accent4 2 2 4 2 2 4" xfId="12258" xr:uid="{00000000-0005-0000-0000-00009D490000}"/>
    <cellStyle name="40% - Accent4 2 2 4 2 2 4 2" xfId="20624" xr:uid="{00000000-0005-0000-0000-00009E490000}"/>
    <cellStyle name="40% - Accent4 2 2 4 2 2 5" xfId="13444" xr:uid="{00000000-0005-0000-0000-00009F490000}"/>
    <cellStyle name="40% - Accent4 2 2 4 2 3" xfId="20925" xr:uid="{00000000-0005-0000-0000-0000A0490000}"/>
    <cellStyle name="40% - Accent4 2 2 4 2 3 2" xfId="20919" xr:uid="{00000000-0005-0000-0000-0000A1490000}"/>
    <cellStyle name="40% - Accent4 2 2 4 2 3 2 2" xfId="20921" xr:uid="{00000000-0005-0000-0000-0000A2490000}"/>
    <cellStyle name="40% - Accent4 2 2 4 2 3 2 2 2" xfId="11749" xr:uid="{00000000-0005-0000-0000-0000A3490000}"/>
    <cellStyle name="40% - Accent4 2 2 4 2 3 2 3" xfId="20734" xr:uid="{00000000-0005-0000-0000-0000A4490000}"/>
    <cellStyle name="40% - Accent4 2 2 4 2 3 3" xfId="24491" xr:uid="{00000000-0005-0000-0000-0000A5490000}"/>
    <cellStyle name="40% - Accent4 2 2 4 2 3 3 2" xfId="20775" xr:uid="{00000000-0005-0000-0000-0000A6490000}"/>
    <cellStyle name="40% - Accent4 2 2 4 2 3 4" xfId="13465" xr:uid="{00000000-0005-0000-0000-0000A7490000}"/>
    <cellStyle name="40% - Accent4 2 2 4 2 4" xfId="6518" xr:uid="{00000000-0005-0000-0000-0000A8490000}"/>
    <cellStyle name="40% - Accent4 2 2 4 2 4 2" xfId="20923" xr:uid="{00000000-0005-0000-0000-0000A9490000}"/>
    <cellStyle name="40% - Accent4 2 2 4 2 4 2 2" xfId="20924" xr:uid="{00000000-0005-0000-0000-0000AA490000}"/>
    <cellStyle name="40% - Accent4 2 2 4 2 4 3" xfId="997" xr:uid="{00000000-0005-0000-0000-0000AB490000}"/>
    <cellStyle name="40% - Accent4 2 2 4 2 5" xfId="20927" xr:uid="{00000000-0005-0000-0000-0000AC490000}"/>
    <cellStyle name="40% - Accent4 2 2 4 2 5 2" xfId="20933" xr:uid="{00000000-0005-0000-0000-0000AD490000}"/>
    <cellStyle name="40% - Accent4 2 2 4 2 6" xfId="20940" xr:uid="{00000000-0005-0000-0000-0000AE490000}"/>
    <cellStyle name="40% - Accent4 2 2 4 3" xfId="20943" xr:uid="{00000000-0005-0000-0000-0000AF490000}"/>
    <cellStyle name="40% - Accent4 2 2 4 3 2" xfId="20946" xr:uid="{00000000-0005-0000-0000-0000B0490000}"/>
    <cellStyle name="40% - Accent4 2 2 4 3 2 2" xfId="20953" xr:uid="{00000000-0005-0000-0000-0000B1490000}"/>
    <cellStyle name="40% - Accent4 2 2 4 3 2 2 2" xfId="20962" xr:uid="{00000000-0005-0000-0000-0000B2490000}"/>
    <cellStyle name="40% - Accent4 2 2 4 3 2 2 2 2" xfId="20971" xr:uid="{00000000-0005-0000-0000-0000B3490000}"/>
    <cellStyle name="40% - Accent4 2 2 4 3 2 2 3" xfId="21179" xr:uid="{00000000-0005-0000-0000-0000B4490000}"/>
    <cellStyle name="40% - Accent4 2 2 4 3 2 3" xfId="20965" xr:uid="{00000000-0005-0000-0000-0000B5490000}"/>
    <cellStyle name="40% - Accent4 2 2 4 3 2 3 2" xfId="31114" xr:uid="{00000000-0005-0000-0000-0000B6490000}"/>
    <cellStyle name="40% - Accent4 2 2 4 3 2 4" xfId="6947" xr:uid="{00000000-0005-0000-0000-0000B7490000}"/>
    <cellStyle name="40% - Accent4 2 2 4 3 3" xfId="21520" xr:uid="{00000000-0005-0000-0000-0000B8490000}"/>
    <cellStyle name="40% - Accent4 2 2 4 3 3 2" xfId="20979" xr:uid="{00000000-0005-0000-0000-0000B9490000}"/>
    <cellStyle name="40% - Accent4 2 2 4 3 3 2 2" xfId="21015" xr:uid="{00000000-0005-0000-0000-0000BA490000}"/>
    <cellStyle name="40% - Accent4 2 2 4 3 3 3" xfId="20986" xr:uid="{00000000-0005-0000-0000-0000BB490000}"/>
    <cellStyle name="40% - Accent4 2 2 4 3 4" xfId="20988" xr:uid="{00000000-0005-0000-0000-0000BC490000}"/>
    <cellStyle name="40% - Accent4 2 2 4 3 4 2" xfId="20992" xr:uid="{00000000-0005-0000-0000-0000BD490000}"/>
    <cellStyle name="40% - Accent4 2 2 4 3 5" xfId="19644" xr:uid="{00000000-0005-0000-0000-0000BE490000}"/>
    <cellStyle name="40% - Accent4 2 2 4 4" xfId="20997" xr:uid="{00000000-0005-0000-0000-0000BF490000}"/>
    <cellStyle name="40% - Accent4 2 2 4 4 2" xfId="21000" xr:uid="{00000000-0005-0000-0000-0000C0490000}"/>
    <cellStyle name="40% - Accent4 2 2 4 4 2 2" xfId="21011" xr:uid="{00000000-0005-0000-0000-0000C1490000}"/>
    <cellStyle name="40% - Accent4 2 2 4 4 2 2 2" xfId="21583" xr:uid="{00000000-0005-0000-0000-0000C2490000}"/>
    <cellStyle name="40% - Accent4 2 2 4 4 2 3" xfId="21020" xr:uid="{00000000-0005-0000-0000-0000C3490000}"/>
    <cellStyle name="40% - Accent4 2 2 4 4 3" xfId="21024" xr:uid="{00000000-0005-0000-0000-0000C4490000}"/>
    <cellStyle name="40% - Accent4 2 2 4 4 3 2" xfId="16174" xr:uid="{00000000-0005-0000-0000-0000C5490000}"/>
    <cellStyle name="40% - Accent4 2 2 4 4 4" xfId="21028" xr:uid="{00000000-0005-0000-0000-0000C6490000}"/>
    <cellStyle name="40% - Accent4 2 2 4 5" xfId="18792" xr:uid="{00000000-0005-0000-0000-0000C7490000}"/>
    <cellStyle name="40% - Accent4 2 2 4 5 2" xfId="21031" xr:uid="{00000000-0005-0000-0000-0000C8490000}"/>
    <cellStyle name="40% - Accent4 2 2 4 5 2 2" xfId="21036" xr:uid="{00000000-0005-0000-0000-0000C9490000}"/>
    <cellStyle name="40% - Accent4 2 2 4 5 3" xfId="21039" xr:uid="{00000000-0005-0000-0000-0000CA490000}"/>
    <cellStyle name="40% - Accent4 2 2 4 6" xfId="1377" xr:uid="{00000000-0005-0000-0000-0000CB490000}"/>
    <cellStyle name="40% - Accent4 2 2 4 6 2" xfId="18444" xr:uid="{00000000-0005-0000-0000-0000CC490000}"/>
    <cellStyle name="40% - Accent4 2 2 4 7" xfId="2435" xr:uid="{00000000-0005-0000-0000-0000CD490000}"/>
    <cellStyle name="40% - Accent4 2 2 5" xfId="21040" xr:uid="{00000000-0005-0000-0000-0000CE490000}"/>
    <cellStyle name="40% - Accent4 2 2 5 2" xfId="21043" xr:uid="{00000000-0005-0000-0000-0000CF490000}"/>
    <cellStyle name="40% - Accent4 2 2 5 2 2" xfId="33205" xr:uid="{00000000-0005-0000-0000-0000D0490000}"/>
    <cellStyle name="40% - Accent4 2 2 5 2 2 2" xfId="21045" xr:uid="{00000000-0005-0000-0000-0000D1490000}"/>
    <cellStyle name="40% - Accent4 2 2 5 2 2 2 2" xfId="6526" xr:uid="{00000000-0005-0000-0000-0000D2490000}"/>
    <cellStyle name="40% - Accent4 2 2 5 2 2 2 2 2" xfId="21047" xr:uid="{00000000-0005-0000-0000-0000D3490000}"/>
    <cellStyle name="40% - Accent4 2 2 5 2 2 2 3" xfId="21953" xr:uid="{00000000-0005-0000-0000-0000D4490000}"/>
    <cellStyle name="40% - Accent4 2 2 5 2 2 3" xfId="21049" xr:uid="{00000000-0005-0000-0000-0000D5490000}"/>
    <cellStyle name="40% - Accent4 2 2 5 2 2 3 2" xfId="29876" xr:uid="{00000000-0005-0000-0000-0000D6490000}"/>
    <cellStyle name="40% - Accent4 2 2 5 2 2 4" xfId="13592" xr:uid="{00000000-0005-0000-0000-0000D7490000}"/>
    <cellStyle name="40% - Accent4 2 2 5 2 3" xfId="31427" xr:uid="{00000000-0005-0000-0000-0000D8490000}"/>
    <cellStyle name="40% - Accent4 2 2 5 2 3 2" xfId="21050" xr:uid="{00000000-0005-0000-0000-0000D9490000}"/>
    <cellStyle name="40% - Accent4 2 2 5 2 3 2 2" xfId="21056" xr:uid="{00000000-0005-0000-0000-0000DA490000}"/>
    <cellStyle name="40% - Accent4 2 2 5 2 3 3" xfId="21059" xr:uid="{00000000-0005-0000-0000-0000DB490000}"/>
    <cellStyle name="40% - Accent4 2 2 5 2 4" xfId="21061" xr:uid="{00000000-0005-0000-0000-0000DC490000}"/>
    <cellStyle name="40% - Accent4 2 2 5 2 4 2" xfId="21066" xr:uid="{00000000-0005-0000-0000-0000DD490000}"/>
    <cellStyle name="40% - Accent4 2 2 5 2 5" xfId="12106" xr:uid="{00000000-0005-0000-0000-0000DE490000}"/>
    <cellStyle name="40% - Accent4 2 2 5 3" xfId="33337" xr:uid="{00000000-0005-0000-0000-0000DF490000}"/>
    <cellStyle name="40% - Accent4 2 2 5 3 2" xfId="27492" xr:uid="{00000000-0005-0000-0000-0000E0490000}"/>
    <cellStyle name="40% - Accent4 2 2 5 3 2 2" xfId="21070" xr:uid="{00000000-0005-0000-0000-0000E1490000}"/>
    <cellStyle name="40% - Accent4 2 2 5 3 2 2 2" xfId="27982" xr:uid="{00000000-0005-0000-0000-0000E2490000}"/>
    <cellStyle name="40% - Accent4 2 2 5 3 2 3" xfId="21074" xr:uid="{00000000-0005-0000-0000-0000E3490000}"/>
    <cellStyle name="40% - Accent4 2 2 5 3 3" xfId="21081" xr:uid="{00000000-0005-0000-0000-0000E4490000}"/>
    <cellStyle name="40% - Accent4 2 2 5 3 3 2" xfId="21084" xr:uid="{00000000-0005-0000-0000-0000E5490000}"/>
    <cellStyle name="40% - Accent4 2 2 5 3 4" xfId="21090" xr:uid="{00000000-0005-0000-0000-0000E6490000}"/>
    <cellStyle name="40% - Accent4 2 2 5 4" xfId="27083" xr:uid="{00000000-0005-0000-0000-0000E7490000}"/>
    <cellStyle name="40% - Accent4 2 2 5 4 2" xfId="21094" xr:uid="{00000000-0005-0000-0000-0000E8490000}"/>
    <cellStyle name="40% - Accent4 2 2 5 4 2 2" xfId="21101" xr:uid="{00000000-0005-0000-0000-0000E9490000}"/>
    <cellStyle name="40% - Accent4 2 2 5 4 3" xfId="21106" xr:uid="{00000000-0005-0000-0000-0000EA490000}"/>
    <cellStyle name="40% - Accent4 2 2 5 5" xfId="31802" xr:uid="{00000000-0005-0000-0000-0000EB490000}"/>
    <cellStyle name="40% - Accent4 2 2 5 5 2" xfId="21108" xr:uid="{00000000-0005-0000-0000-0000EC490000}"/>
    <cellStyle name="40% - Accent4 2 2 5 6" xfId="18453" xr:uid="{00000000-0005-0000-0000-0000ED490000}"/>
    <cellStyle name="40% - Accent4 2 2 6" xfId="21110" xr:uid="{00000000-0005-0000-0000-0000EE490000}"/>
    <cellStyle name="40% - Accent4 2 2 6 2" xfId="21117" xr:uid="{00000000-0005-0000-0000-0000EF490000}"/>
    <cellStyle name="40% - Accent4 2 2 6 2 2" xfId="21119" xr:uid="{00000000-0005-0000-0000-0000F0490000}"/>
    <cellStyle name="40% - Accent4 2 2 6 2 2 2" xfId="21257" xr:uid="{00000000-0005-0000-0000-0000F1490000}"/>
    <cellStyle name="40% - Accent4 2 2 6 2 2 2 2" xfId="22696" xr:uid="{00000000-0005-0000-0000-0000F2490000}"/>
    <cellStyle name="40% - Accent4 2 2 6 2 2 3" xfId="21123" xr:uid="{00000000-0005-0000-0000-0000F3490000}"/>
    <cellStyle name="40% - Accent4 2 2 6 2 3" xfId="21126" xr:uid="{00000000-0005-0000-0000-0000F4490000}"/>
    <cellStyle name="40% - Accent4 2 2 6 2 3 2" xfId="21003" xr:uid="{00000000-0005-0000-0000-0000F5490000}"/>
    <cellStyle name="40% - Accent4 2 2 6 2 4" xfId="21128" xr:uid="{00000000-0005-0000-0000-0000F6490000}"/>
    <cellStyle name="40% - Accent4 2 2 6 3" xfId="21130" xr:uid="{00000000-0005-0000-0000-0000F7490000}"/>
    <cellStyle name="40% - Accent4 2 2 6 3 2" xfId="21131" xr:uid="{00000000-0005-0000-0000-0000F8490000}"/>
    <cellStyle name="40% - Accent4 2 2 6 3 2 2" xfId="19986" xr:uid="{00000000-0005-0000-0000-0000F9490000}"/>
    <cellStyle name="40% - Accent4 2 2 6 3 3" xfId="21134" xr:uid="{00000000-0005-0000-0000-0000FA490000}"/>
    <cellStyle name="40% - Accent4 2 2 6 4" xfId="21136" xr:uid="{00000000-0005-0000-0000-0000FB490000}"/>
    <cellStyle name="40% - Accent4 2 2 6 4 2" xfId="21137" xr:uid="{00000000-0005-0000-0000-0000FC490000}"/>
    <cellStyle name="40% - Accent4 2 2 6 5" xfId="21139" xr:uid="{00000000-0005-0000-0000-0000FD490000}"/>
    <cellStyle name="40% - Accent4 2 2 7" xfId="5843" xr:uid="{00000000-0005-0000-0000-0000FE490000}"/>
    <cellStyle name="40% - Accent4 2 2 7 2" xfId="9604" xr:uid="{00000000-0005-0000-0000-0000FF490000}"/>
    <cellStyle name="40% - Accent4 2 2 7 2 2" xfId="14125" xr:uid="{00000000-0005-0000-0000-0000004A0000}"/>
    <cellStyle name="40% - Accent4 2 2 7 2 2 2" xfId="22331" xr:uid="{00000000-0005-0000-0000-0000014A0000}"/>
    <cellStyle name="40% - Accent4 2 2 7 2 3" xfId="21143" xr:uid="{00000000-0005-0000-0000-0000024A0000}"/>
    <cellStyle name="40% - Accent4 2 2 7 3" xfId="11772" xr:uid="{00000000-0005-0000-0000-0000034A0000}"/>
    <cellStyle name="40% - Accent4 2 2 7 3 2" xfId="21144" xr:uid="{00000000-0005-0000-0000-0000044A0000}"/>
    <cellStyle name="40% - Accent4 2 2 7 4" xfId="21145" xr:uid="{00000000-0005-0000-0000-0000054A0000}"/>
    <cellStyle name="40% - Accent4 2 2 8" xfId="14131" xr:uid="{00000000-0005-0000-0000-0000064A0000}"/>
    <cellStyle name="40% - Accent4 2 2 8 2" xfId="18379" xr:uid="{00000000-0005-0000-0000-0000074A0000}"/>
    <cellStyle name="40% - Accent4 2 2 8 2 2" xfId="30614" xr:uid="{00000000-0005-0000-0000-0000084A0000}"/>
    <cellStyle name="40% - Accent4 2 2 8 3" xfId="32308" xr:uid="{00000000-0005-0000-0000-0000094A0000}"/>
    <cellStyle name="40% - Accent4 2 2 9" xfId="16950" xr:uid="{00000000-0005-0000-0000-00000A4A0000}"/>
    <cellStyle name="40% - Accent4 2 2 9 2" xfId="33319" xr:uid="{00000000-0005-0000-0000-00000B4A0000}"/>
    <cellStyle name="40% - Accent4 2 3" xfId="11770" xr:uid="{00000000-0005-0000-0000-00000C4A0000}"/>
    <cellStyle name="40% - Accent4 2 3 2" xfId="20124" xr:uid="{00000000-0005-0000-0000-00000D4A0000}"/>
    <cellStyle name="40% - Accent4 2 3 2 2" xfId="20128" xr:uid="{00000000-0005-0000-0000-00000E4A0000}"/>
    <cellStyle name="40% - Accent4 2 3 2 2 2" xfId="27446" xr:uid="{00000000-0005-0000-0000-00000F4A0000}"/>
    <cellStyle name="40% - Accent4 2 3 2 2 2 2" xfId="1685" xr:uid="{00000000-0005-0000-0000-0000104A0000}"/>
    <cellStyle name="40% - Accent4 2 3 2 2 2 2 2" xfId="30091" xr:uid="{00000000-0005-0000-0000-0000114A0000}"/>
    <cellStyle name="40% - Accent4 2 3 2 2 2 2 2 2" xfId="19709" xr:uid="{00000000-0005-0000-0000-0000124A0000}"/>
    <cellStyle name="40% - Accent4 2 3 2 2 2 2 2 2 2" xfId="21147" xr:uid="{00000000-0005-0000-0000-0000134A0000}"/>
    <cellStyle name="40% - Accent4 2 3 2 2 2 2 2 2 2 2" xfId="22906" xr:uid="{00000000-0005-0000-0000-0000144A0000}"/>
    <cellStyle name="40% - Accent4 2 3 2 2 2 2 2 2 3" xfId="15934" xr:uid="{00000000-0005-0000-0000-0000154A0000}"/>
    <cellStyle name="40% - Accent4 2 3 2 2 2 2 2 3" xfId="7647" xr:uid="{00000000-0005-0000-0000-0000164A0000}"/>
    <cellStyle name="40% - Accent4 2 3 2 2 2 2 2 3 2" xfId="29094" xr:uid="{00000000-0005-0000-0000-0000174A0000}"/>
    <cellStyle name="40% - Accent4 2 3 2 2 2 2 2 4" xfId="12310" xr:uid="{00000000-0005-0000-0000-0000184A0000}"/>
    <cellStyle name="40% - Accent4 2 3 2 2 2 2 3" xfId="28543" xr:uid="{00000000-0005-0000-0000-0000194A0000}"/>
    <cellStyle name="40% - Accent4 2 3 2 2 2 2 3 2" xfId="17440" xr:uid="{00000000-0005-0000-0000-00001A4A0000}"/>
    <cellStyle name="40% - Accent4 2 3 2 2 2 2 3 2 2" xfId="21152" xr:uid="{00000000-0005-0000-0000-00001B4A0000}"/>
    <cellStyle name="40% - Accent4 2 3 2 2 2 2 3 3" xfId="12318" xr:uid="{00000000-0005-0000-0000-00001C4A0000}"/>
    <cellStyle name="40% - Accent4 2 3 2 2 2 2 4" xfId="21153" xr:uid="{00000000-0005-0000-0000-00001D4A0000}"/>
    <cellStyle name="40% - Accent4 2 3 2 2 2 2 4 2" xfId="13567" xr:uid="{00000000-0005-0000-0000-00001E4A0000}"/>
    <cellStyle name="40% - Accent4 2 3 2 2 2 2 5" xfId="21158" xr:uid="{00000000-0005-0000-0000-00001F4A0000}"/>
    <cellStyle name="40% - Accent4 2 3 2 2 2 3" xfId="28512" xr:uid="{00000000-0005-0000-0000-0000204A0000}"/>
    <cellStyle name="40% - Accent4 2 3 2 2 2 3 2" xfId="289" xr:uid="{00000000-0005-0000-0000-0000214A0000}"/>
    <cellStyle name="40% - Accent4 2 3 2 2 2 3 2 2" xfId="12066" xr:uid="{00000000-0005-0000-0000-0000224A0000}"/>
    <cellStyle name="40% - Accent4 2 3 2 2 2 3 2 2 2" xfId="21161" xr:uid="{00000000-0005-0000-0000-0000234A0000}"/>
    <cellStyle name="40% - Accent4 2 3 2 2 2 3 2 3" xfId="12075" xr:uid="{00000000-0005-0000-0000-0000244A0000}"/>
    <cellStyle name="40% - Accent4 2 3 2 2 2 3 3" xfId="642" xr:uid="{00000000-0005-0000-0000-0000254A0000}"/>
    <cellStyle name="40% - Accent4 2 3 2 2 2 3 3 2" xfId="7280" xr:uid="{00000000-0005-0000-0000-0000264A0000}"/>
    <cellStyle name="40% - Accent4 2 3 2 2 2 3 4" xfId="769" xr:uid="{00000000-0005-0000-0000-0000274A0000}"/>
    <cellStyle name="40% - Accent4 2 3 2 2 2 4" xfId="30170" xr:uid="{00000000-0005-0000-0000-0000284A0000}"/>
    <cellStyle name="40% - Accent4 2 3 2 2 2 4 2" xfId="10823" xr:uid="{00000000-0005-0000-0000-0000294A0000}"/>
    <cellStyle name="40% - Accent4 2 3 2 2 2 4 2 2" xfId="12078" xr:uid="{00000000-0005-0000-0000-00002A4A0000}"/>
    <cellStyle name="40% - Accent4 2 3 2 2 2 4 3" xfId="5263" xr:uid="{00000000-0005-0000-0000-00002B4A0000}"/>
    <cellStyle name="40% - Accent4 2 3 2 2 2 5" xfId="28531" xr:uid="{00000000-0005-0000-0000-00002C4A0000}"/>
    <cellStyle name="40% - Accent4 2 3 2 2 2 5 2" xfId="6113" xr:uid="{00000000-0005-0000-0000-00002D4A0000}"/>
    <cellStyle name="40% - Accent4 2 3 2 2 2 6" xfId="21164" xr:uid="{00000000-0005-0000-0000-00002E4A0000}"/>
    <cellStyle name="40% - Accent4 2 3 2 2 3" xfId="20961" xr:uid="{00000000-0005-0000-0000-00002F4A0000}"/>
    <cellStyle name="40% - Accent4 2 3 2 2 3 2" xfId="21166" xr:uid="{00000000-0005-0000-0000-0000304A0000}"/>
    <cellStyle name="40% - Accent4 2 3 2 2 3 2 2" xfId="3075" xr:uid="{00000000-0005-0000-0000-0000314A0000}"/>
    <cellStyle name="40% - Accent4 2 3 2 2 3 2 2 2" xfId="13729" xr:uid="{00000000-0005-0000-0000-0000324A0000}"/>
    <cellStyle name="40% - Accent4 2 3 2 2 3 2 2 2 2" xfId="21617" xr:uid="{00000000-0005-0000-0000-0000334A0000}"/>
    <cellStyle name="40% - Accent4 2 3 2 2 3 2 2 3" xfId="9292" xr:uid="{00000000-0005-0000-0000-0000344A0000}"/>
    <cellStyle name="40% - Accent4 2 3 2 2 3 2 3" xfId="22644" xr:uid="{00000000-0005-0000-0000-0000354A0000}"/>
    <cellStyle name="40% - Accent4 2 3 2 2 3 2 3 2" xfId="13739" xr:uid="{00000000-0005-0000-0000-0000364A0000}"/>
    <cellStyle name="40% - Accent4 2 3 2 2 3 2 4" xfId="21167" xr:uid="{00000000-0005-0000-0000-0000374A0000}"/>
    <cellStyle name="40% - Accent4 2 3 2 2 3 3" xfId="28534" xr:uid="{00000000-0005-0000-0000-0000384A0000}"/>
    <cellStyle name="40% - Accent4 2 3 2 2 3 3 2" xfId="329" xr:uid="{00000000-0005-0000-0000-0000394A0000}"/>
    <cellStyle name="40% - Accent4 2 3 2 2 3 3 2 2" xfId="12089" xr:uid="{00000000-0005-0000-0000-00003A4A0000}"/>
    <cellStyle name="40% - Accent4 2 3 2 2 3 3 3" xfId="21174" xr:uid="{00000000-0005-0000-0000-00003B4A0000}"/>
    <cellStyle name="40% - Accent4 2 3 2 2 3 4" xfId="28539" xr:uid="{00000000-0005-0000-0000-00003C4A0000}"/>
    <cellStyle name="40% - Accent4 2 3 2 2 3 4 2" xfId="9154" xr:uid="{00000000-0005-0000-0000-00003D4A0000}"/>
    <cellStyle name="40% - Accent4 2 3 2 2 3 5" xfId="21178" xr:uid="{00000000-0005-0000-0000-00003E4A0000}"/>
    <cellStyle name="40% - Accent4 2 3 2 2 4" xfId="21180" xr:uid="{00000000-0005-0000-0000-00003F4A0000}"/>
    <cellStyle name="40% - Accent4 2 3 2 2 4 2" xfId="4373" xr:uid="{00000000-0005-0000-0000-0000404A0000}"/>
    <cellStyle name="40% - Accent4 2 3 2 2 4 2 2" xfId="33641" xr:uid="{00000000-0005-0000-0000-0000414A0000}"/>
    <cellStyle name="40% - Accent4 2 3 2 2 4 2 2 2" xfId="13790" xr:uid="{00000000-0005-0000-0000-0000424A0000}"/>
    <cellStyle name="40% - Accent4 2 3 2 2 4 2 3" xfId="21182" xr:uid="{00000000-0005-0000-0000-0000434A0000}"/>
    <cellStyle name="40% - Accent4 2 3 2 2 4 3" xfId="113" xr:uid="{00000000-0005-0000-0000-0000444A0000}"/>
    <cellStyle name="40% - Accent4 2 3 2 2 4 3 2" xfId="30093" xr:uid="{00000000-0005-0000-0000-0000454A0000}"/>
    <cellStyle name="40% - Accent4 2 3 2 2 4 4" xfId="21184" xr:uid="{00000000-0005-0000-0000-0000464A0000}"/>
    <cellStyle name="40% - Accent4 2 3 2 2 5" xfId="21185" xr:uid="{00000000-0005-0000-0000-0000474A0000}"/>
    <cellStyle name="40% - Accent4 2 3 2 2 5 2" xfId="21186" xr:uid="{00000000-0005-0000-0000-0000484A0000}"/>
    <cellStyle name="40% - Accent4 2 3 2 2 5 2 2" xfId="22234" xr:uid="{00000000-0005-0000-0000-0000494A0000}"/>
    <cellStyle name="40% - Accent4 2 3 2 2 5 3" xfId="32569" xr:uid="{00000000-0005-0000-0000-00004A4A0000}"/>
    <cellStyle name="40% - Accent4 2 3 2 2 6" xfId="21189" xr:uid="{00000000-0005-0000-0000-00004B4A0000}"/>
    <cellStyle name="40% - Accent4 2 3 2 2 6 2" xfId="21190" xr:uid="{00000000-0005-0000-0000-00004C4A0000}"/>
    <cellStyle name="40% - Accent4 2 3 2 2 7" xfId="21191" xr:uid="{00000000-0005-0000-0000-00004D4A0000}"/>
    <cellStyle name="40% - Accent4 2 3 2 3" xfId="9459" xr:uid="{00000000-0005-0000-0000-00004E4A0000}"/>
    <cellStyle name="40% - Accent4 2 3 2 3 2" xfId="29208" xr:uid="{00000000-0005-0000-0000-00004F4A0000}"/>
    <cellStyle name="40% - Accent4 2 3 2 3 2 2" xfId="21195" xr:uid="{00000000-0005-0000-0000-0000504A0000}"/>
    <cellStyle name="40% - Accent4 2 3 2 3 2 2 2" xfId="21197" xr:uid="{00000000-0005-0000-0000-0000514A0000}"/>
    <cellStyle name="40% - Accent4 2 3 2 3 2 2 2 2" xfId="13904" xr:uid="{00000000-0005-0000-0000-0000524A0000}"/>
    <cellStyle name="40% - Accent4 2 3 2 3 2 2 2 2 2" xfId="21198" xr:uid="{00000000-0005-0000-0000-0000534A0000}"/>
    <cellStyle name="40% - Accent4 2 3 2 3 2 2 2 3" xfId="16434" xr:uid="{00000000-0005-0000-0000-0000544A0000}"/>
    <cellStyle name="40% - Accent4 2 3 2 3 2 2 3" xfId="31506" xr:uid="{00000000-0005-0000-0000-0000554A0000}"/>
    <cellStyle name="40% - Accent4 2 3 2 3 2 2 3 2" xfId="13909" xr:uid="{00000000-0005-0000-0000-0000564A0000}"/>
    <cellStyle name="40% - Accent4 2 3 2 3 2 2 4" xfId="27666" xr:uid="{00000000-0005-0000-0000-0000574A0000}"/>
    <cellStyle name="40% - Accent4 2 3 2 3 2 3" xfId="21201" xr:uid="{00000000-0005-0000-0000-0000584A0000}"/>
    <cellStyle name="40% - Accent4 2 3 2 3 2 3 2" xfId="452" xr:uid="{00000000-0005-0000-0000-0000594A0000}"/>
    <cellStyle name="40% - Accent4 2 3 2 3 2 3 2 2" xfId="16512" xr:uid="{00000000-0005-0000-0000-00005A4A0000}"/>
    <cellStyle name="40% - Accent4 2 3 2 3 2 3 3" xfId="31410" xr:uid="{00000000-0005-0000-0000-00005B4A0000}"/>
    <cellStyle name="40% - Accent4 2 3 2 3 2 4" xfId="21205" xr:uid="{00000000-0005-0000-0000-00005C4A0000}"/>
    <cellStyle name="40% - Accent4 2 3 2 3 2 4 2" xfId="9172" xr:uid="{00000000-0005-0000-0000-00005D4A0000}"/>
    <cellStyle name="40% - Accent4 2 3 2 3 2 5" xfId="21207" xr:uid="{00000000-0005-0000-0000-00005E4A0000}"/>
    <cellStyle name="40% - Accent4 2 3 2 3 3" xfId="31115" xr:uid="{00000000-0005-0000-0000-00005F4A0000}"/>
    <cellStyle name="40% - Accent4 2 3 2 3 3 2" xfId="21220" xr:uid="{00000000-0005-0000-0000-0000604A0000}"/>
    <cellStyle name="40% - Accent4 2 3 2 3 3 2 2" xfId="26911" xr:uid="{00000000-0005-0000-0000-0000614A0000}"/>
    <cellStyle name="40% - Accent4 2 3 2 3 3 2 2 2" xfId="20793" xr:uid="{00000000-0005-0000-0000-0000624A0000}"/>
    <cellStyle name="40% - Accent4 2 3 2 3 3 2 3" xfId="21227" xr:uid="{00000000-0005-0000-0000-0000634A0000}"/>
    <cellStyle name="40% - Accent4 2 3 2 3 3 3" xfId="21230" xr:uid="{00000000-0005-0000-0000-0000644A0000}"/>
    <cellStyle name="40% - Accent4 2 3 2 3 3 3 2" xfId="24316" xr:uid="{00000000-0005-0000-0000-0000654A0000}"/>
    <cellStyle name="40% - Accent4 2 3 2 3 3 4" xfId="21237" xr:uid="{00000000-0005-0000-0000-0000664A0000}"/>
    <cellStyle name="40% - Accent4 2 3 2 3 4" xfId="26001" xr:uid="{00000000-0005-0000-0000-0000674A0000}"/>
    <cellStyle name="40% - Accent4 2 3 2 3 4 2" xfId="21241" xr:uid="{00000000-0005-0000-0000-0000684A0000}"/>
    <cellStyle name="40% - Accent4 2 3 2 3 4 2 2" xfId="21244" xr:uid="{00000000-0005-0000-0000-0000694A0000}"/>
    <cellStyle name="40% - Accent4 2 3 2 3 4 3" xfId="21246" xr:uid="{00000000-0005-0000-0000-00006A4A0000}"/>
    <cellStyle name="40% - Accent4 2 3 2 3 5" xfId="21249" xr:uid="{00000000-0005-0000-0000-00006B4A0000}"/>
    <cellStyle name="40% - Accent4 2 3 2 3 5 2" xfId="21251" xr:uid="{00000000-0005-0000-0000-00006C4A0000}"/>
    <cellStyle name="40% - Accent4 2 3 2 3 6" xfId="21253" xr:uid="{00000000-0005-0000-0000-00006D4A0000}"/>
    <cellStyle name="40% - Accent4 2 3 2 4" xfId="21260" xr:uid="{00000000-0005-0000-0000-00006E4A0000}"/>
    <cellStyle name="40% - Accent4 2 3 2 4 2" xfId="17258" xr:uid="{00000000-0005-0000-0000-00006F4A0000}"/>
    <cellStyle name="40% - Accent4 2 3 2 4 2 2" xfId="21264" xr:uid="{00000000-0005-0000-0000-0000704A0000}"/>
    <cellStyle name="40% - Accent4 2 3 2 4 2 2 2" xfId="21266" xr:uid="{00000000-0005-0000-0000-0000714A0000}"/>
    <cellStyle name="40% - Accent4 2 3 2 4 2 2 2 2" xfId="14050" xr:uid="{00000000-0005-0000-0000-0000724A0000}"/>
    <cellStyle name="40% - Accent4 2 3 2 4 2 2 3" xfId="33568" xr:uid="{00000000-0005-0000-0000-0000734A0000}"/>
    <cellStyle name="40% - Accent4 2 3 2 4 2 3" xfId="21267" xr:uid="{00000000-0005-0000-0000-0000744A0000}"/>
    <cellStyle name="40% - Accent4 2 3 2 4 2 3 2" xfId="31491" xr:uid="{00000000-0005-0000-0000-0000754A0000}"/>
    <cellStyle name="40% - Accent4 2 3 2 4 2 4" xfId="21847" xr:uid="{00000000-0005-0000-0000-0000764A0000}"/>
    <cellStyle name="40% - Accent4 2 3 2 4 3" xfId="1516" xr:uid="{00000000-0005-0000-0000-0000774A0000}"/>
    <cellStyle name="40% - Accent4 2 3 2 4 3 2" xfId="15655" xr:uid="{00000000-0005-0000-0000-0000784A0000}"/>
    <cellStyle name="40% - Accent4 2 3 2 4 3 2 2" xfId="26924" xr:uid="{00000000-0005-0000-0000-0000794A0000}"/>
    <cellStyle name="40% - Accent4 2 3 2 4 3 3" xfId="15667" xr:uid="{00000000-0005-0000-0000-00007A4A0000}"/>
    <cellStyle name="40% - Accent4 2 3 2 4 4" xfId="21274" xr:uid="{00000000-0005-0000-0000-00007B4A0000}"/>
    <cellStyle name="40% - Accent4 2 3 2 4 4 2" xfId="15696" xr:uid="{00000000-0005-0000-0000-00007C4A0000}"/>
    <cellStyle name="40% - Accent4 2 3 2 4 5" xfId="21276" xr:uid="{00000000-0005-0000-0000-00007D4A0000}"/>
    <cellStyle name="40% - Accent4 2 3 2 5" xfId="25015" xr:uid="{00000000-0005-0000-0000-00007E4A0000}"/>
    <cellStyle name="40% - Accent4 2 3 2 5 2" xfId="21282" xr:uid="{00000000-0005-0000-0000-00007F4A0000}"/>
    <cellStyle name="40% - Accent4 2 3 2 5 2 2" xfId="28306" xr:uid="{00000000-0005-0000-0000-0000804A0000}"/>
    <cellStyle name="40% - Accent4 2 3 2 5 2 2 2" xfId="7830" xr:uid="{00000000-0005-0000-0000-0000814A0000}"/>
    <cellStyle name="40% - Accent4 2 3 2 5 2 3" xfId="21290" xr:uid="{00000000-0005-0000-0000-0000824A0000}"/>
    <cellStyle name="40% - Accent4 2 3 2 5 3" xfId="21303" xr:uid="{00000000-0005-0000-0000-0000834A0000}"/>
    <cellStyle name="40% - Accent4 2 3 2 5 3 2" xfId="15749" xr:uid="{00000000-0005-0000-0000-0000844A0000}"/>
    <cellStyle name="40% - Accent4 2 3 2 5 4" xfId="21308" xr:uid="{00000000-0005-0000-0000-0000854A0000}"/>
    <cellStyle name="40% - Accent4 2 3 2 6" xfId="18802" xr:uid="{00000000-0005-0000-0000-0000864A0000}"/>
    <cellStyle name="40% - Accent4 2 3 2 6 2" xfId="28022" xr:uid="{00000000-0005-0000-0000-0000874A0000}"/>
    <cellStyle name="40% - Accent4 2 3 2 6 2 2" xfId="21310" xr:uid="{00000000-0005-0000-0000-0000884A0000}"/>
    <cellStyle name="40% - Accent4 2 3 2 6 3" xfId="13373" xr:uid="{00000000-0005-0000-0000-0000894A0000}"/>
    <cellStyle name="40% - Accent4 2 3 2 7" xfId="29282" xr:uid="{00000000-0005-0000-0000-00008A4A0000}"/>
    <cellStyle name="40% - Accent4 2 3 2 7 2" xfId="6209" xr:uid="{00000000-0005-0000-0000-00008B4A0000}"/>
    <cellStyle name="40% - Accent4 2 3 2 8" xfId="33791" xr:uid="{00000000-0005-0000-0000-00008C4A0000}"/>
    <cellStyle name="40% - Accent4 2 3 3" xfId="20132" xr:uid="{00000000-0005-0000-0000-00008D4A0000}"/>
    <cellStyle name="40% - Accent4 2 3 3 2" xfId="20137" xr:uid="{00000000-0005-0000-0000-00008E4A0000}"/>
    <cellStyle name="40% - Accent4 2 3 3 2 2" xfId="31438" xr:uid="{00000000-0005-0000-0000-00008F4A0000}"/>
    <cellStyle name="40% - Accent4 2 3 3 2 2 2" xfId="21315" xr:uid="{00000000-0005-0000-0000-0000904A0000}"/>
    <cellStyle name="40% - Accent4 2 3 3 2 2 2 2" xfId="1282" xr:uid="{00000000-0005-0000-0000-0000914A0000}"/>
    <cellStyle name="40% - Accent4 2 3 3 2 2 2 2 2" xfId="19943" xr:uid="{00000000-0005-0000-0000-0000924A0000}"/>
    <cellStyle name="40% - Accent4 2 3 3 2 2 2 2 2 2" xfId="16185" xr:uid="{00000000-0005-0000-0000-0000934A0000}"/>
    <cellStyle name="40% - Accent4 2 3 3 2 2 2 2 3" xfId="21321" xr:uid="{00000000-0005-0000-0000-0000944A0000}"/>
    <cellStyle name="40% - Accent4 2 3 3 2 2 2 3" xfId="8182" xr:uid="{00000000-0005-0000-0000-0000954A0000}"/>
    <cellStyle name="40% - Accent4 2 3 3 2 2 2 3 2" xfId="19956" xr:uid="{00000000-0005-0000-0000-0000964A0000}"/>
    <cellStyle name="40% - Accent4 2 3 3 2 2 2 4" xfId="8266" xr:uid="{00000000-0005-0000-0000-0000974A0000}"/>
    <cellStyle name="40% - Accent4 2 3 3 2 2 3" xfId="33552" xr:uid="{00000000-0005-0000-0000-0000984A0000}"/>
    <cellStyle name="40% - Accent4 2 3 3 2 2 3 2" xfId="2750" xr:uid="{00000000-0005-0000-0000-0000994A0000}"/>
    <cellStyle name="40% - Accent4 2 3 3 2 2 3 2 2" xfId="21327" xr:uid="{00000000-0005-0000-0000-00009A4A0000}"/>
    <cellStyle name="40% - Accent4 2 3 3 2 2 3 3" xfId="1407" xr:uid="{00000000-0005-0000-0000-00009B4A0000}"/>
    <cellStyle name="40% - Accent4 2 3 3 2 2 4" xfId="33163" xr:uid="{00000000-0005-0000-0000-00009C4A0000}"/>
    <cellStyle name="40% - Accent4 2 3 3 2 2 4 2" xfId="19080" xr:uid="{00000000-0005-0000-0000-00009D4A0000}"/>
    <cellStyle name="40% - Accent4 2 3 3 2 2 5" xfId="21330" xr:uid="{00000000-0005-0000-0000-00009E4A0000}"/>
    <cellStyle name="40% - Accent4 2 3 3 2 3" xfId="21016" xr:uid="{00000000-0005-0000-0000-00009F4A0000}"/>
    <cellStyle name="40% - Accent4 2 3 3 2 3 2" xfId="21331" xr:uid="{00000000-0005-0000-0000-0000A04A0000}"/>
    <cellStyle name="40% - Accent4 2 3 3 2 3 2 2" xfId="6796" xr:uid="{00000000-0005-0000-0000-0000A14A0000}"/>
    <cellStyle name="40% - Accent4 2 3 3 2 3 2 2 2" xfId="24008" xr:uid="{00000000-0005-0000-0000-0000A24A0000}"/>
    <cellStyle name="40% - Accent4 2 3 3 2 3 2 3" xfId="14037" xr:uid="{00000000-0005-0000-0000-0000A34A0000}"/>
    <cellStyle name="40% - Accent4 2 3 3 2 3 3" xfId="28607" xr:uid="{00000000-0005-0000-0000-0000A44A0000}"/>
    <cellStyle name="40% - Accent4 2 3 3 2 3 3 2" xfId="17405" xr:uid="{00000000-0005-0000-0000-0000A54A0000}"/>
    <cellStyle name="40% - Accent4 2 3 3 2 3 4" xfId="21333" xr:uid="{00000000-0005-0000-0000-0000A64A0000}"/>
    <cellStyle name="40% - Accent4 2 3 3 2 4" xfId="21338" xr:uid="{00000000-0005-0000-0000-0000A74A0000}"/>
    <cellStyle name="40% - Accent4 2 3 3 2 4 2" xfId="21341" xr:uid="{00000000-0005-0000-0000-0000A84A0000}"/>
    <cellStyle name="40% - Accent4 2 3 3 2 4 2 2" xfId="21109" xr:uid="{00000000-0005-0000-0000-0000A94A0000}"/>
    <cellStyle name="40% - Accent4 2 3 3 2 4 3" xfId="1659" xr:uid="{00000000-0005-0000-0000-0000AA4A0000}"/>
    <cellStyle name="40% - Accent4 2 3 3 2 5" xfId="21344" xr:uid="{00000000-0005-0000-0000-0000AB4A0000}"/>
    <cellStyle name="40% - Accent4 2 3 3 2 5 2" xfId="25656" xr:uid="{00000000-0005-0000-0000-0000AC4A0000}"/>
    <cellStyle name="40% - Accent4 2 3 3 2 6" xfId="4758" xr:uid="{00000000-0005-0000-0000-0000AD4A0000}"/>
    <cellStyle name="40% - Accent4 2 3 3 3" xfId="21348" xr:uid="{00000000-0005-0000-0000-0000AE4A0000}"/>
    <cellStyle name="40% - Accent4 2 3 3 3 2" xfId="21350" xr:uid="{00000000-0005-0000-0000-0000AF4A0000}"/>
    <cellStyle name="40% - Accent4 2 3 3 3 2 2" xfId="21359" xr:uid="{00000000-0005-0000-0000-0000B04A0000}"/>
    <cellStyle name="40% - Accent4 2 3 3 3 2 2 2" xfId="2616" xr:uid="{00000000-0005-0000-0000-0000B14A0000}"/>
    <cellStyle name="40% - Accent4 2 3 3 3 2 2 2 2" xfId="22628" xr:uid="{00000000-0005-0000-0000-0000B24A0000}"/>
    <cellStyle name="40% - Accent4 2 3 3 3 2 2 3" xfId="2652" xr:uid="{00000000-0005-0000-0000-0000B34A0000}"/>
    <cellStyle name="40% - Accent4 2 3 3 3 2 3" xfId="21363" xr:uid="{00000000-0005-0000-0000-0000B44A0000}"/>
    <cellStyle name="40% - Accent4 2 3 3 3 2 3 2" xfId="2151" xr:uid="{00000000-0005-0000-0000-0000B54A0000}"/>
    <cellStyle name="40% - Accent4 2 3 3 3 2 4" xfId="17888" xr:uid="{00000000-0005-0000-0000-0000B64A0000}"/>
    <cellStyle name="40% - Accent4 2 3 3 3 3" xfId="21372" xr:uid="{00000000-0005-0000-0000-0000B74A0000}"/>
    <cellStyle name="40% - Accent4 2 3 3 3 3 2" xfId="21381" xr:uid="{00000000-0005-0000-0000-0000B84A0000}"/>
    <cellStyle name="40% - Accent4 2 3 3 3 3 2 2" xfId="12367" xr:uid="{00000000-0005-0000-0000-0000B94A0000}"/>
    <cellStyle name="40% - Accent4 2 3 3 3 3 3" xfId="21385" xr:uid="{00000000-0005-0000-0000-0000BA4A0000}"/>
    <cellStyle name="40% - Accent4 2 3 3 3 4" xfId="21395" xr:uid="{00000000-0005-0000-0000-0000BB4A0000}"/>
    <cellStyle name="40% - Accent4 2 3 3 3 4 2" xfId="21398" xr:uid="{00000000-0005-0000-0000-0000BC4A0000}"/>
    <cellStyle name="40% - Accent4 2 3 3 3 5" xfId="21401" xr:uid="{00000000-0005-0000-0000-0000BD4A0000}"/>
    <cellStyle name="40% - Accent4 2 3 3 4" xfId="19935" xr:uid="{00000000-0005-0000-0000-0000BE4A0000}"/>
    <cellStyle name="40% - Accent4 2 3 3 4 2" xfId="18246" xr:uid="{00000000-0005-0000-0000-0000BF4A0000}"/>
    <cellStyle name="40% - Accent4 2 3 3 4 2 2" xfId="21407" xr:uid="{00000000-0005-0000-0000-0000C04A0000}"/>
    <cellStyle name="40% - Accent4 2 3 3 4 2 2 2" xfId="5999" xr:uid="{00000000-0005-0000-0000-0000C14A0000}"/>
    <cellStyle name="40% - Accent4 2 3 3 4 2 3" xfId="21410" xr:uid="{00000000-0005-0000-0000-0000C24A0000}"/>
    <cellStyle name="40% - Accent4 2 3 3 4 3" xfId="21424" xr:uid="{00000000-0005-0000-0000-0000C34A0000}"/>
    <cellStyle name="40% - Accent4 2 3 3 4 3 2" xfId="15828" xr:uid="{00000000-0005-0000-0000-0000C44A0000}"/>
    <cellStyle name="40% - Accent4 2 3 3 4 4" xfId="21426" xr:uid="{00000000-0005-0000-0000-0000C54A0000}"/>
    <cellStyle name="40% - Accent4 2 3 3 5" xfId="19940" xr:uid="{00000000-0005-0000-0000-0000C64A0000}"/>
    <cellStyle name="40% - Accent4 2 3 3 5 2" xfId="21431" xr:uid="{00000000-0005-0000-0000-0000C74A0000}"/>
    <cellStyle name="40% - Accent4 2 3 3 5 2 2" xfId="21438" xr:uid="{00000000-0005-0000-0000-0000C84A0000}"/>
    <cellStyle name="40% - Accent4 2 3 3 5 3" xfId="21443" xr:uid="{00000000-0005-0000-0000-0000C94A0000}"/>
    <cellStyle name="40% - Accent4 2 3 3 6" xfId="28501" xr:uid="{00000000-0005-0000-0000-0000CA4A0000}"/>
    <cellStyle name="40% - Accent4 2 3 3 6 2" xfId="28506" xr:uid="{00000000-0005-0000-0000-0000CB4A0000}"/>
    <cellStyle name="40% - Accent4 2 3 3 7" xfId="22533" xr:uid="{00000000-0005-0000-0000-0000CC4A0000}"/>
    <cellStyle name="40% - Accent4 2 3 4" xfId="20139" xr:uid="{00000000-0005-0000-0000-0000CD4A0000}"/>
    <cellStyle name="40% - Accent4 2 3 4 2" xfId="21447" xr:uid="{00000000-0005-0000-0000-0000CE4A0000}"/>
    <cellStyle name="40% - Accent4 2 3 4 2 2" xfId="21035" xr:uid="{00000000-0005-0000-0000-0000CF4A0000}"/>
    <cellStyle name="40% - Accent4 2 3 4 2 2 2" xfId="5689" xr:uid="{00000000-0005-0000-0000-0000D04A0000}"/>
    <cellStyle name="40% - Accent4 2 3 4 2 2 2 2" xfId="21579" xr:uid="{00000000-0005-0000-0000-0000D14A0000}"/>
    <cellStyle name="40% - Accent4 2 3 4 2 2 2 2 2" xfId="12998" xr:uid="{00000000-0005-0000-0000-0000D24A0000}"/>
    <cellStyle name="40% - Accent4 2 3 4 2 2 2 3" xfId="23398" xr:uid="{00000000-0005-0000-0000-0000D34A0000}"/>
    <cellStyle name="40% - Accent4 2 3 4 2 2 3" xfId="21448" xr:uid="{00000000-0005-0000-0000-0000D44A0000}"/>
    <cellStyle name="40% - Accent4 2 3 4 2 2 3 2" xfId="24521" xr:uid="{00000000-0005-0000-0000-0000D54A0000}"/>
    <cellStyle name="40% - Accent4 2 3 4 2 2 4" xfId="13693" xr:uid="{00000000-0005-0000-0000-0000D64A0000}"/>
    <cellStyle name="40% - Accent4 2 3 4 2 3" xfId="21452" xr:uid="{00000000-0005-0000-0000-0000D74A0000}"/>
    <cellStyle name="40% - Accent4 2 3 4 2 3 2" xfId="21454" xr:uid="{00000000-0005-0000-0000-0000D84A0000}"/>
    <cellStyle name="40% - Accent4 2 3 4 2 3 2 2" xfId="27834" xr:uid="{00000000-0005-0000-0000-0000D94A0000}"/>
    <cellStyle name="40% - Accent4 2 3 4 2 3 3" xfId="21455" xr:uid="{00000000-0005-0000-0000-0000DA4A0000}"/>
    <cellStyle name="40% - Accent4 2 3 4 2 4" xfId="21458" xr:uid="{00000000-0005-0000-0000-0000DB4A0000}"/>
    <cellStyle name="40% - Accent4 2 3 4 2 4 2" xfId="21461" xr:uid="{00000000-0005-0000-0000-0000DC4A0000}"/>
    <cellStyle name="40% - Accent4 2 3 4 2 5" xfId="21463" xr:uid="{00000000-0005-0000-0000-0000DD4A0000}"/>
    <cellStyle name="40% - Accent4 2 3 4 3" xfId="21465" xr:uid="{00000000-0005-0000-0000-0000DE4A0000}"/>
    <cellStyle name="40% - Accent4 2 3 4 3 2" xfId="21468" xr:uid="{00000000-0005-0000-0000-0000DF4A0000}"/>
    <cellStyle name="40% - Accent4 2 3 4 3 2 2" xfId="21483" xr:uid="{00000000-0005-0000-0000-0000E04A0000}"/>
    <cellStyle name="40% - Accent4 2 3 4 3 2 2 2" xfId="29189" xr:uid="{00000000-0005-0000-0000-0000E14A0000}"/>
    <cellStyle name="40% - Accent4 2 3 4 3 2 3" xfId="21494" xr:uid="{00000000-0005-0000-0000-0000E24A0000}"/>
    <cellStyle name="40% - Accent4 2 3 4 3 3" xfId="21505" xr:uid="{00000000-0005-0000-0000-0000E34A0000}"/>
    <cellStyle name="40% - Accent4 2 3 4 3 3 2" xfId="21509" xr:uid="{00000000-0005-0000-0000-0000E44A0000}"/>
    <cellStyle name="40% - Accent4 2 3 4 3 4" xfId="18986" xr:uid="{00000000-0005-0000-0000-0000E54A0000}"/>
    <cellStyle name="40% - Accent4 2 3 4 4" xfId="19952" xr:uid="{00000000-0005-0000-0000-0000E64A0000}"/>
    <cellStyle name="40% - Accent4 2 3 4 4 2" xfId="21518" xr:uid="{00000000-0005-0000-0000-0000E74A0000}"/>
    <cellStyle name="40% - Accent4 2 3 4 4 2 2" xfId="21522" xr:uid="{00000000-0005-0000-0000-0000E84A0000}"/>
    <cellStyle name="40% - Accent4 2 3 4 4 3" xfId="21529" xr:uid="{00000000-0005-0000-0000-0000E94A0000}"/>
    <cellStyle name="40% - Accent4 2 3 4 5" xfId="31487" xr:uid="{00000000-0005-0000-0000-0000EA4A0000}"/>
    <cellStyle name="40% - Accent4 2 3 4 5 2" xfId="21531" xr:uid="{00000000-0005-0000-0000-0000EB4A0000}"/>
    <cellStyle name="40% - Accent4 2 3 4 6" xfId="23066" xr:uid="{00000000-0005-0000-0000-0000EC4A0000}"/>
    <cellStyle name="40% - Accent4 2 3 5" xfId="28545" xr:uid="{00000000-0005-0000-0000-0000ED4A0000}"/>
    <cellStyle name="40% - Accent4 2 3 5 2" xfId="33889" xr:uid="{00000000-0005-0000-0000-0000EE4A0000}"/>
    <cellStyle name="40% - Accent4 2 3 5 2 2" xfId="33375" xr:uid="{00000000-0005-0000-0000-0000EF4A0000}"/>
    <cellStyle name="40% - Accent4 2 3 5 2 2 2" xfId="6292" xr:uid="{00000000-0005-0000-0000-0000F04A0000}"/>
    <cellStyle name="40% - Accent4 2 3 5 2 2 2 2" xfId="6977" xr:uid="{00000000-0005-0000-0000-0000F14A0000}"/>
    <cellStyle name="40% - Accent4 2 3 5 2 2 3" xfId="21538" xr:uid="{00000000-0005-0000-0000-0000F24A0000}"/>
    <cellStyle name="40% - Accent4 2 3 5 2 3" xfId="26854" xr:uid="{00000000-0005-0000-0000-0000F34A0000}"/>
    <cellStyle name="40% - Accent4 2 3 5 2 3 2" xfId="21539" xr:uid="{00000000-0005-0000-0000-0000F44A0000}"/>
    <cellStyle name="40% - Accent4 2 3 5 2 4" xfId="21541" xr:uid="{00000000-0005-0000-0000-0000F54A0000}"/>
    <cellStyle name="40% - Accent4 2 3 5 3" xfId="19964" xr:uid="{00000000-0005-0000-0000-0000F64A0000}"/>
    <cellStyle name="40% - Accent4 2 3 5 3 2" xfId="23411" xr:uid="{00000000-0005-0000-0000-0000F74A0000}"/>
    <cellStyle name="40% - Accent4 2 3 5 3 2 2" xfId="21542" xr:uid="{00000000-0005-0000-0000-0000F84A0000}"/>
    <cellStyle name="40% - Accent4 2 3 5 3 3" xfId="21550" xr:uid="{00000000-0005-0000-0000-0000F94A0000}"/>
    <cellStyle name="40% - Accent4 2 3 5 4" xfId="25357" xr:uid="{00000000-0005-0000-0000-0000FA4A0000}"/>
    <cellStyle name="40% - Accent4 2 3 5 4 2" xfId="21557" xr:uid="{00000000-0005-0000-0000-0000FB4A0000}"/>
    <cellStyle name="40% - Accent4 2 3 5 5" xfId="25367" xr:uid="{00000000-0005-0000-0000-0000FC4A0000}"/>
    <cellStyle name="40% - Accent4 2 3 6" xfId="21561" xr:uid="{00000000-0005-0000-0000-0000FD4A0000}"/>
    <cellStyle name="40% - Accent4 2 3 6 2" xfId="21565" xr:uid="{00000000-0005-0000-0000-0000FE4A0000}"/>
    <cellStyle name="40% - Accent4 2 3 6 2 2" xfId="32332" xr:uid="{00000000-0005-0000-0000-0000FF4A0000}"/>
    <cellStyle name="40% - Accent4 2 3 6 2 2 2" xfId="5726" xr:uid="{00000000-0005-0000-0000-0000004B0000}"/>
    <cellStyle name="40% - Accent4 2 3 6 2 3" xfId="21569" xr:uid="{00000000-0005-0000-0000-0000014B0000}"/>
    <cellStyle name="40% - Accent4 2 3 6 3" xfId="21600" xr:uid="{00000000-0005-0000-0000-0000024B0000}"/>
    <cellStyle name="40% - Accent4 2 3 6 3 2" xfId="21573" xr:uid="{00000000-0005-0000-0000-0000034B0000}"/>
    <cellStyle name="40% - Accent4 2 3 6 4" xfId="22418" xr:uid="{00000000-0005-0000-0000-0000044B0000}"/>
    <cellStyle name="40% - Accent4 2 3 7" xfId="18745" xr:uid="{00000000-0005-0000-0000-0000054B0000}"/>
    <cellStyle name="40% - Accent4 2 3 7 2" xfId="5820" xr:uid="{00000000-0005-0000-0000-0000064B0000}"/>
    <cellStyle name="40% - Accent4 2 3 7 2 2" xfId="32431" xr:uid="{00000000-0005-0000-0000-0000074B0000}"/>
    <cellStyle name="40% - Accent4 2 3 7 3" xfId="21577" xr:uid="{00000000-0005-0000-0000-0000084B0000}"/>
    <cellStyle name="40% - Accent4 2 3 8" xfId="5824" xr:uid="{00000000-0005-0000-0000-0000094B0000}"/>
    <cellStyle name="40% - Accent4 2 3 8 2" xfId="27237" xr:uid="{00000000-0005-0000-0000-00000A4B0000}"/>
    <cellStyle name="40% - Accent4 2 3 9" xfId="33326" xr:uid="{00000000-0005-0000-0000-00000B4B0000}"/>
    <cellStyle name="40% - Accent4 2 4" xfId="2456" xr:uid="{00000000-0005-0000-0000-00000C4B0000}"/>
    <cellStyle name="40% - Accent4 2 4 2" xfId="20140" xr:uid="{00000000-0005-0000-0000-00000D4B0000}"/>
    <cellStyle name="40% - Accent4 2 4 2 2" xfId="20145" xr:uid="{00000000-0005-0000-0000-00000E4B0000}"/>
    <cellStyle name="40% - Accent4 2 4 2 2 2" xfId="4044" xr:uid="{00000000-0005-0000-0000-00000F4B0000}"/>
    <cellStyle name="40% - Accent4 2 4 2 2 2 2" xfId="23682" xr:uid="{00000000-0005-0000-0000-0000104B0000}"/>
    <cellStyle name="40% - Accent4 2 4 2 2 2 2 2" xfId="19343" xr:uid="{00000000-0005-0000-0000-0000114B0000}"/>
    <cellStyle name="40% - Accent4 2 4 2 2 2 2 2 2" xfId="9783" xr:uid="{00000000-0005-0000-0000-0000124B0000}"/>
    <cellStyle name="40% - Accent4 2 4 2 2 2 2 2 2 2" xfId="22898" xr:uid="{00000000-0005-0000-0000-0000134B0000}"/>
    <cellStyle name="40% - Accent4 2 4 2 2 2 2 2 3" xfId="9792" xr:uid="{00000000-0005-0000-0000-0000144B0000}"/>
    <cellStyle name="40% - Accent4 2 4 2 2 2 2 3" xfId="19348" xr:uid="{00000000-0005-0000-0000-0000154B0000}"/>
    <cellStyle name="40% - Accent4 2 4 2 2 2 2 3 2" xfId="30361" xr:uid="{00000000-0005-0000-0000-0000164B0000}"/>
    <cellStyle name="40% - Accent4 2 4 2 2 2 2 4" xfId="23735" xr:uid="{00000000-0005-0000-0000-0000174B0000}"/>
    <cellStyle name="40% - Accent4 2 4 2 2 2 3" xfId="29183" xr:uid="{00000000-0005-0000-0000-0000184B0000}"/>
    <cellStyle name="40% - Accent4 2 4 2 2 2 3 2" xfId="23780" xr:uid="{00000000-0005-0000-0000-0000194B0000}"/>
    <cellStyle name="40% - Accent4 2 4 2 2 2 3 2 2" xfId="27800" xr:uid="{00000000-0005-0000-0000-00001A4B0000}"/>
    <cellStyle name="40% - Accent4 2 4 2 2 2 3 3" xfId="23822" xr:uid="{00000000-0005-0000-0000-00001B4B0000}"/>
    <cellStyle name="40% - Accent4 2 4 2 2 2 4" xfId="19359" xr:uid="{00000000-0005-0000-0000-00001C4B0000}"/>
    <cellStyle name="40% - Accent4 2 4 2 2 2 4 2" xfId="10910" xr:uid="{00000000-0005-0000-0000-00001D4B0000}"/>
    <cellStyle name="40% - Accent4 2 4 2 2 2 5" xfId="21578" xr:uid="{00000000-0005-0000-0000-00001E4B0000}"/>
    <cellStyle name="40% - Accent4 2 4 2 2 3" xfId="21582" xr:uid="{00000000-0005-0000-0000-00001F4B0000}"/>
    <cellStyle name="40% - Accent4 2 4 2 2 3 2" xfId="29004" xr:uid="{00000000-0005-0000-0000-0000204B0000}"/>
    <cellStyle name="40% - Accent4 2 4 2 2 3 2 2" xfId="19368" xr:uid="{00000000-0005-0000-0000-0000214B0000}"/>
    <cellStyle name="40% - Accent4 2 4 2 2 3 2 2 2" xfId="8193" xr:uid="{00000000-0005-0000-0000-0000224B0000}"/>
    <cellStyle name="40% - Accent4 2 4 2 2 3 2 3" xfId="24123" xr:uid="{00000000-0005-0000-0000-0000234B0000}"/>
    <cellStyle name="40% - Accent4 2 4 2 2 3 3" xfId="29009" xr:uid="{00000000-0005-0000-0000-0000244B0000}"/>
    <cellStyle name="40% - Accent4 2 4 2 2 3 3 2" xfId="19824" xr:uid="{00000000-0005-0000-0000-0000254B0000}"/>
    <cellStyle name="40% - Accent4 2 4 2 2 3 4" xfId="29013" xr:uid="{00000000-0005-0000-0000-0000264B0000}"/>
    <cellStyle name="40% - Accent4 2 4 2 2 4" xfId="15671" xr:uid="{00000000-0005-0000-0000-0000274B0000}"/>
    <cellStyle name="40% - Accent4 2 4 2 2 4 2" xfId="32574" xr:uid="{00000000-0005-0000-0000-0000284B0000}"/>
    <cellStyle name="40% - Accent4 2 4 2 2 4 2 2" xfId="24327" xr:uid="{00000000-0005-0000-0000-0000294B0000}"/>
    <cellStyle name="40% - Accent4 2 4 2 2 4 3" xfId="31087" xr:uid="{00000000-0005-0000-0000-00002A4B0000}"/>
    <cellStyle name="40% - Accent4 2 4 2 2 5" xfId="21589" xr:uid="{00000000-0005-0000-0000-00002B4B0000}"/>
    <cellStyle name="40% - Accent4 2 4 2 2 5 2" xfId="21590" xr:uid="{00000000-0005-0000-0000-00002C4B0000}"/>
    <cellStyle name="40% - Accent4 2 4 2 2 6" xfId="21591" xr:uid="{00000000-0005-0000-0000-00002D4B0000}"/>
    <cellStyle name="40% - Accent4 2 4 2 3" xfId="21594" xr:uid="{00000000-0005-0000-0000-00002E4B0000}"/>
    <cellStyle name="40% - Accent4 2 4 2 3 2" xfId="28586" xr:uid="{00000000-0005-0000-0000-00002F4B0000}"/>
    <cellStyle name="40% - Accent4 2 4 2 3 2 2" xfId="19412" xr:uid="{00000000-0005-0000-0000-0000304B0000}"/>
    <cellStyle name="40% - Accent4 2 4 2 3 2 2 2" xfId="19417" xr:uid="{00000000-0005-0000-0000-0000314B0000}"/>
    <cellStyle name="40% - Accent4 2 4 2 3 2 2 2 2" xfId="8199" xr:uid="{00000000-0005-0000-0000-0000324B0000}"/>
    <cellStyle name="40% - Accent4 2 4 2 3 2 2 3" xfId="24780" xr:uid="{00000000-0005-0000-0000-0000334B0000}"/>
    <cellStyle name="40% - Accent4 2 4 2 3 2 3" xfId="19422" xr:uid="{00000000-0005-0000-0000-0000344B0000}"/>
    <cellStyle name="40% - Accent4 2 4 2 3 2 3 2" xfId="24812" xr:uid="{00000000-0005-0000-0000-0000354B0000}"/>
    <cellStyle name="40% - Accent4 2 4 2 3 2 4" xfId="21597" xr:uid="{00000000-0005-0000-0000-0000364B0000}"/>
    <cellStyle name="40% - Accent4 2 4 2 3 3" xfId="22439" xr:uid="{00000000-0005-0000-0000-0000374B0000}"/>
    <cellStyle name="40% - Accent4 2 4 2 3 3 2" xfId="19440" xr:uid="{00000000-0005-0000-0000-0000384B0000}"/>
    <cellStyle name="40% - Accent4 2 4 2 3 3 2 2" xfId="21603" xr:uid="{00000000-0005-0000-0000-0000394B0000}"/>
    <cellStyle name="40% - Accent4 2 4 2 3 3 3" xfId="21606" xr:uid="{00000000-0005-0000-0000-00003A4B0000}"/>
    <cellStyle name="40% - Accent4 2 4 2 3 4" xfId="21611" xr:uid="{00000000-0005-0000-0000-00003B4B0000}"/>
    <cellStyle name="40% - Accent4 2 4 2 3 4 2" xfId="18091" xr:uid="{00000000-0005-0000-0000-00003C4B0000}"/>
    <cellStyle name="40% - Accent4 2 4 2 3 5" xfId="27996" xr:uid="{00000000-0005-0000-0000-00003D4B0000}"/>
    <cellStyle name="40% - Accent4 2 4 2 4" xfId="21627" xr:uid="{00000000-0005-0000-0000-00003E4B0000}"/>
    <cellStyle name="40% - Accent4 2 4 2 4 2" xfId="24119" xr:uid="{00000000-0005-0000-0000-00003F4B0000}"/>
    <cellStyle name="40% - Accent4 2 4 2 4 2 2" xfId="19467" xr:uid="{00000000-0005-0000-0000-0000404B0000}"/>
    <cellStyle name="40% - Accent4 2 4 2 4 2 2 2" xfId="25598" xr:uid="{00000000-0005-0000-0000-0000414B0000}"/>
    <cellStyle name="40% - Accent4 2 4 2 4 2 3" xfId="26188" xr:uid="{00000000-0005-0000-0000-0000424B0000}"/>
    <cellStyle name="40% - Accent4 2 4 2 4 3" xfId="21634" xr:uid="{00000000-0005-0000-0000-0000434B0000}"/>
    <cellStyle name="40% - Accent4 2 4 2 4 3 2" xfId="16152" xr:uid="{00000000-0005-0000-0000-0000444B0000}"/>
    <cellStyle name="40% - Accent4 2 4 2 4 4" xfId="21643" xr:uid="{00000000-0005-0000-0000-0000454B0000}"/>
    <cellStyle name="40% - Accent4 2 4 2 5" xfId="30008" xr:uid="{00000000-0005-0000-0000-0000464B0000}"/>
    <cellStyle name="40% - Accent4 2 4 2 5 2" xfId="24207" xr:uid="{00000000-0005-0000-0000-0000474B0000}"/>
    <cellStyle name="40% - Accent4 2 4 2 5 2 2" xfId="21656" xr:uid="{00000000-0005-0000-0000-0000484B0000}"/>
    <cellStyle name="40% - Accent4 2 4 2 5 3" xfId="24217" xr:uid="{00000000-0005-0000-0000-0000494B0000}"/>
    <cellStyle name="40% - Accent4 2 4 2 6" xfId="28031" xr:uid="{00000000-0005-0000-0000-00004A4B0000}"/>
    <cellStyle name="40% - Accent4 2 4 2 6 2" xfId="14811" xr:uid="{00000000-0005-0000-0000-00004B4B0000}"/>
    <cellStyle name="40% - Accent4 2 4 2 7" xfId="19762" xr:uid="{00000000-0005-0000-0000-00004C4B0000}"/>
    <cellStyle name="40% - Accent4 2 4 3" xfId="20148" xr:uid="{00000000-0005-0000-0000-00004D4B0000}"/>
    <cellStyle name="40% - Accent4 2 4 3 2" xfId="18569" xr:uid="{00000000-0005-0000-0000-00004E4B0000}"/>
    <cellStyle name="40% - Accent4 2 4 3 2 2" xfId="21670" xr:uid="{00000000-0005-0000-0000-00004F4B0000}"/>
    <cellStyle name="40% - Accent4 2 4 3 2 2 2" xfId="25937" xr:uid="{00000000-0005-0000-0000-0000504B0000}"/>
    <cellStyle name="40% - Accent4 2 4 3 2 2 2 2" xfId="24528" xr:uid="{00000000-0005-0000-0000-0000514B0000}"/>
    <cellStyle name="40% - Accent4 2 4 3 2 2 2 2 2" xfId="10321" xr:uid="{00000000-0005-0000-0000-0000524B0000}"/>
    <cellStyle name="40% - Accent4 2 4 3 2 2 2 3" xfId="8962" xr:uid="{00000000-0005-0000-0000-0000534B0000}"/>
    <cellStyle name="40% - Accent4 2 4 3 2 2 3" xfId="24069" xr:uid="{00000000-0005-0000-0000-0000544B0000}"/>
    <cellStyle name="40% - Accent4 2 4 3 2 2 3 2" xfId="3920" xr:uid="{00000000-0005-0000-0000-0000554B0000}"/>
    <cellStyle name="40% - Accent4 2 4 3 2 2 4" xfId="21673" xr:uid="{00000000-0005-0000-0000-0000564B0000}"/>
    <cellStyle name="40% - Accent4 2 4 3 2 3" xfId="25211" xr:uid="{00000000-0005-0000-0000-0000574B0000}"/>
    <cellStyle name="40% - Accent4 2 4 3 2 3 2" xfId="24078" xr:uid="{00000000-0005-0000-0000-0000584B0000}"/>
    <cellStyle name="40% - Accent4 2 4 3 2 3 2 2" xfId="24544" xr:uid="{00000000-0005-0000-0000-0000594B0000}"/>
    <cellStyle name="40% - Accent4 2 4 3 2 3 3" xfId="29672" xr:uid="{00000000-0005-0000-0000-00005A4B0000}"/>
    <cellStyle name="40% - Accent4 2 4 3 2 4" xfId="21685" xr:uid="{00000000-0005-0000-0000-00005B4B0000}"/>
    <cellStyle name="40% - Accent4 2 4 3 2 4 2" xfId="32374" xr:uid="{00000000-0005-0000-0000-00005C4B0000}"/>
    <cellStyle name="40% - Accent4 2 4 3 2 5" xfId="21688" xr:uid="{00000000-0005-0000-0000-00005D4B0000}"/>
    <cellStyle name="40% - Accent4 2 4 3 3" xfId="19980" xr:uid="{00000000-0005-0000-0000-00005E4B0000}"/>
    <cellStyle name="40% - Accent4 2 4 3 3 2" xfId="21694" xr:uid="{00000000-0005-0000-0000-00005F4B0000}"/>
    <cellStyle name="40% - Accent4 2 4 3 3 2 2" xfId="19511" xr:uid="{00000000-0005-0000-0000-0000604B0000}"/>
    <cellStyle name="40% - Accent4 2 4 3 3 2 2 2" xfId="26876" xr:uid="{00000000-0005-0000-0000-0000614B0000}"/>
    <cellStyle name="40% - Accent4 2 4 3 3 2 3" xfId="21696" xr:uid="{00000000-0005-0000-0000-0000624B0000}"/>
    <cellStyle name="40% - Accent4 2 4 3 3 3" xfId="23988" xr:uid="{00000000-0005-0000-0000-0000634B0000}"/>
    <cellStyle name="40% - Accent4 2 4 3 3 3 2" xfId="30055" xr:uid="{00000000-0005-0000-0000-0000644B0000}"/>
    <cellStyle name="40% - Accent4 2 4 3 3 4" xfId="21704" xr:uid="{00000000-0005-0000-0000-0000654B0000}"/>
    <cellStyle name="40% - Accent4 2 4 3 4" xfId="20010" xr:uid="{00000000-0005-0000-0000-0000664B0000}"/>
    <cellStyle name="40% - Accent4 2 4 3 4 2" xfId="28777" xr:uid="{00000000-0005-0000-0000-0000674B0000}"/>
    <cellStyle name="40% - Accent4 2 4 3 4 2 2" xfId="820" xr:uid="{00000000-0005-0000-0000-0000684B0000}"/>
    <cellStyle name="40% - Accent4 2 4 3 4 3" xfId="24341" xr:uid="{00000000-0005-0000-0000-0000694B0000}"/>
    <cellStyle name="40% - Accent4 2 4 3 5" xfId="18812" xr:uid="{00000000-0005-0000-0000-00006A4B0000}"/>
    <cellStyle name="40% - Accent4 2 4 3 5 2" xfId="21716" xr:uid="{00000000-0005-0000-0000-00006B4B0000}"/>
    <cellStyle name="40% - Accent4 2 4 3 6" xfId="19372" xr:uid="{00000000-0005-0000-0000-00006C4B0000}"/>
    <cellStyle name="40% - Accent4 2 4 4" xfId="21722" xr:uid="{00000000-0005-0000-0000-00006D4B0000}"/>
    <cellStyle name="40% - Accent4 2 4 4 2" xfId="1327" xr:uid="{00000000-0005-0000-0000-00006E4B0000}"/>
    <cellStyle name="40% - Accent4 2 4 4 2 2" xfId="5320" xr:uid="{00000000-0005-0000-0000-00006F4B0000}"/>
    <cellStyle name="40% - Accent4 2 4 4 2 2 2" xfId="5325" xr:uid="{00000000-0005-0000-0000-0000704B0000}"/>
    <cellStyle name="40% - Accent4 2 4 4 2 2 2 2" xfId="24503" xr:uid="{00000000-0005-0000-0000-0000714B0000}"/>
    <cellStyle name="40% - Accent4 2 4 4 2 2 3" xfId="21723" xr:uid="{00000000-0005-0000-0000-0000724B0000}"/>
    <cellStyle name="40% - Accent4 2 4 4 2 3" xfId="8632" xr:uid="{00000000-0005-0000-0000-0000734B0000}"/>
    <cellStyle name="40% - Accent4 2 4 4 2 3 2" xfId="22026" xr:uid="{00000000-0005-0000-0000-0000744B0000}"/>
    <cellStyle name="40% - Accent4 2 4 4 2 4" xfId="21728" xr:uid="{00000000-0005-0000-0000-0000754B0000}"/>
    <cellStyle name="40% - Accent4 2 4 4 3" xfId="8503" xr:uid="{00000000-0005-0000-0000-0000764B0000}"/>
    <cellStyle name="40% - Accent4 2 4 4 3 2" xfId="5343" xr:uid="{00000000-0005-0000-0000-0000774B0000}"/>
    <cellStyle name="40% - Accent4 2 4 4 3 2 2" xfId="21736" xr:uid="{00000000-0005-0000-0000-0000784B0000}"/>
    <cellStyle name="40% - Accent4 2 4 4 3 3" xfId="21738" xr:uid="{00000000-0005-0000-0000-0000794B0000}"/>
    <cellStyle name="40% - Accent4 2 4 4 4" xfId="6143" xr:uid="{00000000-0005-0000-0000-00007A4B0000}"/>
    <cellStyle name="40% - Accent4 2 4 4 4 2" xfId="17815" xr:uid="{00000000-0005-0000-0000-00007B4B0000}"/>
    <cellStyle name="40% - Accent4 2 4 4 5" xfId="26749" xr:uid="{00000000-0005-0000-0000-00007C4B0000}"/>
    <cellStyle name="40% - Accent4 2 4 5" xfId="25085" xr:uid="{00000000-0005-0000-0000-00007D4B0000}"/>
    <cellStyle name="40% - Accent4 2 4 5 2" xfId="5439" xr:uid="{00000000-0005-0000-0000-00007E4B0000}"/>
    <cellStyle name="40% - Accent4 2 4 5 2 2" xfId="5452" xr:uid="{00000000-0005-0000-0000-00007F4B0000}"/>
    <cellStyle name="40% - Accent4 2 4 5 2 2 2" xfId="16821" xr:uid="{00000000-0005-0000-0000-0000804B0000}"/>
    <cellStyle name="40% - Accent4 2 4 5 2 3" xfId="21747" xr:uid="{00000000-0005-0000-0000-0000814B0000}"/>
    <cellStyle name="40% - Accent4 2 4 5 3" xfId="5461" xr:uid="{00000000-0005-0000-0000-0000824B0000}"/>
    <cellStyle name="40% - Accent4 2 4 5 3 2" xfId="26779" xr:uid="{00000000-0005-0000-0000-0000834B0000}"/>
    <cellStyle name="40% - Accent4 2 4 5 4" xfId="25377" xr:uid="{00000000-0005-0000-0000-0000844B0000}"/>
    <cellStyle name="40% - Accent4 2 4 6" xfId="29644" xr:uid="{00000000-0005-0000-0000-0000854B0000}"/>
    <cellStyle name="40% - Accent4 2 4 6 2" xfId="27413" xr:uid="{00000000-0005-0000-0000-0000864B0000}"/>
    <cellStyle name="40% - Accent4 2 4 6 2 2" xfId="21753" xr:uid="{00000000-0005-0000-0000-0000874B0000}"/>
    <cellStyle name="40% - Accent4 2 4 6 3" xfId="27052" xr:uid="{00000000-0005-0000-0000-0000884B0000}"/>
    <cellStyle name="40% - Accent4 2 4 7" xfId="14143" xr:uid="{00000000-0005-0000-0000-0000894B0000}"/>
    <cellStyle name="40% - Accent4 2 4 7 2" xfId="15549" xr:uid="{00000000-0005-0000-0000-00008A4B0000}"/>
    <cellStyle name="40% - Accent4 2 4 8" xfId="21754" xr:uid="{00000000-0005-0000-0000-00008B4B0000}"/>
    <cellStyle name="40% - Accent4 2 5" xfId="5896" xr:uid="{00000000-0005-0000-0000-00008C4B0000}"/>
    <cellStyle name="40% - Accent4 2 5 2" xfId="20150" xr:uid="{00000000-0005-0000-0000-00008D4B0000}"/>
    <cellStyle name="40% - Accent4 2 5 2 2" xfId="21758" xr:uid="{00000000-0005-0000-0000-00008E4B0000}"/>
    <cellStyle name="40% - Accent4 2 5 2 2 2" xfId="22224" xr:uid="{00000000-0005-0000-0000-00008F4B0000}"/>
    <cellStyle name="40% - Accent4 2 5 2 2 2 2" xfId="14620" xr:uid="{00000000-0005-0000-0000-0000904B0000}"/>
    <cellStyle name="40% - Accent4 2 5 2 2 2 2 2" xfId="19629" xr:uid="{00000000-0005-0000-0000-0000914B0000}"/>
    <cellStyle name="40% - Accent4 2 5 2 2 2 2 2 2" xfId="14970" xr:uid="{00000000-0005-0000-0000-0000924B0000}"/>
    <cellStyle name="40% - Accent4 2 5 2 2 2 2 3" xfId="21762" xr:uid="{00000000-0005-0000-0000-0000934B0000}"/>
    <cellStyle name="40% - Accent4 2 5 2 2 2 3" xfId="7429" xr:uid="{00000000-0005-0000-0000-0000944B0000}"/>
    <cellStyle name="40% - Accent4 2 5 2 2 2 3 2" xfId="26428" xr:uid="{00000000-0005-0000-0000-0000954B0000}"/>
    <cellStyle name="40% - Accent4 2 5 2 2 2 4" xfId="7444" xr:uid="{00000000-0005-0000-0000-0000964B0000}"/>
    <cellStyle name="40% - Accent4 2 5 2 2 3" xfId="18196" xr:uid="{00000000-0005-0000-0000-0000974B0000}"/>
    <cellStyle name="40% - Accent4 2 5 2 2 3 2" xfId="5482" xr:uid="{00000000-0005-0000-0000-0000984B0000}"/>
    <cellStyle name="40% - Accent4 2 5 2 2 3 2 2" xfId="29732" xr:uid="{00000000-0005-0000-0000-0000994B0000}"/>
    <cellStyle name="40% - Accent4 2 5 2 2 3 3" xfId="7728" xr:uid="{00000000-0005-0000-0000-00009A4B0000}"/>
    <cellStyle name="40% - Accent4 2 5 2 2 4" xfId="21764" xr:uid="{00000000-0005-0000-0000-00009B4B0000}"/>
    <cellStyle name="40% - Accent4 2 5 2 2 4 2" xfId="2437" xr:uid="{00000000-0005-0000-0000-00009C4B0000}"/>
    <cellStyle name="40% - Accent4 2 5 2 2 5" xfId="32398" xr:uid="{00000000-0005-0000-0000-00009D4B0000}"/>
    <cellStyle name="40% - Accent4 2 5 2 3" xfId="21765" xr:uid="{00000000-0005-0000-0000-00009E4B0000}"/>
    <cellStyle name="40% - Accent4 2 5 2 3 2" xfId="33152" xr:uid="{00000000-0005-0000-0000-00009F4B0000}"/>
    <cellStyle name="40% - Accent4 2 5 2 3 2 2" xfId="2571" xr:uid="{00000000-0005-0000-0000-0000A04B0000}"/>
    <cellStyle name="40% - Accent4 2 5 2 3 2 2 2" xfId="21768" xr:uid="{00000000-0005-0000-0000-0000A14B0000}"/>
    <cellStyle name="40% - Accent4 2 5 2 3 2 3" xfId="4978" xr:uid="{00000000-0005-0000-0000-0000A24B0000}"/>
    <cellStyle name="40% - Accent4 2 5 2 3 3" xfId="21769" xr:uid="{00000000-0005-0000-0000-0000A34B0000}"/>
    <cellStyle name="40% - Accent4 2 5 2 3 3 2" xfId="988" xr:uid="{00000000-0005-0000-0000-0000A44B0000}"/>
    <cellStyle name="40% - Accent4 2 5 2 3 4" xfId="25286" xr:uid="{00000000-0005-0000-0000-0000A54B0000}"/>
    <cellStyle name="40% - Accent4 2 5 2 4" xfId="15228" xr:uid="{00000000-0005-0000-0000-0000A64B0000}"/>
    <cellStyle name="40% - Accent4 2 5 2 4 2" xfId="24878" xr:uid="{00000000-0005-0000-0000-0000A74B0000}"/>
    <cellStyle name="40% - Accent4 2 5 2 4 2 2" xfId="9659" xr:uid="{00000000-0005-0000-0000-0000A84B0000}"/>
    <cellStyle name="40% - Accent4 2 5 2 4 3" xfId="21784" xr:uid="{00000000-0005-0000-0000-0000A94B0000}"/>
    <cellStyle name="40% - Accent4 2 5 2 5" xfId="18816" xr:uid="{00000000-0005-0000-0000-0000AA4B0000}"/>
    <cellStyle name="40% - Accent4 2 5 2 5 2" xfId="21893" xr:uid="{00000000-0005-0000-0000-0000AB4B0000}"/>
    <cellStyle name="40% - Accent4 2 5 2 6" xfId="21793" xr:uid="{00000000-0005-0000-0000-0000AC4B0000}"/>
    <cellStyle name="40% - Accent4 2 5 3" xfId="19976" xr:uid="{00000000-0005-0000-0000-0000AD4B0000}"/>
    <cellStyle name="40% - Accent4 2 5 3 2" xfId="27124" xr:uid="{00000000-0005-0000-0000-0000AE4B0000}"/>
    <cellStyle name="40% - Accent4 2 5 3 2 2" xfId="3472" xr:uid="{00000000-0005-0000-0000-0000AF4B0000}"/>
    <cellStyle name="40% - Accent4 2 5 3 2 2 2" xfId="3305" xr:uid="{00000000-0005-0000-0000-0000B04B0000}"/>
    <cellStyle name="40% - Accent4 2 5 3 2 2 2 2" xfId="6955" xr:uid="{00000000-0005-0000-0000-0000B14B0000}"/>
    <cellStyle name="40% - Accent4 2 5 3 2 2 3" xfId="3372" xr:uid="{00000000-0005-0000-0000-0000B24B0000}"/>
    <cellStyle name="40% - Accent4 2 5 3 2 3" xfId="8700" xr:uid="{00000000-0005-0000-0000-0000B34B0000}"/>
    <cellStyle name="40% - Accent4 2 5 3 2 3 2" xfId="10926" xr:uid="{00000000-0005-0000-0000-0000B44B0000}"/>
    <cellStyle name="40% - Accent4 2 5 3 2 4" xfId="21796" xr:uid="{00000000-0005-0000-0000-0000B54B0000}"/>
    <cellStyle name="40% - Accent4 2 5 3 3" xfId="19992" xr:uid="{00000000-0005-0000-0000-0000B64B0000}"/>
    <cellStyle name="40% - Accent4 2 5 3 3 2" xfId="20000" xr:uid="{00000000-0005-0000-0000-0000B74B0000}"/>
    <cellStyle name="40% - Accent4 2 5 3 3 2 2" xfId="3404" xr:uid="{00000000-0005-0000-0000-0000B84B0000}"/>
    <cellStyle name="40% - Accent4 2 5 3 3 3" xfId="21799" xr:uid="{00000000-0005-0000-0000-0000B94B0000}"/>
    <cellStyle name="40% - Accent4 2 5 3 4" xfId="20009" xr:uid="{00000000-0005-0000-0000-0000BA4B0000}"/>
    <cellStyle name="40% - Accent4 2 5 3 4 2" xfId="21801" xr:uid="{00000000-0005-0000-0000-0000BB4B0000}"/>
    <cellStyle name="40% - Accent4 2 5 3 5" xfId="21807" xr:uid="{00000000-0005-0000-0000-0000BC4B0000}"/>
    <cellStyle name="40% - Accent4 2 5 4" xfId="20015" xr:uid="{00000000-0005-0000-0000-0000BD4B0000}"/>
    <cellStyle name="40% - Accent4 2 5 4 2" xfId="12643" xr:uid="{00000000-0005-0000-0000-0000BE4B0000}"/>
    <cellStyle name="40% - Accent4 2 5 4 2 2" xfId="5677" xr:uid="{00000000-0005-0000-0000-0000BF4B0000}"/>
    <cellStyle name="40% - Accent4 2 5 4 2 2 2" xfId="3450" xr:uid="{00000000-0005-0000-0000-0000C04B0000}"/>
    <cellStyle name="40% - Accent4 2 5 4 2 3" xfId="21812" xr:uid="{00000000-0005-0000-0000-0000C14B0000}"/>
    <cellStyle name="40% - Accent4 2 5 4 3" xfId="12647" xr:uid="{00000000-0005-0000-0000-0000C24B0000}"/>
    <cellStyle name="40% - Accent4 2 5 4 3 2" xfId="21815" xr:uid="{00000000-0005-0000-0000-0000C34B0000}"/>
    <cellStyle name="40% - Accent4 2 5 4 4" xfId="21819" xr:uid="{00000000-0005-0000-0000-0000C44B0000}"/>
    <cellStyle name="40% - Accent4 2 5 5" xfId="20017" xr:uid="{00000000-0005-0000-0000-0000C54B0000}"/>
    <cellStyle name="40% - Accent4 2 5 5 2" xfId="6491" xr:uid="{00000000-0005-0000-0000-0000C64B0000}"/>
    <cellStyle name="40% - Accent4 2 5 5 2 2" xfId="4035" xr:uid="{00000000-0005-0000-0000-0000C74B0000}"/>
    <cellStyle name="40% - Accent4 2 5 5 3" xfId="18369" xr:uid="{00000000-0005-0000-0000-0000C84B0000}"/>
    <cellStyle name="40% - Accent4 2 5 6" xfId="18724" xr:uid="{00000000-0005-0000-0000-0000C94B0000}"/>
    <cellStyle name="40% - Accent4 2 5 6 2" xfId="21823" xr:uid="{00000000-0005-0000-0000-0000CA4B0000}"/>
    <cellStyle name="40% - Accent4 2 5 7" xfId="23167" xr:uid="{00000000-0005-0000-0000-0000CB4B0000}"/>
    <cellStyle name="40% - Accent4 2 6" xfId="5901" xr:uid="{00000000-0005-0000-0000-0000CC4B0000}"/>
    <cellStyle name="40% - Accent4 2 6 2" xfId="18544" xr:uid="{00000000-0005-0000-0000-0000CD4B0000}"/>
    <cellStyle name="40% - Accent4 2 6 2 2" xfId="26250" xr:uid="{00000000-0005-0000-0000-0000CE4B0000}"/>
    <cellStyle name="40% - Accent4 2 6 2 2 2" xfId="14989" xr:uid="{00000000-0005-0000-0000-0000CF4B0000}"/>
    <cellStyle name="40% - Accent4 2 6 2 2 2 2" xfId="19246" xr:uid="{00000000-0005-0000-0000-0000D04B0000}"/>
    <cellStyle name="40% - Accent4 2 6 2 2 2 2 2" xfId="27554" xr:uid="{00000000-0005-0000-0000-0000D14B0000}"/>
    <cellStyle name="40% - Accent4 2 6 2 2 2 3" xfId="23739" xr:uid="{00000000-0005-0000-0000-0000D24B0000}"/>
    <cellStyle name="40% - Accent4 2 6 2 2 3" xfId="21824" xr:uid="{00000000-0005-0000-0000-0000D34B0000}"/>
    <cellStyle name="40% - Accent4 2 6 2 2 3 2" xfId="21826" xr:uid="{00000000-0005-0000-0000-0000D44B0000}"/>
    <cellStyle name="40% - Accent4 2 6 2 2 4" xfId="21828" xr:uid="{00000000-0005-0000-0000-0000D54B0000}"/>
    <cellStyle name="40% - Accent4 2 6 2 3" xfId="21830" xr:uid="{00000000-0005-0000-0000-0000D64B0000}"/>
    <cellStyle name="40% - Accent4 2 6 2 3 2" xfId="22361" xr:uid="{00000000-0005-0000-0000-0000D74B0000}"/>
    <cellStyle name="40% - Accent4 2 6 2 3 2 2" xfId="21836" xr:uid="{00000000-0005-0000-0000-0000D84B0000}"/>
    <cellStyle name="40% - Accent4 2 6 2 3 3" xfId="21839" xr:uid="{00000000-0005-0000-0000-0000D94B0000}"/>
    <cellStyle name="40% - Accent4 2 6 2 4" xfId="21842" xr:uid="{00000000-0005-0000-0000-0000DA4B0000}"/>
    <cellStyle name="40% - Accent4 2 6 2 4 2" xfId="21848" xr:uid="{00000000-0005-0000-0000-0000DB4B0000}"/>
    <cellStyle name="40% - Accent4 2 6 2 5" xfId="8498" xr:uid="{00000000-0005-0000-0000-0000DC4B0000}"/>
    <cellStyle name="40% - Accent4 2 6 3" xfId="20024" xr:uid="{00000000-0005-0000-0000-0000DD4B0000}"/>
    <cellStyle name="40% - Accent4 2 6 3 2" xfId="24505" xr:uid="{00000000-0005-0000-0000-0000DE4B0000}"/>
    <cellStyle name="40% - Accent4 2 6 3 2 2" xfId="20026" xr:uid="{00000000-0005-0000-0000-0000DF4B0000}"/>
    <cellStyle name="40% - Accent4 2 6 3 2 2 2" xfId="23024" xr:uid="{00000000-0005-0000-0000-0000E04B0000}"/>
    <cellStyle name="40% - Accent4 2 6 3 2 3" xfId="21850" xr:uid="{00000000-0005-0000-0000-0000E14B0000}"/>
    <cellStyle name="40% - Accent4 2 6 3 3" xfId="20031" xr:uid="{00000000-0005-0000-0000-0000E24B0000}"/>
    <cellStyle name="40% - Accent4 2 6 3 3 2" xfId="22177" xr:uid="{00000000-0005-0000-0000-0000E34B0000}"/>
    <cellStyle name="40% - Accent4 2 6 3 4" xfId="21853" xr:uid="{00000000-0005-0000-0000-0000E44B0000}"/>
    <cellStyle name="40% - Accent4 2 6 4" xfId="20033" xr:uid="{00000000-0005-0000-0000-0000E54B0000}"/>
    <cellStyle name="40% - Accent4 2 6 4 2" xfId="7856" xr:uid="{00000000-0005-0000-0000-0000E64B0000}"/>
    <cellStyle name="40% - Accent4 2 6 4 2 2" xfId="21854" xr:uid="{00000000-0005-0000-0000-0000E74B0000}"/>
    <cellStyle name="40% - Accent4 2 6 4 3" xfId="21856" xr:uid="{00000000-0005-0000-0000-0000E84B0000}"/>
    <cellStyle name="40% - Accent4 2 6 5" xfId="20039" xr:uid="{00000000-0005-0000-0000-0000E94B0000}"/>
    <cellStyle name="40% - Accent4 2 6 5 2" xfId="21857" xr:uid="{00000000-0005-0000-0000-0000EA4B0000}"/>
    <cellStyle name="40% - Accent4 2 6 6" xfId="21860" xr:uid="{00000000-0005-0000-0000-0000EB4B0000}"/>
    <cellStyle name="40% - Accent4 2 7" xfId="7951" xr:uid="{00000000-0005-0000-0000-0000EC4B0000}"/>
    <cellStyle name="40% - Accent4 2 7 2" xfId="16730" xr:uid="{00000000-0005-0000-0000-0000ED4B0000}"/>
    <cellStyle name="40% - Accent4 2 7 2 2" xfId="16732" xr:uid="{00000000-0005-0000-0000-0000EE4B0000}"/>
    <cellStyle name="40% - Accent4 2 7 2 2 2" xfId="21866" xr:uid="{00000000-0005-0000-0000-0000EF4B0000}"/>
    <cellStyle name="40% - Accent4 2 7 2 2 2 2" xfId="27761" xr:uid="{00000000-0005-0000-0000-0000F04B0000}"/>
    <cellStyle name="40% - Accent4 2 7 2 2 3" xfId="32600" xr:uid="{00000000-0005-0000-0000-0000F14B0000}"/>
    <cellStyle name="40% - Accent4 2 7 2 3" xfId="21867" xr:uid="{00000000-0005-0000-0000-0000F24B0000}"/>
    <cellStyle name="40% - Accent4 2 7 2 3 2" xfId="7751" xr:uid="{00000000-0005-0000-0000-0000F34B0000}"/>
    <cellStyle name="40% - Accent4 2 7 2 4" xfId="21869" xr:uid="{00000000-0005-0000-0000-0000F44B0000}"/>
    <cellStyle name="40% - Accent4 2 7 3" xfId="16733" xr:uid="{00000000-0005-0000-0000-0000F54B0000}"/>
    <cellStyle name="40% - Accent4 2 7 3 2" xfId="16736" xr:uid="{00000000-0005-0000-0000-0000F64B0000}"/>
    <cellStyle name="40% - Accent4 2 7 3 2 2" xfId="21510" xr:uid="{00000000-0005-0000-0000-0000F74B0000}"/>
    <cellStyle name="40% - Accent4 2 7 3 3" xfId="21871" xr:uid="{00000000-0005-0000-0000-0000F84B0000}"/>
    <cellStyle name="40% - Accent4 2 7 4" xfId="20043" xr:uid="{00000000-0005-0000-0000-0000F94B0000}"/>
    <cellStyle name="40% - Accent4 2 7 4 2" xfId="21875" xr:uid="{00000000-0005-0000-0000-0000FA4B0000}"/>
    <cellStyle name="40% - Accent4 2 7 5" xfId="21880" xr:uid="{00000000-0005-0000-0000-0000FB4B0000}"/>
    <cellStyle name="40% - Accent4 2 8" xfId="21881" xr:uid="{00000000-0005-0000-0000-0000FC4B0000}"/>
    <cellStyle name="40% - Accent4 2 8 2" xfId="16759" xr:uid="{00000000-0005-0000-0000-0000FD4B0000}"/>
    <cellStyle name="40% - Accent4 2 8 2 2" xfId="27525" xr:uid="{00000000-0005-0000-0000-0000FE4B0000}"/>
    <cellStyle name="40% - Accent4 2 8 2 2 2" xfId="21886" xr:uid="{00000000-0005-0000-0000-0000FF4B0000}"/>
    <cellStyle name="40% - Accent4 2 8 2 3" xfId="25737" xr:uid="{00000000-0005-0000-0000-0000004C0000}"/>
    <cellStyle name="40% - Accent4 2 8 3" xfId="20045" xr:uid="{00000000-0005-0000-0000-0000014C0000}"/>
    <cellStyle name="40% - Accent4 2 8 3 2" xfId="32552" xr:uid="{00000000-0005-0000-0000-0000024C0000}"/>
    <cellStyle name="40% - Accent4 2 8 4" xfId="16560" xr:uid="{00000000-0005-0000-0000-0000034C0000}"/>
    <cellStyle name="40% - Accent4 2 9" xfId="21890" xr:uid="{00000000-0005-0000-0000-0000044C0000}"/>
    <cellStyle name="40% - Accent4 2 9 2" xfId="21895" xr:uid="{00000000-0005-0000-0000-0000054C0000}"/>
    <cellStyle name="40% - Accent4 2 9 2 2" xfId="33367" xr:uid="{00000000-0005-0000-0000-0000064C0000}"/>
    <cellStyle name="40% - Accent4 2 9 3" xfId="9931" xr:uid="{00000000-0005-0000-0000-0000074C0000}"/>
    <cellStyle name="40% - Accent4 3" xfId="14127" xr:uid="{00000000-0005-0000-0000-0000084C0000}"/>
    <cellStyle name="40% - Accent4 3 10" xfId="21898" xr:uid="{00000000-0005-0000-0000-0000094C0000}"/>
    <cellStyle name="40% - Accent4 3 2" xfId="18375" xr:uid="{00000000-0005-0000-0000-00000A4C0000}"/>
    <cellStyle name="40% - Accent4 3 2 2" xfId="32107" xr:uid="{00000000-0005-0000-0000-00000B4C0000}"/>
    <cellStyle name="40% - Accent4 3 2 2 2" xfId="21903" xr:uid="{00000000-0005-0000-0000-00000C4C0000}"/>
    <cellStyle name="40% - Accent4 3 2 2 2 2" xfId="23132" xr:uid="{00000000-0005-0000-0000-00000D4C0000}"/>
    <cellStyle name="40% - Accent4 3 2 2 2 2 2" xfId="21905" xr:uid="{00000000-0005-0000-0000-00000E4C0000}"/>
    <cellStyle name="40% - Accent4 3 2 2 2 2 2 2" xfId="10456" xr:uid="{00000000-0005-0000-0000-00000F4C0000}"/>
    <cellStyle name="40% - Accent4 3 2 2 2 2 2 2 2" xfId="29597" xr:uid="{00000000-0005-0000-0000-0000104C0000}"/>
    <cellStyle name="40% - Accent4 3 2 2 2 2 2 2 2 2" xfId="13" xr:uid="{00000000-0005-0000-0000-0000114C0000}"/>
    <cellStyle name="40% - Accent4 3 2 2 2 2 2 2 2 2 2" xfId="33920" xr:uid="{00000000-0005-0000-0000-0000124C0000}"/>
    <cellStyle name="40% - Accent4 3 2 2 2 2 2 2 2 3" xfId="21906" xr:uid="{00000000-0005-0000-0000-0000134C0000}"/>
    <cellStyle name="40% - Accent4 3 2 2 2 2 2 2 3" xfId="21909" xr:uid="{00000000-0005-0000-0000-0000144C0000}"/>
    <cellStyle name="40% - Accent4 3 2 2 2 2 2 2 3 2" xfId="21910" xr:uid="{00000000-0005-0000-0000-0000154C0000}"/>
    <cellStyle name="40% - Accent4 3 2 2 2 2 2 2 4" xfId="21912" xr:uid="{00000000-0005-0000-0000-0000164C0000}"/>
    <cellStyle name="40% - Accent4 3 2 2 2 2 2 3" xfId="21913" xr:uid="{00000000-0005-0000-0000-0000174C0000}"/>
    <cellStyle name="40% - Accent4 3 2 2 2 2 2 3 2" xfId="23634" xr:uid="{00000000-0005-0000-0000-0000184C0000}"/>
    <cellStyle name="40% - Accent4 3 2 2 2 2 2 3 2 2" xfId="32165" xr:uid="{00000000-0005-0000-0000-0000194C0000}"/>
    <cellStyle name="40% - Accent4 3 2 2 2 2 2 3 3" xfId="29630" xr:uid="{00000000-0005-0000-0000-00001A4C0000}"/>
    <cellStyle name="40% - Accent4 3 2 2 2 2 2 4" xfId="21916" xr:uid="{00000000-0005-0000-0000-00001B4C0000}"/>
    <cellStyle name="40% - Accent4 3 2 2 2 2 2 4 2" xfId="21919" xr:uid="{00000000-0005-0000-0000-00001C4C0000}"/>
    <cellStyle name="40% - Accent4 3 2 2 2 2 2 5" xfId="27285" xr:uid="{00000000-0005-0000-0000-00001D4C0000}"/>
    <cellStyle name="40% - Accent4 3 2 2 2 2 3" xfId="21921" xr:uid="{00000000-0005-0000-0000-00001E4C0000}"/>
    <cellStyle name="40% - Accent4 3 2 2 2 2 3 2" xfId="29092" xr:uid="{00000000-0005-0000-0000-00001F4C0000}"/>
    <cellStyle name="40% - Accent4 3 2 2 2 2 3 2 2" xfId="23653" xr:uid="{00000000-0005-0000-0000-0000204C0000}"/>
    <cellStyle name="40% - Accent4 3 2 2 2 2 3 2 2 2" xfId="30145" xr:uid="{00000000-0005-0000-0000-0000214C0000}"/>
    <cellStyle name="40% - Accent4 3 2 2 2 2 3 2 3" xfId="21922" xr:uid="{00000000-0005-0000-0000-0000224C0000}"/>
    <cellStyle name="40% - Accent4 3 2 2 2 2 3 3" xfId="21923" xr:uid="{00000000-0005-0000-0000-0000234C0000}"/>
    <cellStyle name="40% - Accent4 3 2 2 2 2 3 3 2" xfId="21924" xr:uid="{00000000-0005-0000-0000-0000244C0000}"/>
    <cellStyle name="40% - Accent4 3 2 2 2 2 3 4" xfId="21930" xr:uid="{00000000-0005-0000-0000-0000254C0000}"/>
    <cellStyle name="40% - Accent4 3 2 2 2 2 4" xfId="12112" xr:uid="{00000000-0005-0000-0000-0000264C0000}"/>
    <cellStyle name="40% - Accent4 3 2 2 2 2 4 2" xfId="21932" xr:uid="{00000000-0005-0000-0000-0000274C0000}"/>
    <cellStyle name="40% - Accent4 3 2 2 2 2 4 2 2" xfId="27582" xr:uid="{00000000-0005-0000-0000-0000284C0000}"/>
    <cellStyle name="40% - Accent4 3 2 2 2 2 4 3" xfId="21934" xr:uid="{00000000-0005-0000-0000-0000294C0000}"/>
    <cellStyle name="40% - Accent4 3 2 2 2 2 5" xfId="9316" xr:uid="{00000000-0005-0000-0000-00002A4C0000}"/>
    <cellStyle name="40% - Accent4 3 2 2 2 2 5 2" xfId="22561" xr:uid="{00000000-0005-0000-0000-00002B4C0000}"/>
    <cellStyle name="40% - Accent4 3 2 2 2 2 6" xfId="13478" xr:uid="{00000000-0005-0000-0000-00002C4C0000}"/>
    <cellStyle name="40% - Accent4 3 2 2 2 3" xfId="6525" xr:uid="{00000000-0005-0000-0000-00002D4C0000}"/>
    <cellStyle name="40% - Accent4 3 2 2 2 3 2" xfId="28802" xr:uid="{00000000-0005-0000-0000-00002E4C0000}"/>
    <cellStyle name="40% - Accent4 3 2 2 2 3 2 2" xfId="30823" xr:uid="{00000000-0005-0000-0000-00002F4C0000}"/>
    <cellStyle name="40% - Accent4 3 2 2 2 3 2 2 2" xfId="23712" xr:uid="{00000000-0005-0000-0000-0000304C0000}"/>
    <cellStyle name="40% - Accent4 3 2 2 2 3 2 2 2 2" xfId="3631" xr:uid="{00000000-0005-0000-0000-0000314C0000}"/>
    <cellStyle name="40% - Accent4 3 2 2 2 3 2 2 3" xfId="16780" xr:uid="{00000000-0005-0000-0000-0000324C0000}"/>
    <cellStyle name="40% - Accent4 3 2 2 2 3 2 3" xfId="8864" xr:uid="{00000000-0005-0000-0000-0000334C0000}"/>
    <cellStyle name="40% - Accent4 3 2 2 2 3 2 3 2" xfId="33738" xr:uid="{00000000-0005-0000-0000-0000344C0000}"/>
    <cellStyle name="40% - Accent4 3 2 2 2 3 2 4" xfId="8820" xr:uid="{00000000-0005-0000-0000-0000354C0000}"/>
    <cellStyle name="40% - Accent4 3 2 2 2 3 3" xfId="21942" xr:uid="{00000000-0005-0000-0000-0000364C0000}"/>
    <cellStyle name="40% - Accent4 3 2 2 2 3 3 2" xfId="32967" xr:uid="{00000000-0005-0000-0000-0000374C0000}"/>
    <cellStyle name="40% - Accent4 3 2 2 2 3 3 2 2" xfId="21945" xr:uid="{00000000-0005-0000-0000-0000384C0000}"/>
    <cellStyle name="40% - Accent4 3 2 2 2 3 3 3" xfId="11036" xr:uid="{00000000-0005-0000-0000-0000394C0000}"/>
    <cellStyle name="40% - Accent4 3 2 2 2 3 4" xfId="9319" xr:uid="{00000000-0005-0000-0000-00003A4C0000}"/>
    <cellStyle name="40% - Accent4 3 2 2 2 3 4 2" xfId="21949" xr:uid="{00000000-0005-0000-0000-00003B4C0000}"/>
    <cellStyle name="40% - Accent4 3 2 2 2 3 5" xfId="9412" xr:uid="{00000000-0005-0000-0000-00003C4C0000}"/>
    <cellStyle name="40% - Accent4 3 2 2 2 4" xfId="21952" xr:uid="{00000000-0005-0000-0000-00003D4C0000}"/>
    <cellStyle name="40% - Accent4 3 2 2 2 4 2" xfId="11159" xr:uid="{00000000-0005-0000-0000-00003E4C0000}"/>
    <cellStyle name="40% - Accent4 3 2 2 2 4 2 2" xfId="8877" xr:uid="{00000000-0005-0000-0000-00003F4C0000}"/>
    <cellStyle name="40% - Accent4 3 2 2 2 4 2 2 2" xfId="24686" xr:uid="{00000000-0005-0000-0000-0000404C0000}"/>
    <cellStyle name="40% - Accent4 3 2 2 2 4 2 3" xfId="21958" xr:uid="{00000000-0005-0000-0000-0000414C0000}"/>
    <cellStyle name="40% - Accent4 3 2 2 2 4 3" xfId="7754" xr:uid="{00000000-0005-0000-0000-0000424C0000}"/>
    <cellStyle name="40% - Accent4 3 2 2 2 4 3 2" xfId="21962" xr:uid="{00000000-0005-0000-0000-0000434C0000}"/>
    <cellStyle name="40% - Accent4 3 2 2 2 4 4" xfId="29023" xr:uid="{00000000-0005-0000-0000-0000444C0000}"/>
    <cellStyle name="40% - Accent4 3 2 2 2 5" xfId="21964" xr:uid="{00000000-0005-0000-0000-0000454C0000}"/>
    <cellStyle name="40% - Accent4 3 2 2 2 5 2" xfId="22689" xr:uid="{00000000-0005-0000-0000-0000464C0000}"/>
    <cellStyle name="40% - Accent4 3 2 2 2 5 2 2" xfId="21966" xr:uid="{00000000-0005-0000-0000-0000474C0000}"/>
    <cellStyle name="40% - Accent4 3 2 2 2 5 3" xfId="32572" xr:uid="{00000000-0005-0000-0000-0000484C0000}"/>
    <cellStyle name="40% - Accent4 3 2 2 2 6" xfId="21967" xr:uid="{00000000-0005-0000-0000-0000494C0000}"/>
    <cellStyle name="40% - Accent4 3 2 2 2 6 2" xfId="21968" xr:uid="{00000000-0005-0000-0000-00004A4C0000}"/>
    <cellStyle name="40% - Accent4 3 2 2 2 7" xfId="21969" xr:uid="{00000000-0005-0000-0000-00004B4C0000}"/>
    <cellStyle name="40% - Accent4 3 2 2 3" xfId="21970" xr:uid="{00000000-0005-0000-0000-00004C4C0000}"/>
    <cellStyle name="40% - Accent4 3 2 2 3 2" xfId="21975" xr:uid="{00000000-0005-0000-0000-00004D4C0000}"/>
    <cellStyle name="40% - Accent4 3 2 2 3 2 2" xfId="21979" xr:uid="{00000000-0005-0000-0000-00004E4C0000}"/>
    <cellStyle name="40% - Accent4 3 2 2 3 2 2 2" xfId="22458" xr:uid="{00000000-0005-0000-0000-00004F4C0000}"/>
    <cellStyle name="40% - Accent4 3 2 2 3 2 2 2 2" xfId="23806" xr:uid="{00000000-0005-0000-0000-0000504C0000}"/>
    <cellStyle name="40% - Accent4 3 2 2 3 2 2 2 2 2" xfId="29059" xr:uid="{00000000-0005-0000-0000-0000514C0000}"/>
    <cellStyle name="40% - Accent4 3 2 2 3 2 2 2 3" xfId="14605" xr:uid="{00000000-0005-0000-0000-0000524C0000}"/>
    <cellStyle name="40% - Accent4 3 2 2 3 2 2 3" xfId="28024" xr:uid="{00000000-0005-0000-0000-0000534C0000}"/>
    <cellStyle name="40% - Accent4 3 2 2 3 2 2 3 2" xfId="14042" xr:uid="{00000000-0005-0000-0000-0000544C0000}"/>
    <cellStyle name="40% - Accent4 3 2 2 3 2 2 4" xfId="30535" xr:uid="{00000000-0005-0000-0000-0000554C0000}"/>
    <cellStyle name="40% - Accent4 3 2 2 3 2 3" xfId="21981" xr:uid="{00000000-0005-0000-0000-0000564C0000}"/>
    <cellStyle name="40% - Accent4 3 2 2 3 2 3 2" xfId="28053" xr:uid="{00000000-0005-0000-0000-0000574C0000}"/>
    <cellStyle name="40% - Accent4 3 2 2 3 2 3 2 2" xfId="14629" xr:uid="{00000000-0005-0000-0000-0000584C0000}"/>
    <cellStyle name="40% - Accent4 3 2 2 3 2 3 3" xfId="23455" xr:uid="{00000000-0005-0000-0000-0000594C0000}"/>
    <cellStyle name="40% - Accent4 3 2 2 3 2 4" xfId="5562" xr:uid="{00000000-0005-0000-0000-00005A4C0000}"/>
    <cellStyle name="40% - Accent4 3 2 2 3 2 4 2" xfId="28400" xr:uid="{00000000-0005-0000-0000-00005B4C0000}"/>
    <cellStyle name="40% - Accent4 3 2 2 3 2 5" xfId="9026" xr:uid="{00000000-0005-0000-0000-00005C4C0000}"/>
    <cellStyle name="40% - Accent4 3 2 2 3 3" xfId="29877" xr:uid="{00000000-0005-0000-0000-00005D4C0000}"/>
    <cellStyle name="40% - Accent4 3 2 2 3 3 2" xfId="21988" xr:uid="{00000000-0005-0000-0000-00005E4C0000}"/>
    <cellStyle name="40% - Accent4 3 2 2 3 3 2 2" xfId="33129" xr:uid="{00000000-0005-0000-0000-00005F4C0000}"/>
    <cellStyle name="40% - Accent4 3 2 2 3 3 2 2 2" xfId="14689" xr:uid="{00000000-0005-0000-0000-0000604C0000}"/>
    <cellStyle name="40% - Accent4 3 2 2 3 3 2 3" xfId="21993" xr:uid="{00000000-0005-0000-0000-0000614C0000}"/>
    <cellStyle name="40% - Accent4 3 2 2 3 3 3" xfId="21997" xr:uid="{00000000-0005-0000-0000-0000624C0000}"/>
    <cellStyle name="40% - Accent4 3 2 2 3 3 3 2" xfId="28479" xr:uid="{00000000-0005-0000-0000-0000634C0000}"/>
    <cellStyle name="40% - Accent4 3 2 2 3 3 4" xfId="5572" xr:uid="{00000000-0005-0000-0000-0000644C0000}"/>
    <cellStyle name="40% - Accent4 3 2 2 3 4" xfId="26241" xr:uid="{00000000-0005-0000-0000-0000654C0000}"/>
    <cellStyle name="40% - Accent4 3 2 2 3 4 2" xfId="21998" xr:uid="{00000000-0005-0000-0000-0000664C0000}"/>
    <cellStyle name="40% - Accent4 3 2 2 3 4 2 2" xfId="23561" xr:uid="{00000000-0005-0000-0000-0000674C0000}"/>
    <cellStyle name="40% - Accent4 3 2 2 3 4 3" xfId="22001" xr:uid="{00000000-0005-0000-0000-0000684C0000}"/>
    <cellStyle name="40% - Accent4 3 2 2 3 5" xfId="22007" xr:uid="{00000000-0005-0000-0000-0000694C0000}"/>
    <cellStyle name="40% - Accent4 3 2 2 3 5 2" xfId="22012" xr:uid="{00000000-0005-0000-0000-00006A4C0000}"/>
    <cellStyle name="40% - Accent4 3 2 2 3 6" xfId="22014" xr:uid="{00000000-0005-0000-0000-00006B4C0000}"/>
    <cellStyle name="40% - Accent4 3 2 2 4" xfId="5123" xr:uid="{00000000-0005-0000-0000-00006C4C0000}"/>
    <cellStyle name="40% - Accent4 3 2 2 4 2" xfId="22016" xr:uid="{00000000-0005-0000-0000-00006D4C0000}"/>
    <cellStyle name="40% - Accent4 3 2 2 4 2 2" xfId="22021" xr:uid="{00000000-0005-0000-0000-00006E4C0000}"/>
    <cellStyle name="40% - Accent4 3 2 2 4 2 2 2" xfId="23670" xr:uid="{00000000-0005-0000-0000-00006F4C0000}"/>
    <cellStyle name="40% - Accent4 3 2 2 4 2 2 2 2" xfId="1495" xr:uid="{00000000-0005-0000-0000-0000704C0000}"/>
    <cellStyle name="40% - Accent4 3 2 2 4 2 2 3" xfId="29095" xr:uid="{00000000-0005-0000-0000-0000714C0000}"/>
    <cellStyle name="40% - Accent4 3 2 2 4 2 3" xfId="22024" xr:uid="{00000000-0005-0000-0000-0000724C0000}"/>
    <cellStyle name="40% - Accent4 3 2 2 4 2 3 2" xfId="29115" xr:uid="{00000000-0005-0000-0000-0000734C0000}"/>
    <cellStyle name="40% - Accent4 3 2 2 4 2 4" xfId="5588" xr:uid="{00000000-0005-0000-0000-0000744C0000}"/>
    <cellStyle name="40% - Accent4 3 2 2 4 3" xfId="22027" xr:uid="{00000000-0005-0000-0000-0000754C0000}"/>
    <cellStyle name="40% - Accent4 3 2 2 4 3 2" xfId="17010" xr:uid="{00000000-0005-0000-0000-0000764C0000}"/>
    <cellStyle name="40% - Accent4 3 2 2 4 3 2 2" xfId="23736" xr:uid="{00000000-0005-0000-0000-0000774C0000}"/>
    <cellStyle name="40% - Accent4 3 2 2 4 3 3" xfId="17017" xr:uid="{00000000-0005-0000-0000-0000784C0000}"/>
    <cellStyle name="40% - Accent4 3 2 2 4 4" xfId="22030" xr:uid="{00000000-0005-0000-0000-0000794C0000}"/>
    <cellStyle name="40% - Accent4 3 2 2 4 4 2" xfId="17064" xr:uid="{00000000-0005-0000-0000-00007A4C0000}"/>
    <cellStyle name="40% - Accent4 3 2 2 4 5" xfId="29850" xr:uid="{00000000-0005-0000-0000-00007B4C0000}"/>
    <cellStyle name="40% - Accent4 3 2 2 5" xfId="33672" xr:uid="{00000000-0005-0000-0000-00007C4C0000}"/>
    <cellStyle name="40% - Accent4 3 2 2 5 2" xfId="22035" xr:uid="{00000000-0005-0000-0000-00007D4C0000}"/>
    <cellStyle name="40% - Accent4 3 2 2 5 2 2" xfId="22041" xr:uid="{00000000-0005-0000-0000-00007E4C0000}"/>
    <cellStyle name="40% - Accent4 3 2 2 5 2 2 2" xfId="6363" xr:uid="{00000000-0005-0000-0000-00007F4C0000}"/>
    <cellStyle name="40% - Accent4 3 2 2 5 2 3" xfId="22047" xr:uid="{00000000-0005-0000-0000-0000804C0000}"/>
    <cellStyle name="40% - Accent4 3 2 2 5 3" xfId="22050" xr:uid="{00000000-0005-0000-0000-0000814C0000}"/>
    <cellStyle name="40% - Accent4 3 2 2 5 3 2" xfId="17116" xr:uid="{00000000-0005-0000-0000-0000824C0000}"/>
    <cellStyle name="40% - Accent4 3 2 2 5 4" xfId="22054" xr:uid="{00000000-0005-0000-0000-0000834C0000}"/>
    <cellStyle name="40% - Accent4 3 2 2 6" xfId="18833" xr:uid="{00000000-0005-0000-0000-0000844C0000}"/>
    <cellStyle name="40% - Accent4 3 2 2 6 2" xfId="28508" xr:uid="{00000000-0005-0000-0000-0000854C0000}"/>
    <cellStyle name="40% - Accent4 3 2 2 6 2 2" xfId="907" xr:uid="{00000000-0005-0000-0000-0000864C0000}"/>
    <cellStyle name="40% - Accent4 3 2 2 6 3" xfId="22061" xr:uid="{00000000-0005-0000-0000-0000874C0000}"/>
    <cellStyle name="40% - Accent4 3 2 2 7" xfId="32400" xr:uid="{00000000-0005-0000-0000-0000884C0000}"/>
    <cellStyle name="40% - Accent4 3 2 2 7 2" xfId="23073" xr:uid="{00000000-0005-0000-0000-0000894C0000}"/>
    <cellStyle name="40% - Accent4 3 2 2 8" xfId="33039" xr:uid="{00000000-0005-0000-0000-00008A4C0000}"/>
    <cellStyle name="40% - Accent4 3 2 3" xfId="22066" xr:uid="{00000000-0005-0000-0000-00008B4C0000}"/>
    <cellStyle name="40% - Accent4 3 2 3 2" xfId="23146" xr:uid="{00000000-0005-0000-0000-00008C4C0000}"/>
    <cellStyle name="40% - Accent4 3 2 3 2 2" xfId="22067" xr:uid="{00000000-0005-0000-0000-00008D4C0000}"/>
    <cellStyle name="40% - Accent4 3 2 3 2 2 2" xfId="27707" xr:uid="{00000000-0005-0000-0000-00008E4C0000}"/>
    <cellStyle name="40% - Accent4 3 2 3 2 2 2 2" xfId="22068" xr:uid="{00000000-0005-0000-0000-00008F4C0000}"/>
    <cellStyle name="40% - Accent4 3 2 3 2 2 2 2 2" xfId="11917" xr:uid="{00000000-0005-0000-0000-0000904C0000}"/>
    <cellStyle name="40% - Accent4 3 2 3 2 2 2 2 2 2" xfId="22076" xr:uid="{00000000-0005-0000-0000-0000914C0000}"/>
    <cellStyle name="40% - Accent4 3 2 3 2 2 2 2 3" xfId="17130" xr:uid="{00000000-0005-0000-0000-0000924C0000}"/>
    <cellStyle name="40% - Accent4 3 2 3 2 2 2 3" xfId="22083" xr:uid="{00000000-0005-0000-0000-0000934C0000}"/>
    <cellStyle name="40% - Accent4 3 2 3 2 2 2 3 2" xfId="17135" xr:uid="{00000000-0005-0000-0000-0000944C0000}"/>
    <cellStyle name="40% - Accent4 3 2 3 2 2 2 4" xfId="30561" xr:uid="{00000000-0005-0000-0000-0000954C0000}"/>
    <cellStyle name="40% - Accent4 3 2 3 2 2 3" xfId="32920" xr:uid="{00000000-0005-0000-0000-0000964C0000}"/>
    <cellStyle name="40% - Accent4 3 2 3 2 2 3 2" xfId="27175" xr:uid="{00000000-0005-0000-0000-0000974C0000}"/>
    <cellStyle name="40% - Accent4 3 2 3 2 2 3 2 2" xfId="17144" xr:uid="{00000000-0005-0000-0000-0000984C0000}"/>
    <cellStyle name="40% - Accent4 3 2 3 2 2 3 3" xfId="22085" xr:uid="{00000000-0005-0000-0000-0000994C0000}"/>
    <cellStyle name="40% - Accent4 3 2 3 2 2 4" xfId="9624" xr:uid="{00000000-0005-0000-0000-00009A4C0000}"/>
    <cellStyle name="40% - Accent4 3 2 3 2 2 4 2" xfId="8400" xr:uid="{00000000-0005-0000-0000-00009B4C0000}"/>
    <cellStyle name="40% - Accent4 3 2 3 2 2 5" xfId="11109" xr:uid="{00000000-0005-0000-0000-00009C4C0000}"/>
    <cellStyle name="40% - Accent4 3 2 3 2 3" xfId="21055" xr:uid="{00000000-0005-0000-0000-00009D4C0000}"/>
    <cellStyle name="40% - Accent4 3 2 3 2 3 2" xfId="8540" xr:uid="{00000000-0005-0000-0000-00009E4C0000}"/>
    <cellStyle name="40% - Accent4 3 2 3 2 3 2 2" xfId="3486" xr:uid="{00000000-0005-0000-0000-00009F4C0000}"/>
    <cellStyle name="40% - Accent4 3 2 3 2 3 2 2 2" xfId="17165" xr:uid="{00000000-0005-0000-0000-0000A04C0000}"/>
    <cellStyle name="40% - Accent4 3 2 3 2 3 2 3" xfId="19711" xr:uid="{00000000-0005-0000-0000-0000A14C0000}"/>
    <cellStyle name="40% - Accent4 3 2 3 2 3 3" xfId="32635" xr:uid="{00000000-0005-0000-0000-0000A24C0000}"/>
    <cellStyle name="40% - Accent4 3 2 3 2 3 3 2" xfId="22091" xr:uid="{00000000-0005-0000-0000-0000A34C0000}"/>
    <cellStyle name="40% - Accent4 3 2 3 2 3 4" xfId="9361" xr:uid="{00000000-0005-0000-0000-0000A44C0000}"/>
    <cellStyle name="40% - Accent4 3 2 3 2 4" xfId="22094" xr:uid="{00000000-0005-0000-0000-0000A54C0000}"/>
    <cellStyle name="40% - Accent4 3 2 3 2 4 2" xfId="4018" xr:uid="{00000000-0005-0000-0000-0000A64C0000}"/>
    <cellStyle name="40% - Accent4 3 2 3 2 4 2 2" xfId="27372" xr:uid="{00000000-0005-0000-0000-0000A74C0000}"/>
    <cellStyle name="40% - Accent4 3 2 3 2 4 3" xfId="4814" xr:uid="{00000000-0005-0000-0000-0000A84C0000}"/>
    <cellStyle name="40% - Accent4 3 2 3 2 5" xfId="22099" xr:uid="{00000000-0005-0000-0000-0000A94C0000}"/>
    <cellStyle name="40% - Accent4 3 2 3 2 5 2" xfId="24412" xr:uid="{00000000-0005-0000-0000-0000AA4C0000}"/>
    <cellStyle name="40% - Accent4 3 2 3 2 6" xfId="24414" xr:uid="{00000000-0005-0000-0000-0000AB4C0000}"/>
    <cellStyle name="40% - Accent4 3 2 3 3" xfId="22101" xr:uid="{00000000-0005-0000-0000-0000AC4C0000}"/>
    <cellStyle name="40% - Accent4 3 2 3 3 2" xfId="22362" xr:uid="{00000000-0005-0000-0000-0000AD4C0000}"/>
    <cellStyle name="40% - Accent4 3 2 3 3 2 2" xfId="22107" xr:uid="{00000000-0005-0000-0000-0000AE4C0000}"/>
    <cellStyle name="40% - Accent4 3 2 3 3 2 2 2" xfId="27690" xr:uid="{00000000-0005-0000-0000-0000AF4C0000}"/>
    <cellStyle name="40% - Accent4 3 2 3 3 2 2 2 2" xfId="22441" xr:uid="{00000000-0005-0000-0000-0000B04C0000}"/>
    <cellStyle name="40% - Accent4 3 2 3 3 2 2 3" xfId="28417" xr:uid="{00000000-0005-0000-0000-0000B14C0000}"/>
    <cellStyle name="40% - Accent4 3 2 3 3 2 3" xfId="22110" xr:uid="{00000000-0005-0000-0000-0000B24C0000}"/>
    <cellStyle name="40% - Accent4 3 2 3 3 2 3 2" xfId="31771" xr:uid="{00000000-0005-0000-0000-0000B34C0000}"/>
    <cellStyle name="40% - Accent4 3 2 3 3 2 4" xfId="2783" xr:uid="{00000000-0005-0000-0000-0000B44C0000}"/>
    <cellStyle name="40% - Accent4 3 2 3 3 3" xfId="22113" xr:uid="{00000000-0005-0000-0000-0000B54C0000}"/>
    <cellStyle name="40% - Accent4 3 2 3 3 3 2" xfId="22119" xr:uid="{00000000-0005-0000-0000-0000B64C0000}"/>
    <cellStyle name="40% - Accent4 3 2 3 3 3 2 2" xfId="26461" xr:uid="{00000000-0005-0000-0000-0000B74C0000}"/>
    <cellStyle name="40% - Accent4 3 2 3 3 3 3" xfId="22122" xr:uid="{00000000-0005-0000-0000-0000B84C0000}"/>
    <cellStyle name="40% - Accent4 3 2 3 3 4" xfId="27322" xr:uid="{00000000-0005-0000-0000-0000B94C0000}"/>
    <cellStyle name="40% - Accent4 3 2 3 3 4 2" xfId="22127" xr:uid="{00000000-0005-0000-0000-0000BA4C0000}"/>
    <cellStyle name="40% - Accent4 3 2 3 3 5" xfId="22129" xr:uid="{00000000-0005-0000-0000-0000BB4C0000}"/>
    <cellStyle name="40% - Accent4 3 2 3 4" xfId="23829" xr:uid="{00000000-0005-0000-0000-0000BC4C0000}"/>
    <cellStyle name="40% - Accent4 3 2 3 4 2" xfId="22134" xr:uid="{00000000-0005-0000-0000-0000BD4C0000}"/>
    <cellStyle name="40% - Accent4 3 2 3 4 2 2" xfId="22138" xr:uid="{00000000-0005-0000-0000-0000BE4C0000}"/>
    <cellStyle name="40% - Accent4 3 2 3 4 2 2 2" xfId="32413" xr:uid="{00000000-0005-0000-0000-0000BF4C0000}"/>
    <cellStyle name="40% - Accent4 3 2 3 4 2 3" xfId="24885" xr:uid="{00000000-0005-0000-0000-0000C04C0000}"/>
    <cellStyle name="40% - Accent4 3 2 3 4 3" xfId="22148" xr:uid="{00000000-0005-0000-0000-0000C14C0000}"/>
    <cellStyle name="40% - Accent4 3 2 3 4 3 2" xfId="17231" xr:uid="{00000000-0005-0000-0000-0000C24C0000}"/>
    <cellStyle name="40% - Accent4 3 2 3 4 4" xfId="25335" xr:uid="{00000000-0005-0000-0000-0000C34C0000}"/>
    <cellStyle name="40% - Accent4 3 2 3 5" xfId="18838" xr:uid="{00000000-0005-0000-0000-0000C44C0000}"/>
    <cellStyle name="40% - Accent4 3 2 3 5 2" xfId="22154" xr:uid="{00000000-0005-0000-0000-0000C54C0000}"/>
    <cellStyle name="40% - Accent4 3 2 3 5 2 2" xfId="27718" xr:uid="{00000000-0005-0000-0000-0000C64C0000}"/>
    <cellStyle name="40% - Accent4 3 2 3 5 3" xfId="24426" xr:uid="{00000000-0005-0000-0000-0000C74C0000}"/>
    <cellStyle name="40% - Accent4 3 2 3 6" xfId="18840" xr:uid="{00000000-0005-0000-0000-0000C84C0000}"/>
    <cellStyle name="40% - Accent4 3 2 3 6 2" xfId="23809" xr:uid="{00000000-0005-0000-0000-0000C94C0000}"/>
    <cellStyle name="40% - Accent4 3 2 3 7" xfId="22163" xr:uid="{00000000-0005-0000-0000-0000CA4C0000}"/>
    <cellStyle name="40% - Accent4 3 2 4" xfId="27280" xr:uid="{00000000-0005-0000-0000-0000CB4C0000}"/>
    <cellStyle name="40% - Accent4 3 2 4 2" xfId="33340" xr:uid="{00000000-0005-0000-0000-0000CC4C0000}"/>
    <cellStyle name="40% - Accent4 3 2 4 2 2" xfId="22165" xr:uid="{00000000-0005-0000-0000-0000CD4C0000}"/>
    <cellStyle name="40% - Accent4 3 2 4 2 2 2" xfId="22168" xr:uid="{00000000-0005-0000-0000-0000CE4C0000}"/>
    <cellStyle name="40% - Accent4 3 2 4 2 2 2 2" xfId="21154" xr:uid="{00000000-0005-0000-0000-0000CF4C0000}"/>
    <cellStyle name="40% - Accent4 3 2 4 2 2 2 2 2" xfId="14353" xr:uid="{00000000-0005-0000-0000-0000D04C0000}"/>
    <cellStyle name="40% - Accent4 3 2 4 2 2 2 3" xfId="21159" xr:uid="{00000000-0005-0000-0000-0000D14C0000}"/>
    <cellStyle name="40% - Accent4 3 2 4 2 2 3" xfId="22169" xr:uid="{00000000-0005-0000-0000-0000D24C0000}"/>
    <cellStyle name="40% - Accent4 3 2 4 2 2 3 2" xfId="5498" xr:uid="{00000000-0005-0000-0000-0000D34C0000}"/>
    <cellStyle name="40% - Accent4 3 2 4 2 2 4" xfId="13839" xr:uid="{00000000-0005-0000-0000-0000D44C0000}"/>
    <cellStyle name="40% - Accent4 3 2 4 2 3" xfId="22170" xr:uid="{00000000-0005-0000-0000-0000D54C0000}"/>
    <cellStyle name="40% - Accent4 3 2 4 2 3 2" xfId="22172" xr:uid="{00000000-0005-0000-0000-0000D64C0000}"/>
    <cellStyle name="40% - Accent4 3 2 4 2 3 2 2" xfId="21171" xr:uid="{00000000-0005-0000-0000-0000D74C0000}"/>
    <cellStyle name="40% - Accent4 3 2 4 2 3 3" xfId="24431" xr:uid="{00000000-0005-0000-0000-0000D84C0000}"/>
    <cellStyle name="40% - Accent4 3 2 4 2 4" xfId="32209" xr:uid="{00000000-0005-0000-0000-0000D94C0000}"/>
    <cellStyle name="40% - Accent4 3 2 4 2 4 2" xfId="24442" xr:uid="{00000000-0005-0000-0000-0000DA4C0000}"/>
    <cellStyle name="40% - Accent4 3 2 4 2 5" xfId="15546" xr:uid="{00000000-0005-0000-0000-0000DB4C0000}"/>
    <cellStyle name="40% - Accent4 3 2 4 3" xfId="27993" xr:uid="{00000000-0005-0000-0000-0000DC4C0000}"/>
    <cellStyle name="40% - Accent4 3 2 4 3 2" xfId="22175" xr:uid="{00000000-0005-0000-0000-0000DD4C0000}"/>
    <cellStyle name="40% - Accent4 3 2 4 3 2 2" xfId="22180" xr:uid="{00000000-0005-0000-0000-0000DE4C0000}"/>
    <cellStyle name="40% - Accent4 3 2 4 3 2 2 2" xfId="27665" xr:uid="{00000000-0005-0000-0000-0000DF4C0000}"/>
    <cellStyle name="40% - Accent4 3 2 4 3 2 3" xfId="24348" xr:uid="{00000000-0005-0000-0000-0000E04C0000}"/>
    <cellStyle name="40% - Accent4 3 2 4 3 3" xfId="19476" xr:uid="{00000000-0005-0000-0000-0000E14C0000}"/>
    <cellStyle name="40% - Accent4 3 2 4 3 3 2" xfId="22186" xr:uid="{00000000-0005-0000-0000-0000E24C0000}"/>
    <cellStyle name="40% - Accent4 3 2 4 3 4" xfId="19478" xr:uid="{00000000-0005-0000-0000-0000E34C0000}"/>
    <cellStyle name="40% - Accent4 3 2 4 4" xfId="22189" xr:uid="{00000000-0005-0000-0000-0000E44C0000}"/>
    <cellStyle name="40% - Accent4 3 2 4 4 2" xfId="31211" xr:uid="{00000000-0005-0000-0000-0000E54C0000}"/>
    <cellStyle name="40% - Accent4 3 2 4 4 2 2" xfId="22191" xr:uid="{00000000-0005-0000-0000-0000E64C0000}"/>
    <cellStyle name="40% - Accent4 3 2 4 4 3" xfId="19851" xr:uid="{00000000-0005-0000-0000-0000E74C0000}"/>
    <cellStyle name="40% - Accent4 3 2 4 5" xfId="33372" xr:uid="{00000000-0005-0000-0000-0000E84C0000}"/>
    <cellStyle name="40% - Accent4 3 2 4 5 2" xfId="23531" xr:uid="{00000000-0005-0000-0000-0000E94C0000}"/>
    <cellStyle name="40% - Accent4 3 2 4 6" xfId="20378" xr:uid="{00000000-0005-0000-0000-0000EA4C0000}"/>
    <cellStyle name="40% - Accent4 3 2 5" xfId="33126" xr:uid="{00000000-0005-0000-0000-0000EB4C0000}"/>
    <cellStyle name="40% - Accent4 3 2 5 2" xfId="27243" xr:uid="{00000000-0005-0000-0000-0000EC4C0000}"/>
    <cellStyle name="40% - Accent4 3 2 5 2 2" xfId="33598" xr:uid="{00000000-0005-0000-0000-0000ED4C0000}"/>
    <cellStyle name="40% - Accent4 3 2 5 2 2 2" xfId="28551" xr:uid="{00000000-0005-0000-0000-0000EE4C0000}"/>
    <cellStyle name="40% - Accent4 3 2 5 2 2 2 2" xfId="7144" xr:uid="{00000000-0005-0000-0000-0000EF4C0000}"/>
    <cellStyle name="40% - Accent4 3 2 5 2 2 3" xfId="33839" xr:uid="{00000000-0005-0000-0000-0000F04C0000}"/>
    <cellStyle name="40% - Accent4 3 2 5 2 3" xfId="28555" xr:uid="{00000000-0005-0000-0000-0000F14C0000}"/>
    <cellStyle name="40% - Accent4 3 2 5 2 3 2" xfId="28556" xr:uid="{00000000-0005-0000-0000-0000F24C0000}"/>
    <cellStyle name="40% - Accent4 3 2 5 2 4" xfId="24454" xr:uid="{00000000-0005-0000-0000-0000F34C0000}"/>
    <cellStyle name="40% - Accent4 3 2 5 3" xfId="27228" xr:uid="{00000000-0005-0000-0000-0000F44C0000}"/>
    <cellStyle name="40% - Accent4 3 2 5 3 2" xfId="22199" xr:uid="{00000000-0005-0000-0000-0000F54C0000}"/>
    <cellStyle name="40% - Accent4 3 2 5 3 2 2" xfId="28571" xr:uid="{00000000-0005-0000-0000-0000F64C0000}"/>
    <cellStyle name="40% - Accent4 3 2 5 3 3" xfId="19486" xr:uid="{00000000-0005-0000-0000-0000F74C0000}"/>
    <cellStyle name="40% - Accent4 3 2 5 4" xfId="22203" xr:uid="{00000000-0005-0000-0000-0000F84C0000}"/>
    <cellStyle name="40% - Accent4 3 2 5 4 2" xfId="22908" xr:uid="{00000000-0005-0000-0000-0000F94C0000}"/>
    <cellStyle name="40% - Accent4 3 2 5 5" xfId="22208" xr:uid="{00000000-0005-0000-0000-0000FA4C0000}"/>
    <cellStyle name="40% - Accent4 3 2 6" xfId="27282" xr:uid="{00000000-0005-0000-0000-0000FB4C0000}"/>
    <cellStyle name="40% - Accent4 3 2 6 2" xfId="14807" xr:uid="{00000000-0005-0000-0000-0000FC4C0000}"/>
    <cellStyle name="40% - Accent4 3 2 6 2 2" xfId="33827" xr:uid="{00000000-0005-0000-0000-0000FD4C0000}"/>
    <cellStyle name="40% - Accent4 3 2 6 2 2 2" xfId="32632" xr:uid="{00000000-0005-0000-0000-0000FE4C0000}"/>
    <cellStyle name="40% - Accent4 3 2 6 2 3" xfId="4601" xr:uid="{00000000-0005-0000-0000-0000FF4C0000}"/>
    <cellStyle name="40% - Accent4 3 2 6 3" xfId="27487" xr:uid="{00000000-0005-0000-0000-0000004D0000}"/>
    <cellStyle name="40% - Accent4 3 2 6 3 2" xfId="22209" xr:uid="{00000000-0005-0000-0000-0000014D0000}"/>
    <cellStyle name="40% - Accent4 3 2 6 4" xfId="26039" xr:uid="{00000000-0005-0000-0000-0000024D0000}"/>
    <cellStyle name="40% - Accent4 3 2 7" xfId="14140" xr:uid="{00000000-0005-0000-0000-0000034D0000}"/>
    <cellStyle name="40% - Accent4 3 2 7 2" xfId="4006" xr:uid="{00000000-0005-0000-0000-0000044D0000}"/>
    <cellStyle name="40% - Accent4 3 2 7 2 2" xfId="22213" xr:uid="{00000000-0005-0000-0000-0000054D0000}"/>
    <cellStyle name="40% - Accent4 3 2 7 3" xfId="33987" xr:uid="{00000000-0005-0000-0000-0000064D0000}"/>
    <cellStyle name="40% - Accent4 3 2 8" xfId="11213" xr:uid="{00000000-0005-0000-0000-0000074D0000}"/>
    <cellStyle name="40% - Accent4 3 2 8 2" xfId="15493" xr:uid="{00000000-0005-0000-0000-0000084D0000}"/>
    <cellStyle name="40% - Accent4 3 2 9" xfId="1417" xr:uid="{00000000-0005-0000-0000-0000094D0000}"/>
    <cellStyle name="40% - Accent4 3 3" xfId="2484" xr:uid="{00000000-0005-0000-0000-00000A4D0000}"/>
    <cellStyle name="40% - Accent4 3 3 2" xfId="28191" xr:uid="{00000000-0005-0000-0000-00000B4D0000}"/>
    <cellStyle name="40% - Accent4 3 3 2 2" xfId="20154" xr:uid="{00000000-0005-0000-0000-00000C4D0000}"/>
    <cellStyle name="40% - Accent4 3 3 2 2 2" xfId="1002" xr:uid="{00000000-0005-0000-0000-00000D4D0000}"/>
    <cellStyle name="40% - Accent4 3 3 2 2 2 2" xfId="5598" xr:uid="{00000000-0005-0000-0000-00000E4D0000}"/>
    <cellStyle name="40% - Accent4 3 3 2 2 2 2 2" xfId="17739" xr:uid="{00000000-0005-0000-0000-00000F4D0000}"/>
    <cellStyle name="40% - Accent4 3 3 2 2 2 2 2 2" xfId="25393" xr:uid="{00000000-0005-0000-0000-0000104D0000}"/>
    <cellStyle name="40% - Accent4 3 3 2 2 2 2 2 2 2" xfId="22215" xr:uid="{00000000-0005-0000-0000-0000114D0000}"/>
    <cellStyle name="40% - Accent4 3 3 2 2 2 2 2 3" xfId="32342" xr:uid="{00000000-0005-0000-0000-0000124D0000}"/>
    <cellStyle name="40% - Accent4 3 3 2 2 2 2 3" xfId="22225" xr:uid="{00000000-0005-0000-0000-0000134D0000}"/>
    <cellStyle name="40% - Accent4 3 3 2 2 2 2 3 2" xfId="319" xr:uid="{00000000-0005-0000-0000-0000144D0000}"/>
    <cellStyle name="40% - Accent4 3 3 2 2 2 2 4" xfId="22228" xr:uid="{00000000-0005-0000-0000-0000154D0000}"/>
    <cellStyle name="40% - Accent4 3 3 2 2 2 3" xfId="22232" xr:uid="{00000000-0005-0000-0000-0000164D0000}"/>
    <cellStyle name="40% - Accent4 3 3 2 2 2 3 2" xfId="17766" xr:uid="{00000000-0005-0000-0000-0000174D0000}"/>
    <cellStyle name="40% - Accent4 3 3 2 2 2 3 2 2" xfId="22235" xr:uid="{00000000-0005-0000-0000-0000184D0000}"/>
    <cellStyle name="40% - Accent4 3 3 2 2 2 3 3" xfId="22238" xr:uid="{00000000-0005-0000-0000-0000194D0000}"/>
    <cellStyle name="40% - Accent4 3 3 2 2 2 4" xfId="9437" xr:uid="{00000000-0005-0000-0000-00001A4D0000}"/>
    <cellStyle name="40% - Accent4 3 3 2 2 2 4 2" xfId="11876" xr:uid="{00000000-0005-0000-0000-00001B4D0000}"/>
    <cellStyle name="40% - Accent4 3 3 2 2 2 5" xfId="14289" xr:uid="{00000000-0005-0000-0000-00001C4D0000}"/>
    <cellStyle name="40% - Accent4 3 3 2 2 3" xfId="27981" xr:uid="{00000000-0005-0000-0000-00001D4D0000}"/>
    <cellStyle name="40% - Accent4 3 3 2 2 3 2" xfId="22243" xr:uid="{00000000-0005-0000-0000-00001E4D0000}"/>
    <cellStyle name="40% - Accent4 3 3 2 2 3 2 2" xfId="14953" xr:uid="{00000000-0005-0000-0000-00001F4D0000}"/>
    <cellStyle name="40% - Accent4 3 3 2 2 3 2 2 2" xfId="30467" xr:uid="{00000000-0005-0000-0000-0000204D0000}"/>
    <cellStyle name="40% - Accent4 3 3 2 2 3 2 3" xfId="22247" xr:uid="{00000000-0005-0000-0000-0000214D0000}"/>
    <cellStyle name="40% - Accent4 3 3 2 2 3 3" xfId="22254" xr:uid="{00000000-0005-0000-0000-0000224D0000}"/>
    <cellStyle name="40% - Accent4 3 3 2 2 3 3 2" xfId="22258" xr:uid="{00000000-0005-0000-0000-0000234D0000}"/>
    <cellStyle name="40% - Accent4 3 3 2 2 3 4" xfId="9450" xr:uid="{00000000-0005-0000-0000-0000244D0000}"/>
    <cellStyle name="40% - Accent4 3 3 2 2 4" xfId="22259" xr:uid="{00000000-0005-0000-0000-0000254D0000}"/>
    <cellStyle name="40% - Accent4 3 3 2 2 4 2" xfId="31168" xr:uid="{00000000-0005-0000-0000-0000264D0000}"/>
    <cellStyle name="40% - Accent4 3 3 2 2 4 2 2" xfId="22262" xr:uid="{00000000-0005-0000-0000-0000274D0000}"/>
    <cellStyle name="40% - Accent4 3 3 2 2 4 3" xfId="22264" xr:uid="{00000000-0005-0000-0000-0000284D0000}"/>
    <cellStyle name="40% - Accent4 3 3 2 2 5" xfId="22265" xr:uid="{00000000-0005-0000-0000-0000294D0000}"/>
    <cellStyle name="40% - Accent4 3 3 2 2 5 2" xfId="30757" xr:uid="{00000000-0005-0000-0000-00002A4D0000}"/>
    <cellStyle name="40% - Accent4 3 3 2 2 6" xfId="22266" xr:uid="{00000000-0005-0000-0000-00002B4D0000}"/>
    <cellStyle name="40% - Accent4 3 3 2 3" xfId="22268" xr:uid="{00000000-0005-0000-0000-00002C4D0000}"/>
    <cellStyle name="40% - Accent4 3 3 2 3 2" xfId="1016" xr:uid="{00000000-0005-0000-0000-00002D4D0000}"/>
    <cellStyle name="40% - Accent4 3 3 2 3 2 2" xfId="22270" xr:uid="{00000000-0005-0000-0000-00002E4D0000}"/>
    <cellStyle name="40% - Accent4 3 3 2 3 2 2 2" xfId="22273" xr:uid="{00000000-0005-0000-0000-00002F4D0000}"/>
    <cellStyle name="40% - Accent4 3 3 2 3 2 2 2 2" xfId="15332" xr:uid="{00000000-0005-0000-0000-0000304D0000}"/>
    <cellStyle name="40% - Accent4 3 3 2 3 2 2 3" xfId="22277" xr:uid="{00000000-0005-0000-0000-0000314D0000}"/>
    <cellStyle name="40% - Accent4 3 3 2 3 2 3" xfId="22284" xr:uid="{00000000-0005-0000-0000-0000324D0000}"/>
    <cellStyle name="40% - Accent4 3 3 2 3 2 3 2" xfId="22294" xr:uid="{00000000-0005-0000-0000-0000334D0000}"/>
    <cellStyle name="40% - Accent4 3 3 2 3 2 4" xfId="2999" xr:uid="{00000000-0005-0000-0000-0000344D0000}"/>
    <cellStyle name="40% - Accent4 3 3 2 3 3" xfId="22299" xr:uid="{00000000-0005-0000-0000-0000354D0000}"/>
    <cellStyle name="40% - Accent4 3 3 2 3 3 2" xfId="22308" xr:uid="{00000000-0005-0000-0000-0000364D0000}"/>
    <cellStyle name="40% - Accent4 3 3 2 3 3 2 2" xfId="22313" xr:uid="{00000000-0005-0000-0000-0000374D0000}"/>
    <cellStyle name="40% - Accent4 3 3 2 3 3 3" xfId="22318" xr:uid="{00000000-0005-0000-0000-0000384D0000}"/>
    <cellStyle name="40% - Accent4 3 3 2 3 4" xfId="23611" xr:uid="{00000000-0005-0000-0000-0000394D0000}"/>
    <cellStyle name="40% - Accent4 3 3 2 3 4 2" xfId="361" xr:uid="{00000000-0005-0000-0000-00003A4D0000}"/>
    <cellStyle name="40% - Accent4 3 3 2 3 5" xfId="22326" xr:uid="{00000000-0005-0000-0000-00003B4D0000}"/>
    <cellStyle name="40% - Accent4 3 3 2 4" xfId="22332" xr:uid="{00000000-0005-0000-0000-00003C4D0000}"/>
    <cellStyle name="40% - Accent4 3 3 2 4 2" xfId="23613" xr:uid="{00000000-0005-0000-0000-00003D4D0000}"/>
    <cellStyle name="40% - Accent4 3 3 2 4 2 2" xfId="22337" xr:uid="{00000000-0005-0000-0000-00003E4D0000}"/>
    <cellStyle name="40% - Accent4 3 3 2 4 2 2 2" xfId="22751" xr:uid="{00000000-0005-0000-0000-00003F4D0000}"/>
    <cellStyle name="40% - Accent4 3 3 2 4 2 3" xfId="22743" xr:uid="{00000000-0005-0000-0000-0000404D0000}"/>
    <cellStyle name="40% - Accent4 3 3 2 4 3" xfId="22346" xr:uid="{00000000-0005-0000-0000-0000414D0000}"/>
    <cellStyle name="40% - Accent4 3 3 2 4 3 2" xfId="17585" xr:uid="{00000000-0005-0000-0000-0000424D0000}"/>
    <cellStyle name="40% - Accent4 3 3 2 4 4" xfId="29352" xr:uid="{00000000-0005-0000-0000-0000434D0000}"/>
    <cellStyle name="40% - Accent4 3 3 2 5" xfId="32955" xr:uid="{00000000-0005-0000-0000-0000444D0000}"/>
    <cellStyle name="40% - Accent4 3 3 2 5 2" xfId="22358" xr:uid="{00000000-0005-0000-0000-0000454D0000}"/>
    <cellStyle name="40% - Accent4 3 3 2 5 2 2" xfId="22526" xr:uid="{00000000-0005-0000-0000-0000464D0000}"/>
    <cellStyle name="40% - Accent4 3 3 2 5 3" xfId="23930" xr:uid="{00000000-0005-0000-0000-0000474D0000}"/>
    <cellStyle name="40% - Accent4 3 3 2 6" xfId="27445" xr:uid="{00000000-0005-0000-0000-0000484D0000}"/>
    <cellStyle name="40% - Accent4 3 3 2 6 2" xfId="841" xr:uid="{00000000-0005-0000-0000-0000494D0000}"/>
    <cellStyle name="40% - Accent4 3 3 2 7" xfId="22382" xr:uid="{00000000-0005-0000-0000-00004A4D0000}"/>
    <cellStyle name="40% - Accent4 3 3 3" xfId="20161" xr:uid="{00000000-0005-0000-0000-00004B4D0000}"/>
    <cellStyle name="40% - Accent4 3 3 3 2" xfId="17894" xr:uid="{00000000-0005-0000-0000-00004C4D0000}"/>
    <cellStyle name="40% - Accent4 3 3 3 2 2" xfId="1047" xr:uid="{00000000-0005-0000-0000-00004D4D0000}"/>
    <cellStyle name="40% - Accent4 3 3 3 2 2 2" xfId="28102" xr:uid="{00000000-0005-0000-0000-00004E4D0000}"/>
    <cellStyle name="40% - Accent4 3 3 3 2 2 2 2" xfId="19275" xr:uid="{00000000-0005-0000-0000-00004F4D0000}"/>
    <cellStyle name="40% - Accent4 3 3 3 2 2 2 2 2" xfId="5022" xr:uid="{00000000-0005-0000-0000-0000504D0000}"/>
    <cellStyle name="40% - Accent4 3 3 3 2 2 2 3" xfId="22393" xr:uid="{00000000-0005-0000-0000-0000514D0000}"/>
    <cellStyle name="40% - Accent4 3 3 3 2 2 3" xfId="22396" xr:uid="{00000000-0005-0000-0000-0000524D0000}"/>
    <cellStyle name="40% - Accent4 3 3 3 2 2 3 2" xfId="22633" xr:uid="{00000000-0005-0000-0000-0000534D0000}"/>
    <cellStyle name="40% - Accent4 3 3 3 2 2 4" xfId="9477" xr:uid="{00000000-0005-0000-0000-0000544D0000}"/>
    <cellStyle name="40% - Accent4 3 3 3 2 3" xfId="22399" xr:uid="{00000000-0005-0000-0000-0000554D0000}"/>
    <cellStyle name="40% - Accent4 3 3 3 2 3 2" xfId="25735" xr:uid="{00000000-0005-0000-0000-0000564D0000}"/>
    <cellStyle name="40% - Accent4 3 3 3 2 3 2 2" xfId="22404" xr:uid="{00000000-0005-0000-0000-0000574D0000}"/>
    <cellStyle name="40% - Accent4 3 3 3 2 3 3" xfId="28957" xr:uid="{00000000-0005-0000-0000-0000584D0000}"/>
    <cellStyle name="40% - Accent4 3 3 3 2 4" xfId="27773" xr:uid="{00000000-0005-0000-0000-0000594D0000}"/>
    <cellStyle name="40% - Accent4 3 3 3 2 4 2" xfId="24509" xr:uid="{00000000-0005-0000-0000-00005A4D0000}"/>
    <cellStyle name="40% - Accent4 3 3 3 2 5" xfId="14370" xr:uid="{00000000-0005-0000-0000-00005B4D0000}"/>
    <cellStyle name="40% - Accent4 3 3 3 3" xfId="17898" xr:uid="{00000000-0005-0000-0000-00005C4D0000}"/>
    <cellStyle name="40% - Accent4 3 3 3 3 2" xfId="22408" xr:uid="{00000000-0005-0000-0000-00005D4D0000}"/>
    <cellStyle name="40% - Accent4 3 3 3 3 2 2" xfId="22415" xr:uid="{00000000-0005-0000-0000-00005E4D0000}"/>
    <cellStyle name="40% - Accent4 3 3 3 3 2 2 2" xfId="21324" xr:uid="{00000000-0005-0000-0000-00005F4D0000}"/>
    <cellStyle name="40% - Accent4 3 3 3 3 2 3" xfId="22421" xr:uid="{00000000-0005-0000-0000-0000604D0000}"/>
    <cellStyle name="40% - Accent4 3 3 3 3 3" xfId="23570" xr:uid="{00000000-0005-0000-0000-0000614D0000}"/>
    <cellStyle name="40% - Accent4 3 3 3 3 3 2" xfId="22424" xr:uid="{00000000-0005-0000-0000-0000624D0000}"/>
    <cellStyle name="40% - Accent4 3 3 3 3 4" xfId="29339" xr:uid="{00000000-0005-0000-0000-0000634D0000}"/>
    <cellStyle name="40% - Accent4 3 3 3 4" xfId="23267" xr:uid="{00000000-0005-0000-0000-0000644D0000}"/>
    <cellStyle name="40% - Accent4 3 3 3 4 2" xfId="23627" xr:uid="{00000000-0005-0000-0000-0000654D0000}"/>
    <cellStyle name="40% - Accent4 3 3 3 4 2 2" xfId="22435" xr:uid="{00000000-0005-0000-0000-0000664D0000}"/>
    <cellStyle name="40% - Accent4 3 3 3 4 3" xfId="27825" xr:uid="{00000000-0005-0000-0000-0000674D0000}"/>
    <cellStyle name="40% - Accent4 3 3 3 5" xfId="27187" xr:uid="{00000000-0005-0000-0000-0000684D0000}"/>
    <cellStyle name="40% - Accent4 3 3 3 5 2" xfId="28548" xr:uid="{00000000-0005-0000-0000-0000694D0000}"/>
    <cellStyle name="40% - Accent4 3 3 3 6" xfId="22447" xr:uid="{00000000-0005-0000-0000-00006A4D0000}"/>
    <cellStyle name="40% - Accent4 3 3 4" xfId="27287" xr:uid="{00000000-0005-0000-0000-00006B4D0000}"/>
    <cellStyle name="40% - Accent4 3 3 4 2" xfId="17906" xr:uid="{00000000-0005-0000-0000-00006C4D0000}"/>
    <cellStyle name="40% - Accent4 3 3 4 2 2" xfId="22451" xr:uid="{00000000-0005-0000-0000-00006D4D0000}"/>
    <cellStyle name="40% - Accent4 3 3 4 2 2 2" xfId="22453" xr:uid="{00000000-0005-0000-0000-00006E4D0000}"/>
    <cellStyle name="40% - Accent4 3 3 4 2 2 2 2" xfId="23733" xr:uid="{00000000-0005-0000-0000-00006F4D0000}"/>
    <cellStyle name="40% - Accent4 3 3 4 2 2 3" xfId="22460" xr:uid="{00000000-0005-0000-0000-0000704D0000}"/>
    <cellStyle name="40% - Accent4 3 3 4 2 3" xfId="22468" xr:uid="{00000000-0005-0000-0000-0000714D0000}"/>
    <cellStyle name="40% - Accent4 3 3 4 2 3 2" xfId="22471" xr:uid="{00000000-0005-0000-0000-0000724D0000}"/>
    <cellStyle name="40% - Accent4 3 3 4 2 4" xfId="14396" xr:uid="{00000000-0005-0000-0000-0000734D0000}"/>
    <cellStyle name="40% - Accent4 3 3 4 3" xfId="22475" xr:uid="{00000000-0005-0000-0000-0000744D0000}"/>
    <cellStyle name="40% - Accent4 3 3 4 3 2" xfId="22482" xr:uid="{00000000-0005-0000-0000-0000754D0000}"/>
    <cellStyle name="40% - Accent4 3 3 4 3 2 2" xfId="22486" xr:uid="{00000000-0005-0000-0000-0000764D0000}"/>
    <cellStyle name="40% - Accent4 3 3 4 3 3" xfId="23648" xr:uid="{00000000-0005-0000-0000-0000774D0000}"/>
    <cellStyle name="40% - Accent4 3 3 4 4" xfId="23396" xr:uid="{00000000-0005-0000-0000-0000784D0000}"/>
    <cellStyle name="40% - Accent4 3 3 4 4 2" xfId="27851" xr:uid="{00000000-0005-0000-0000-0000794D0000}"/>
    <cellStyle name="40% - Accent4 3 3 4 5" xfId="31889" xr:uid="{00000000-0005-0000-0000-00007A4D0000}"/>
    <cellStyle name="40% - Accent4 3 3 5" xfId="17848" xr:uid="{00000000-0005-0000-0000-00007B4D0000}"/>
    <cellStyle name="40% - Accent4 3 3 5 2" xfId="19712" xr:uid="{00000000-0005-0000-0000-00007C4D0000}"/>
    <cellStyle name="40% - Accent4 3 3 5 2 2" xfId="26889" xr:uid="{00000000-0005-0000-0000-00007D4D0000}"/>
    <cellStyle name="40% - Accent4 3 3 5 2 2 2" xfId="22488" xr:uid="{00000000-0005-0000-0000-00007E4D0000}"/>
    <cellStyle name="40% - Accent4 3 3 5 2 3" xfId="22494" xr:uid="{00000000-0005-0000-0000-00007F4D0000}"/>
    <cellStyle name="40% - Accent4 3 3 5 3" xfId="22497" xr:uid="{00000000-0005-0000-0000-0000804D0000}"/>
    <cellStyle name="40% - Accent4 3 3 5 3 2" xfId="23662" xr:uid="{00000000-0005-0000-0000-0000814D0000}"/>
    <cellStyle name="40% - Accent4 3 3 5 4" xfId="25415" xr:uid="{00000000-0005-0000-0000-0000824D0000}"/>
    <cellStyle name="40% - Accent4 3 3 6" xfId="15194" xr:uid="{00000000-0005-0000-0000-0000834D0000}"/>
    <cellStyle name="40% - Accent4 3 3 6 2" xfId="22504" xr:uid="{00000000-0005-0000-0000-0000844D0000}"/>
    <cellStyle name="40% - Accent4 3 3 6 2 2" xfId="1821" xr:uid="{00000000-0005-0000-0000-0000854D0000}"/>
    <cellStyle name="40% - Accent4 3 3 6 3" xfId="26055" xr:uid="{00000000-0005-0000-0000-0000864D0000}"/>
    <cellStyle name="40% - Accent4 3 3 7" xfId="5035" xr:uid="{00000000-0005-0000-0000-0000874D0000}"/>
    <cellStyle name="40% - Accent4 3 3 7 2" xfId="10949" xr:uid="{00000000-0005-0000-0000-0000884D0000}"/>
    <cellStyle name="40% - Accent4 3 3 8" xfId="5044" xr:uid="{00000000-0005-0000-0000-0000894D0000}"/>
    <cellStyle name="40% - Accent4 3 4" xfId="2635" xr:uid="{00000000-0005-0000-0000-00008A4D0000}"/>
    <cellStyle name="40% - Accent4 3 4 2" xfId="27133" xr:uid="{00000000-0005-0000-0000-00008B4D0000}"/>
    <cellStyle name="40% - Accent4 3 4 2 2" xfId="24040" xr:uid="{00000000-0005-0000-0000-00008C4D0000}"/>
    <cellStyle name="40% - Accent4 3 4 2 2 2" xfId="17306" xr:uid="{00000000-0005-0000-0000-00008D4D0000}"/>
    <cellStyle name="40% - Accent4 3 4 2 2 2 2" xfId="4534" xr:uid="{00000000-0005-0000-0000-00008E4D0000}"/>
    <cellStyle name="40% - Accent4 3 4 2 2 2 2 2" xfId="23094" xr:uid="{00000000-0005-0000-0000-00008F4D0000}"/>
    <cellStyle name="40% - Accent4 3 4 2 2 2 2 2 2" xfId="7335" xr:uid="{00000000-0005-0000-0000-0000904D0000}"/>
    <cellStyle name="40% - Accent4 3 4 2 2 2 2 3" xfId="22508" xr:uid="{00000000-0005-0000-0000-0000914D0000}"/>
    <cellStyle name="40% - Accent4 3 4 2 2 2 3" xfId="5161" xr:uid="{00000000-0005-0000-0000-0000924D0000}"/>
    <cellStyle name="40% - Accent4 3 4 2 2 2 3 2" xfId="23156" xr:uid="{00000000-0005-0000-0000-0000934D0000}"/>
    <cellStyle name="40% - Accent4 3 4 2 2 2 4" xfId="9505" xr:uid="{00000000-0005-0000-0000-0000944D0000}"/>
    <cellStyle name="40% - Accent4 3 4 2 2 3" xfId="22516" xr:uid="{00000000-0005-0000-0000-0000954D0000}"/>
    <cellStyle name="40% - Accent4 3 4 2 2 3 2" xfId="5173" xr:uid="{00000000-0005-0000-0000-0000964D0000}"/>
    <cellStyle name="40% - Accent4 3 4 2 2 3 2 2" xfId="23239" xr:uid="{00000000-0005-0000-0000-0000974D0000}"/>
    <cellStyle name="40% - Accent4 3 4 2 2 3 3" xfId="22517" xr:uid="{00000000-0005-0000-0000-0000984D0000}"/>
    <cellStyle name="40% - Accent4 3 4 2 2 4" xfId="22518" xr:uid="{00000000-0005-0000-0000-0000994D0000}"/>
    <cellStyle name="40% - Accent4 3 4 2 2 4 2" xfId="22519" xr:uid="{00000000-0005-0000-0000-00009A4D0000}"/>
    <cellStyle name="40% - Accent4 3 4 2 2 5" xfId="22520" xr:uid="{00000000-0005-0000-0000-00009B4D0000}"/>
    <cellStyle name="40% - Accent4 3 4 2 3" xfId="22521" xr:uid="{00000000-0005-0000-0000-00009C4D0000}"/>
    <cellStyle name="40% - Accent4 3 4 2 3 2" xfId="19480" xr:uid="{00000000-0005-0000-0000-00009D4D0000}"/>
    <cellStyle name="40% - Accent4 3 4 2 3 2 2" xfId="468" xr:uid="{00000000-0005-0000-0000-00009E4D0000}"/>
    <cellStyle name="40% - Accent4 3 4 2 3 2 2 2" xfId="22529" xr:uid="{00000000-0005-0000-0000-00009F4D0000}"/>
    <cellStyle name="40% - Accent4 3 4 2 3 2 3" xfId="22537" xr:uid="{00000000-0005-0000-0000-0000A04D0000}"/>
    <cellStyle name="40% - Accent4 3 4 2 3 3" xfId="22544" xr:uid="{00000000-0005-0000-0000-0000A14D0000}"/>
    <cellStyle name="40% - Accent4 3 4 2 3 3 2" xfId="27933" xr:uid="{00000000-0005-0000-0000-0000A24D0000}"/>
    <cellStyle name="40% - Accent4 3 4 2 3 4" xfId="22547" xr:uid="{00000000-0005-0000-0000-0000A34D0000}"/>
    <cellStyle name="40% - Accent4 3 4 2 4" xfId="23732" xr:uid="{00000000-0005-0000-0000-0000A44D0000}"/>
    <cellStyle name="40% - Accent4 3 4 2 4 2" xfId="29109" xr:uid="{00000000-0005-0000-0000-0000A54D0000}"/>
    <cellStyle name="40% - Accent4 3 4 2 4 2 2" xfId="7503" xr:uid="{00000000-0005-0000-0000-0000A64D0000}"/>
    <cellStyle name="40% - Accent4 3 4 2 4 3" xfId="26209" xr:uid="{00000000-0005-0000-0000-0000A74D0000}"/>
    <cellStyle name="40% - Accent4 3 4 2 5" xfId="18847" xr:uid="{00000000-0005-0000-0000-0000A84D0000}"/>
    <cellStyle name="40% - Accent4 3 4 2 5 2" xfId="22556" xr:uid="{00000000-0005-0000-0000-0000A94D0000}"/>
    <cellStyle name="40% - Accent4 3 4 2 6" xfId="22557" xr:uid="{00000000-0005-0000-0000-0000AA4D0000}"/>
    <cellStyle name="40% - Accent4 3 4 3" xfId="19465" xr:uid="{00000000-0005-0000-0000-0000AB4D0000}"/>
    <cellStyle name="40% - Accent4 3 4 3 2" xfId="17918" xr:uid="{00000000-0005-0000-0000-0000AC4D0000}"/>
    <cellStyle name="40% - Accent4 3 4 3 2 2" xfId="22562" xr:uid="{00000000-0005-0000-0000-0000AD4D0000}"/>
    <cellStyle name="40% - Accent4 3 4 3 2 2 2" xfId="5209" xr:uid="{00000000-0005-0000-0000-0000AE4D0000}"/>
    <cellStyle name="40% - Accent4 3 4 3 2 2 2 2" xfId="22563" xr:uid="{00000000-0005-0000-0000-0000AF4D0000}"/>
    <cellStyle name="40% - Accent4 3 4 3 2 2 3" xfId="15360" xr:uid="{00000000-0005-0000-0000-0000B04D0000}"/>
    <cellStyle name="40% - Accent4 3 4 3 2 3" xfId="22566" xr:uid="{00000000-0005-0000-0000-0000B14D0000}"/>
    <cellStyle name="40% - Accent4 3 4 3 2 3 2" xfId="29226" xr:uid="{00000000-0005-0000-0000-0000B24D0000}"/>
    <cellStyle name="40% - Accent4 3 4 3 2 4" xfId="4015" xr:uid="{00000000-0005-0000-0000-0000B34D0000}"/>
    <cellStyle name="40% - Accent4 3 4 3 3" xfId="22570" xr:uid="{00000000-0005-0000-0000-0000B44D0000}"/>
    <cellStyle name="40% - Accent4 3 4 3 3 2" xfId="22578" xr:uid="{00000000-0005-0000-0000-0000B54D0000}"/>
    <cellStyle name="40% - Accent4 3 4 3 3 2 2" xfId="24270" xr:uid="{00000000-0005-0000-0000-0000B64D0000}"/>
    <cellStyle name="40% - Accent4 3 4 3 3 3" xfId="22581" xr:uid="{00000000-0005-0000-0000-0000B74D0000}"/>
    <cellStyle name="40% - Accent4 3 4 3 4" xfId="24960" xr:uid="{00000000-0005-0000-0000-0000B84D0000}"/>
    <cellStyle name="40% - Accent4 3 4 3 4 2" xfId="28269" xr:uid="{00000000-0005-0000-0000-0000B94D0000}"/>
    <cellStyle name="40% - Accent4 3 4 3 5" xfId="22588" xr:uid="{00000000-0005-0000-0000-0000BA4D0000}"/>
    <cellStyle name="40% - Accent4 3 4 4" xfId="33615" xr:uid="{00000000-0005-0000-0000-0000BB4D0000}"/>
    <cellStyle name="40% - Accent4 3 4 4 2" xfId="6616" xr:uid="{00000000-0005-0000-0000-0000BC4D0000}"/>
    <cellStyle name="40% - Accent4 3 4 4 2 2" xfId="6630" xr:uid="{00000000-0005-0000-0000-0000BD4D0000}"/>
    <cellStyle name="40% - Accent4 3 4 4 2 2 2" xfId="25854" xr:uid="{00000000-0005-0000-0000-0000BE4D0000}"/>
    <cellStyle name="40% - Accent4 3 4 4 2 3" xfId="23468" xr:uid="{00000000-0005-0000-0000-0000BF4D0000}"/>
    <cellStyle name="40% - Accent4 3 4 4 3" xfId="6047" xr:uid="{00000000-0005-0000-0000-0000C04D0000}"/>
    <cellStyle name="40% - Accent4 3 4 4 3 2" xfId="22592" xr:uid="{00000000-0005-0000-0000-0000C14D0000}"/>
    <cellStyle name="40% - Accent4 3 4 4 4" xfId="22597" xr:uid="{00000000-0005-0000-0000-0000C24D0000}"/>
    <cellStyle name="40% - Accent4 3 4 5" xfId="17879" xr:uid="{00000000-0005-0000-0000-0000C34D0000}"/>
    <cellStyle name="40% - Accent4 3 4 5 2" xfId="6664" xr:uid="{00000000-0005-0000-0000-0000C44D0000}"/>
    <cellStyle name="40% - Accent4 3 4 5 2 2" xfId="22600" xr:uid="{00000000-0005-0000-0000-0000C54D0000}"/>
    <cellStyle name="40% - Accent4 3 4 5 3" xfId="18408" xr:uid="{00000000-0005-0000-0000-0000C64D0000}"/>
    <cellStyle name="40% - Accent4 3 4 6" xfId="27453" xr:uid="{00000000-0005-0000-0000-0000C74D0000}"/>
    <cellStyle name="40% - Accent4 3 4 6 2" xfId="25004" xr:uid="{00000000-0005-0000-0000-0000C84D0000}"/>
    <cellStyle name="40% - Accent4 3 4 7" xfId="490" xr:uid="{00000000-0005-0000-0000-0000C94D0000}"/>
    <cellStyle name="40% - Accent4 3 5" xfId="5910" xr:uid="{00000000-0005-0000-0000-0000CA4D0000}"/>
    <cellStyle name="40% - Accent4 3 5 2" xfId="22605" xr:uid="{00000000-0005-0000-0000-0000CB4D0000}"/>
    <cellStyle name="40% - Accent4 3 5 2 2" xfId="22608" xr:uid="{00000000-0005-0000-0000-0000CC4D0000}"/>
    <cellStyle name="40% - Accent4 3 5 2 2 2" xfId="15532" xr:uid="{00000000-0005-0000-0000-0000CD4D0000}"/>
    <cellStyle name="40% - Accent4 3 5 2 2 2 2" xfId="3211" xr:uid="{00000000-0005-0000-0000-0000CE4D0000}"/>
    <cellStyle name="40% - Accent4 3 5 2 2 2 2 2" xfId="10729" xr:uid="{00000000-0005-0000-0000-0000CF4D0000}"/>
    <cellStyle name="40% - Accent4 3 5 2 2 2 3" xfId="22610" xr:uid="{00000000-0005-0000-0000-0000D04D0000}"/>
    <cellStyle name="40% - Accent4 3 5 2 2 3" xfId="27950" xr:uid="{00000000-0005-0000-0000-0000D14D0000}"/>
    <cellStyle name="40% - Accent4 3 5 2 2 3 2" xfId="22614" xr:uid="{00000000-0005-0000-0000-0000D24D0000}"/>
    <cellStyle name="40% - Accent4 3 5 2 2 4" xfId="27954" xr:uid="{00000000-0005-0000-0000-0000D34D0000}"/>
    <cellStyle name="40% - Accent4 3 5 2 3" xfId="22616" xr:uid="{00000000-0005-0000-0000-0000D44D0000}"/>
    <cellStyle name="40% - Accent4 3 5 2 3 2" xfId="23741" xr:uid="{00000000-0005-0000-0000-0000D54D0000}"/>
    <cellStyle name="40% - Accent4 3 5 2 3 2 2" xfId="22618" xr:uid="{00000000-0005-0000-0000-0000D64D0000}"/>
    <cellStyle name="40% - Accent4 3 5 2 3 3" xfId="20282" xr:uid="{00000000-0005-0000-0000-0000D74D0000}"/>
    <cellStyle name="40% - Accent4 3 5 2 4" xfId="1590" xr:uid="{00000000-0005-0000-0000-0000D84D0000}"/>
    <cellStyle name="40% - Accent4 3 5 2 4 2" xfId="23488" xr:uid="{00000000-0005-0000-0000-0000D94D0000}"/>
    <cellStyle name="40% - Accent4 3 5 2 5" xfId="22629" xr:uid="{00000000-0005-0000-0000-0000DA4D0000}"/>
    <cellStyle name="40% - Accent4 3 5 3" xfId="20051" xr:uid="{00000000-0005-0000-0000-0000DB4D0000}"/>
    <cellStyle name="40% - Accent4 3 5 3 2" xfId="20062" xr:uid="{00000000-0005-0000-0000-0000DC4D0000}"/>
    <cellStyle name="40% - Accent4 3 5 3 2 2" xfId="26028" xr:uid="{00000000-0005-0000-0000-0000DD4D0000}"/>
    <cellStyle name="40% - Accent4 3 5 3 2 2 2" xfId="22636" xr:uid="{00000000-0005-0000-0000-0000DE4D0000}"/>
    <cellStyle name="40% - Accent4 3 5 3 2 3" xfId="20722" xr:uid="{00000000-0005-0000-0000-0000DF4D0000}"/>
    <cellStyle name="40% - Accent4 3 5 3 3" xfId="20068" xr:uid="{00000000-0005-0000-0000-0000E04D0000}"/>
    <cellStyle name="40% - Accent4 3 5 3 3 2" xfId="23760" xr:uid="{00000000-0005-0000-0000-0000E14D0000}"/>
    <cellStyle name="40% - Accent4 3 5 3 4" xfId="22637" xr:uid="{00000000-0005-0000-0000-0000E24D0000}"/>
    <cellStyle name="40% - Accent4 3 5 4" xfId="23727" xr:uid="{00000000-0005-0000-0000-0000E34D0000}"/>
    <cellStyle name="40% - Accent4 3 5 4 2" xfId="12674" xr:uid="{00000000-0005-0000-0000-0000E44D0000}"/>
    <cellStyle name="40% - Accent4 3 5 4 2 2" xfId="22647" xr:uid="{00000000-0005-0000-0000-0000E54D0000}"/>
    <cellStyle name="40% - Accent4 3 5 4 3" xfId="22649" xr:uid="{00000000-0005-0000-0000-0000E64D0000}"/>
    <cellStyle name="40% - Accent4 3 5 5" xfId="10196" xr:uid="{00000000-0005-0000-0000-0000E74D0000}"/>
    <cellStyle name="40% - Accent4 3 5 5 2" xfId="22650" xr:uid="{00000000-0005-0000-0000-0000E84D0000}"/>
    <cellStyle name="40% - Accent4 3 5 6" xfId="22653" xr:uid="{00000000-0005-0000-0000-0000E94D0000}"/>
    <cellStyle name="40% - Accent4 3 6" xfId="22656" xr:uid="{00000000-0005-0000-0000-0000EA4D0000}"/>
    <cellStyle name="40% - Accent4 3 6 2" xfId="22659" xr:uid="{00000000-0005-0000-0000-0000EB4D0000}"/>
    <cellStyle name="40% - Accent4 3 6 2 2" xfId="19254" xr:uid="{00000000-0005-0000-0000-0000EC4D0000}"/>
    <cellStyle name="40% - Accent4 3 6 2 2 2" xfId="22661" xr:uid="{00000000-0005-0000-0000-0000ED4D0000}"/>
    <cellStyle name="40% - Accent4 3 6 2 2 2 2" xfId="21797" xr:uid="{00000000-0005-0000-0000-0000EE4D0000}"/>
    <cellStyle name="40% - Accent4 3 6 2 2 3" xfId="24939" xr:uid="{00000000-0005-0000-0000-0000EF4D0000}"/>
    <cellStyle name="40% - Accent4 3 6 2 3" xfId="22664" xr:uid="{00000000-0005-0000-0000-0000F04D0000}"/>
    <cellStyle name="40% - Accent4 3 6 2 3 2" xfId="22668" xr:uid="{00000000-0005-0000-0000-0000F14D0000}"/>
    <cellStyle name="40% - Accent4 3 6 2 4" xfId="22669" xr:uid="{00000000-0005-0000-0000-0000F24D0000}"/>
    <cellStyle name="40% - Accent4 3 6 3" xfId="19763" xr:uid="{00000000-0005-0000-0000-0000F34D0000}"/>
    <cellStyle name="40% - Accent4 3 6 3 2" xfId="19769" xr:uid="{00000000-0005-0000-0000-0000F44D0000}"/>
    <cellStyle name="40% - Accent4 3 6 3 2 2" xfId="33305" xr:uid="{00000000-0005-0000-0000-0000F54D0000}"/>
    <cellStyle name="40% - Accent4 3 6 3 3" xfId="31973" xr:uid="{00000000-0005-0000-0000-0000F64D0000}"/>
    <cellStyle name="40% - Accent4 3 6 4" xfId="19780" xr:uid="{00000000-0005-0000-0000-0000F74D0000}"/>
    <cellStyle name="40% - Accent4 3 6 4 2" xfId="31029" xr:uid="{00000000-0005-0000-0000-0000F84D0000}"/>
    <cellStyle name="40% - Accent4 3 6 5" xfId="22670" xr:uid="{00000000-0005-0000-0000-0000F94D0000}"/>
    <cellStyle name="40% - Accent4 3 7" xfId="26192" xr:uid="{00000000-0005-0000-0000-0000FA4D0000}"/>
    <cellStyle name="40% - Accent4 3 7 2" xfId="16829" xr:uid="{00000000-0005-0000-0000-0000FB4D0000}"/>
    <cellStyle name="40% - Accent4 3 7 2 2" xfId="22672" xr:uid="{00000000-0005-0000-0000-0000FC4D0000}"/>
    <cellStyle name="40% - Accent4 3 7 2 2 2" xfId="22674" xr:uid="{00000000-0005-0000-0000-0000FD4D0000}"/>
    <cellStyle name="40% - Accent4 3 7 2 3" xfId="22676" xr:uid="{00000000-0005-0000-0000-0000FE4D0000}"/>
    <cellStyle name="40% - Accent4 3 7 3" xfId="19784" xr:uid="{00000000-0005-0000-0000-0000FF4D0000}"/>
    <cellStyle name="40% - Accent4 3 7 3 2" xfId="32461" xr:uid="{00000000-0005-0000-0000-0000004E0000}"/>
    <cellStyle name="40% - Accent4 3 7 4" xfId="28027" xr:uid="{00000000-0005-0000-0000-0000014E0000}"/>
    <cellStyle name="40% - Accent4 3 8" xfId="16579" xr:uid="{00000000-0005-0000-0000-0000024E0000}"/>
    <cellStyle name="40% - Accent4 3 8 2" xfId="22678" xr:uid="{00000000-0005-0000-0000-0000034E0000}"/>
    <cellStyle name="40% - Accent4 3 8 2 2" xfId="7367" xr:uid="{00000000-0005-0000-0000-0000044E0000}"/>
    <cellStyle name="40% - Accent4 3 8 3" xfId="32362" xr:uid="{00000000-0005-0000-0000-0000054E0000}"/>
    <cellStyle name="40% - Accent4 3 9" xfId="14891" xr:uid="{00000000-0005-0000-0000-0000064E0000}"/>
    <cellStyle name="40% - Accent4 3 9 2" xfId="29401" xr:uid="{00000000-0005-0000-0000-0000074E0000}"/>
    <cellStyle name="40% - Accent4 4" xfId="16953" xr:uid="{00000000-0005-0000-0000-0000084E0000}"/>
    <cellStyle name="40% - Accent4 4 2" xfId="33122" xr:uid="{00000000-0005-0000-0000-0000094E0000}"/>
    <cellStyle name="40% - Accent4 4 2 2" xfId="22684" xr:uid="{00000000-0005-0000-0000-00000A4E0000}"/>
    <cellStyle name="40% - Accent4 4 2 2 2" xfId="18589" xr:uid="{00000000-0005-0000-0000-00000B4E0000}"/>
    <cellStyle name="40% - Accent4 4 2 2 2 2" xfId="3066" xr:uid="{00000000-0005-0000-0000-00000C4E0000}"/>
    <cellStyle name="40% - Accent4 4 2 2 2 2 2" xfId="33438" xr:uid="{00000000-0005-0000-0000-00000D4E0000}"/>
    <cellStyle name="40% - Accent4 4 2 2 2 2 2 2" xfId="22686" xr:uid="{00000000-0005-0000-0000-00000E4E0000}"/>
    <cellStyle name="40% - Accent4 4 2 2 2 2 2 2 2" xfId="22598" xr:uid="{00000000-0005-0000-0000-00000F4E0000}"/>
    <cellStyle name="40% - Accent4 4 2 2 2 2 2 2 2 2" xfId="23322" xr:uid="{00000000-0005-0000-0000-0000104E0000}"/>
    <cellStyle name="40% - Accent4 4 2 2 2 2 2 2 3" xfId="25949" xr:uid="{00000000-0005-0000-0000-0000114E0000}"/>
    <cellStyle name="40% - Accent4 4 2 2 2 2 2 3" xfId="13435" xr:uid="{00000000-0005-0000-0000-0000124E0000}"/>
    <cellStyle name="40% - Accent4 4 2 2 2 2 2 3 2" xfId="22688" xr:uid="{00000000-0005-0000-0000-0000134E0000}"/>
    <cellStyle name="40% - Accent4 4 2 2 2 2 2 4" xfId="19969" xr:uid="{00000000-0005-0000-0000-0000144E0000}"/>
    <cellStyle name="40% - Accent4 4 2 2 2 2 3" xfId="5232" xr:uid="{00000000-0005-0000-0000-0000154E0000}"/>
    <cellStyle name="40% - Accent4 4 2 2 2 2 3 2" xfId="33025" xr:uid="{00000000-0005-0000-0000-0000164E0000}"/>
    <cellStyle name="40% - Accent4 4 2 2 2 2 3 2 2" xfId="19842" xr:uid="{00000000-0005-0000-0000-0000174E0000}"/>
    <cellStyle name="40% - Accent4 4 2 2 2 2 3 3" xfId="2713" xr:uid="{00000000-0005-0000-0000-0000184E0000}"/>
    <cellStyle name="40% - Accent4 4 2 2 2 2 4" xfId="18010" xr:uid="{00000000-0005-0000-0000-0000194E0000}"/>
    <cellStyle name="40% - Accent4 4 2 2 2 2 4 2" xfId="24339" xr:uid="{00000000-0005-0000-0000-00001A4E0000}"/>
    <cellStyle name="40% - Accent4 4 2 2 2 2 5" xfId="7048" xr:uid="{00000000-0005-0000-0000-00001B4E0000}"/>
    <cellStyle name="40% - Accent4 4 2 2 2 3" xfId="22695" xr:uid="{00000000-0005-0000-0000-00001C4E0000}"/>
    <cellStyle name="40% - Accent4 4 2 2 2 3 2" xfId="22697" xr:uid="{00000000-0005-0000-0000-00001D4E0000}"/>
    <cellStyle name="40% - Accent4 4 2 2 2 3 2 2" xfId="1145" xr:uid="{00000000-0005-0000-0000-00001E4E0000}"/>
    <cellStyle name="40% - Accent4 4 2 2 2 3 2 2 2" xfId="25994" xr:uid="{00000000-0005-0000-0000-00001F4E0000}"/>
    <cellStyle name="40% - Accent4 4 2 2 2 3 2 3" xfId="13590" xr:uid="{00000000-0005-0000-0000-0000204E0000}"/>
    <cellStyle name="40% - Accent4 4 2 2 2 3 3" xfId="702" xr:uid="{00000000-0005-0000-0000-0000214E0000}"/>
    <cellStyle name="40% - Accent4 4 2 2 2 3 3 2" xfId="1178" xr:uid="{00000000-0005-0000-0000-0000224E0000}"/>
    <cellStyle name="40% - Accent4 4 2 2 2 3 4" xfId="33095" xr:uid="{00000000-0005-0000-0000-0000234E0000}"/>
    <cellStyle name="40% - Accent4 4 2 2 2 4" xfId="22698" xr:uid="{00000000-0005-0000-0000-0000244E0000}"/>
    <cellStyle name="40% - Accent4 4 2 2 2 4 2" xfId="22720" xr:uid="{00000000-0005-0000-0000-0000254E0000}"/>
    <cellStyle name="40% - Accent4 4 2 2 2 4 2 2" xfId="2909" xr:uid="{00000000-0005-0000-0000-0000264E0000}"/>
    <cellStyle name="40% - Accent4 4 2 2 2 4 3" xfId="31127" xr:uid="{00000000-0005-0000-0000-0000274E0000}"/>
    <cellStyle name="40% - Accent4 4 2 2 2 5" xfId="33110" xr:uid="{00000000-0005-0000-0000-0000284E0000}"/>
    <cellStyle name="40% - Accent4 4 2 2 2 5 2" xfId="33588" xr:uid="{00000000-0005-0000-0000-0000294E0000}"/>
    <cellStyle name="40% - Accent4 4 2 2 2 6" xfId="22938" xr:uid="{00000000-0005-0000-0000-00002A4E0000}"/>
    <cellStyle name="40% - Accent4 4 2 2 3" xfId="18596" xr:uid="{00000000-0005-0000-0000-00002B4E0000}"/>
    <cellStyle name="40% - Accent4 4 2 2 3 2" xfId="20521" xr:uid="{00000000-0005-0000-0000-00002C4E0000}"/>
    <cellStyle name="40% - Accent4 4 2 2 3 2 2" xfId="22700" xr:uid="{00000000-0005-0000-0000-00002D4E0000}"/>
    <cellStyle name="40% - Accent4 4 2 2 3 2 2 2" xfId="27588" xr:uid="{00000000-0005-0000-0000-00002E4E0000}"/>
    <cellStyle name="40% - Accent4 4 2 2 3 2 2 2 2" xfId="26063" xr:uid="{00000000-0005-0000-0000-00002F4E0000}"/>
    <cellStyle name="40% - Accent4 4 2 2 3 2 2 3" xfId="13687" xr:uid="{00000000-0005-0000-0000-0000304E0000}"/>
    <cellStyle name="40% - Accent4 4 2 2 3 2 3" xfId="8042" xr:uid="{00000000-0005-0000-0000-0000314E0000}"/>
    <cellStyle name="40% - Accent4 4 2 2 3 2 3 2" xfId="22702" xr:uid="{00000000-0005-0000-0000-0000324E0000}"/>
    <cellStyle name="40% - Accent4 4 2 2 3 2 4" xfId="14872" xr:uid="{00000000-0005-0000-0000-0000334E0000}"/>
    <cellStyle name="40% - Accent4 4 2 2 3 3" xfId="28449" xr:uid="{00000000-0005-0000-0000-0000344E0000}"/>
    <cellStyle name="40% - Accent4 4 2 2 3 3 2" xfId="22705" xr:uid="{00000000-0005-0000-0000-0000354E0000}"/>
    <cellStyle name="40% - Accent4 4 2 2 3 3 2 2" xfId="1447" xr:uid="{00000000-0005-0000-0000-0000364E0000}"/>
    <cellStyle name="40% - Accent4 4 2 2 3 3 3" xfId="29376" xr:uid="{00000000-0005-0000-0000-0000374E0000}"/>
    <cellStyle name="40% - Accent4 4 2 2 3 4" xfId="20536" xr:uid="{00000000-0005-0000-0000-0000384E0000}"/>
    <cellStyle name="40% - Accent4 4 2 2 3 4 2" xfId="25922" xr:uid="{00000000-0005-0000-0000-0000394E0000}"/>
    <cellStyle name="40% - Accent4 4 2 2 3 5" xfId="20544" xr:uid="{00000000-0005-0000-0000-00003A4E0000}"/>
    <cellStyle name="40% - Accent4 4 2 2 4" xfId="20553" xr:uid="{00000000-0005-0000-0000-00003B4E0000}"/>
    <cellStyle name="40% - Accent4 4 2 2 4 2" xfId="20563" xr:uid="{00000000-0005-0000-0000-00003C4E0000}"/>
    <cellStyle name="40% - Accent4 4 2 2 4 2 2" xfId="28152" xr:uid="{00000000-0005-0000-0000-00003D4E0000}"/>
    <cellStyle name="40% - Accent4 4 2 2 4 2 2 2" xfId="24911" xr:uid="{00000000-0005-0000-0000-00003E4E0000}"/>
    <cellStyle name="40% - Accent4 4 2 2 4 2 3" xfId="5553" xr:uid="{00000000-0005-0000-0000-00003F4E0000}"/>
    <cellStyle name="40% - Accent4 4 2 2 4 3" xfId="20576" xr:uid="{00000000-0005-0000-0000-0000404E0000}"/>
    <cellStyle name="40% - Accent4 4 2 2 4 3 2" xfId="30014" xr:uid="{00000000-0005-0000-0000-0000414E0000}"/>
    <cellStyle name="40% - Accent4 4 2 2 4 4" xfId="30383" xr:uid="{00000000-0005-0000-0000-0000424E0000}"/>
    <cellStyle name="40% - Accent4 4 2 2 5" xfId="25820" xr:uid="{00000000-0005-0000-0000-0000434E0000}"/>
    <cellStyle name="40% - Accent4 4 2 2 5 2" xfId="17492" xr:uid="{00000000-0005-0000-0000-0000444E0000}"/>
    <cellStyle name="40% - Accent4 4 2 2 5 2 2" xfId="28795" xr:uid="{00000000-0005-0000-0000-0000454E0000}"/>
    <cellStyle name="40% - Accent4 4 2 2 5 3" xfId="17163" xr:uid="{00000000-0005-0000-0000-0000464E0000}"/>
    <cellStyle name="40% - Accent4 4 2 2 6" xfId="25832" xr:uid="{00000000-0005-0000-0000-0000474E0000}"/>
    <cellStyle name="40% - Accent4 4 2 2 6 2" xfId="20592" xr:uid="{00000000-0005-0000-0000-0000484E0000}"/>
    <cellStyle name="40% - Accent4 4 2 2 7" xfId="20595" xr:uid="{00000000-0005-0000-0000-0000494E0000}"/>
    <cellStyle name="40% - Accent4 4 2 3" xfId="22709" xr:uid="{00000000-0005-0000-0000-00004A4E0000}"/>
    <cellStyle name="40% - Accent4 4 2 3 2" xfId="18608" xr:uid="{00000000-0005-0000-0000-00004B4E0000}"/>
    <cellStyle name="40% - Accent4 4 2 3 2 2" xfId="22710" xr:uid="{00000000-0005-0000-0000-00004C4E0000}"/>
    <cellStyle name="40% - Accent4 4 2 3 2 2 2" xfId="17071" xr:uid="{00000000-0005-0000-0000-00004D4E0000}"/>
    <cellStyle name="40% - Accent4 4 2 3 2 2 2 2" xfId="22711" xr:uid="{00000000-0005-0000-0000-00004E4E0000}"/>
    <cellStyle name="40% - Accent4 4 2 3 2 2 2 2 2" xfId="22717" xr:uid="{00000000-0005-0000-0000-00004F4E0000}"/>
    <cellStyle name="40% - Accent4 4 2 3 2 2 2 3" xfId="13834" xr:uid="{00000000-0005-0000-0000-0000504E0000}"/>
    <cellStyle name="40% - Accent4 4 2 3 2 2 3" xfId="207" xr:uid="{00000000-0005-0000-0000-0000514E0000}"/>
    <cellStyle name="40% - Accent4 4 2 3 2 2 3 2" xfId="22722" xr:uid="{00000000-0005-0000-0000-0000524E0000}"/>
    <cellStyle name="40% - Accent4 4 2 3 2 2 4" xfId="33950" xr:uid="{00000000-0005-0000-0000-0000534E0000}"/>
    <cellStyle name="40% - Accent4 4 2 3 2 3" xfId="22727" xr:uid="{00000000-0005-0000-0000-0000544E0000}"/>
    <cellStyle name="40% - Accent4 4 2 3 2 3 2" xfId="17142" xr:uid="{00000000-0005-0000-0000-0000554E0000}"/>
    <cellStyle name="40% - Accent4 4 2 3 2 3 2 2" xfId="27713" xr:uid="{00000000-0005-0000-0000-0000564E0000}"/>
    <cellStyle name="40% - Accent4 4 2 3 2 3 3" xfId="17149" xr:uid="{00000000-0005-0000-0000-0000574E0000}"/>
    <cellStyle name="40% - Accent4 4 2 3 2 4" xfId="25125" xr:uid="{00000000-0005-0000-0000-0000584E0000}"/>
    <cellStyle name="40% - Accent4 4 2 3 2 4 2" xfId="31265" xr:uid="{00000000-0005-0000-0000-0000594E0000}"/>
    <cellStyle name="40% - Accent4 4 2 3 2 5" xfId="25322" xr:uid="{00000000-0005-0000-0000-00005A4E0000}"/>
    <cellStyle name="40% - Accent4 4 2 3 3" xfId="20600" xr:uid="{00000000-0005-0000-0000-00005B4E0000}"/>
    <cellStyle name="40% - Accent4 4 2 3 3 2" xfId="20606" xr:uid="{00000000-0005-0000-0000-00005C4E0000}"/>
    <cellStyle name="40% - Accent4 4 2 3 3 2 2" xfId="28493" xr:uid="{00000000-0005-0000-0000-00005D4E0000}"/>
    <cellStyle name="40% - Accent4 4 2 3 3 2 2 2" xfId="32265" xr:uid="{00000000-0005-0000-0000-00005E4E0000}"/>
    <cellStyle name="40% - Accent4 4 2 3 3 2 3" xfId="17256" xr:uid="{00000000-0005-0000-0000-00005F4E0000}"/>
    <cellStyle name="40% - Accent4 4 2 3 3 3" xfId="24159" xr:uid="{00000000-0005-0000-0000-0000604E0000}"/>
    <cellStyle name="40% - Accent4 4 2 3 3 3 2" xfId="17276" xr:uid="{00000000-0005-0000-0000-0000614E0000}"/>
    <cellStyle name="40% - Accent4 4 2 3 3 4" xfId="20611" xr:uid="{00000000-0005-0000-0000-0000624E0000}"/>
    <cellStyle name="40% - Accent4 4 2 3 4" xfId="20627" xr:uid="{00000000-0005-0000-0000-0000634E0000}"/>
    <cellStyle name="40% - Accent4 4 2 3 4 2" xfId="14823" xr:uid="{00000000-0005-0000-0000-0000644E0000}"/>
    <cellStyle name="40% - Accent4 4 2 3 4 2 2" xfId="15008" xr:uid="{00000000-0005-0000-0000-0000654E0000}"/>
    <cellStyle name="40% - Accent4 4 2 3 4 3" xfId="14845" xr:uid="{00000000-0005-0000-0000-0000664E0000}"/>
    <cellStyle name="40% - Accent4 4 2 3 5" xfId="18860" xr:uid="{00000000-0005-0000-0000-0000674E0000}"/>
    <cellStyle name="40% - Accent4 4 2 3 5 2" xfId="14885" xr:uid="{00000000-0005-0000-0000-0000684E0000}"/>
    <cellStyle name="40% - Accent4 4 2 3 6" xfId="20637" xr:uid="{00000000-0005-0000-0000-0000694E0000}"/>
    <cellStyle name="40% - Accent4 4 2 4" xfId="22728" xr:uid="{00000000-0005-0000-0000-00006A4E0000}"/>
    <cellStyle name="40% - Accent4 4 2 4 2" xfId="22731" xr:uid="{00000000-0005-0000-0000-00006B4E0000}"/>
    <cellStyle name="40% - Accent4 4 2 4 2 2" xfId="22736" xr:uid="{00000000-0005-0000-0000-00006C4E0000}"/>
    <cellStyle name="40% - Accent4 4 2 4 2 2 2" xfId="17618" xr:uid="{00000000-0005-0000-0000-00006D4E0000}"/>
    <cellStyle name="40% - Accent4 4 2 4 2 2 2 2" xfId="22229" xr:uid="{00000000-0005-0000-0000-00006E4E0000}"/>
    <cellStyle name="40% - Accent4 4 2 4 2 2 3" xfId="17623" xr:uid="{00000000-0005-0000-0000-00006F4E0000}"/>
    <cellStyle name="40% - Accent4 4 2 4 2 3" xfId="22739" xr:uid="{00000000-0005-0000-0000-0000704E0000}"/>
    <cellStyle name="40% - Accent4 4 2 4 2 3 2" xfId="17656" xr:uid="{00000000-0005-0000-0000-0000714E0000}"/>
    <cellStyle name="40% - Accent4 4 2 4 2 4" xfId="26677" xr:uid="{00000000-0005-0000-0000-0000724E0000}"/>
    <cellStyle name="40% - Accent4 4 2 4 3" xfId="20646" xr:uid="{00000000-0005-0000-0000-0000734E0000}"/>
    <cellStyle name="40% - Accent4 4 2 4 3 2" xfId="20653" xr:uid="{00000000-0005-0000-0000-0000744E0000}"/>
    <cellStyle name="40% - Accent4 4 2 4 3 2 2" xfId="31106" xr:uid="{00000000-0005-0000-0000-0000754E0000}"/>
    <cellStyle name="40% - Accent4 4 2 4 3 3" xfId="28205" xr:uid="{00000000-0005-0000-0000-0000764E0000}"/>
    <cellStyle name="40% - Accent4 4 2 4 4" xfId="20669" xr:uid="{00000000-0005-0000-0000-0000774E0000}"/>
    <cellStyle name="40% - Accent4 4 2 4 4 2" xfId="14949" xr:uid="{00000000-0005-0000-0000-0000784E0000}"/>
    <cellStyle name="40% - Accent4 4 2 4 5" xfId="20680" xr:uid="{00000000-0005-0000-0000-0000794E0000}"/>
    <cellStyle name="40% - Accent4 4 2 5" xfId="22741" xr:uid="{00000000-0005-0000-0000-00007A4E0000}"/>
    <cellStyle name="40% - Accent4 4 2 5 2" xfId="25873" xr:uid="{00000000-0005-0000-0000-00007B4E0000}"/>
    <cellStyle name="40% - Accent4 4 2 5 2 2" xfId="22748" xr:uid="{00000000-0005-0000-0000-00007C4E0000}"/>
    <cellStyle name="40% - Accent4 4 2 5 2 2 2" xfId="18699" xr:uid="{00000000-0005-0000-0000-00007D4E0000}"/>
    <cellStyle name="40% - Accent4 4 2 5 2 3" xfId="24124" xr:uid="{00000000-0005-0000-0000-00007E4E0000}"/>
    <cellStyle name="40% - Accent4 4 2 5 3" xfId="20686" xr:uid="{00000000-0005-0000-0000-00007F4E0000}"/>
    <cellStyle name="40% - Accent4 4 2 5 3 2" xfId="20694" xr:uid="{00000000-0005-0000-0000-0000804E0000}"/>
    <cellStyle name="40% - Accent4 4 2 5 4" xfId="20707" xr:uid="{00000000-0005-0000-0000-0000814E0000}"/>
    <cellStyle name="40% - Accent4 4 2 6" xfId="10817" xr:uid="{00000000-0005-0000-0000-0000824E0000}"/>
    <cellStyle name="40% - Accent4 4 2 6 2" xfId="22750" xr:uid="{00000000-0005-0000-0000-0000834E0000}"/>
    <cellStyle name="40% - Accent4 4 2 6 2 2" xfId="29106" xr:uid="{00000000-0005-0000-0000-0000844E0000}"/>
    <cellStyle name="40% - Accent4 4 2 6 3" xfId="20713" xr:uid="{00000000-0005-0000-0000-0000854E0000}"/>
    <cellStyle name="40% - Accent4 4 2 7" xfId="14150" xr:uid="{00000000-0005-0000-0000-0000864E0000}"/>
    <cellStyle name="40% - Accent4 4 2 7 2" xfId="3957" xr:uid="{00000000-0005-0000-0000-0000874E0000}"/>
    <cellStyle name="40% - Accent4 4 2 8" xfId="8284" xr:uid="{00000000-0005-0000-0000-0000884E0000}"/>
    <cellStyle name="40% - Accent4 4 3" xfId="2643" xr:uid="{00000000-0005-0000-0000-0000894E0000}"/>
    <cellStyle name="40% - Accent4 4 3 2" xfId="20166" xr:uid="{00000000-0005-0000-0000-00008A4E0000}"/>
    <cellStyle name="40% - Accent4 4 3 2 2" xfId="18677" xr:uid="{00000000-0005-0000-0000-00008B4E0000}"/>
    <cellStyle name="40% - Accent4 4 3 2 2 2" xfId="12903" xr:uid="{00000000-0005-0000-0000-00008C4E0000}"/>
    <cellStyle name="40% - Accent4 4 3 2 2 2 2" xfId="6832" xr:uid="{00000000-0005-0000-0000-00008D4E0000}"/>
    <cellStyle name="40% - Accent4 4 3 2 2 2 2 2" xfId="28464" xr:uid="{00000000-0005-0000-0000-00008E4E0000}"/>
    <cellStyle name="40% - Accent4 4 3 2 2 2 2 2 2" xfId="26634" xr:uid="{00000000-0005-0000-0000-00008F4E0000}"/>
    <cellStyle name="40% - Accent4 4 3 2 2 2 2 3" xfId="22754" xr:uid="{00000000-0005-0000-0000-0000904E0000}"/>
    <cellStyle name="40% - Accent4 4 3 2 2 2 3" xfId="205" xr:uid="{00000000-0005-0000-0000-0000914E0000}"/>
    <cellStyle name="40% - Accent4 4 3 2 2 2 3 2" xfId="22760" xr:uid="{00000000-0005-0000-0000-0000924E0000}"/>
    <cellStyle name="40% - Accent4 4 3 2 2 2 4" xfId="31062" xr:uid="{00000000-0005-0000-0000-0000934E0000}"/>
    <cellStyle name="40% - Accent4 4 3 2 2 3" xfId="1189" xr:uid="{00000000-0005-0000-0000-0000944E0000}"/>
    <cellStyle name="40% - Accent4 4 3 2 2 3 2" xfId="803" xr:uid="{00000000-0005-0000-0000-0000954E0000}"/>
    <cellStyle name="40% - Accent4 4 3 2 2 3 2 2" xfId="17177" xr:uid="{00000000-0005-0000-0000-0000964E0000}"/>
    <cellStyle name="40% - Accent4 4 3 2 2 3 3" xfId="31440" xr:uid="{00000000-0005-0000-0000-0000974E0000}"/>
    <cellStyle name="40% - Accent4 4 3 2 2 4" xfId="28688" xr:uid="{00000000-0005-0000-0000-0000984E0000}"/>
    <cellStyle name="40% - Accent4 4 3 2 2 4 2" xfId="22763" xr:uid="{00000000-0005-0000-0000-0000994E0000}"/>
    <cellStyle name="40% - Accent4 4 3 2 2 5" xfId="22777" xr:uid="{00000000-0005-0000-0000-00009A4E0000}"/>
    <cellStyle name="40% - Accent4 4 3 2 3" xfId="20751" xr:uid="{00000000-0005-0000-0000-00009B4E0000}"/>
    <cellStyle name="40% - Accent4 4 3 2 3 2" xfId="12877" xr:uid="{00000000-0005-0000-0000-00009C4E0000}"/>
    <cellStyle name="40% - Accent4 4 3 2 3 2 2" xfId="6840" xr:uid="{00000000-0005-0000-0000-00009D4E0000}"/>
    <cellStyle name="40% - Accent4 4 3 2 3 2 2 2" xfId="30024" xr:uid="{00000000-0005-0000-0000-00009E4E0000}"/>
    <cellStyle name="40% - Accent4 4 3 2 3 2 3" xfId="15303" xr:uid="{00000000-0005-0000-0000-00009F4E0000}"/>
    <cellStyle name="40% - Accent4 4 3 2 3 3" xfId="20760" xr:uid="{00000000-0005-0000-0000-0000A04E0000}"/>
    <cellStyle name="40% - Accent4 4 3 2 3 3 2" xfId="18762" xr:uid="{00000000-0005-0000-0000-0000A14E0000}"/>
    <cellStyle name="40% - Accent4 4 3 2 3 4" xfId="780" xr:uid="{00000000-0005-0000-0000-0000A24E0000}"/>
    <cellStyle name="40% - Accent4 4 3 2 4" xfId="21476" xr:uid="{00000000-0005-0000-0000-0000A34E0000}"/>
    <cellStyle name="40% - Accent4 4 3 2 4 2" xfId="20779" xr:uid="{00000000-0005-0000-0000-0000A44E0000}"/>
    <cellStyle name="40% - Accent4 4 3 2 4 2 2" xfId="15955" xr:uid="{00000000-0005-0000-0000-0000A54E0000}"/>
    <cellStyle name="40% - Accent4 4 3 2 4 3" xfId="20789" xr:uid="{00000000-0005-0000-0000-0000A64E0000}"/>
    <cellStyle name="40% - Accent4 4 3 2 5" xfId="25869" xr:uid="{00000000-0005-0000-0000-0000A74E0000}"/>
    <cellStyle name="40% - Accent4 4 3 2 5 2" xfId="20806" xr:uid="{00000000-0005-0000-0000-0000A84E0000}"/>
    <cellStyle name="40% - Accent4 4 3 2 6" xfId="20810" xr:uid="{00000000-0005-0000-0000-0000A94E0000}"/>
    <cellStyle name="40% - Accent4 4 3 3" xfId="22781" xr:uid="{00000000-0005-0000-0000-0000AA4E0000}"/>
    <cellStyle name="40% - Accent4 4 3 3 2" xfId="17937" xr:uid="{00000000-0005-0000-0000-0000AB4E0000}"/>
    <cellStyle name="40% - Accent4 4 3 3 2 2" xfId="1265" xr:uid="{00000000-0005-0000-0000-0000AC4E0000}"/>
    <cellStyle name="40% - Accent4 4 3 3 2 2 2" xfId="1104" xr:uid="{00000000-0005-0000-0000-0000AD4E0000}"/>
    <cellStyle name="40% - Accent4 4 3 3 2 2 2 2" xfId="22783" xr:uid="{00000000-0005-0000-0000-0000AE4E0000}"/>
    <cellStyle name="40% - Accent4 4 3 3 2 2 3" xfId="32024" xr:uid="{00000000-0005-0000-0000-0000AF4E0000}"/>
    <cellStyle name="40% - Accent4 4 3 3 2 3" xfId="24449" xr:uid="{00000000-0005-0000-0000-0000B04E0000}"/>
    <cellStyle name="40% - Accent4 4 3 3 2 3 2" xfId="22780" xr:uid="{00000000-0005-0000-0000-0000B14E0000}"/>
    <cellStyle name="40% - Accent4 4 3 3 2 4" xfId="14552" xr:uid="{00000000-0005-0000-0000-0000B24E0000}"/>
    <cellStyle name="40% - Accent4 4 3 3 3" xfId="20823" xr:uid="{00000000-0005-0000-0000-0000B34E0000}"/>
    <cellStyle name="40% - Accent4 4 3 3 3 2" xfId="20829" xr:uid="{00000000-0005-0000-0000-0000B44E0000}"/>
    <cellStyle name="40% - Accent4 4 3 3 3 2 2" xfId="17415" xr:uid="{00000000-0005-0000-0000-0000B54E0000}"/>
    <cellStyle name="40% - Accent4 4 3 3 3 3" xfId="23805" xr:uid="{00000000-0005-0000-0000-0000B64E0000}"/>
    <cellStyle name="40% - Accent4 4 3 3 4" xfId="20899" xr:uid="{00000000-0005-0000-0000-0000B74E0000}"/>
    <cellStyle name="40% - Accent4 4 3 3 4 2" xfId="15067" xr:uid="{00000000-0005-0000-0000-0000B84E0000}"/>
    <cellStyle name="40% - Accent4 4 3 3 5" xfId="20853" xr:uid="{00000000-0005-0000-0000-0000B94E0000}"/>
    <cellStyle name="40% - Accent4 4 3 4" xfId="22785" xr:uid="{00000000-0005-0000-0000-0000BA4E0000}"/>
    <cellStyle name="40% - Accent4 4 3 4 2" xfId="22787" xr:uid="{00000000-0005-0000-0000-0000BB4E0000}"/>
    <cellStyle name="40% - Accent4 4 3 4 2 2" xfId="22791" xr:uid="{00000000-0005-0000-0000-0000BC4E0000}"/>
    <cellStyle name="40% - Accent4 4 3 4 2 2 2" xfId="25026" xr:uid="{00000000-0005-0000-0000-0000BD4E0000}"/>
    <cellStyle name="40% - Accent4 4 3 4 2 3" xfId="22793" xr:uid="{00000000-0005-0000-0000-0000BE4E0000}"/>
    <cellStyle name="40% - Accent4 4 3 4 3" xfId="20858" xr:uid="{00000000-0005-0000-0000-0000BF4E0000}"/>
    <cellStyle name="40% - Accent4 4 3 4 3 2" xfId="20862" xr:uid="{00000000-0005-0000-0000-0000C04E0000}"/>
    <cellStyle name="40% - Accent4 4 3 4 4" xfId="20878" xr:uid="{00000000-0005-0000-0000-0000C14E0000}"/>
    <cellStyle name="40% - Accent4 4 3 5" xfId="15197" xr:uid="{00000000-0005-0000-0000-0000C24E0000}"/>
    <cellStyle name="40% - Accent4 4 3 5 2" xfId="22796" xr:uid="{00000000-0005-0000-0000-0000C34E0000}"/>
    <cellStyle name="40% - Accent4 4 3 5 2 2" xfId="22800" xr:uid="{00000000-0005-0000-0000-0000C44E0000}"/>
    <cellStyle name="40% - Accent4 4 3 5 3" xfId="20884" xr:uid="{00000000-0005-0000-0000-0000C54E0000}"/>
    <cellStyle name="40% - Accent4 4 3 6" xfId="10458" xr:uid="{00000000-0005-0000-0000-0000C64E0000}"/>
    <cellStyle name="40% - Accent4 4 3 6 2" xfId="4628" xr:uid="{00000000-0005-0000-0000-0000C74E0000}"/>
    <cellStyle name="40% - Accent4 4 3 7" xfId="6574" xr:uid="{00000000-0005-0000-0000-0000C84E0000}"/>
    <cellStyle name="40% - Accent4 4 4" xfId="20169" xr:uid="{00000000-0005-0000-0000-0000C94E0000}"/>
    <cellStyle name="40% - Accent4 4 4 2" xfId="22808" xr:uid="{00000000-0005-0000-0000-0000CA4E0000}"/>
    <cellStyle name="40% - Accent4 4 4 2 2" xfId="22821" xr:uid="{00000000-0005-0000-0000-0000CB4E0000}"/>
    <cellStyle name="40% - Accent4 4 4 2 2 2" xfId="13582" xr:uid="{00000000-0005-0000-0000-0000CC4E0000}"/>
    <cellStyle name="40% - Accent4 4 4 2 2 2 2" xfId="6992" xr:uid="{00000000-0005-0000-0000-0000CD4E0000}"/>
    <cellStyle name="40% - Accent4 4 4 2 2 2 2 2" xfId="19883" xr:uid="{00000000-0005-0000-0000-0000CE4E0000}"/>
    <cellStyle name="40% - Accent4 4 4 2 2 2 3" xfId="30341" xr:uid="{00000000-0005-0000-0000-0000CF4E0000}"/>
    <cellStyle name="40% - Accent4 4 4 2 2 3" xfId="22811" xr:uid="{00000000-0005-0000-0000-0000D04E0000}"/>
    <cellStyle name="40% - Accent4 4 4 2 2 3 2" xfId="23532" xr:uid="{00000000-0005-0000-0000-0000D14E0000}"/>
    <cellStyle name="40% - Accent4 4 4 2 2 4" xfId="30981" xr:uid="{00000000-0005-0000-0000-0000D24E0000}"/>
    <cellStyle name="40% - Accent4 4 4 2 3" xfId="20945" xr:uid="{00000000-0005-0000-0000-0000D34E0000}"/>
    <cellStyle name="40% - Accent4 4 4 2 3 2" xfId="20949" xr:uid="{00000000-0005-0000-0000-0000D44E0000}"/>
    <cellStyle name="40% - Accent4 4 4 2 3 2 2" xfId="22813" xr:uid="{00000000-0005-0000-0000-0000D54E0000}"/>
    <cellStyle name="40% - Accent4 4 4 2 3 3" xfId="20976" xr:uid="{00000000-0005-0000-0000-0000D64E0000}"/>
    <cellStyle name="40% - Accent4 4 4 2 4" xfId="21519" xr:uid="{00000000-0005-0000-0000-0000D74E0000}"/>
    <cellStyle name="40% - Accent4 4 4 2 4 2" xfId="20981" xr:uid="{00000000-0005-0000-0000-0000D84E0000}"/>
    <cellStyle name="40% - Accent4 4 4 2 5" xfId="20987" xr:uid="{00000000-0005-0000-0000-0000D94E0000}"/>
    <cellStyle name="40% - Accent4 4 4 3" xfId="22824" xr:uid="{00000000-0005-0000-0000-0000DA4E0000}"/>
    <cellStyle name="40% - Accent4 4 4 3 2" xfId="22826" xr:uid="{00000000-0005-0000-0000-0000DB4E0000}"/>
    <cellStyle name="40% - Accent4 4 4 3 2 2" xfId="33848" xr:uid="{00000000-0005-0000-0000-0000DC4E0000}"/>
    <cellStyle name="40% - Accent4 4 4 3 2 2 2" xfId="21258" xr:uid="{00000000-0005-0000-0000-0000DD4E0000}"/>
    <cellStyle name="40% - Accent4 4 4 3 2 3" xfId="24989" xr:uid="{00000000-0005-0000-0000-0000DE4E0000}"/>
    <cellStyle name="40% - Accent4 4 4 3 3" xfId="20999" xr:uid="{00000000-0005-0000-0000-0000DF4E0000}"/>
    <cellStyle name="40% - Accent4 4 4 3 3 2" xfId="21009" xr:uid="{00000000-0005-0000-0000-0000E04E0000}"/>
    <cellStyle name="40% - Accent4 4 4 3 4" xfId="21026" xr:uid="{00000000-0005-0000-0000-0000E14E0000}"/>
    <cellStyle name="40% - Accent4 4 4 4" xfId="18497" xr:uid="{00000000-0005-0000-0000-0000E24E0000}"/>
    <cellStyle name="40% - Accent4 4 4 4 2" xfId="6330" xr:uid="{00000000-0005-0000-0000-0000E34E0000}"/>
    <cellStyle name="40% - Accent4 4 4 4 2 2" xfId="22831" xr:uid="{00000000-0005-0000-0000-0000E44E0000}"/>
    <cellStyle name="40% - Accent4 4 4 4 3" xfId="21033" xr:uid="{00000000-0005-0000-0000-0000E54E0000}"/>
    <cellStyle name="40% - Accent4 4 4 5" xfId="22834" xr:uid="{00000000-0005-0000-0000-0000E64E0000}"/>
    <cellStyle name="40% - Accent4 4 4 5 2" xfId="22837" xr:uid="{00000000-0005-0000-0000-0000E74E0000}"/>
    <cellStyle name="40% - Accent4 4 4 6" xfId="26723" xr:uid="{00000000-0005-0000-0000-0000E84E0000}"/>
    <cellStyle name="40% - Accent4 4 5" xfId="22840" xr:uid="{00000000-0005-0000-0000-0000E94E0000}"/>
    <cellStyle name="40% - Accent4 4 5 2" xfId="22892" xr:uid="{00000000-0005-0000-0000-0000EA4E0000}"/>
    <cellStyle name="40% - Accent4 4 5 2 2" xfId="26605" xr:uid="{00000000-0005-0000-0000-0000EB4E0000}"/>
    <cellStyle name="40% - Accent4 4 5 2 2 2" xfId="4566" xr:uid="{00000000-0005-0000-0000-0000EC4E0000}"/>
    <cellStyle name="40% - Accent4 4 5 2 2 2 2" xfId="22841" xr:uid="{00000000-0005-0000-0000-0000ED4E0000}"/>
    <cellStyle name="40% - Accent4 4 5 2 2 3" xfId="23869" xr:uid="{00000000-0005-0000-0000-0000EE4E0000}"/>
    <cellStyle name="40% - Accent4 4 5 2 3" xfId="27493" xr:uid="{00000000-0005-0000-0000-0000EF4E0000}"/>
    <cellStyle name="40% - Accent4 4 5 2 3 2" xfId="21068" xr:uid="{00000000-0005-0000-0000-0000F04E0000}"/>
    <cellStyle name="40% - Accent4 4 5 2 4" xfId="21082" xr:uid="{00000000-0005-0000-0000-0000F14E0000}"/>
    <cellStyle name="40% - Accent4 4 5 3" xfId="20070" xr:uid="{00000000-0005-0000-0000-0000F24E0000}"/>
    <cellStyle name="40% - Accent4 4 5 3 2" xfId="20073" xr:uid="{00000000-0005-0000-0000-0000F34E0000}"/>
    <cellStyle name="40% - Accent4 4 5 3 2 2" xfId="22842" xr:uid="{00000000-0005-0000-0000-0000F44E0000}"/>
    <cellStyle name="40% - Accent4 4 5 3 3" xfId="21093" xr:uid="{00000000-0005-0000-0000-0000F54E0000}"/>
    <cellStyle name="40% - Accent4 4 5 4" xfId="20083" xr:uid="{00000000-0005-0000-0000-0000F64E0000}"/>
    <cellStyle name="40% - Accent4 4 5 4 2" xfId="22844" xr:uid="{00000000-0005-0000-0000-0000F74E0000}"/>
    <cellStyle name="40% - Accent4 4 5 5" xfId="22845" xr:uid="{00000000-0005-0000-0000-0000F84E0000}"/>
    <cellStyle name="40% - Accent4 4 6" xfId="22847" xr:uid="{00000000-0005-0000-0000-0000F94E0000}"/>
    <cellStyle name="40% - Accent4 4 6 2" xfId="18105" xr:uid="{00000000-0005-0000-0000-0000FA4E0000}"/>
    <cellStyle name="40% - Accent4 4 6 2 2" xfId="22848" xr:uid="{00000000-0005-0000-0000-0000FB4E0000}"/>
    <cellStyle name="40% - Accent4 4 6 2 2 2" xfId="27342" xr:uid="{00000000-0005-0000-0000-0000FC4E0000}"/>
    <cellStyle name="40% - Accent4 4 6 2 3" xfId="21132" xr:uid="{00000000-0005-0000-0000-0000FD4E0000}"/>
    <cellStyle name="40% - Accent4 4 6 3" xfId="19753" xr:uid="{00000000-0005-0000-0000-0000FE4E0000}"/>
    <cellStyle name="40% - Accent4 4 6 3 2" xfId="22851" xr:uid="{00000000-0005-0000-0000-0000FF4E0000}"/>
    <cellStyle name="40% - Accent4 4 6 4" xfId="22853" xr:uid="{00000000-0005-0000-0000-0000004F0000}"/>
    <cellStyle name="40% - Accent4 4 7" xfId="22856" xr:uid="{00000000-0005-0000-0000-0000014F0000}"/>
    <cellStyle name="40% - Accent4 4 7 2" xfId="22861" xr:uid="{00000000-0005-0000-0000-0000024F0000}"/>
    <cellStyle name="40% - Accent4 4 7 2 2" xfId="22866" xr:uid="{00000000-0005-0000-0000-0000034F0000}"/>
    <cellStyle name="40% - Accent4 4 7 3" xfId="22867" xr:uid="{00000000-0005-0000-0000-0000044F0000}"/>
    <cellStyle name="40% - Accent4 4 8" xfId="16006" xr:uid="{00000000-0005-0000-0000-0000054F0000}"/>
    <cellStyle name="40% - Accent4 4 8 2" xfId="22869" xr:uid="{00000000-0005-0000-0000-0000064F0000}"/>
    <cellStyle name="40% - Accent4 4 9" xfId="5947" xr:uid="{00000000-0005-0000-0000-0000074F0000}"/>
    <cellStyle name="40% - Accent4 5" xfId="16961" xr:uid="{00000000-0005-0000-0000-0000084F0000}"/>
    <cellStyle name="40% - Accent4 5 2" xfId="22872" xr:uid="{00000000-0005-0000-0000-0000094F0000}"/>
    <cellStyle name="40% - Accent4 5 2 2" xfId="22876" xr:uid="{00000000-0005-0000-0000-00000A4F0000}"/>
    <cellStyle name="40% - Accent4 5 2 2 2" xfId="14343" xr:uid="{00000000-0005-0000-0000-00000B4F0000}"/>
    <cellStyle name="40% - Accent4 5 2 2 2 2" xfId="9388" xr:uid="{00000000-0005-0000-0000-00000C4F0000}"/>
    <cellStyle name="40% - Accent4 5 2 2 2 2 2" xfId="22878" xr:uid="{00000000-0005-0000-0000-00000D4F0000}"/>
    <cellStyle name="40% - Accent4 5 2 2 2 2 2 2" xfId="26729" xr:uid="{00000000-0005-0000-0000-00000E4F0000}"/>
    <cellStyle name="40% - Accent4 5 2 2 2 2 2 2 2" xfId="32213" xr:uid="{00000000-0005-0000-0000-00000F4F0000}"/>
    <cellStyle name="40% - Accent4 5 2 2 2 2 2 3" xfId="28274" xr:uid="{00000000-0005-0000-0000-0000104F0000}"/>
    <cellStyle name="40% - Accent4 5 2 2 2 2 3" xfId="1742" xr:uid="{00000000-0005-0000-0000-0000114F0000}"/>
    <cellStyle name="40% - Accent4 5 2 2 2 2 3 2" xfId="26738" xr:uid="{00000000-0005-0000-0000-0000124F0000}"/>
    <cellStyle name="40% - Accent4 5 2 2 2 2 4" xfId="19895" xr:uid="{00000000-0005-0000-0000-0000134F0000}"/>
    <cellStyle name="40% - Accent4 5 2 2 2 3" xfId="23276" xr:uid="{00000000-0005-0000-0000-0000144F0000}"/>
    <cellStyle name="40% - Accent4 5 2 2 2 3 2" xfId="22881" xr:uid="{00000000-0005-0000-0000-0000154F0000}"/>
    <cellStyle name="40% - Accent4 5 2 2 2 3 2 2" xfId="12426" xr:uid="{00000000-0005-0000-0000-0000164F0000}"/>
    <cellStyle name="40% - Accent4 5 2 2 2 3 3" xfId="25630" xr:uid="{00000000-0005-0000-0000-0000174F0000}"/>
    <cellStyle name="40% - Accent4 5 2 2 2 4" xfId="22890" xr:uid="{00000000-0005-0000-0000-0000184F0000}"/>
    <cellStyle name="40% - Accent4 5 2 2 2 4 2" xfId="22894" xr:uid="{00000000-0005-0000-0000-0000194F0000}"/>
    <cellStyle name="40% - Accent4 5 2 2 2 5" xfId="25082" xr:uid="{00000000-0005-0000-0000-00001A4F0000}"/>
    <cellStyle name="40% - Accent4 5 2 2 3" xfId="33289" xr:uid="{00000000-0005-0000-0000-00001B4F0000}"/>
    <cellStyle name="40% - Accent4 5 2 2 3 2" xfId="21193" xr:uid="{00000000-0005-0000-0000-00001C4F0000}"/>
    <cellStyle name="40% - Accent4 5 2 2 3 2 2" xfId="22905" xr:uid="{00000000-0005-0000-0000-00001D4F0000}"/>
    <cellStyle name="40% - Accent4 5 2 2 3 2 2 2" xfId="26740" xr:uid="{00000000-0005-0000-0000-00001E4F0000}"/>
    <cellStyle name="40% - Accent4 5 2 2 3 2 3" xfId="26423" xr:uid="{00000000-0005-0000-0000-00001F4F0000}"/>
    <cellStyle name="40% - Accent4 5 2 2 3 3" xfId="21203" xr:uid="{00000000-0005-0000-0000-0000204F0000}"/>
    <cellStyle name="40% - Accent4 5 2 2 3 3 2" xfId="31249" xr:uid="{00000000-0005-0000-0000-0000214F0000}"/>
    <cellStyle name="40% - Accent4 5 2 2 3 4" xfId="21678" xr:uid="{00000000-0005-0000-0000-0000224F0000}"/>
    <cellStyle name="40% - Accent4 5 2 2 4" xfId="31117" xr:uid="{00000000-0005-0000-0000-0000234F0000}"/>
    <cellStyle name="40% - Accent4 5 2 2 4 2" xfId="21219" xr:uid="{00000000-0005-0000-0000-0000244F0000}"/>
    <cellStyle name="40% - Accent4 5 2 2 4 2 2" xfId="33308" xr:uid="{00000000-0005-0000-0000-0000254F0000}"/>
    <cellStyle name="40% - Accent4 5 2 2 4 3" xfId="21231" xr:uid="{00000000-0005-0000-0000-0000264F0000}"/>
    <cellStyle name="40% - Accent4 5 2 2 5" xfId="26002" xr:uid="{00000000-0005-0000-0000-0000274F0000}"/>
    <cellStyle name="40% - Accent4 5 2 2 5 2" xfId="21240" xr:uid="{00000000-0005-0000-0000-0000284F0000}"/>
    <cellStyle name="40% - Accent4 5 2 2 6" xfId="21248" xr:uid="{00000000-0005-0000-0000-0000294F0000}"/>
    <cellStyle name="40% - Accent4 5 2 3" xfId="2703" xr:uid="{00000000-0005-0000-0000-00002A4F0000}"/>
    <cellStyle name="40% - Accent4 5 2 3 2" xfId="9486" xr:uid="{00000000-0005-0000-0000-00002B4F0000}"/>
    <cellStyle name="40% - Accent4 5 2 3 2 2" xfId="22917" xr:uid="{00000000-0005-0000-0000-00002C4F0000}"/>
    <cellStyle name="40% - Accent4 5 2 3 2 2 2" xfId="22926" xr:uid="{00000000-0005-0000-0000-00002D4F0000}"/>
    <cellStyle name="40% - Accent4 5 2 3 2 2 2 2" xfId="26775" xr:uid="{00000000-0005-0000-0000-00002E4F0000}"/>
    <cellStyle name="40% - Accent4 5 2 3 2 2 3" xfId="22931" xr:uid="{00000000-0005-0000-0000-00002F4F0000}"/>
    <cellStyle name="40% - Accent4 5 2 3 2 3" xfId="22933" xr:uid="{00000000-0005-0000-0000-0000304F0000}"/>
    <cellStyle name="40% - Accent4 5 2 3 2 3 2" xfId="22940" xr:uid="{00000000-0005-0000-0000-0000314F0000}"/>
    <cellStyle name="40% - Accent4 5 2 3 2 4" xfId="23049" xr:uid="{00000000-0005-0000-0000-0000324F0000}"/>
    <cellStyle name="40% - Accent4 5 2 3 3" xfId="8556" xr:uid="{00000000-0005-0000-0000-0000334F0000}"/>
    <cellStyle name="40% - Accent4 5 2 3 3 2" xfId="21262" xr:uid="{00000000-0005-0000-0000-0000344F0000}"/>
    <cellStyle name="40% - Accent4 5 2 3 3 2 2" xfId="22949" xr:uid="{00000000-0005-0000-0000-0000354F0000}"/>
    <cellStyle name="40% - Accent4 5 2 3 3 3" xfId="21269" xr:uid="{00000000-0005-0000-0000-0000364F0000}"/>
    <cellStyle name="40% - Accent4 5 2 3 4" xfId="1517" xr:uid="{00000000-0005-0000-0000-0000374F0000}"/>
    <cellStyle name="40% - Accent4 5 2 3 4 2" xfId="15656" xr:uid="{00000000-0005-0000-0000-0000384F0000}"/>
    <cellStyle name="40% - Accent4 5 2 3 5" xfId="21272" xr:uid="{00000000-0005-0000-0000-0000394F0000}"/>
    <cellStyle name="40% - Accent4 5 2 4" xfId="2728" xr:uid="{00000000-0005-0000-0000-00003A4F0000}"/>
    <cellStyle name="40% - Accent4 5 2 4 2" xfId="2740" xr:uid="{00000000-0005-0000-0000-00003B4F0000}"/>
    <cellStyle name="40% - Accent4 5 2 4 2 2" xfId="18499" xr:uid="{00000000-0005-0000-0000-00003C4F0000}"/>
    <cellStyle name="40% - Accent4 5 2 4 2 2 2" xfId="22952" xr:uid="{00000000-0005-0000-0000-00003D4F0000}"/>
    <cellStyle name="40% - Accent4 5 2 4 2 3" xfId="18504" xr:uid="{00000000-0005-0000-0000-00003E4F0000}"/>
    <cellStyle name="40% - Accent4 5 2 4 3" xfId="21281" xr:uid="{00000000-0005-0000-0000-00003F4F0000}"/>
    <cellStyle name="40% - Accent4 5 2 4 3 2" xfId="28307" xr:uid="{00000000-0005-0000-0000-0000404F0000}"/>
    <cellStyle name="40% - Accent4 5 2 4 4" xfId="21299" xr:uid="{00000000-0005-0000-0000-0000414F0000}"/>
    <cellStyle name="40% - Accent4 5 2 5" xfId="10919" xr:uid="{00000000-0005-0000-0000-0000424F0000}"/>
    <cellStyle name="40% - Accent4 5 2 5 2" xfId="22957" xr:uid="{00000000-0005-0000-0000-0000434F0000}"/>
    <cellStyle name="40% - Accent4 5 2 5 2 2" xfId="18535" xr:uid="{00000000-0005-0000-0000-0000444F0000}"/>
    <cellStyle name="40% - Accent4 5 2 5 3" xfId="10411" xr:uid="{00000000-0005-0000-0000-0000454F0000}"/>
    <cellStyle name="40% - Accent4 5 2 6" xfId="10472" xr:uid="{00000000-0005-0000-0000-0000464F0000}"/>
    <cellStyle name="40% - Accent4 5 2 6 2" xfId="22964" xr:uid="{00000000-0005-0000-0000-0000474F0000}"/>
    <cellStyle name="40% - Accent4 5 2 7" xfId="7014" xr:uid="{00000000-0005-0000-0000-0000484F0000}"/>
    <cellStyle name="40% - Accent4 5 3" xfId="20174" xr:uid="{00000000-0005-0000-0000-0000494F0000}"/>
    <cellStyle name="40% - Accent4 5 3 2" xfId="22967" xr:uid="{00000000-0005-0000-0000-00004A4F0000}"/>
    <cellStyle name="40% - Accent4 5 3 2 2" xfId="29179" xr:uid="{00000000-0005-0000-0000-00004B4F0000}"/>
    <cellStyle name="40% - Accent4 5 3 2 2 2" xfId="22972" xr:uid="{00000000-0005-0000-0000-00004C4F0000}"/>
    <cellStyle name="40% - Accent4 5 3 2 2 2 2" xfId="147" xr:uid="{00000000-0005-0000-0000-00004D4F0000}"/>
    <cellStyle name="40% - Accent4 5 3 2 2 2 2 2" xfId="22977" xr:uid="{00000000-0005-0000-0000-00004E4F0000}"/>
    <cellStyle name="40% - Accent4 5 3 2 2 2 3" xfId="22980" xr:uid="{00000000-0005-0000-0000-00004F4F0000}"/>
    <cellStyle name="40% - Accent4 5 3 2 2 3" xfId="22984" xr:uid="{00000000-0005-0000-0000-0000504F0000}"/>
    <cellStyle name="40% - Accent4 5 3 2 2 3 2" xfId="23461" xr:uid="{00000000-0005-0000-0000-0000514F0000}"/>
    <cellStyle name="40% - Accent4 5 3 2 2 4" xfId="22994" xr:uid="{00000000-0005-0000-0000-0000524F0000}"/>
    <cellStyle name="40% - Accent4 5 3 2 3" xfId="21351" xr:uid="{00000000-0005-0000-0000-0000534F0000}"/>
    <cellStyle name="40% - Accent4 5 3 2 3 2" xfId="21354" xr:uid="{00000000-0005-0000-0000-0000544F0000}"/>
    <cellStyle name="40% - Accent4 5 3 2 3 2 2" xfId="27424" xr:uid="{00000000-0005-0000-0000-0000554F0000}"/>
    <cellStyle name="40% - Accent4 5 3 2 3 3" xfId="21366" xr:uid="{00000000-0005-0000-0000-0000564F0000}"/>
    <cellStyle name="40% - Accent4 5 3 2 4" xfId="21375" xr:uid="{00000000-0005-0000-0000-0000574F0000}"/>
    <cellStyle name="40% - Accent4 5 3 2 4 2" xfId="21380" xr:uid="{00000000-0005-0000-0000-0000584F0000}"/>
    <cellStyle name="40% - Accent4 5 3 2 5" xfId="21392" xr:uid="{00000000-0005-0000-0000-0000594F0000}"/>
    <cellStyle name="40% - Accent4 5 3 3" xfId="2760" xr:uid="{00000000-0005-0000-0000-00005A4F0000}"/>
    <cellStyle name="40% - Accent4 5 3 3 2" xfId="3253" xr:uid="{00000000-0005-0000-0000-00005B4F0000}"/>
    <cellStyle name="40% - Accent4 5 3 3 2 2" xfId="22997" xr:uid="{00000000-0005-0000-0000-00005C4F0000}"/>
    <cellStyle name="40% - Accent4 5 3 3 2 2 2" xfId="23004" xr:uid="{00000000-0005-0000-0000-00005D4F0000}"/>
    <cellStyle name="40% - Accent4 5 3 3 2 3" xfId="23006" xr:uid="{00000000-0005-0000-0000-00005E4F0000}"/>
    <cellStyle name="40% - Accent4 5 3 3 3" xfId="17542" xr:uid="{00000000-0005-0000-0000-00005F4F0000}"/>
    <cellStyle name="40% - Accent4 5 3 3 3 2" xfId="21403" xr:uid="{00000000-0005-0000-0000-0000604F0000}"/>
    <cellStyle name="40% - Accent4 5 3 3 4" xfId="21422" xr:uid="{00000000-0005-0000-0000-0000614F0000}"/>
    <cellStyle name="40% - Accent4 5 3 4" xfId="3600" xr:uid="{00000000-0005-0000-0000-0000624F0000}"/>
    <cellStyle name="40% - Accent4 5 3 4 2" xfId="17552" xr:uid="{00000000-0005-0000-0000-0000634F0000}"/>
    <cellStyle name="40% - Accent4 5 3 4 2 2" xfId="18575" xr:uid="{00000000-0005-0000-0000-0000644F0000}"/>
    <cellStyle name="40% - Accent4 5 3 4 3" xfId="21430" xr:uid="{00000000-0005-0000-0000-0000654F0000}"/>
    <cellStyle name="40% - Accent4 5 3 5" xfId="23012" xr:uid="{00000000-0005-0000-0000-0000664F0000}"/>
    <cellStyle name="40% - Accent4 5 3 5 2" xfId="23017" xr:uid="{00000000-0005-0000-0000-0000674F0000}"/>
    <cellStyle name="40% - Accent4 5 3 6" xfId="23022" xr:uid="{00000000-0005-0000-0000-0000684F0000}"/>
    <cellStyle name="40% - Accent4 5 4" xfId="23025" xr:uid="{00000000-0005-0000-0000-0000694F0000}"/>
    <cellStyle name="40% - Accent4 5 4 2" xfId="21322" xr:uid="{00000000-0005-0000-0000-00006A4F0000}"/>
    <cellStyle name="40% - Accent4 5 4 2 2" xfId="30401" xr:uid="{00000000-0005-0000-0000-00006B4F0000}"/>
    <cellStyle name="40% - Accent4 5 4 2 2 2" xfId="4512" xr:uid="{00000000-0005-0000-0000-00006C4F0000}"/>
    <cellStyle name="40% - Accent4 5 4 2 2 2 2" xfId="23299" xr:uid="{00000000-0005-0000-0000-00006D4F0000}"/>
    <cellStyle name="40% - Accent4 5 4 2 2 3" xfId="23036" xr:uid="{00000000-0005-0000-0000-00006E4F0000}"/>
    <cellStyle name="40% - Accent4 5 4 2 3" xfId="21469" xr:uid="{00000000-0005-0000-0000-00006F4F0000}"/>
    <cellStyle name="40% - Accent4 5 4 2 3 2" xfId="21482" xr:uid="{00000000-0005-0000-0000-0000704F0000}"/>
    <cellStyle name="40% - Accent4 5 4 2 4" xfId="21500" xr:uid="{00000000-0005-0000-0000-0000714F0000}"/>
    <cellStyle name="40% - Accent4 5 4 3" xfId="2780" xr:uid="{00000000-0005-0000-0000-0000724F0000}"/>
    <cellStyle name="40% - Accent4 5 4 3 2" xfId="18960" xr:uid="{00000000-0005-0000-0000-0000734F0000}"/>
    <cellStyle name="40% - Accent4 5 4 3 2 2" xfId="23042" xr:uid="{00000000-0005-0000-0000-0000744F0000}"/>
    <cellStyle name="40% - Accent4 5 4 3 3" xfId="19152" xr:uid="{00000000-0005-0000-0000-0000754F0000}"/>
    <cellStyle name="40% - Accent4 5 4 4" xfId="14093" xr:uid="{00000000-0005-0000-0000-0000764F0000}"/>
    <cellStyle name="40% - Accent4 5 4 4 2" xfId="19593" xr:uid="{00000000-0005-0000-0000-0000774F0000}"/>
    <cellStyle name="40% - Accent4 5 4 5" xfId="6681" xr:uid="{00000000-0005-0000-0000-0000784F0000}"/>
    <cellStyle name="40% - Accent4 5 5" xfId="28628" xr:uid="{00000000-0005-0000-0000-0000794F0000}"/>
    <cellStyle name="40% - Accent4 5 5 2" xfId="23054" xr:uid="{00000000-0005-0000-0000-00007A4F0000}"/>
    <cellStyle name="40% - Accent4 5 5 2 2" xfId="26136" xr:uid="{00000000-0005-0000-0000-00007B4F0000}"/>
    <cellStyle name="40% - Accent4 5 5 2 2 2" xfId="2847" xr:uid="{00000000-0005-0000-0000-00007C4F0000}"/>
    <cellStyle name="40% - Accent4 5 5 2 3" xfId="23415" xr:uid="{00000000-0005-0000-0000-00007D4F0000}"/>
    <cellStyle name="40% - Accent4 5 5 3" xfId="20092" xr:uid="{00000000-0005-0000-0000-00007E4F0000}"/>
    <cellStyle name="40% - Accent4 5 5 3 2" xfId="19226" xr:uid="{00000000-0005-0000-0000-00007F4F0000}"/>
    <cellStyle name="40% - Accent4 5 5 4" xfId="14095" xr:uid="{00000000-0005-0000-0000-0000804F0000}"/>
    <cellStyle name="40% - Accent4 5 6" xfId="23060" xr:uid="{00000000-0005-0000-0000-0000814F0000}"/>
    <cellStyle name="40% - Accent4 5 6 2" xfId="23064" xr:uid="{00000000-0005-0000-0000-0000824F0000}"/>
    <cellStyle name="40% - Accent4 5 6 2 2" xfId="23067" xr:uid="{00000000-0005-0000-0000-0000834F0000}"/>
    <cellStyle name="40% - Accent4 5 6 3" xfId="23075" xr:uid="{00000000-0005-0000-0000-0000844F0000}"/>
    <cellStyle name="40% - Accent4 5 7" xfId="23081" xr:uid="{00000000-0005-0000-0000-0000854F0000}"/>
    <cellStyle name="40% - Accent4 5 7 2" xfId="23082" xr:uid="{00000000-0005-0000-0000-0000864F0000}"/>
    <cellStyle name="40% - Accent4 5 8" xfId="23088" xr:uid="{00000000-0005-0000-0000-0000874F0000}"/>
    <cellStyle name="40% - Accent4 6" xfId="18475" xr:uid="{00000000-0005-0000-0000-0000884F0000}"/>
    <cellStyle name="40% - Accent4 6 2" xfId="23091" xr:uid="{00000000-0005-0000-0000-0000894F0000}"/>
    <cellStyle name="40% - Accent4 6 2 2" xfId="23096" xr:uid="{00000000-0005-0000-0000-00008A4F0000}"/>
    <cellStyle name="40% - Accent4 6 2 2 2" xfId="18477" xr:uid="{00000000-0005-0000-0000-00008B4F0000}"/>
    <cellStyle name="40% - Accent4 6 2 2 2 2" xfId="23105" xr:uid="{00000000-0005-0000-0000-00008C4F0000}"/>
    <cellStyle name="40% - Accent4 6 2 2 2 2 2" xfId="23110" xr:uid="{00000000-0005-0000-0000-00008D4F0000}"/>
    <cellStyle name="40% - Accent4 6 2 2 2 2 2 2" xfId="18498" xr:uid="{00000000-0005-0000-0000-00008E4F0000}"/>
    <cellStyle name="40% - Accent4 6 2 2 2 2 3" xfId="23115" xr:uid="{00000000-0005-0000-0000-00008F4F0000}"/>
    <cellStyle name="40% - Accent4 6 2 2 2 3" xfId="23754" xr:uid="{00000000-0005-0000-0000-0000904F0000}"/>
    <cellStyle name="40% - Accent4 6 2 2 2 3 2" xfId="23120" xr:uid="{00000000-0005-0000-0000-0000914F0000}"/>
    <cellStyle name="40% - Accent4 6 2 2 2 4" xfId="23123" xr:uid="{00000000-0005-0000-0000-0000924F0000}"/>
    <cellStyle name="40% - Accent4 6 2 2 3" xfId="24707" xr:uid="{00000000-0005-0000-0000-0000934F0000}"/>
    <cellStyle name="40% - Accent4 6 2 2 3 2" xfId="19410" xr:uid="{00000000-0005-0000-0000-0000944F0000}"/>
    <cellStyle name="40% - Accent4 6 2 2 3 2 2" xfId="23124" xr:uid="{00000000-0005-0000-0000-0000954F0000}"/>
    <cellStyle name="40% - Accent4 6 2 2 3 3" xfId="21563" xr:uid="{00000000-0005-0000-0000-0000964F0000}"/>
    <cellStyle name="40% - Accent4 6 2 2 4" xfId="22438" xr:uid="{00000000-0005-0000-0000-0000974F0000}"/>
    <cellStyle name="40% - Accent4 6 2 2 4 2" xfId="19436" xr:uid="{00000000-0005-0000-0000-0000984F0000}"/>
    <cellStyle name="40% - Accent4 6 2 2 5" xfId="21608" xr:uid="{00000000-0005-0000-0000-0000994F0000}"/>
    <cellStyle name="40% - Accent4 6 2 3" xfId="22513" xr:uid="{00000000-0005-0000-0000-00009A4F0000}"/>
    <cellStyle name="40% - Accent4 6 2 3 2" xfId="18622" xr:uid="{00000000-0005-0000-0000-00009B4F0000}"/>
    <cellStyle name="40% - Accent4 6 2 3 2 2" xfId="23130" xr:uid="{00000000-0005-0000-0000-00009C4F0000}"/>
    <cellStyle name="40% - Accent4 6 2 3 2 2 2" xfId="23136" xr:uid="{00000000-0005-0000-0000-00009D4F0000}"/>
    <cellStyle name="40% - Accent4 6 2 3 2 3" xfId="23142" xr:uid="{00000000-0005-0000-0000-00009E4F0000}"/>
    <cellStyle name="40% - Accent4 6 2 3 3" xfId="19433" xr:uid="{00000000-0005-0000-0000-00009F4F0000}"/>
    <cellStyle name="40% - Accent4 6 2 3 3 2" xfId="21972" xr:uid="{00000000-0005-0000-0000-0000A04F0000}"/>
    <cellStyle name="40% - Accent4 6 2 3 4" xfId="21633" xr:uid="{00000000-0005-0000-0000-0000A14F0000}"/>
    <cellStyle name="40% - Accent4 6 2 4" xfId="8726" xr:uid="{00000000-0005-0000-0000-0000A24F0000}"/>
    <cellStyle name="40% - Accent4 6 2 4 2" xfId="23149" xr:uid="{00000000-0005-0000-0000-0000A34F0000}"/>
    <cellStyle name="40% - Accent4 6 2 4 2 2" xfId="18689" xr:uid="{00000000-0005-0000-0000-0000A44F0000}"/>
    <cellStyle name="40% - Accent4 6 2 4 3" xfId="21646" xr:uid="{00000000-0005-0000-0000-0000A54F0000}"/>
    <cellStyle name="40% - Accent4 6 2 5" xfId="10676" xr:uid="{00000000-0005-0000-0000-0000A64F0000}"/>
    <cellStyle name="40% - Accent4 6 2 5 2" xfId="23152" xr:uid="{00000000-0005-0000-0000-0000A74F0000}"/>
    <cellStyle name="40% - Accent4 6 2 6" xfId="13659" xr:uid="{00000000-0005-0000-0000-0000A84F0000}"/>
    <cellStyle name="40% - Accent4 6 3" xfId="18750" xr:uid="{00000000-0005-0000-0000-0000A94F0000}"/>
    <cellStyle name="40% - Accent4 6 3 2" xfId="23159" xr:uid="{00000000-0005-0000-0000-0000AA4F0000}"/>
    <cellStyle name="40% - Accent4 6 3 2 2" xfId="23165" xr:uid="{00000000-0005-0000-0000-0000AB4F0000}"/>
    <cellStyle name="40% - Accent4 6 3 2 2 2" xfId="23169" xr:uid="{00000000-0005-0000-0000-0000AC4F0000}"/>
    <cellStyle name="40% - Accent4 6 3 2 2 2 2" xfId="23172" xr:uid="{00000000-0005-0000-0000-0000AD4F0000}"/>
    <cellStyle name="40% - Accent4 6 3 2 2 3" xfId="23176" xr:uid="{00000000-0005-0000-0000-0000AE4F0000}"/>
    <cellStyle name="40% - Accent4 6 3 2 3" xfId="21689" xr:uid="{00000000-0005-0000-0000-0000AF4F0000}"/>
    <cellStyle name="40% - Accent4 6 3 2 3 2" xfId="19510" xr:uid="{00000000-0005-0000-0000-0000B04F0000}"/>
    <cellStyle name="40% - Accent4 6 3 2 4" xfId="21700" xr:uid="{00000000-0005-0000-0000-0000B14F0000}"/>
    <cellStyle name="40% - Accent4 6 3 3" xfId="18820" xr:uid="{00000000-0005-0000-0000-0000B24F0000}"/>
    <cellStyle name="40% - Accent4 6 3 3 2" xfId="18826" xr:uid="{00000000-0005-0000-0000-0000B34F0000}"/>
    <cellStyle name="40% - Accent4 6 3 3 2 2" xfId="596" xr:uid="{00000000-0005-0000-0000-0000B44F0000}"/>
    <cellStyle name="40% - Accent4 6 3 3 3" xfId="21706" xr:uid="{00000000-0005-0000-0000-0000B54F0000}"/>
    <cellStyle name="40% - Accent4 6 3 4" xfId="9431" xr:uid="{00000000-0005-0000-0000-0000B64F0000}"/>
    <cellStyle name="40% - Accent4 6 3 4 2" xfId="23178" xr:uid="{00000000-0005-0000-0000-0000B74F0000}"/>
    <cellStyle name="40% - Accent4 6 3 5" xfId="18516" xr:uid="{00000000-0005-0000-0000-0000B84F0000}"/>
    <cellStyle name="40% - Accent4 6 4" xfId="18873" xr:uid="{00000000-0005-0000-0000-0000B94F0000}"/>
    <cellStyle name="40% - Accent4 6 4 2" xfId="23181" xr:uid="{00000000-0005-0000-0000-0000BA4F0000}"/>
    <cellStyle name="40% - Accent4 6 4 2 2" xfId="23189" xr:uid="{00000000-0005-0000-0000-0000BB4F0000}"/>
    <cellStyle name="40% - Accent4 6 4 2 2 2" xfId="23195" xr:uid="{00000000-0005-0000-0000-0000BC4F0000}"/>
    <cellStyle name="40% - Accent4 6 4 2 3" xfId="18900" xr:uid="{00000000-0005-0000-0000-0000BD4F0000}"/>
    <cellStyle name="40% - Accent4 6 4 3" xfId="12982" xr:uid="{00000000-0005-0000-0000-0000BE4F0000}"/>
    <cellStyle name="40% - Accent4 6 4 3 2" xfId="23198" xr:uid="{00000000-0005-0000-0000-0000BF4F0000}"/>
    <cellStyle name="40% - Accent4 6 4 4" xfId="18916" xr:uid="{00000000-0005-0000-0000-0000C04F0000}"/>
    <cellStyle name="40% - Accent4 6 5" xfId="13358" xr:uid="{00000000-0005-0000-0000-0000C14F0000}"/>
    <cellStyle name="40% - Accent4 6 5 2" xfId="23202" xr:uid="{00000000-0005-0000-0000-0000C24F0000}"/>
    <cellStyle name="40% - Accent4 6 5 2 2" xfId="23207" xr:uid="{00000000-0005-0000-0000-0000C34F0000}"/>
    <cellStyle name="40% - Accent4 6 5 3" xfId="18923" xr:uid="{00000000-0005-0000-0000-0000C44F0000}"/>
    <cellStyle name="40% - Accent4 6 6" xfId="23214" xr:uid="{00000000-0005-0000-0000-0000C54F0000}"/>
    <cellStyle name="40% - Accent4 6 6 2" xfId="18937" xr:uid="{00000000-0005-0000-0000-0000C64F0000}"/>
    <cellStyle name="40% - Accent4 6 7" xfId="23224" xr:uid="{00000000-0005-0000-0000-0000C74F0000}"/>
    <cellStyle name="40% - Accent4 7" xfId="18958" xr:uid="{00000000-0005-0000-0000-0000C84F0000}"/>
    <cellStyle name="40% - Accent4 7 2" xfId="23232" xr:uid="{00000000-0005-0000-0000-0000C94F0000}"/>
    <cellStyle name="40% - Accent4 7 2 2" xfId="23234" xr:uid="{00000000-0005-0000-0000-0000CA4F0000}"/>
    <cellStyle name="40% - Accent4 7 2 2 2" xfId="14635" xr:uid="{00000000-0005-0000-0000-0000CB4F0000}"/>
    <cellStyle name="40% - Accent4 7 2 2 2 2" xfId="6340" xr:uid="{00000000-0005-0000-0000-0000CC4F0000}"/>
    <cellStyle name="40% - Accent4 7 2 2 2 2 2" xfId="1355" xr:uid="{00000000-0005-0000-0000-0000CD4F0000}"/>
    <cellStyle name="40% - Accent4 7 2 2 2 3" xfId="2557" xr:uid="{00000000-0005-0000-0000-0000CE4F0000}"/>
    <cellStyle name="40% - Accent4 7 2 2 3" xfId="18989" xr:uid="{00000000-0005-0000-0000-0000CF4F0000}"/>
    <cellStyle name="40% - Accent4 7 2 2 3 2" xfId="4781" xr:uid="{00000000-0005-0000-0000-0000D04F0000}"/>
    <cellStyle name="40% - Accent4 7 2 2 4" xfId="21771" xr:uid="{00000000-0005-0000-0000-0000D14F0000}"/>
    <cellStyle name="40% - Accent4 7 2 3" xfId="22681" xr:uid="{00000000-0005-0000-0000-0000D24F0000}"/>
    <cellStyle name="40% - Accent4 7 2 3 2" xfId="19028" xr:uid="{00000000-0005-0000-0000-0000D34F0000}"/>
    <cellStyle name="40% - Accent4 7 2 3 2 2" xfId="4754" xr:uid="{00000000-0005-0000-0000-0000D44F0000}"/>
    <cellStyle name="40% - Accent4 7 2 3 3" xfId="21780" xr:uid="{00000000-0005-0000-0000-0000D54F0000}"/>
    <cellStyle name="40% - Accent4 7 2 4" xfId="8739" xr:uid="{00000000-0005-0000-0000-0000D64F0000}"/>
    <cellStyle name="40% - Accent4 7 2 4 2" xfId="23243" xr:uid="{00000000-0005-0000-0000-0000D74F0000}"/>
    <cellStyle name="40% - Accent4 7 2 5" xfId="18559" xr:uid="{00000000-0005-0000-0000-0000D84F0000}"/>
    <cellStyle name="40% - Accent4 7 3" xfId="19061" xr:uid="{00000000-0005-0000-0000-0000D94F0000}"/>
    <cellStyle name="40% - Accent4 7 3 2" xfId="23247" xr:uid="{00000000-0005-0000-0000-0000DA4F0000}"/>
    <cellStyle name="40% - Accent4 7 3 2 2" xfId="14716" xr:uid="{00000000-0005-0000-0000-0000DB4F0000}"/>
    <cellStyle name="40% - Accent4 7 3 2 2 2" xfId="10066" xr:uid="{00000000-0005-0000-0000-0000DC4F0000}"/>
    <cellStyle name="40% - Accent4 7 3 2 3" xfId="20003" xr:uid="{00000000-0005-0000-0000-0000DD4F0000}"/>
    <cellStyle name="40% - Accent4 7 3 3" xfId="19085" xr:uid="{00000000-0005-0000-0000-0000DE4F0000}"/>
    <cellStyle name="40% - Accent4 7 3 3 2" xfId="23252" xr:uid="{00000000-0005-0000-0000-0000DF4F0000}"/>
    <cellStyle name="40% - Accent4 7 3 4" xfId="19096" xr:uid="{00000000-0005-0000-0000-0000E04F0000}"/>
    <cellStyle name="40% - Accent4 7 4" xfId="19112" xr:uid="{00000000-0005-0000-0000-0000E14F0000}"/>
    <cellStyle name="40% - Accent4 7 4 2" xfId="19114" xr:uid="{00000000-0005-0000-0000-0000E24F0000}"/>
    <cellStyle name="40% - Accent4 7 4 2 2" xfId="23266" xr:uid="{00000000-0005-0000-0000-0000E34F0000}"/>
    <cellStyle name="40% - Accent4 7 4 3" xfId="19121" xr:uid="{00000000-0005-0000-0000-0000E44F0000}"/>
    <cellStyle name="40% - Accent4 7 5" xfId="23273" xr:uid="{00000000-0005-0000-0000-0000E54F0000}"/>
    <cellStyle name="40% - Accent4 7 5 2" xfId="23278" xr:uid="{00000000-0005-0000-0000-0000E64F0000}"/>
    <cellStyle name="40% - Accent4 7 6" xfId="23280" xr:uid="{00000000-0005-0000-0000-0000E74F0000}"/>
    <cellStyle name="40% - Accent4 8" xfId="19148" xr:uid="{00000000-0005-0000-0000-0000E84F0000}"/>
    <cellStyle name="40% - Accent4 8 2" xfId="23286" xr:uid="{00000000-0005-0000-0000-0000E94F0000}"/>
    <cellStyle name="40% - Accent4 8 2 2" xfId="22769" xr:uid="{00000000-0005-0000-0000-0000EA4F0000}"/>
    <cellStyle name="40% - Accent4 8 2 2 2" xfId="17356" xr:uid="{00000000-0005-0000-0000-0000EB4F0000}"/>
    <cellStyle name="40% - Accent4 8 2 2 2 2" xfId="23289" xr:uid="{00000000-0005-0000-0000-0000EC4F0000}"/>
    <cellStyle name="40% - Accent4 8 2 2 3" xfId="21832" xr:uid="{00000000-0005-0000-0000-0000ED4F0000}"/>
    <cellStyle name="40% - Accent4 8 2 3" xfId="17400" xr:uid="{00000000-0005-0000-0000-0000EE4F0000}"/>
    <cellStyle name="40% - Accent4 8 2 3 2" xfId="22985" xr:uid="{00000000-0005-0000-0000-0000EF4F0000}"/>
    <cellStyle name="40% - Accent4 8 2 4" xfId="17412" xr:uid="{00000000-0005-0000-0000-0000F04F0000}"/>
    <cellStyle name="40% - Accent4 8 3" xfId="19185" xr:uid="{00000000-0005-0000-0000-0000F14F0000}"/>
    <cellStyle name="40% - Accent4 8 3 2" xfId="22089" xr:uid="{00000000-0005-0000-0000-0000F24F0000}"/>
    <cellStyle name="40% - Accent4 8 3 2 2" xfId="27165" xr:uid="{00000000-0005-0000-0000-0000F34F0000}"/>
    <cellStyle name="40% - Accent4 8 3 3" xfId="17444" xr:uid="{00000000-0005-0000-0000-0000F44F0000}"/>
    <cellStyle name="40% - Accent4 8 4" xfId="19204" xr:uid="{00000000-0005-0000-0000-0000F54F0000}"/>
    <cellStyle name="40% - Accent4 8 4 2" xfId="20192" xr:uid="{00000000-0005-0000-0000-0000F64F0000}"/>
    <cellStyle name="40% - Accent4 8 5" xfId="29922" xr:uid="{00000000-0005-0000-0000-0000F74F0000}"/>
    <cellStyle name="40% - Accent4 9" xfId="23295" xr:uid="{00000000-0005-0000-0000-0000F84F0000}"/>
    <cellStyle name="40% - Accent4 9 2" xfId="23300" xr:uid="{00000000-0005-0000-0000-0000F94F0000}"/>
    <cellStyle name="40% - Accent4 9 2 2" xfId="23303" xr:uid="{00000000-0005-0000-0000-0000FA4F0000}"/>
    <cellStyle name="40% - Accent4 9 2 2 2" xfId="17833" xr:uid="{00000000-0005-0000-0000-0000FB4F0000}"/>
    <cellStyle name="40% - Accent4 9 2 3" xfId="17844" xr:uid="{00000000-0005-0000-0000-0000FC4F0000}"/>
    <cellStyle name="40% - Accent4 9 3" xfId="23305" xr:uid="{00000000-0005-0000-0000-0000FD4F0000}"/>
    <cellStyle name="40% - Accent4 9 3 2" xfId="22116" xr:uid="{00000000-0005-0000-0000-0000FE4F0000}"/>
    <cellStyle name="40% - Accent4 9 4" xfId="19263" xr:uid="{00000000-0005-0000-0000-0000FF4F0000}"/>
    <cellStyle name="40% - Accent5 10" xfId="9560" xr:uid="{00000000-0005-0000-0000-000000500000}"/>
    <cellStyle name="40% - Accent5 10 2" xfId="234" xr:uid="{00000000-0005-0000-0000-000001500000}"/>
    <cellStyle name="40% - Accent5 10 2 2" xfId="27376" xr:uid="{00000000-0005-0000-0000-000002500000}"/>
    <cellStyle name="40% - Accent5 10 3" xfId="11623" xr:uid="{00000000-0005-0000-0000-000003500000}"/>
    <cellStyle name="40% - Accent5 11" xfId="11166" xr:uid="{00000000-0005-0000-0000-000004500000}"/>
    <cellStyle name="40% - Accent5 11 2" xfId="23315" xr:uid="{00000000-0005-0000-0000-000005500000}"/>
    <cellStyle name="40% - Accent5 12" xfId="11173" xr:uid="{00000000-0005-0000-0000-000006500000}"/>
    <cellStyle name="40% - Accent5 13" xfId="17583" xr:uid="{00000000-0005-0000-0000-000007500000}"/>
    <cellStyle name="40% - Accent5 2" xfId="18746" xr:uid="{00000000-0005-0000-0000-000008500000}"/>
    <cellStyle name="40% - Accent5 2 10" xfId="29368" xr:uid="{00000000-0005-0000-0000-000009500000}"/>
    <cellStyle name="40% - Accent5 2 10 2" xfId="23186" xr:uid="{00000000-0005-0000-0000-00000A500000}"/>
    <cellStyle name="40% - Accent5 2 11" xfId="23318" xr:uid="{00000000-0005-0000-0000-00000B500000}"/>
    <cellStyle name="40% - Accent5 2 2" xfId="5818" xr:uid="{00000000-0005-0000-0000-00000C500000}"/>
    <cellStyle name="40% - Accent5 2 2 10" xfId="15427" xr:uid="{00000000-0005-0000-0000-00000D500000}"/>
    <cellStyle name="40% - Accent5 2 2 2" xfId="25653" xr:uid="{00000000-0005-0000-0000-00000E500000}"/>
    <cellStyle name="40% - Accent5 2 2 2 2" xfId="23319" xr:uid="{00000000-0005-0000-0000-00000F500000}"/>
    <cellStyle name="40% - Accent5 2 2 2 2 2" xfId="19358" xr:uid="{00000000-0005-0000-0000-000010500000}"/>
    <cellStyle name="40% - Accent5 2 2 2 2 2 2" xfId="23321" xr:uid="{00000000-0005-0000-0000-000011500000}"/>
    <cellStyle name="40% - Accent5 2 2 2 2 2 2 2" xfId="6655" xr:uid="{00000000-0005-0000-0000-000012500000}"/>
    <cellStyle name="40% - Accent5 2 2 2 2 2 2 2 2" xfId="25765" xr:uid="{00000000-0005-0000-0000-000013500000}"/>
    <cellStyle name="40% - Accent5 2 2 2 2 2 2 2 2 2" xfId="1587" xr:uid="{00000000-0005-0000-0000-000014500000}"/>
    <cellStyle name="40% - Accent5 2 2 2 2 2 2 2 2 2 2" xfId="1547" xr:uid="{00000000-0005-0000-0000-000015500000}"/>
    <cellStyle name="40% - Accent5 2 2 2 2 2 2 2 2 2 2 2" xfId="13832" xr:uid="{00000000-0005-0000-0000-000016500000}"/>
    <cellStyle name="40% - Accent5 2 2 2 2 2 2 2 2 2 3" xfId="10697" xr:uid="{00000000-0005-0000-0000-000017500000}"/>
    <cellStyle name="40% - Accent5 2 2 2 2 2 2 2 2 3" xfId="7654" xr:uid="{00000000-0005-0000-0000-000018500000}"/>
    <cellStyle name="40% - Accent5 2 2 2 2 2 2 2 2 3 2" xfId="10715" xr:uid="{00000000-0005-0000-0000-000019500000}"/>
    <cellStyle name="40% - Accent5 2 2 2 2 2 2 2 2 4" xfId="1483" xr:uid="{00000000-0005-0000-0000-00001A500000}"/>
    <cellStyle name="40% - Accent5 2 2 2 2 2 2 2 3" xfId="29677" xr:uid="{00000000-0005-0000-0000-00001B500000}"/>
    <cellStyle name="40% - Accent5 2 2 2 2 2 2 2 3 2" xfId="7683" xr:uid="{00000000-0005-0000-0000-00001C500000}"/>
    <cellStyle name="40% - Accent5 2 2 2 2 2 2 2 3 2 2" xfId="10741" xr:uid="{00000000-0005-0000-0000-00001D500000}"/>
    <cellStyle name="40% - Accent5 2 2 2 2 2 2 2 3 3" xfId="7693" xr:uid="{00000000-0005-0000-0000-00001E500000}"/>
    <cellStyle name="40% - Accent5 2 2 2 2 2 2 2 4" xfId="23327" xr:uid="{00000000-0005-0000-0000-00001F500000}"/>
    <cellStyle name="40% - Accent5 2 2 2 2 2 2 2 4 2" xfId="7712" xr:uid="{00000000-0005-0000-0000-000020500000}"/>
    <cellStyle name="40% - Accent5 2 2 2 2 2 2 2 5" xfId="3214" xr:uid="{00000000-0005-0000-0000-000021500000}"/>
    <cellStyle name="40% - Accent5 2 2 2 2 2 2 3" xfId="13238" xr:uid="{00000000-0005-0000-0000-000022500000}"/>
    <cellStyle name="40% - Accent5 2 2 2 2 2 2 3 2" xfId="23328" xr:uid="{00000000-0005-0000-0000-000023500000}"/>
    <cellStyle name="40% - Accent5 2 2 2 2 2 2 3 2 2" xfId="7003" xr:uid="{00000000-0005-0000-0000-000024500000}"/>
    <cellStyle name="40% - Accent5 2 2 2 2 2 2 3 2 2 2" xfId="33028" xr:uid="{00000000-0005-0000-0000-000025500000}"/>
    <cellStyle name="40% - Accent5 2 2 2 2 2 2 3 2 3" xfId="3719" xr:uid="{00000000-0005-0000-0000-000026500000}"/>
    <cellStyle name="40% - Accent5 2 2 2 2 2 2 3 3" xfId="23334" xr:uid="{00000000-0005-0000-0000-000027500000}"/>
    <cellStyle name="40% - Accent5 2 2 2 2 2 2 3 3 2" xfId="26688" xr:uid="{00000000-0005-0000-0000-000028500000}"/>
    <cellStyle name="40% - Accent5 2 2 2 2 2 2 3 4" xfId="23336" xr:uid="{00000000-0005-0000-0000-000029500000}"/>
    <cellStyle name="40% - Accent5 2 2 2 2 2 2 4" xfId="23343" xr:uid="{00000000-0005-0000-0000-00002A500000}"/>
    <cellStyle name="40% - Accent5 2 2 2 2 2 2 4 2" xfId="14357" xr:uid="{00000000-0005-0000-0000-00002B500000}"/>
    <cellStyle name="40% - Accent5 2 2 2 2 2 2 4 2 2" xfId="7775" xr:uid="{00000000-0005-0000-0000-00002C500000}"/>
    <cellStyle name="40% - Accent5 2 2 2 2 2 2 4 3" xfId="23344" xr:uid="{00000000-0005-0000-0000-00002D500000}"/>
    <cellStyle name="40% - Accent5 2 2 2 2 2 2 5" xfId="5968" xr:uid="{00000000-0005-0000-0000-00002E500000}"/>
    <cellStyle name="40% - Accent5 2 2 2 2 2 2 5 2" xfId="23347" xr:uid="{00000000-0005-0000-0000-00002F500000}"/>
    <cellStyle name="40% - Accent5 2 2 2 2 2 2 6" xfId="8802" xr:uid="{00000000-0005-0000-0000-000030500000}"/>
    <cellStyle name="40% - Accent5 2 2 2 2 2 3" xfId="23350" xr:uid="{00000000-0005-0000-0000-000031500000}"/>
    <cellStyle name="40% - Accent5 2 2 2 2 2 3 2" xfId="23351" xr:uid="{00000000-0005-0000-0000-000032500000}"/>
    <cellStyle name="40% - Accent5 2 2 2 2 2 3 2 2" xfId="12634" xr:uid="{00000000-0005-0000-0000-000033500000}"/>
    <cellStyle name="40% - Accent5 2 2 2 2 2 3 2 2 2" xfId="29847" xr:uid="{00000000-0005-0000-0000-000034500000}"/>
    <cellStyle name="40% - Accent5 2 2 2 2 2 3 2 2 2 2" xfId="5565" xr:uid="{00000000-0005-0000-0000-000035500000}"/>
    <cellStyle name="40% - Accent5 2 2 2 2 2 3 2 2 3" xfId="29488" xr:uid="{00000000-0005-0000-0000-000036500000}"/>
    <cellStyle name="40% - Accent5 2 2 2 2 2 3 2 3" xfId="8374" xr:uid="{00000000-0005-0000-0000-000037500000}"/>
    <cellStyle name="40% - Accent5 2 2 2 2 2 3 2 3 2" xfId="10599" xr:uid="{00000000-0005-0000-0000-000038500000}"/>
    <cellStyle name="40% - Accent5 2 2 2 2 2 3 2 4" xfId="20528" xr:uid="{00000000-0005-0000-0000-000039500000}"/>
    <cellStyle name="40% - Accent5 2 2 2 2 2 3 3" xfId="23355" xr:uid="{00000000-0005-0000-0000-00003A500000}"/>
    <cellStyle name="40% - Accent5 2 2 2 2 2 3 3 2" xfId="21558" xr:uid="{00000000-0005-0000-0000-00003B500000}"/>
    <cellStyle name="40% - Accent5 2 2 2 2 2 3 3 2 2" xfId="10701" xr:uid="{00000000-0005-0000-0000-00003C500000}"/>
    <cellStyle name="40% - Accent5 2 2 2 2 2 3 3 3" xfId="23630" xr:uid="{00000000-0005-0000-0000-00003D500000}"/>
    <cellStyle name="40% - Accent5 2 2 2 2 2 3 4" xfId="29218" xr:uid="{00000000-0005-0000-0000-00003E500000}"/>
    <cellStyle name="40% - Accent5 2 2 2 2 2 3 4 2" xfId="23356" xr:uid="{00000000-0005-0000-0000-00003F500000}"/>
    <cellStyle name="40% - Accent5 2 2 2 2 2 3 5" xfId="8462" xr:uid="{00000000-0005-0000-0000-000040500000}"/>
    <cellStyle name="40% - Accent5 2 2 2 2 2 4" xfId="16620" xr:uid="{00000000-0005-0000-0000-000041500000}"/>
    <cellStyle name="40% - Accent5 2 2 2 2 2 4 2" xfId="9021" xr:uid="{00000000-0005-0000-0000-000042500000}"/>
    <cellStyle name="40% - Accent5 2 2 2 2 2 4 2 2" xfId="25998" xr:uid="{00000000-0005-0000-0000-000043500000}"/>
    <cellStyle name="40% - Accent5 2 2 2 2 2 4 2 2 2" xfId="12343" xr:uid="{00000000-0005-0000-0000-000044500000}"/>
    <cellStyle name="40% - Accent5 2 2 2 2 2 4 2 3" xfId="29803" xr:uid="{00000000-0005-0000-0000-000045500000}"/>
    <cellStyle name="40% - Accent5 2 2 2 2 2 4 3" xfId="15914" xr:uid="{00000000-0005-0000-0000-000046500000}"/>
    <cellStyle name="40% - Accent5 2 2 2 2 2 4 3 2" xfId="23359" xr:uid="{00000000-0005-0000-0000-000047500000}"/>
    <cellStyle name="40% - Accent5 2 2 2 2 2 4 4" xfId="23362" xr:uid="{00000000-0005-0000-0000-000048500000}"/>
    <cellStyle name="40% - Accent5 2 2 2 2 2 5" xfId="16624" xr:uid="{00000000-0005-0000-0000-000049500000}"/>
    <cellStyle name="40% - Accent5 2 2 2 2 2 5 2" xfId="23364" xr:uid="{00000000-0005-0000-0000-00004A500000}"/>
    <cellStyle name="40% - Accent5 2 2 2 2 2 5 2 2" xfId="10681" xr:uid="{00000000-0005-0000-0000-00004B500000}"/>
    <cellStyle name="40% - Accent5 2 2 2 2 2 5 3" xfId="27792" xr:uid="{00000000-0005-0000-0000-00004C500000}"/>
    <cellStyle name="40% - Accent5 2 2 2 2 2 6" xfId="23720" xr:uid="{00000000-0005-0000-0000-00004D500000}"/>
    <cellStyle name="40% - Accent5 2 2 2 2 2 6 2" xfId="33068" xr:uid="{00000000-0005-0000-0000-00004E500000}"/>
    <cellStyle name="40% - Accent5 2 2 2 2 2 7" xfId="2032" xr:uid="{00000000-0005-0000-0000-00004F500000}"/>
    <cellStyle name="40% - Accent5 2 2 2 2 3" xfId="21580" xr:uid="{00000000-0005-0000-0000-000050500000}"/>
    <cellStyle name="40% - Accent5 2 2 2 2 3 2" xfId="23365" xr:uid="{00000000-0005-0000-0000-000051500000}"/>
    <cellStyle name="40% - Accent5 2 2 2 2 3 2 2" xfId="10587" xr:uid="{00000000-0005-0000-0000-000052500000}"/>
    <cellStyle name="40% - Accent5 2 2 2 2 3 2 2 2" xfId="23369" xr:uid="{00000000-0005-0000-0000-000053500000}"/>
    <cellStyle name="40% - Accent5 2 2 2 2 3 2 2 2 2" xfId="23370" xr:uid="{00000000-0005-0000-0000-000054500000}"/>
    <cellStyle name="40% - Accent5 2 2 2 2 3 2 2 2 2 2" xfId="23373" xr:uid="{00000000-0005-0000-0000-000055500000}"/>
    <cellStyle name="40% - Accent5 2 2 2 2 3 2 2 2 3" xfId="26015" xr:uid="{00000000-0005-0000-0000-000056500000}"/>
    <cellStyle name="40% - Accent5 2 2 2 2 3 2 2 3" xfId="23375" xr:uid="{00000000-0005-0000-0000-000057500000}"/>
    <cellStyle name="40% - Accent5 2 2 2 2 3 2 2 3 2" xfId="17093" xr:uid="{00000000-0005-0000-0000-000058500000}"/>
    <cellStyle name="40% - Accent5 2 2 2 2 3 2 2 4" xfId="23377" xr:uid="{00000000-0005-0000-0000-000059500000}"/>
    <cellStyle name="40% - Accent5 2 2 2 2 3 2 3" xfId="16418" xr:uid="{00000000-0005-0000-0000-00005A500000}"/>
    <cellStyle name="40% - Accent5 2 2 2 2 3 2 3 2" xfId="10876" xr:uid="{00000000-0005-0000-0000-00005B500000}"/>
    <cellStyle name="40% - Accent5 2 2 2 2 3 2 3 2 2" xfId="31354" xr:uid="{00000000-0005-0000-0000-00005C500000}"/>
    <cellStyle name="40% - Accent5 2 2 2 2 3 2 3 3" xfId="13785" xr:uid="{00000000-0005-0000-0000-00005D500000}"/>
    <cellStyle name="40% - Accent5 2 2 2 2 3 2 4" xfId="8126" xr:uid="{00000000-0005-0000-0000-00005E500000}"/>
    <cellStyle name="40% - Accent5 2 2 2 2 3 2 4 2" xfId="12227" xr:uid="{00000000-0005-0000-0000-00005F500000}"/>
    <cellStyle name="40% - Accent5 2 2 2 2 3 2 5" xfId="8833" xr:uid="{00000000-0005-0000-0000-000060500000}"/>
    <cellStyle name="40% - Accent5 2 2 2 2 3 3" xfId="23379" xr:uid="{00000000-0005-0000-0000-000061500000}"/>
    <cellStyle name="40% - Accent5 2 2 2 2 3 3 2" xfId="8351" xr:uid="{00000000-0005-0000-0000-000062500000}"/>
    <cellStyle name="40% - Accent5 2 2 2 2 3 3 2 2" xfId="23380" xr:uid="{00000000-0005-0000-0000-000063500000}"/>
    <cellStyle name="40% - Accent5 2 2 2 2 3 3 2 2 2" xfId="23382" xr:uid="{00000000-0005-0000-0000-000064500000}"/>
    <cellStyle name="40% - Accent5 2 2 2 2 3 3 2 3" xfId="23715" xr:uid="{00000000-0005-0000-0000-000065500000}"/>
    <cellStyle name="40% - Accent5 2 2 2 2 3 3 3" xfId="23384" xr:uid="{00000000-0005-0000-0000-000066500000}"/>
    <cellStyle name="40% - Accent5 2 2 2 2 3 3 3 2" xfId="12243" xr:uid="{00000000-0005-0000-0000-000067500000}"/>
    <cellStyle name="40% - Accent5 2 2 2 2 3 3 4" xfId="29645" xr:uid="{00000000-0005-0000-0000-000068500000}"/>
    <cellStyle name="40% - Accent5 2 2 2 2 3 4" xfId="17892" xr:uid="{00000000-0005-0000-0000-000069500000}"/>
    <cellStyle name="40% - Accent5 2 2 2 2 3 4 2" xfId="23386" xr:uid="{00000000-0005-0000-0000-00006A500000}"/>
    <cellStyle name="40% - Accent5 2 2 2 2 3 4 2 2" xfId="23387" xr:uid="{00000000-0005-0000-0000-00006B500000}"/>
    <cellStyle name="40% - Accent5 2 2 2 2 3 4 3" xfId="23391" xr:uid="{00000000-0005-0000-0000-00006C500000}"/>
    <cellStyle name="40% - Accent5 2 2 2 2 3 5" xfId="24092" xr:uid="{00000000-0005-0000-0000-00006D500000}"/>
    <cellStyle name="40% - Accent5 2 2 2 2 3 5 2" xfId="23395" xr:uid="{00000000-0005-0000-0000-00006E500000}"/>
    <cellStyle name="40% - Accent5 2 2 2 2 3 6" xfId="31679" xr:uid="{00000000-0005-0000-0000-00006F500000}"/>
    <cellStyle name="40% - Accent5 2 2 2 2 4" xfId="23399" xr:uid="{00000000-0005-0000-0000-000070500000}"/>
    <cellStyle name="40% - Accent5 2 2 2 2 4 2" xfId="7136" xr:uid="{00000000-0005-0000-0000-000071500000}"/>
    <cellStyle name="40% - Accent5 2 2 2 2 4 2 2" xfId="8647" xr:uid="{00000000-0005-0000-0000-000072500000}"/>
    <cellStyle name="40% - Accent5 2 2 2 2 4 2 2 2" xfId="24439" xr:uid="{00000000-0005-0000-0000-000073500000}"/>
    <cellStyle name="40% - Accent5 2 2 2 2 4 2 2 2 2" xfId="32002" xr:uid="{00000000-0005-0000-0000-000074500000}"/>
    <cellStyle name="40% - Accent5 2 2 2 2 4 2 2 3" xfId="23400" xr:uid="{00000000-0005-0000-0000-000075500000}"/>
    <cellStyle name="40% - Accent5 2 2 2 2 4 2 3" xfId="23403" xr:uid="{00000000-0005-0000-0000-000076500000}"/>
    <cellStyle name="40% - Accent5 2 2 2 2 4 2 3 2" xfId="6069" xr:uid="{00000000-0005-0000-0000-000077500000}"/>
    <cellStyle name="40% - Accent5 2 2 2 2 4 2 4" xfId="23405" xr:uid="{00000000-0005-0000-0000-000078500000}"/>
    <cellStyle name="40% - Accent5 2 2 2 2 4 3" xfId="7138" xr:uid="{00000000-0005-0000-0000-000079500000}"/>
    <cellStyle name="40% - Accent5 2 2 2 2 4 3 2" xfId="23407" xr:uid="{00000000-0005-0000-0000-00007A500000}"/>
    <cellStyle name="40% - Accent5 2 2 2 2 4 3 2 2" xfId="13777" xr:uid="{00000000-0005-0000-0000-00007B500000}"/>
    <cellStyle name="40% - Accent5 2 2 2 2 4 3 3" xfId="19190" xr:uid="{00000000-0005-0000-0000-00007C500000}"/>
    <cellStyle name="40% - Accent5 2 2 2 2 4 4" xfId="12531" xr:uid="{00000000-0005-0000-0000-00007D500000}"/>
    <cellStyle name="40% - Accent5 2 2 2 2 4 4 2" xfId="23408" xr:uid="{00000000-0005-0000-0000-00007E500000}"/>
    <cellStyle name="40% - Accent5 2 2 2 2 4 5" xfId="12547" xr:uid="{00000000-0005-0000-0000-00007F500000}"/>
    <cellStyle name="40% - Accent5 2 2 2 2 5" xfId="23410" xr:uid="{00000000-0005-0000-0000-000080500000}"/>
    <cellStyle name="40% - Accent5 2 2 2 2 5 2" xfId="5297" xr:uid="{00000000-0005-0000-0000-000081500000}"/>
    <cellStyle name="40% - Accent5 2 2 2 2 5 2 2" xfId="23419" xr:uid="{00000000-0005-0000-0000-000082500000}"/>
    <cellStyle name="40% - Accent5 2 2 2 2 5 2 2 2" xfId="25184" xr:uid="{00000000-0005-0000-0000-000083500000}"/>
    <cellStyle name="40% - Accent5 2 2 2 2 5 2 3" xfId="22008" xr:uid="{00000000-0005-0000-0000-000084500000}"/>
    <cellStyle name="40% - Accent5 2 2 2 2 5 3" xfId="33076" xr:uid="{00000000-0005-0000-0000-000085500000}"/>
    <cellStyle name="40% - Accent5 2 2 2 2 5 3 2" xfId="23421" xr:uid="{00000000-0005-0000-0000-000086500000}"/>
    <cellStyle name="40% - Accent5 2 2 2 2 5 4" xfId="33535" xr:uid="{00000000-0005-0000-0000-000087500000}"/>
    <cellStyle name="40% - Accent5 2 2 2 2 6" xfId="30530" xr:uid="{00000000-0005-0000-0000-000088500000}"/>
    <cellStyle name="40% - Accent5 2 2 2 2 6 2" xfId="32490" xr:uid="{00000000-0005-0000-0000-000089500000}"/>
    <cellStyle name="40% - Accent5 2 2 2 2 6 2 2" xfId="20936" xr:uid="{00000000-0005-0000-0000-00008A500000}"/>
    <cellStyle name="40% - Accent5 2 2 2 2 6 3" xfId="23422" xr:uid="{00000000-0005-0000-0000-00008B500000}"/>
    <cellStyle name="40% - Accent5 2 2 2 2 7" xfId="27776" xr:uid="{00000000-0005-0000-0000-00008C500000}"/>
    <cellStyle name="40% - Accent5 2 2 2 2 7 2" xfId="12007" xr:uid="{00000000-0005-0000-0000-00008D500000}"/>
    <cellStyle name="40% - Accent5 2 2 2 2 8" xfId="23423" xr:uid="{00000000-0005-0000-0000-00008E500000}"/>
    <cellStyle name="40% - Accent5 2 2 2 3" xfId="23426" xr:uid="{00000000-0005-0000-0000-00008F500000}"/>
    <cellStyle name="40% - Accent5 2 2 2 3 2" xfId="29012" xr:uid="{00000000-0005-0000-0000-000090500000}"/>
    <cellStyle name="40% - Accent5 2 2 2 3 2 2" xfId="19103" xr:uid="{00000000-0005-0000-0000-000091500000}"/>
    <cellStyle name="40% - Accent5 2 2 2 3 2 2 2" xfId="28929" xr:uid="{00000000-0005-0000-0000-000092500000}"/>
    <cellStyle name="40% - Accent5 2 2 2 3 2 2 2 2" xfId="33414" xr:uid="{00000000-0005-0000-0000-000093500000}"/>
    <cellStyle name="40% - Accent5 2 2 2 3 2 2 2 2 2" xfId="18308" xr:uid="{00000000-0005-0000-0000-000094500000}"/>
    <cellStyle name="40% - Accent5 2 2 2 3 2 2 2 2 2 2" xfId="28903" xr:uid="{00000000-0005-0000-0000-000095500000}"/>
    <cellStyle name="40% - Accent5 2 2 2 3 2 2 2 2 3" xfId="2406" xr:uid="{00000000-0005-0000-0000-000096500000}"/>
    <cellStyle name="40% - Accent5 2 2 2 3 2 2 2 3" xfId="8080" xr:uid="{00000000-0005-0000-0000-000097500000}"/>
    <cellStyle name="40% - Accent5 2 2 2 3 2 2 2 3 2" xfId="4248" xr:uid="{00000000-0005-0000-0000-000098500000}"/>
    <cellStyle name="40% - Accent5 2 2 2 3 2 2 2 4" xfId="28234" xr:uid="{00000000-0005-0000-0000-000099500000}"/>
    <cellStyle name="40% - Accent5 2 2 2 3 2 2 3" xfId="23428" xr:uid="{00000000-0005-0000-0000-00009A500000}"/>
    <cellStyle name="40% - Accent5 2 2 2 3 2 2 3 2" xfId="26718" xr:uid="{00000000-0005-0000-0000-00009B500000}"/>
    <cellStyle name="40% - Accent5 2 2 2 3 2 2 3 2 2" xfId="23430" xr:uid="{00000000-0005-0000-0000-00009C500000}"/>
    <cellStyle name="40% - Accent5 2 2 2 3 2 2 3 3" xfId="29293" xr:uid="{00000000-0005-0000-0000-00009D500000}"/>
    <cellStyle name="40% - Accent5 2 2 2 3 2 2 4" xfId="3491" xr:uid="{00000000-0005-0000-0000-00009E500000}"/>
    <cellStyle name="40% - Accent5 2 2 2 3 2 2 4 2" xfId="29394" xr:uid="{00000000-0005-0000-0000-00009F500000}"/>
    <cellStyle name="40% - Accent5 2 2 2 3 2 2 5" xfId="3423" xr:uid="{00000000-0005-0000-0000-0000A0500000}"/>
    <cellStyle name="40% - Accent5 2 2 2 3 2 3" xfId="23435" xr:uid="{00000000-0005-0000-0000-0000A1500000}"/>
    <cellStyle name="40% - Accent5 2 2 2 3 2 3 2" xfId="18045" xr:uid="{00000000-0005-0000-0000-0000A2500000}"/>
    <cellStyle name="40% - Accent5 2 2 2 3 2 3 2 2" xfId="32617" xr:uid="{00000000-0005-0000-0000-0000A3500000}"/>
    <cellStyle name="40% - Accent5 2 2 2 3 2 3 2 2 2" xfId="15311" xr:uid="{00000000-0005-0000-0000-0000A4500000}"/>
    <cellStyle name="40% - Accent5 2 2 2 3 2 3 2 3" xfId="29309" xr:uid="{00000000-0005-0000-0000-0000A5500000}"/>
    <cellStyle name="40% - Accent5 2 2 2 3 2 3 3" xfId="18054" xr:uid="{00000000-0005-0000-0000-0000A6500000}"/>
    <cellStyle name="40% - Accent5 2 2 2 3 2 3 3 2" xfId="32116" xr:uid="{00000000-0005-0000-0000-0000A7500000}"/>
    <cellStyle name="40% - Accent5 2 2 2 3 2 3 4" xfId="29738" xr:uid="{00000000-0005-0000-0000-0000A8500000}"/>
    <cellStyle name="40% - Accent5 2 2 2 3 2 4" xfId="16632" xr:uid="{00000000-0005-0000-0000-0000A9500000}"/>
    <cellStyle name="40% - Accent5 2 2 2 3 2 4 2" xfId="18060" xr:uid="{00000000-0005-0000-0000-0000AA500000}"/>
    <cellStyle name="40% - Accent5 2 2 2 3 2 4 2 2" xfId="3118" xr:uid="{00000000-0005-0000-0000-0000AB500000}"/>
    <cellStyle name="40% - Accent5 2 2 2 3 2 4 3" xfId="27831" xr:uid="{00000000-0005-0000-0000-0000AC500000}"/>
    <cellStyle name="40% - Accent5 2 2 2 3 2 5" xfId="23436" xr:uid="{00000000-0005-0000-0000-0000AD500000}"/>
    <cellStyle name="40% - Accent5 2 2 2 3 2 5 2" xfId="23441" xr:uid="{00000000-0005-0000-0000-0000AE500000}"/>
    <cellStyle name="40% - Accent5 2 2 2 3 2 6" xfId="23442" xr:uid="{00000000-0005-0000-0000-0000AF500000}"/>
    <cellStyle name="40% - Accent5 2 2 2 3 3" xfId="24520" xr:uid="{00000000-0005-0000-0000-0000B0500000}"/>
    <cellStyle name="40% - Accent5 2 2 2 3 3 2" xfId="23445" xr:uid="{00000000-0005-0000-0000-0000B1500000}"/>
    <cellStyle name="40% - Accent5 2 2 2 3 3 2 2" xfId="7974" xr:uid="{00000000-0005-0000-0000-0000B2500000}"/>
    <cellStyle name="40% - Accent5 2 2 2 3 3 2 2 2" xfId="32269" xr:uid="{00000000-0005-0000-0000-0000B3500000}"/>
    <cellStyle name="40% - Accent5 2 2 2 3 3 2 2 2 2" xfId="23448" xr:uid="{00000000-0005-0000-0000-0000B4500000}"/>
    <cellStyle name="40% - Accent5 2 2 2 3 3 2 2 3" xfId="32791" xr:uid="{00000000-0005-0000-0000-0000B5500000}"/>
    <cellStyle name="40% - Accent5 2 2 2 3 3 2 3" xfId="24220" xr:uid="{00000000-0005-0000-0000-0000B6500000}"/>
    <cellStyle name="40% - Accent5 2 2 2 3 3 2 3 2" xfId="12307" xr:uid="{00000000-0005-0000-0000-0000B7500000}"/>
    <cellStyle name="40% - Accent5 2 2 2 3 3 2 4" xfId="23450" xr:uid="{00000000-0005-0000-0000-0000B8500000}"/>
    <cellStyle name="40% - Accent5 2 2 2 3 3 3" xfId="19982" xr:uid="{00000000-0005-0000-0000-0000B9500000}"/>
    <cellStyle name="40% - Accent5 2 2 2 3 3 3 2" xfId="10835" xr:uid="{00000000-0005-0000-0000-0000BA500000}"/>
    <cellStyle name="40% - Accent5 2 2 2 3 3 3 2 2" xfId="31204" xr:uid="{00000000-0005-0000-0000-0000BB500000}"/>
    <cellStyle name="40% - Accent5 2 2 2 3 3 3 3" xfId="10850" xr:uid="{00000000-0005-0000-0000-0000BC500000}"/>
    <cellStyle name="40% - Accent5 2 2 2 3 3 4" xfId="23457" xr:uid="{00000000-0005-0000-0000-0000BD500000}"/>
    <cellStyle name="40% - Accent5 2 2 2 3 3 4 2" xfId="10869" xr:uid="{00000000-0005-0000-0000-0000BE500000}"/>
    <cellStyle name="40% - Accent5 2 2 2 3 3 5" xfId="23459" xr:uid="{00000000-0005-0000-0000-0000BF500000}"/>
    <cellStyle name="40% - Accent5 2 2 2 3 4" xfId="19102" xr:uid="{00000000-0005-0000-0000-0000C0500000}"/>
    <cellStyle name="40% - Accent5 2 2 2 3 4 2" xfId="7146" xr:uid="{00000000-0005-0000-0000-0000C1500000}"/>
    <cellStyle name="40% - Accent5 2 2 2 3 4 2 2" xfId="30002" xr:uid="{00000000-0005-0000-0000-0000C2500000}"/>
    <cellStyle name="40% - Accent5 2 2 2 3 4 2 2 2" xfId="23607" xr:uid="{00000000-0005-0000-0000-0000C3500000}"/>
    <cellStyle name="40% - Accent5 2 2 2 3 4 2 3" xfId="23466" xr:uid="{00000000-0005-0000-0000-0000C4500000}"/>
    <cellStyle name="40% - Accent5 2 2 2 3 4 3" xfId="20897" xr:uid="{00000000-0005-0000-0000-0000C5500000}"/>
    <cellStyle name="40% - Accent5 2 2 2 3 4 3 2" xfId="11960" xr:uid="{00000000-0005-0000-0000-0000C6500000}"/>
    <cellStyle name="40% - Accent5 2 2 2 3 4 4" xfId="11141" xr:uid="{00000000-0005-0000-0000-0000C7500000}"/>
    <cellStyle name="40% - Accent5 2 2 2 3 5" xfId="23433" xr:uid="{00000000-0005-0000-0000-0000C8500000}"/>
    <cellStyle name="40% - Accent5 2 2 2 3 5 2" xfId="23477" xr:uid="{00000000-0005-0000-0000-0000C9500000}"/>
    <cellStyle name="40% - Accent5 2 2 2 3 5 2 2" xfId="23485" xr:uid="{00000000-0005-0000-0000-0000CA500000}"/>
    <cellStyle name="40% - Accent5 2 2 2 3 5 3" xfId="26968" xr:uid="{00000000-0005-0000-0000-0000CB500000}"/>
    <cellStyle name="40% - Accent5 2 2 2 3 6" xfId="18546" xr:uid="{00000000-0005-0000-0000-0000CC500000}"/>
    <cellStyle name="40% - Accent5 2 2 2 3 6 2" xfId="236" xr:uid="{00000000-0005-0000-0000-0000CD500000}"/>
    <cellStyle name="40% - Accent5 2 2 2 3 7" xfId="23439" xr:uid="{00000000-0005-0000-0000-0000CE500000}"/>
    <cellStyle name="40% - Accent5 2 2 2 4" xfId="26512" xr:uid="{00000000-0005-0000-0000-0000CF500000}"/>
    <cellStyle name="40% - Accent5 2 2 2 4 2" xfId="28244" xr:uid="{00000000-0005-0000-0000-0000D0500000}"/>
    <cellStyle name="40% - Accent5 2 2 2 4 2 2" xfId="23489" xr:uid="{00000000-0005-0000-0000-0000D1500000}"/>
    <cellStyle name="40% - Accent5 2 2 2 4 2 2 2" xfId="33153" xr:uid="{00000000-0005-0000-0000-0000D2500000}"/>
    <cellStyle name="40% - Accent5 2 2 2 4 2 2 2 2" xfId="23503" xr:uid="{00000000-0005-0000-0000-0000D3500000}"/>
    <cellStyle name="40% - Accent5 2 2 2 4 2 2 2 2 2" xfId="20203" xr:uid="{00000000-0005-0000-0000-0000D4500000}"/>
    <cellStyle name="40% - Accent5 2 2 2 4 2 2 2 3" xfId="23418" xr:uid="{00000000-0005-0000-0000-0000D5500000}"/>
    <cellStyle name="40% - Accent5 2 2 2 4 2 2 3" xfId="23506" xr:uid="{00000000-0005-0000-0000-0000D6500000}"/>
    <cellStyle name="40% - Accent5 2 2 2 4 2 2 3 2" xfId="23508" xr:uid="{00000000-0005-0000-0000-0000D7500000}"/>
    <cellStyle name="40% - Accent5 2 2 2 4 2 2 4" xfId="23270" xr:uid="{00000000-0005-0000-0000-0000D8500000}"/>
    <cellStyle name="40% - Accent5 2 2 2 4 2 3" xfId="23514" xr:uid="{00000000-0005-0000-0000-0000D9500000}"/>
    <cellStyle name="40% - Accent5 2 2 2 4 2 3 2" xfId="18151" xr:uid="{00000000-0005-0000-0000-0000DA500000}"/>
    <cellStyle name="40% - Accent5 2 2 2 4 2 3 2 2" xfId="23517" xr:uid="{00000000-0005-0000-0000-0000DB500000}"/>
    <cellStyle name="40% - Accent5 2 2 2 4 2 3 3" xfId="23520" xr:uid="{00000000-0005-0000-0000-0000DC500000}"/>
    <cellStyle name="40% - Accent5 2 2 2 4 2 4" xfId="23523" xr:uid="{00000000-0005-0000-0000-0000DD500000}"/>
    <cellStyle name="40% - Accent5 2 2 2 4 2 4 2" xfId="23527" xr:uid="{00000000-0005-0000-0000-0000DE500000}"/>
    <cellStyle name="40% - Accent5 2 2 2 4 2 5" xfId="23529" xr:uid="{00000000-0005-0000-0000-0000DF500000}"/>
    <cellStyle name="40% - Accent5 2 2 2 4 3" xfId="23536" xr:uid="{00000000-0005-0000-0000-0000E0500000}"/>
    <cellStyle name="40% - Accent5 2 2 2 4 3 2" xfId="24463" xr:uid="{00000000-0005-0000-0000-0000E1500000}"/>
    <cellStyle name="40% - Accent5 2 2 2 4 3 2 2" xfId="23537" xr:uid="{00000000-0005-0000-0000-0000E2500000}"/>
    <cellStyle name="40% - Accent5 2 2 2 4 3 2 2 2" xfId="23538" xr:uid="{00000000-0005-0000-0000-0000E3500000}"/>
    <cellStyle name="40% - Accent5 2 2 2 4 3 2 3" xfId="7908" xr:uid="{00000000-0005-0000-0000-0000E4500000}"/>
    <cellStyle name="40% - Accent5 2 2 2 4 3 3" xfId="23544" xr:uid="{00000000-0005-0000-0000-0000E5500000}"/>
    <cellStyle name="40% - Accent5 2 2 2 4 3 3 2" xfId="12487" xr:uid="{00000000-0005-0000-0000-0000E6500000}"/>
    <cellStyle name="40% - Accent5 2 2 2 4 3 4" xfId="31662" xr:uid="{00000000-0005-0000-0000-0000E7500000}"/>
    <cellStyle name="40% - Accent5 2 2 2 4 4" xfId="23444" xr:uid="{00000000-0005-0000-0000-0000E8500000}"/>
    <cellStyle name="40% - Accent5 2 2 2 4 4 2" xfId="23548" xr:uid="{00000000-0005-0000-0000-0000E9500000}"/>
    <cellStyle name="40% - Accent5 2 2 2 4 4 2 2" xfId="23554" xr:uid="{00000000-0005-0000-0000-0000EA500000}"/>
    <cellStyle name="40% - Accent5 2 2 2 4 4 3" xfId="19612" xr:uid="{00000000-0005-0000-0000-0000EB500000}"/>
    <cellStyle name="40% - Accent5 2 2 2 4 5" xfId="23452" xr:uid="{00000000-0005-0000-0000-0000EC500000}"/>
    <cellStyle name="40% - Accent5 2 2 2 4 5 2" xfId="267" xr:uid="{00000000-0005-0000-0000-0000ED500000}"/>
    <cellStyle name="40% - Accent5 2 2 2 4 6" xfId="23458" xr:uid="{00000000-0005-0000-0000-0000EE500000}"/>
    <cellStyle name="40% - Accent5 2 2 2 5" xfId="31954" xr:uid="{00000000-0005-0000-0000-0000EF500000}"/>
    <cellStyle name="40% - Accent5 2 2 2 5 2" xfId="27731" xr:uid="{00000000-0005-0000-0000-0000F0500000}"/>
    <cellStyle name="40% - Accent5 2 2 2 5 2 2" xfId="23558" xr:uid="{00000000-0005-0000-0000-0000F1500000}"/>
    <cellStyle name="40% - Accent5 2 2 2 5 2 2 2" xfId="23562" xr:uid="{00000000-0005-0000-0000-0000F2500000}"/>
    <cellStyle name="40% - Accent5 2 2 2 5 2 2 2 2" xfId="23565" xr:uid="{00000000-0005-0000-0000-0000F3500000}"/>
    <cellStyle name="40% - Accent5 2 2 2 5 2 2 3" xfId="31072" xr:uid="{00000000-0005-0000-0000-0000F4500000}"/>
    <cellStyle name="40% - Accent5 2 2 2 5 2 3" xfId="7016" xr:uid="{00000000-0005-0000-0000-0000F5500000}"/>
    <cellStyle name="40% - Accent5 2 2 2 5 2 3 2" xfId="32283" xr:uid="{00000000-0005-0000-0000-0000F6500000}"/>
    <cellStyle name="40% - Accent5 2 2 2 5 2 4" xfId="7032" xr:uid="{00000000-0005-0000-0000-0000F7500000}"/>
    <cellStyle name="40% - Accent5 2 2 2 5 3" xfId="12979" xr:uid="{00000000-0005-0000-0000-0000F8500000}"/>
    <cellStyle name="40% - Accent5 2 2 2 5 3 2" xfId="23366" xr:uid="{00000000-0005-0000-0000-0000F9500000}"/>
    <cellStyle name="40% - Accent5 2 2 2 5 3 2 2" xfId="553" xr:uid="{00000000-0005-0000-0000-0000FA500000}"/>
    <cellStyle name="40% - Accent5 2 2 2 5 3 3" xfId="413" xr:uid="{00000000-0005-0000-0000-0000FB500000}"/>
    <cellStyle name="40% - Accent5 2 2 2 5 4" xfId="7148" xr:uid="{00000000-0005-0000-0000-0000FC500000}"/>
    <cellStyle name="40% - Accent5 2 2 2 5 4 2" xfId="20515" xr:uid="{00000000-0005-0000-0000-0000FD500000}"/>
    <cellStyle name="40% - Accent5 2 2 2 5 5" xfId="23472" xr:uid="{00000000-0005-0000-0000-0000FE500000}"/>
    <cellStyle name="40% - Accent5 2 2 2 6" xfId="18891" xr:uid="{00000000-0005-0000-0000-0000FF500000}"/>
    <cellStyle name="40% - Accent5 2 2 2 6 2" xfId="11707" xr:uid="{00000000-0005-0000-0000-000000510000}"/>
    <cellStyle name="40% - Accent5 2 2 2 6 2 2" xfId="23569" xr:uid="{00000000-0005-0000-0000-000001510000}"/>
    <cellStyle name="40% - Accent5 2 2 2 6 2 2 2" xfId="6465" xr:uid="{00000000-0005-0000-0000-000002510000}"/>
    <cellStyle name="40% - Accent5 2 2 2 6 2 3" xfId="18008" xr:uid="{00000000-0005-0000-0000-000003510000}"/>
    <cellStyle name="40% - Accent5 2 2 2 6 3" xfId="7156" xr:uid="{00000000-0005-0000-0000-000004510000}"/>
    <cellStyle name="40% - Accent5 2 2 2 6 3 2" xfId="23574" xr:uid="{00000000-0005-0000-0000-000005510000}"/>
    <cellStyle name="40% - Accent5 2 2 2 6 4" xfId="23480" xr:uid="{00000000-0005-0000-0000-000006510000}"/>
    <cellStyle name="40% - Accent5 2 2 2 7" xfId="18895" xr:uid="{00000000-0005-0000-0000-000007510000}"/>
    <cellStyle name="40% - Accent5 2 2 2 7 2" xfId="25665" xr:uid="{00000000-0005-0000-0000-000008510000}"/>
    <cellStyle name="40% - Accent5 2 2 2 7 2 2" xfId="23576" xr:uid="{00000000-0005-0000-0000-000009510000}"/>
    <cellStyle name="40% - Accent5 2 2 2 7 3" xfId="23579" xr:uid="{00000000-0005-0000-0000-00000A510000}"/>
    <cellStyle name="40% - Accent5 2 2 2 8" xfId="8057" xr:uid="{00000000-0005-0000-0000-00000B510000}"/>
    <cellStyle name="40% - Accent5 2 2 2 8 2" xfId="7240" xr:uid="{00000000-0005-0000-0000-00000C510000}"/>
    <cellStyle name="40% - Accent5 2 2 2 9" xfId="23581" xr:uid="{00000000-0005-0000-0000-00000D510000}"/>
    <cellStyle name="40% - Accent5 2 2 3" xfId="23582" xr:uid="{00000000-0005-0000-0000-00000E510000}"/>
    <cellStyle name="40% - Accent5 2 2 3 2" xfId="19342" xr:uid="{00000000-0005-0000-0000-00000F510000}"/>
    <cellStyle name="40% - Accent5 2 2 3 2 2" xfId="21599" xr:uid="{00000000-0005-0000-0000-000010510000}"/>
    <cellStyle name="40% - Accent5 2 2 3 2 2 2" xfId="30095" xr:uid="{00000000-0005-0000-0000-000011510000}"/>
    <cellStyle name="40% - Accent5 2 2 3 2 2 2 2" xfId="23584" xr:uid="{00000000-0005-0000-0000-000012510000}"/>
    <cellStyle name="40% - Accent5 2 2 3 2 2 2 2 2" xfId="23588" xr:uid="{00000000-0005-0000-0000-000013510000}"/>
    <cellStyle name="40% - Accent5 2 2 3 2 2 2 2 2 2" xfId="17599" xr:uid="{00000000-0005-0000-0000-000014510000}"/>
    <cellStyle name="40% - Accent5 2 2 3 2 2 2 2 2 2 2" xfId="23590" xr:uid="{00000000-0005-0000-0000-000015510000}"/>
    <cellStyle name="40% - Accent5 2 2 3 2 2 2 2 2 3" xfId="23593" xr:uid="{00000000-0005-0000-0000-000016510000}"/>
    <cellStyle name="40% - Accent5 2 2 3 2 2 2 2 3" xfId="23595" xr:uid="{00000000-0005-0000-0000-000017510000}"/>
    <cellStyle name="40% - Accent5 2 2 3 2 2 2 2 3 2" xfId="23596" xr:uid="{00000000-0005-0000-0000-000018510000}"/>
    <cellStyle name="40% - Accent5 2 2 3 2 2 2 2 4" xfId="23601" xr:uid="{00000000-0005-0000-0000-000019510000}"/>
    <cellStyle name="40% - Accent5 2 2 3 2 2 2 3" xfId="23602" xr:uid="{00000000-0005-0000-0000-00001A510000}"/>
    <cellStyle name="40% - Accent5 2 2 3 2 2 2 3 2" xfId="23606" xr:uid="{00000000-0005-0000-0000-00001B510000}"/>
    <cellStyle name="40% - Accent5 2 2 3 2 2 2 3 2 2" xfId="10800" xr:uid="{00000000-0005-0000-0000-00001C510000}"/>
    <cellStyle name="40% - Accent5 2 2 3 2 2 2 3 3" xfId="22572" xr:uid="{00000000-0005-0000-0000-00001D510000}"/>
    <cellStyle name="40% - Accent5 2 2 3 2 2 2 4" xfId="23612" xr:uid="{00000000-0005-0000-0000-00001E510000}"/>
    <cellStyle name="40% - Accent5 2 2 3 2 2 2 4 2" xfId="6466" xr:uid="{00000000-0005-0000-0000-00001F510000}"/>
    <cellStyle name="40% - Accent5 2 2 3 2 2 2 5" xfId="7227" xr:uid="{00000000-0005-0000-0000-000020510000}"/>
    <cellStyle name="40% - Accent5 2 2 3 2 2 3" xfId="31187" xr:uid="{00000000-0005-0000-0000-000021510000}"/>
    <cellStyle name="40% - Accent5 2 2 3 2 2 3 2" xfId="23615" xr:uid="{00000000-0005-0000-0000-000022510000}"/>
    <cellStyle name="40% - Accent5 2 2 3 2 2 3 2 2" xfId="31119" xr:uid="{00000000-0005-0000-0000-000023510000}"/>
    <cellStyle name="40% - Accent5 2 2 3 2 2 3 2 2 2" xfId="23616" xr:uid="{00000000-0005-0000-0000-000024510000}"/>
    <cellStyle name="40% - Accent5 2 2 3 2 2 3 2 3" xfId="7704" xr:uid="{00000000-0005-0000-0000-000025510000}"/>
    <cellStyle name="40% - Accent5 2 2 3 2 2 3 3" xfId="23617" xr:uid="{00000000-0005-0000-0000-000026510000}"/>
    <cellStyle name="40% - Accent5 2 2 3 2 2 3 3 2" xfId="15621" xr:uid="{00000000-0005-0000-0000-000027510000}"/>
    <cellStyle name="40% - Accent5 2 2 3 2 2 3 4" xfId="18809" xr:uid="{00000000-0005-0000-0000-000028510000}"/>
    <cellStyle name="40% - Accent5 2 2 3 2 2 4" xfId="16646" xr:uid="{00000000-0005-0000-0000-000029510000}"/>
    <cellStyle name="40% - Accent5 2 2 3 2 2 4 2" xfId="27383" xr:uid="{00000000-0005-0000-0000-00002A510000}"/>
    <cellStyle name="40% - Accent5 2 2 3 2 2 4 2 2" xfId="31132" xr:uid="{00000000-0005-0000-0000-00002B510000}"/>
    <cellStyle name="40% - Accent5 2 2 3 2 2 4 3" xfId="27180" xr:uid="{00000000-0005-0000-0000-00002C510000}"/>
    <cellStyle name="40% - Accent5 2 2 3 2 2 5" xfId="30113" xr:uid="{00000000-0005-0000-0000-00002D510000}"/>
    <cellStyle name="40% - Accent5 2 2 3 2 2 5 2" xfId="23618" xr:uid="{00000000-0005-0000-0000-00002E510000}"/>
    <cellStyle name="40% - Accent5 2 2 3 2 2 6" xfId="29637" xr:uid="{00000000-0005-0000-0000-00002F510000}"/>
    <cellStyle name="40% - Accent5 2 2 3 2 3" xfId="27835" xr:uid="{00000000-0005-0000-0000-000030510000}"/>
    <cellStyle name="40% - Accent5 2 2 3 2 3 2" xfId="27837" xr:uid="{00000000-0005-0000-0000-000031510000}"/>
    <cellStyle name="40% - Accent5 2 2 3 2 3 2 2" xfId="8448" xr:uid="{00000000-0005-0000-0000-000032510000}"/>
    <cellStyle name="40% - Accent5 2 2 3 2 3 2 2 2" xfId="27469" xr:uid="{00000000-0005-0000-0000-000033510000}"/>
    <cellStyle name="40% - Accent5 2 2 3 2 3 2 2 2 2" xfId="23621" xr:uid="{00000000-0005-0000-0000-000034510000}"/>
    <cellStyle name="40% - Accent5 2 2 3 2 3 2 2 3" xfId="31147" xr:uid="{00000000-0005-0000-0000-000035510000}"/>
    <cellStyle name="40% - Accent5 2 2 3 2 3 2 3" xfId="29598" xr:uid="{00000000-0005-0000-0000-000036510000}"/>
    <cellStyle name="40% - Accent5 2 2 3 2 3 2 3 2" xfId="31157" xr:uid="{00000000-0005-0000-0000-000037510000}"/>
    <cellStyle name="40% - Accent5 2 2 3 2 3 2 4" xfId="21908" xr:uid="{00000000-0005-0000-0000-000038510000}"/>
    <cellStyle name="40% - Accent5 2 2 3 2 3 3" xfId="23625" xr:uid="{00000000-0005-0000-0000-000039510000}"/>
    <cellStyle name="40% - Accent5 2 2 3 2 3 3 2" xfId="23629" xr:uid="{00000000-0005-0000-0000-00003A510000}"/>
    <cellStyle name="40% - Accent5 2 2 3 2 3 3 2 2" xfId="32902" xr:uid="{00000000-0005-0000-0000-00003B510000}"/>
    <cellStyle name="40% - Accent5 2 2 3 2 3 3 3" xfId="23633" xr:uid="{00000000-0005-0000-0000-00003C510000}"/>
    <cellStyle name="40% - Accent5 2 2 3 2 3 4" xfId="30119" xr:uid="{00000000-0005-0000-0000-00003D510000}"/>
    <cellStyle name="40% - Accent5 2 2 3 2 3 4 2" xfId="24023" xr:uid="{00000000-0005-0000-0000-00003E510000}"/>
    <cellStyle name="40% - Accent5 2 2 3 2 3 5" xfId="23637" xr:uid="{00000000-0005-0000-0000-00003F510000}"/>
    <cellStyle name="40% - Accent5 2 2 3 2 4" xfId="23639" xr:uid="{00000000-0005-0000-0000-000040510000}"/>
    <cellStyle name="40% - Accent5 2 2 3 2 4 2" xfId="7199" xr:uid="{00000000-0005-0000-0000-000041510000}"/>
    <cellStyle name="40% - Accent5 2 2 3 2 4 2 2" xfId="23644" xr:uid="{00000000-0005-0000-0000-000042510000}"/>
    <cellStyle name="40% - Accent5 2 2 3 2 4 2 2 2" xfId="33840" xr:uid="{00000000-0005-0000-0000-000043510000}"/>
    <cellStyle name="40% - Accent5 2 2 3 2 4 2 3" xfId="23654" xr:uid="{00000000-0005-0000-0000-000044510000}"/>
    <cellStyle name="40% - Accent5 2 2 3 2 4 3" xfId="6304" xr:uid="{00000000-0005-0000-0000-000045510000}"/>
    <cellStyle name="40% - Accent5 2 2 3 2 4 3 2" xfId="30919" xr:uid="{00000000-0005-0000-0000-000046510000}"/>
    <cellStyle name="40% - Accent5 2 2 3 2 4 4" xfId="8848" xr:uid="{00000000-0005-0000-0000-000047510000}"/>
    <cellStyle name="40% - Accent5 2 2 3 2 5" xfId="23656" xr:uid="{00000000-0005-0000-0000-000048510000}"/>
    <cellStyle name="40% - Accent5 2 2 3 2 5 2" xfId="32680" xr:uid="{00000000-0005-0000-0000-000049510000}"/>
    <cellStyle name="40% - Accent5 2 2 3 2 5 2 2" xfId="23663" xr:uid="{00000000-0005-0000-0000-00004A510000}"/>
    <cellStyle name="40% - Accent5 2 2 3 2 5 3" xfId="1549" xr:uid="{00000000-0005-0000-0000-00004B510000}"/>
    <cellStyle name="40% - Accent5 2 2 3 2 6" xfId="30538" xr:uid="{00000000-0005-0000-0000-00004C510000}"/>
    <cellStyle name="40% - Accent5 2 2 3 2 6 2" xfId="31528" xr:uid="{00000000-0005-0000-0000-00004D510000}"/>
    <cellStyle name="40% - Accent5 2 2 3 2 7" xfId="23666" xr:uid="{00000000-0005-0000-0000-00004E510000}"/>
    <cellStyle name="40% - Accent5 2 2 3 3" xfId="19346" xr:uid="{00000000-0005-0000-0000-00004F510000}"/>
    <cellStyle name="40% - Accent5 2 2 3 3 2" xfId="23668" xr:uid="{00000000-0005-0000-0000-000050510000}"/>
    <cellStyle name="40% - Accent5 2 2 3 3 2 2" xfId="23671" xr:uid="{00000000-0005-0000-0000-000051510000}"/>
    <cellStyle name="40% - Accent5 2 2 3 3 2 2 2" xfId="23676" xr:uid="{00000000-0005-0000-0000-000052510000}"/>
    <cellStyle name="40% - Accent5 2 2 3 3 2 2 2 2" xfId="219" xr:uid="{00000000-0005-0000-0000-000053510000}"/>
    <cellStyle name="40% - Accent5 2 2 3 3 2 2 2 2 2" xfId="31324" xr:uid="{00000000-0005-0000-0000-000054510000}"/>
    <cellStyle name="40% - Accent5 2 2 3 3 2 2 2 3" xfId="973" xr:uid="{00000000-0005-0000-0000-000055510000}"/>
    <cellStyle name="40% - Accent5 2 2 3 3 2 2 3" xfId="32654" xr:uid="{00000000-0005-0000-0000-000056510000}"/>
    <cellStyle name="40% - Accent5 2 2 3 3 2 2 3 2" xfId="812" xr:uid="{00000000-0005-0000-0000-000057510000}"/>
    <cellStyle name="40% - Accent5 2 2 3 3 2 2 4" xfId="26745" xr:uid="{00000000-0005-0000-0000-000058510000}"/>
    <cellStyle name="40% - Accent5 2 2 3 3 2 3" xfId="23686" xr:uid="{00000000-0005-0000-0000-000059510000}"/>
    <cellStyle name="40% - Accent5 2 2 3 3 2 3 2" xfId="18302" xr:uid="{00000000-0005-0000-0000-00005A510000}"/>
    <cellStyle name="40% - Accent5 2 2 3 3 2 3 2 2" xfId="90" xr:uid="{00000000-0005-0000-0000-00005B510000}"/>
    <cellStyle name="40% - Accent5 2 2 3 3 2 3 3" xfId="26206" xr:uid="{00000000-0005-0000-0000-00005C510000}"/>
    <cellStyle name="40% - Accent5 2 2 3 3 2 4" xfId="23694" xr:uid="{00000000-0005-0000-0000-00005D510000}"/>
    <cellStyle name="40% - Accent5 2 2 3 3 2 4 2" xfId="28997" xr:uid="{00000000-0005-0000-0000-00005E510000}"/>
    <cellStyle name="40% - Accent5 2 2 3 3 2 5" xfId="23703" xr:uid="{00000000-0005-0000-0000-00005F510000}"/>
    <cellStyle name="40% - Accent5 2 2 3 3 3" xfId="23707" xr:uid="{00000000-0005-0000-0000-000060510000}"/>
    <cellStyle name="40% - Accent5 2 2 3 3 3 2" xfId="31710" xr:uid="{00000000-0005-0000-0000-000061510000}"/>
    <cellStyle name="40% - Accent5 2 2 3 3 3 2 2" xfId="33700" xr:uid="{00000000-0005-0000-0000-000062510000}"/>
    <cellStyle name="40% - Accent5 2 2 3 3 3 2 2 2" xfId="23711" xr:uid="{00000000-0005-0000-0000-000063510000}"/>
    <cellStyle name="40% - Accent5 2 2 3 3 3 2 3" xfId="23713" xr:uid="{00000000-0005-0000-0000-000064510000}"/>
    <cellStyle name="40% - Accent5 2 2 3 3 3 3" xfId="23718" xr:uid="{00000000-0005-0000-0000-000065510000}"/>
    <cellStyle name="40% - Accent5 2 2 3 3 3 3 2" xfId="2275" xr:uid="{00000000-0005-0000-0000-000066510000}"/>
    <cellStyle name="40% - Accent5 2 2 3 3 3 4" xfId="27918" xr:uid="{00000000-0005-0000-0000-000067510000}"/>
    <cellStyle name="40% - Accent5 2 2 3 3 4" xfId="23491" xr:uid="{00000000-0005-0000-0000-000068510000}"/>
    <cellStyle name="40% - Accent5 2 2 3 3 4 2" xfId="23721" xr:uid="{00000000-0005-0000-0000-000069510000}"/>
    <cellStyle name="40% - Accent5 2 2 3 3 4 2 2" xfId="23729" xr:uid="{00000000-0005-0000-0000-00006A510000}"/>
    <cellStyle name="40% - Accent5 2 2 3 3 4 3" xfId="6310" xr:uid="{00000000-0005-0000-0000-00006B510000}"/>
    <cellStyle name="40% - Accent5 2 2 3 3 5" xfId="23516" xr:uid="{00000000-0005-0000-0000-00006C510000}"/>
    <cellStyle name="40% - Accent5 2 2 3 3 5 2" xfId="32049" xr:uid="{00000000-0005-0000-0000-00006D510000}"/>
    <cellStyle name="40% - Accent5 2 2 3 3 6" xfId="23526" xr:uid="{00000000-0005-0000-0000-00006E510000}"/>
    <cellStyle name="40% - Accent5 2 2 3 4" xfId="23734" xr:uid="{00000000-0005-0000-0000-00006F510000}"/>
    <cellStyle name="40% - Accent5 2 2 3 4 2" xfId="28469" xr:uid="{00000000-0005-0000-0000-000070510000}"/>
    <cellStyle name="40% - Accent5 2 2 3 4 2 2" xfId="23737" xr:uid="{00000000-0005-0000-0000-000071510000}"/>
    <cellStyle name="40% - Accent5 2 2 3 4 2 2 2" xfId="23745" xr:uid="{00000000-0005-0000-0000-000072510000}"/>
    <cellStyle name="40% - Accent5 2 2 3 4 2 2 2 2" xfId="23746" xr:uid="{00000000-0005-0000-0000-000073510000}"/>
    <cellStyle name="40% - Accent5 2 2 3 4 2 2 3" xfId="23749" xr:uid="{00000000-0005-0000-0000-000074510000}"/>
    <cellStyle name="40% - Accent5 2 2 3 4 2 3" xfId="23756" xr:uid="{00000000-0005-0000-0000-000075510000}"/>
    <cellStyle name="40% - Accent5 2 2 3 4 2 3 2" xfId="30651" xr:uid="{00000000-0005-0000-0000-000076510000}"/>
    <cellStyle name="40% - Accent5 2 2 3 4 2 4" xfId="13871" xr:uid="{00000000-0005-0000-0000-000077510000}"/>
    <cellStyle name="40% - Accent5 2 2 3 4 3" xfId="17209" xr:uid="{00000000-0005-0000-0000-000078510000}"/>
    <cellStyle name="40% - Accent5 2 2 3 4 3 2" xfId="23758" xr:uid="{00000000-0005-0000-0000-000079510000}"/>
    <cellStyle name="40% - Accent5 2 2 3 4 3 2 2" xfId="23768" xr:uid="{00000000-0005-0000-0000-00007A510000}"/>
    <cellStyle name="40% - Accent5 2 2 3 4 3 3" xfId="32401" xr:uid="{00000000-0005-0000-0000-00007B510000}"/>
    <cellStyle name="40% - Accent5 2 2 3 4 4" xfId="24462" xr:uid="{00000000-0005-0000-0000-00007C510000}"/>
    <cellStyle name="40% - Accent5 2 2 3 4 4 2" xfId="22897" xr:uid="{00000000-0005-0000-0000-00007D510000}"/>
    <cellStyle name="40% - Accent5 2 2 3 4 5" xfId="23546" xr:uid="{00000000-0005-0000-0000-00007E510000}"/>
    <cellStyle name="40% - Accent5 2 2 3 5" xfId="18897" xr:uid="{00000000-0005-0000-0000-00007F510000}"/>
    <cellStyle name="40% - Accent5 2 2 3 5 2" xfId="30370" xr:uid="{00000000-0005-0000-0000-000080510000}"/>
    <cellStyle name="40% - Accent5 2 2 3 5 2 2" xfId="26159" xr:uid="{00000000-0005-0000-0000-000081510000}"/>
    <cellStyle name="40% - Accent5 2 2 3 5 2 2 2" xfId="23773" xr:uid="{00000000-0005-0000-0000-000082510000}"/>
    <cellStyle name="40% - Accent5 2 2 3 5 2 3" xfId="7064" xr:uid="{00000000-0005-0000-0000-000083510000}"/>
    <cellStyle name="40% - Accent5 2 2 3 5 3" xfId="12993" xr:uid="{00000000-0005-0000-0000-000084510000}"/>
    <cellStyle name="40% - Accent5 2 2 3 5 3 2" xfId="23774" xr:uid="{00000000-0005-0000-0000-000085510000}"/>
    <cellStyle name="40% - Accent5 2 2 3 5 4" xfId="23551" xr:uid="{00000000-0005-0000-0000-000086510000}"/>
    <cellStyle name="40% - Accent5 2 2 3 6" xfId="33842" xr:uid="{00000000-0005-0000-0000-000087510000}"/>
    <cellStyle name="40% - Accent5 2 2 3 6 2" xfId="155" xr:uid="{00000000-0005-0000-0000-000088510000}"/>
    <cellStyle name="40% - Accent5 2 2 3 6 2 2" xfId="23775" xr:uid="{00000000-0005-0000-0000-000089510000}"/>
    <cellStyle name="40% - Accent5 2 2 3 6 3" xfId="13005" xr:uid="{00000000-0005-0000-0000-00008A510000}"/>
    <cellStyle name="40% - Accent5 2 2 3 7" xfId="27171" xr:uid="{00000000-0005-0000-0000-00008B510000}"/>
    <cellStyle name="40% - Accent5 2 2 3 7 2" xfId="27429" xr:uid="{00000000-0005-0000-0000-00008C510000}"/>
    <cellStyle name="40% - Accent5 2 2 3 8" xfId="25098" xr:uid="{00000000-0005-0000-0000-00008D510000}"/>
    <cellStyle name="40% - Accent5 2 2 4" xfId="23776" xr:uid="{00000000-0005-0000-0000-00008E510000}"/>
    <cellStyle name="40% - Accent5 2 2 4 2" xfId="23781" xr:uid="{00000000-0005-0000-0000-00008F510000}"/>
    <cellStyle name="40% - Accent5 2 2 4 2 2" xfId="23784" xr:uid="{00000000-0005-0000-0000-000090510000}"/>
    <cellStyle name="40% - Accent5 2 2 4 2 2 2" xfId="29370" xr:uid="{00000000-0005-0000-0000-000091510000}"/>
    <cellStyle name="40% - Accent5 2 2 4 2 2 2 2" xfId="23786" xr:uid="{00000000-0005-0000-0000-000092510000}"/>
    <cellStyle name="40% - Accent5 2 2 4 2 2 2 2 2" xfId="3010" xr:uid="{00000000-0005-0000-0000-000093510000}"/>
    <cellStyle name="40% - Accent5 2 2 4 2 2 2 2 2 2" xfId="6534" xr:uid="{00000000-0005-0000-0000-000094510000}"/>
    <cellStyle name="40% - Accent5 2 2 4 2 2 2 2 3" xfId="23790" xr:uid="{00000000-0005-0000-0000-000095510000}"/>
    <cellStyle name="40% - Accent5 2 2 4 2 2 2 3" xfId="23792" xr:uid="{00000000-0005-0000-0000-000096510000}"/>
    <cellStyle name="40% - Accent5 2 2 4 2 2 2 3 2" xfId="24925" xr:uid="{00000000-0005-0000-0000-000097510000}"/>
    <cellStyle name="40% - Accent5 2 2 4 2 2 2 4" xfId="23795" xr:uid="{00000000-0005-0000-0000-000098510000}"/>
    <cellStyle name="40% - Accent5 2 2 4 2 2 3" xfId="29838" xr:uid="{00000000-0005-0000-0000-000099510000}"/>
    <cellStyle name="40% - Accent5 2 2 4 2 2 3 2" xfId="13708" xr:uid="{00000000-0005-0000-0000-00009A510000}"/>
    <cellStyle name="40% - Accent5 2 2 4 2 2 3 2 2" xfId="25104" xr:uid="{00000000-0005-0000-0000-00009B510000}"/>
    <cellStyle name="40% - Accent5 2 2 4 2 2 3 3" xfId="23797" xr:uid="{00000000-0005-0000-0000-00009C510000}"/>
    <cellStyle name="40% - Accent5 2 2 4 2 2 4" xfId="16812" xr:uid="{00000000-0005-0000-0000-00009D510000}"/>
    <cellStyle name="40% - Accent5 2 2 4 2 2 4 2" xfId="18577" xr:uid="{00000000-0005-0000-0000-00009E510000}"/>
    <cellStyle name="40% - Accent5 2 2 4 2 2 5" xfId="9253" xr:uid="{00000000-0005-0000-0000-00009F510000}"/>
    <cellStyle name="40% - Accent5 2 2 4 2 3" xfId="27844" xr:uid="{00000000-0005-0000-0000-0000A0510000}"/>
    <cellStyle name="40% - Accent5 2 2 4 2 3 2" xfId="28525" xr:uid="{00000000-0005-0000-0000-0000A1510000}"/>
    <cellStyle name="40% - Accent5 2 2 4 2 3 2 2" xfId="23801" xr:uid="{00000000-0005-0000-0000-0000A2510000}"/>
    <cellStyle name="40% - Accent5 2 2 4 2 3 2 2 2" xfId="8917" xr:uid="{00000000-0005-0000-0000-0000A3510000}"/>
    <cellStyle name="40% - Accent5 2 2 4 2 3 2 3" xfId="23807" xr:uid="{00000000-0005-0000-0000-0000A4510000}"/>
    <cellStyle name="40% - Accent5 2 2 4 2 3 3" xfId="23812" xr:uid="{00000000-0005-0000-0000-0000A5510000}"/>
    <cellStyle name="40% - Accent5 2 2 4 2 3 3 2" xfId="23813" xr:uid="{00000000-0005-0000-0000-0000A6510000}"/>
    <cellStyle name="40% - Accent5 2 2 4 2 3 4" xfId="9255" xr:uid="{00000000-0005-0000-0000-0000A7510000}"/>
    <cellStyle name="40% - Accent5 2 2 4 2 4" xfId="25953" xr:uid="{00000000-0005-0000-0000-0000A8510000}"/>
    <cellStyle name="40% - Accent5 2 2 4 2 4 2" xfId="23815" xr:uid="{00000000-0005-0000-0000-0000A9510000}"/>
    <cellStyle name="40% - Accent5 2 2 4 2 4 2 2" xfId="23817" xr:uid="{00000000-0005-0000-0000-0000AA510000}"/>
    <cellStyle name="40% - Accent5 2 2 4 2 4 3" xfId="6347" xr:uid="{00000000-0005-0000-0000-0000AB510000}"/>
    <cellStyle name="40% - Accent5 2 2 4 2 5" xfId="23819" xr:uid="{00000000-0005-0000-0000-0000AC510000}"/>
    <cellStyle name="40% - Accent5 2 2 4 2 5 2" xfId="27696" xr:uid="{00000000-0005-0000-0000-0000AD510000}"/>
    <cellStyle name="40% - Accent5 2 2 4 2 6" xfId="24787" xr:uid="{00000000-0005-0000-0000-0000AE510000}"/>
    <cellStyle name="40% - Accent5 2 2 4 3" xfId="23823" xr:uid="{00000000-0005-0000-0000-0000AF510000}"/>
    <cellStyle name="40% - Accent5 2 2 4 3 2" xfId="23826" xr:uid="{00000000-0005-0000-0000-0000B0510000}"/>
    <cellStyle name="40% - Accent5 2 2 4 3 2 2" xfId="23827" xr:uid="{00000000-0005-0000-0000-0000B1510000}"/>
    <cellStyle name="40% - Accent5 2 2 4 3 2 2 2" xfId="19923" xr:uid="{00000000-0005-0000-0000-0000B2510000}"/>
    <cellStyle name="40% - Accent5 2 2 4 3 2 2 2 2" xfId="23832" xr:uid="{00000000-0005-0000-0000-0000B3510000}"/>
    <cellStyle name="40% - Accent5 2 2 4 3 2 2 3" xfId="23833" xr:uid="{00000000-0005-0000-0000-0000B4510000}"/>
    <cellStyle name="40% - Accent5 2 2 4 3 2 3" xfId="23839" xr:uid="{00000000-0005-0000-0000-0000B5510000}"/>
    <cellStyle name="40% - Accent5 2 2 4 3 2 3 2" xfId="23842" xr:uid="{00000000-0005-0000-0000-0000B6510000}"/>
    <cellStyle name="40% - Accent5 2 2 4 3 2 4" xfId="9258" xr:uid="{00000000-0005-0000-0000-0000B7510000}"/>
    <cellStyle name="40% - Accent5 2 2 4 3 3" xfId="33657" xr:uid="{00000000-0005-0000-0000-0000B8510000}"/>
    <cellStyle name="40% - Accent5 2 2 4 3 3 2" xfId="23847" xr:uid="{00000000-0005-0000-0000-0000B9510000}"/>
    <cellStyle name="40% - Accent5 2 2 4 3 3 2 2" xfId="23848" xr:uid="{00000000-0005-0000-0000-0000BA510000}"/>
    <cellStyle name="40% - Accent5 2 2 4 3 3 3" xfId="29909" xr:uid="{00000000-0005-0000-0000-0000BB510000}"/>
    <cellStyle name="40% - Accent5 2 2 4 3 4" xfId="23557" xr:uid="{00000000-0005-0000-0000-0000BC510000}"/>
    <cellStyle name="40% - Accent5 2 2 4 3 4 2" xfId="27714" xr:uid="{00000000-0005-0000-0000-0000BD510000}"/>
    <cellStyle name="40% - Accent5 2 2 4 3 5" xfId="7019" xr:uid="{00000000-0005-0000-0000-0000BE510000}"/>
    <cellStyle name="40% - Accent5 2 2 4 4" xfId="23850" xr:uid="{00000000-0005-0000-0000-0000BF510000}"/>
    <cellStyle name="40% - Accent5 2 2 4 4 2" xfId="28581" xr:uid="{00000000-0005-0000-0000-0000C0510000}"/>
    <cellStyle name="40% - Accent5 2 2 4 4 2 2" xfId="23852" xr:uid="{00000000-0005-0000-0000-0000C1510000}"/>
    <cellStyle name="40% - Accent5 2 2 4 4 2 2 2" xfId="25761" xr:uid="{00000000-0005-0000-0000-0000C2510000}"/>
    <cellStyle name="40% - Accent5 2 2 4 4 2 3" xfId="26386" xr:uid="{00000000-0005-0000-0000-0000C3510000}"/>
    <cellStyle name="40% - Accent5 2 2 4 4 3" xfId="28587" xr:uid="{00000000-0005-0000-0000-0000C4510000}"/>
    <cellStyle name="40% - Accent5 2 2 4 4 3 2" xfId="23859" xr:uid="{00000000-0005-0000-0000-0000C5510000}"/>
    <cellStyle name="40% - Accent5 2 2 4 4 4" xfId="23566" xr:uid="{00000000-0005-0000-0000-0000C6510000}"/>
    <cellStyle name="40% - Accent5 2 2 4 5" xfId="18899" xr:uid="{00000000-0005-0000-0000-0000C7510000}"/>
    <cellStyle name="40% - Accent5 2 2 4 5 2" xfId="25019" xr:uid="{00000000-0005-0000-0000-0000C8510000}"/>
    <cellStyle name="40% - Accent5 2 2 4 5 2 2" xfId="23865" xr:uid="{00000000-0005-0000-0000-0000C9510000}"/>
    <cellStyle name="40% - Accent5 2 2 4 5 3" xfId="20410" xr:uid="{00000000-0005-0000-0000-0000CA510000}"/>
    <cellStyle name="40% - Accent5 2 2 4 6" xfId="23868" xr:uid="{00000000-0005-0000-0000-0000CB510000}"/>
    <cellStyle name="40% - Accent5 2 2 4 6 2" xfId="445" xr:uid="{00000000-0005-0000-0000-0000CC510000}"/>
    <cellStyle name="40% - Accent5 2 2 4 7" xfId="28639" xr:uid="{00000000-0005-0000-0000-0000CD510000}"/>
    <cellStyle name="40% - Accent5 2 2 5" xfId="503" xr:uid="{00000000-0005-0000-0000-0000CE510000}"/>
    <cellStyle name="40% - Accent5 2 2 5 2" xfId="10911" xr:uid="{00000000-0005-0000-0000-0000CF510000}"/>
    <cellStyle name="40% - Accent5 2 2 5 2 2" xfId="27829" xr:uid="{00000000-0005-0000-0000-0000D0510000}"/>
    <cellStyle name="40% - Accent5 2 2 5 2 2 2" xfId="32173" xr:uid="{00000000-0005-0000-0000-0000D1510000}"/>
    <cellStyle name="40% - Accent5 2 2 5 2 2 2 2" xfId="10632" xr:uid="{00000000-0005-0000-0000-0000D2510000}"/>
    <cellStyle name="40% - Accent5 2 2 5 2 2 2 2 2" xfId="24487" xr:uid="{00000000-0005-0000-0000-0000D3510000}"/>
    <cellStyle name="40% - Accent5 2 2 5 2 2 2 3" xfId="4212" xr:uid="{00000000-0005-0000-0000-0000D4510000}"/>
    <cellStyle name="40% - Accent5 2 2 5 2 2 3" xfId="23871" xr:uid="{00000000-0005-0000-0000-0000D5510000}"/>
    <cellStyle name="40% - Accent5 2 2 5 2 2 3 2" xfId="2586" xr:uid="{00000000-0005-0000-0000-0000D6510000}"/>
    <cellStyle name="40% - Accent5 2 2 5 2 2 4" xfId="11709" xr:uid="{00000000-0005-0000-0000-0000D7510000}"/>
    <cellStyle name="40% - Accent5 2 2 5 2 3" xfId="27868" xr:uid="{00000000-0005-0000-0000-0000D8510000}"/>
    <cellStyle name="40% - Accent5 2 2 5 2 3 2" xfId="33269" xr:uid="{00000000-0005-0000-0000-0000D9510000}"/>
    <cellStyle name="40% - Accent5 2 2 5 2 3 2 2" xfId="9734" xr:uid="{00000000-0005-0000-0000-0000DA510000}"/>
    <cellStyle name="40% - Accent5 2 2 5 2 3 3" xfId="21733" xr:uid="{00000000-0005-0000-0000-0000DB510000}"/>
    <cellStyle name="40% - Accent5 2 2 5 2 4" xfId="23873" xr:uid="{00000000-0005-0000-0000-0000DC510000}"/>
    <cellStyle name="40% - Accent5 2 2 5 2 4 2" xfId="33631" xr:uid="{00000000-0005-0000-0000-0000DD510000}"/>
    <cellStyle name="40% - Accent5 2 2 5 2 5" xfId="16615" xr:uid="{00000000-0005-0000-0000-0000DE510000}"/>
    <cellStyle name="40% - Accent5 2 2 5 3" xfId="4496" xr:uid="{00000000-0005-0000-0000-0000DF510000}"/>
    <cellStyle name="40% - Accent5 2 2 5 3 2" xfId="31884" xr:uid="{00000000-0005-0000-0000-0000E0510000}"/>
    <cellStyle name="40% - Accent5 2 2 5 3 2 2" xfId="23876" xr:uid="{00000000-0005-0000-0000-0000E1510000}"/>
    <cellStyle name="40% - Accent5 2 2 5 3 2 2 2" xfId="23878" xr:uid="{00000000-0005-0000-0000-0000E2510000}"/>
    <cellStyle name="40% - Accent5 2 2 5 3 2 3" xfId="27870" xr:uid="{00000000-0005-0000-0000-0000E3510000}"/>
    <cellStyle name="40% - Accent5 2 2 5 3 3" xfId="23879" xr:uid="{00000000-0005-0000-0000-0000E4510000}"/>
    <cellStyle name="40% - Accent5 2 2 5 3 3 2" xfId="30667" xr:uid="{00000000-0005-0000-0000-0000E5510000}"/>
    <cellStyle name="40% - Accent5 2 2 5 3 4" xfId="23567" xr:uid="{00000000-0005-0000-0000-0000E6510000}"/>
    <cellStyle name="40% - Accent5 2 2 5 4" xfId="23880" xr:uid="{00000000-0005-0000-0000-0000E7510000}"/>
    <cellStyle name="40% - Accent5 2 2 5 4 2" xfId="6553" xr:uid="{00000000-0005-0000-0000-0000E8510000}"/>
    <cellStyle name="40% - Accent5 2 2 5 4 2 2" xfId="28115" xr:uid="{00000000-0005-0000-0000-0000E9510000}"/>
    <cellStyle name="40% - Accent5 2 2 5 4 3" xfId="5970" xr:uid="{00000000-0005-0000-0000-0000EA510000}"/>
    <cellStyle name="40% - Accent5 2 2 5 5" xfId="1664" xr:uid="{00000000-0005-0000-0000-0000EB510000}"/>
    <cellStyle name="40% - Accent5 2 2 5 5 2" xfId="2278" xr:uid="{00000000-0005-0000-0000-0000EC510000}"/>
    <cellStyle name="40% - Accent5 2 2 5 6" xfId="23882" xr:uid="{00000000-0005-0000-0000-0000ED510000}"/>
    <cellStyle name="40% - Accent5 2 2 6" xfId="16909" xr:uid="{00000000-0005-0000-0000-0000EE510000}"/>
    <cellStyle name="40% - Accent5 2 2 6 2" xfId="9502" xr:uid="{00000000-0005-0000-0000-0000EF510000}"/>
    <cellStyle name="40% - Accent5 2 2 6 2 2" xfId="21900" xr:uid="{00000000-0005-0000-0000-0000F0510000}"/>
    <cellStyle name="40% - Accent5 2 2 6 2 2 2" xfId="23883" xr:uid="{00000000-0005-0000-0000-0000F1510000}"/>
    <cellStyle name="40% - Accent5 2 2 6 2 2 2 2" xfId="23885" xr:uid="{00000000-0005-0000-0000-0000F2510000}"/>
    <cellStyle name="40% - Accent5 2 2 6 2 2 3" xfId="23890" xr:uid="{00000000-0005-0000-0000-0000F3510000}"/>
    <cellStyle name="40% - Accent5 2 2 6 2 3" xfId="23893" xr:uid="{00000000-0005-0000-0000-0000F4510000}"/>
    <cellStyle name="40% - Accent5 2 2 6 2 3 2" xfId="2985" xr:uid="{00000000-0005-0000-0000-0000F5510000}"/>
    <cellStyle name="40% - Accent5 2 2 6 2 4" xfId="23895" xr:uid="{00000000-0005-0000-0000-0000F6510000}"/>
    <cellStyle name="40% - Accent5 2 2 6 3" xfId="23898" xr:uid="{00000000-0005-0000-0000-0000F7510000}"/>
    <cellStyle name="40% - Accent5 2 2 6 3 2" xfId="23900" xr:uid="{00000000-0005-0000-0000-0000F8510000}"/>
    <cellStyle name="40% - Accent5 2 2 6 3 2 2" xfId="1791" xr:uid="{00000000-0005-0000-0000-0000F9510000}"/>
    <cellStyle name="40% - Accent5 2 2 6 3 3" xfId="13565" xr:uid="{00000000-0005-0000-0000-0000FA510000}"/>
    <cellStyle name="40% - Accent5 2 2 6 4" xfId="23901" xr:uid="{00000000-0005-0000-0000-0000FB510000}"/>
    <cellStyle name="40% - Accent5 2 2 6 4 2" xfId="5988" xr:uid="{00000000-0005-0000-0000-0000FC510000}"/>
    <cellStyle name="40% - Accent5 2 2 6 5" xfId="23902" xr:uid="{00000000-0005-0000-0000-0000FD510000}"/>
    <cellStyle name="40% - Accent5 2 2 7" xfId="10784" xr:uid="{00000000-0005-0000-0000-0000FE510000}"/>
    <cellStyle name="40% - Accent5 2 2 7 2" xfId="10789" xr:uid="{00000000-0005-0000-0000-0000FF510000}"/>
    <cellStyle name="40% - Accent5 2 2 7 2 2" xfId="23904" xr:uid="{00000000-0005-0000-0000-000000520000}"/>
    <cellStyle name="40% - Accent5 2 2 7 2 2 2" xfId="23910" xr:uid="{00000000-0005-0000-0000-000001520000}"/>
    <cellStyle name="40% - Accent5 2 2 7 2 3" xfId="23913" xr:uid="{00000000-0005-0000-0000-000002520000}"/>
    <cellStyle name="40% - Accent5 2 2 7 3" xfId="20895" xr:uid="{00000000-0005-0000-0000-000003520000}"/>
    <cellStyle name="40% - Accent5 2 2 7 3 2" xfId="23917" xr:uid="{00000000-0005-0000-0000-000004520000}"/>
    <cellStyle name="40% - Accent5 2 2 7 4" xfId="20941" xr:uid="{00000000-0005-0000-0000-000005520000}"/>
    <cellStyle name="40% - Accent5 2 2 8" xfId="10830" xr:uid="{00000000-0005-0000-0000-000006520000}"/>
    <cellStyle name="40% - Accent5 2 2 8 2" xfId="32953" xr:uid="{00000000-0005-0000-0000-000007520000}"/>
    <cellStyle name="40% - Accent5 2 2 8 2 2" xfId="23921" xr:uid="{00000000-0005-0000-0000-000008520000}"/>
    <cellStyle name="40% - Accent5 2 2 8 3" xfId="21041" xr:uid="{00000000-0005-0000-0000-000009520000}"/>
    <cellStyle name="40% - Accent5 2 2 9" xfId="32621" xr:uid="{00000000-0005-0000-0000-00000A520000}"/>
    <cellStyle name="40% - Accent5 2 2 9 2" xfId="32761" xr:uid="{00000000-0005-0000-0000-00000B520000}"/>
    <cellStyle name="40% - Accent5 2 3" xfId="2520" xr:uid="{00000000-0005-0000-0000-00000C520000}"/>
    <cellStyle name="40% - Accent5 2 3 2" xfId="20054" xr:uid="{00000000-0005-0000-0000-00000D520000}"/>
    <cellStyle name="40% - Accent5 2 3 2 2" xfId="20208" xr:uid="{00000000-0005-0000-0000-00000E520000}"/>
    <cellStyle name="40% - Accent5 2 3 2 2 2" xfId="21675" xr:uid="{00000000-0005-0000-0000-00000F520000}"/>
    <cellStyle name="40% - Accent5 2 3 2 2 2 2" xfId="9194" xr:uid="{00000000-0005-0000-0000-000010520000}"/>
    <cellStyle name="40% - Accent5 2 3 2 2 2 2 2" xfId="23932" xr:uid="{00000000-0005-0000-0000-000011520000}"/>
    <cellStyle name="40% - Accent5 2 3 2 2 2 2 2 2" xfId="26431" xr:uid="{00000000-0005-0000-0000-000012520000}"/>
    <cellStyle name="40% - Accent5 2 3 2 2 2 2 2 2 2" xfId="20366" xr:uid="{00000000-0005-0000-0000-000013520000}"/>
    <cellStyle name="40% - Accent5 2 3 2 2 2 2 2 2 2 2" xfId="30720" xr:uid="{00000000-0005-0000-0000-000014520000}"/>
    <cellStyle name="40% - Accent5 2 3 2 2 2 2 2 2 3" xfId="21878" xr:uid="{00000000-0005-0000-0000-000015520000}"/>
    <cellStyle name="40% - Accent5 2 3 2 2 2 2 2 3" xfId="7838" xr:uid="{00000000-0005-0000-0000-000016520000}"/>
    <cellStyle name="40% - Accent5 2 3 2 2 2 2 2 3 2" xfId="16562" xr:uid="{00000000-0005-0000-0000-000017520000}"/>
    <cellStyle name="40% - Accent5 2 3 2 2 2 2 2 4" xfId="8514" xr:uid="{00000000-0005-0000-0000-000018520000}"/>
    <cellStyle name="40% - Accent5 2 3 2 2 2 2 3" xfId="23935" xr:uid="{00000000-0005-0000-0000-000019520000}"/>
    <cellStyle name="40% - Accent5 2 3 2 2 2 2 3 2" xfId="23938" xr:uid="{00000000-0005-0000-0000-00001A520000}"/>
    <cellStyle name="40% - Accent5 2 3 2 2 2 2 3 2 2" xfId="29320" xr:uid="{00000000-0005-0000-0000-00001B520000}"/>
    <cellStyle name="40% - Accent5 2 3 2 2 2 2 3 3" xfId="8520" xr:uid="{00000000-0005-0000-0000-00001C520000}"/>
    <cellStyle name="40% - Accent5 2 3 2 2 2 2 4" xfId="23944" xr:uid="{00000000-0005-0000-0000-00001D520000}"/>
    <cellStyle name="40% - Accent5 2 3 2 2 2 2 4 2" xfId="23951" xr:uid="{00000000-0005-0000-0000-00001E520000}"/>
    <cellStyle name="40% - Accent5 2 3 2 2 2 2 5" xfId="7886" xr:uid="{00000000-0005-0000-0000-00001F520000}"/>
    <cellStyle name="40% - Accent5 2 3 2 2 2 3" xfId="4899" xr:uid="{00000000-0005-0000-0000-000020520000}"/>
    <cellStyle name="40% - Accent5 2 3 2 2 2 3 2" xfId="18228" xr:uid="{00000000-0005-0000-0000-000021520000}"/>
    <cellStyle name="40% - Accent5 2 3 2 2 2 3 2 2" xfId="27077" xr:uid="{00000000-0005-0000-0000-000022520000}"/>
    <cellStyle name="40% - Accent5 2 3 2 2 2 3 2 2 2" xfId="23960" xr:uid="{00000000-0005-0000-0000-000023520000}"/>
    <cellStyle name="40% - Accent5 2 3 2 2 2 3 2 3" xfId="27086" xr:uid="{00000000-0005-0000-0000-000024520000}"/>
    <cellStyle name="40% - Accent5 2 3 2 2 2 3 3" xfId="23962" xr:uid="{00000000-0005-0000-0000-000025520000}"/>
    <cellStyle name="40% - Accent5 2 3 2 2 2 3 3 2" xfId="23965" xr:uid="{00000000-0005-0000-0000-000026520000}"/>
    <cellStyle name="40% - Accent5 2 3 2 2 2 3 4" xfId="23966" xr:uid="{00000000-0005-0000-0000-000027520000}"/>
    <cellStyle name="40% - Accent5 2 3 2 2 2 4" xfId="2040" xr:uid="{00000000-0005-0000-0000-000028520000}"/>
    <cellStyle name="40% - Accent5 2 3 2 2 2 4 2" xfId="8912" xr:uid="{00000000-0005-0000-0000-000029520000}"/>
    <cellStyle name="40% - Accent5 2 3 2 2 2 4 2 2" xfId="26687" xr:uid="{00000000-0005-0000-0000-00002A520000}"/>
    <cellStyle name="40% - Accent5 2 3 2 2 2 4 3" xfId="23974" xr:uid="{00000000-0005-0000-0000-00002B520000}"/>
    <cellStyle name="40% - Accent5 2 3 2 2 2 5" xfId="9086" xr:uid="{00000000-0005-0000-0000-00002C520000}"/>
    <cellStyle name="40% - Accent5 2 3 2 2 2 5 2" xfId="23979" xr:uid="{00000000-0005-0000-0000-00002D520000}"/>
    <cellStyle name="40% - Accent5 2 3 2 2 2 6" xfId="23985" xr:uid="{00000000-0005-0000-0000-00002E520000}"/>
    <cellStyle name="40% - Accent5 2 3 2 2 3" xfId="29190" xr:uid="{00000000-0005-0000-0000-00002F520000}"/>
    <cellStyle name="40% - Accent5 2 3 2 2 3 2" xfId="4912" xr:uid="{00000000-0005-0000-0000-000030520000}"/>
    <cellStyle name="40% - Accent5 2 3 2 2 3 2 2" xfId="8664" xr:uid="{00000000-0005-0000-0000-000031520000}"/>
    <cellStyle name="40% - Accent5 2 3 2 2 3 2 2 2" xfId="23991" xr:uid="{00000000-0005-0000-0000-000032520000}"/>
    <cellStyle name="40% - Accent5 2 3 2 2 3 2 2 2 2" xfId="21030" xr:uid="{00000000-0005-0000-0000-000033520000}"/>
    <cellStyle name="40% - Accent5 2 3 2 2 3 2 2 3" xfId="8525" xr:uid="{00000000-0005-0000-0000-000034520000}"/>
    <cellStyle name="40% - Accent5 2 3 2 2 3 2 3" xfId="8952" xr:uid="{00000000-0005-0000-0000-000035520000}"/>
    <cellStyle name="40% - Accent5 2 3 2 2 3 2 3 2" xfId="7245" xr:uid="{00000000-0005-0000-0000-000036520000}"/>
    <cellStyle name="40% - Accent5 2 3 2 2 3 2 4" xfId="1320" xr:uid="{00000000-0005-0000-0000-000037520000}"/>
    <cellStyle name="40% - Accent5 2 3 2 2 3 3" xfId="2049" xr:uid="{00000000-0005-0000-0000-000038520000}"/>
    <cellStyle name="40% - Accent5 2 3 2 2 3 3 2" xfId="24343" xr:uid="{00000000-0005-0000-0000-000039520000}"/>
    <cellStyle name="40% - Accent5 2 3 2 2 3 3 2 2" xfId="29085" xr:uid="{00000000-0005-0000-0000-00003A520000}"/>
    <cellStyle name="40% - Accent5 2 3 2 2 3 3 3" xfId="1338" xr:uid="{00000000-0005-0000-0000-00003B520000}"/>
    <cellStyle name="40% - Accent5 2 3 2 2 3 4" xfId="9095" xr:uid="{00000000-0005-0000-0000-00003C520000}"/>
    <cellStyle name="40% - Accent5 2 3 2 2 3 4 2" xfId="3694" xr:uid="{00000000-0005-0000-0000-00003D520000}"/>
    <cellStyle name="40% - Accent5 2 3 2 2 3 5" xfId="23994" xr:uid="{00000000-0005-0000-0000-00003E520000}"/>
    <cellStyle name="40% - Accent5 2 3 2 2 4" xfId="23995" xr:uid="{00000000-0005-0000-0000-00003F520000}"/>
    <cellStyle name="40% - Accent5 2 3 2 2 4 2" xfId="7441" xr:uid="{00000000-0005-0000-0000-000040520000}"/>
    <cellStyle name="40% - Accent5 2 3 2 2 4 2 2" xfId="23996" xr:uid="{00000000-0005-0000-0000-000041520000}"/>
    <cellStyle name="40% - Accent5 2 3 2 2 4 2 2 2" xfId="24000" xr:uid="{00000000-0005-0000-0000-000042520000}"/>
    <cellStyle name="40% - Accent5 2 3 2 2 4 2 3" xfId="1402" xr:uid="{00000000-0005-0000-0000-000043520000}"/>
    <cellStyle name="40% - Accent5 2 3 2 2 4 3" xfId="1225" xr:uid="{00000000-0005-0000-0000-000044520000}"/>
    <cellStyle name="40% - Accent5 2 3 2 2 4 3 2" xfId="24005" xr:uid="{00000000-0005-0000-0000-000045520000}"/>
    <cellStyle name="40% - Accent5 2 3 2 2 4 4" xfId="10709" xr:uid="{00000000-0005-0000-0000-000046520000}"/>
    <cellStyle name="40% - Accent5 2 3 2 2 5" xfId="24007" xr:uid="{00000000-0005-0000-0000-000047520000}"/>
    <cellStyle name="40% - Accent5 2 3 2 2 5 2" xfId="1387" xr:uid="{00000000-0005-0000-0000-000048520000}"/>
    <cellStyle name="40% - Accent5 2 3 2 2 5 2 2" xfId="24012" xr:uid="{00000000-0005-0000-0000-000049520000}"/>
    <cellStyle name="40% - Accent5 2 3 2 2 5 3" xfId="24017" xr:uid="{00000000-0005-0000-0000-00004A520000}"/>
    <cellStyle name="40% - Accent5 2 3 2 2 6" xfId="27784" xr:uid="{00000000-0005-0000-0000-00004B520000}"/>
    <cellStyle name="40% - Accent5 2 3 2 2 6 2" xfId="24019" xr:uid="{00000000-0005-0000-0000-00004C520000}"/>
    <cellStyle name="40% - Accent5 2 3 2 2 7" xfId="24020" xr:uid="{00000000-0005-0000-0000-00004D520000}"/>
    <cellStyle name="40% - Accent5 2 3 2 3" xfId="24021" xr:uid="{00000000-0005-0000-0000-00004E520000}"/>
    <cellStyle name="40% - Accent5 2 3 2 3 2" xfId="24026" xr:uid="{00000000-0005-0000-0000-00004F520000}"/>
    <cellStyle name="40% - Accent5 2 3 2 3 2 2" xfId="7808" xr:uid="{00000000-0005-0000-0000-000050520000}"/>
    <cellStyle name="40% - Accent5 2 3 2 3 2 2 2" xfId="25709" xr:uid="{00000000-0005-0000-0000-000051520000}"/>
    <cellStyle name="40% - Accent5 2 3 2 3 2 2 2 2" xfId="28239" xr:uid="{00000000-0005-0000-0000-000052520000}"/>
    <cellStyle name="40% - Accent5 2 3 2 3 2 2 2 2 2" xfId="24029" xr:uid="{00000000-0005-0000-0000-000053520000}"/>
    <cellStyle name="40% - Accent5 2 3 2 3 2 2 2 3" xfId="10044" xr:uid="{00000000-0005-0000-0000-000054520000}"/>
    <cellStyle name="40% - Accent5 2 3 2 3 2 2 3" xfId="28871" xr:uid="{00000000-0005-0000-0000-000055520000}"/>
    <cellStyle name="40% - Accent5 2 3 2 3 2 2 3 2" xfId="33165" xr:uid="{00000000-0005-0000-0000-000056520000}"/>
    <cellStyle name="40% - Accent5 2 3 2 3 2 2 4" xfId="24031" xr:uid="{00000000-0005-0000-0000-000057520000}"/>
    <cellStyle name="40% - Accent5 2 3 2 3 2 3" xfId="6053" xr:uid="{00000000-0005-0000-0000-000058520000}"/>
    <cellStyle name="40% - Accent5 2 3 2 3 2 3 2" xfId="19900" xr:uid="{00000000-0005-0000-0000-000059520000}"/>
    <cellStyle name="40% - Accent5 2 3 2 3 2 3 2 2" xfId="24410" xr:uid="{00000000-0005-0000-0000-00005A520000}"/>
    <cellStyle name="40% - Accent5 2 3 2 3 2 3 3" xfId="22638" xr:uid="{00000000-0005-0000-0000-00005B520000}"/>
    <cellStyle name="40% - Accent5 2 3 2 3 2 4" xfId="9111" xr:uid="{00000000-0005-0000-0000-00005C520000}"/>
    <cellStyle name="40% - Accent5 2 3 2 3 2 4 2" xfId="19902" xr:uid="{00000000-0005-0000-0000-00005D520000}"/>
    <cellStyle name="40% - Accent5 2 3 2 3 2 5" xfId="22772" xr:uid="{00000000-0005-0000-0000-00005E520000}"/>
    <cellStyle name="40% - Accent5 2 3 2 3 3" xfId="24036" xr:uid="{00000000-0005-0000-0000-00005F520000}"/>
    <cellStyle name="40% - Accent5 2 3 2 3 3 2" xfId="2089" xr:uid="{00000000-0005-0000-0000-000060520000}"/>
    <cellStyle name="40% - Accent5 2 3 2 3 3 2 2" xfId="19666" xr:uid="{00000000-0005-0000-0000-000061520000}"/>
    <cellStyle name="40% - Accent5 2 3 2 3 3 2 2 2" xfId="28842" xr:uid="{00000000-0005-0000-0000-000062520000}"/>
    <cellStyle name="40% - Accent5 2 3 2 3 3 2 3" xfId="4405" xr:uid="{00000000-0005-0000-0000-000063520000}"/>
    <cellStyle name="40% - Accent5 2 3 2 3 3 3" xfId="9125" xr:uid="{00000000-0005-0000-0000-000064520000}"/>
    <cellStyle name="40% - Accent5 2 3 2 3 3 3 2" xfId="19907" xr:uid="{00000000-0005-0000-0000-000065520000}"/>
    <cellStyle name="40% - Accent5 2 3 2 3 3 4" xfId="24045" xr:uid="{00000000-0005-0000-0000-000066520000}"/>
    <cellStyle name="40% - Accent5 2 3 2 3 4" xfId="23674" xr:uid="{00000000-0005-0000-0000-000067520000}"/>
    <cellStyle name="40% - Accent5 2 3 2 3 4 2" xfId="9919" xr:uid="{00000000-0005-0000-0000-000068520000}"/>
    <cellStyle name="40% - Accent5 2 3 2 3 4 2 2" xfId="24050" xr:uid="{00000000-0005-0000-0000-000069520000}"/>
    <cellStyle name="40% - Accent5 2 3 2 3 4 3" xfId="23771" xr:uid="{00000000-0005-0000-0000-00006A520000}"/>
    <cellStyle name="40% - Accent5 2 3 2 3 5" xfId="23688" xr:uid="{00000000-0005-0000-0000-00006B520000}"/>
    <cellStyle name="40% - Accent5 2 3 2 3 5 2" xfId="24055" xr:uid="{00000000-0005-0000-0000-00006C520000}"/>
    <cellStyle name="40% - Accent5 2 3 2 3 6" xfId="23701" xr:uid="{00000000-0005-0000-0000-00006D520000}"/>
    <cellStyle name="40% - Accent5 2 3 2 4" xfId="31442" xr:uid="{00000000-0005-0000-0000-00006E520000}"/>
    <cellStyle name="40% - Accent5 2 3 2 4 2" xfId="28118" xr:uid="{00000000-0005-0000-0000-00006F520000}"/>
    <cellStyle name="40% - Accent5 2 3 2 4 2 2" xfId="5356" xr:uid="{00000000-0005-0000-0000-000070520000}"/>
    <cellStyle name="40% - Accent5 2 3 2 4 2 2 2" xfId="24058" xr:uid="{00000000-0005-0000-0000-000071520000}"/>
    <cellStyle name="40% - Accent5 2 3 2 4 2 2 2 2" xfId="23600" xr:uid="{00000000-0005-0000-0000-000072520000}"/>
    <cellStyle name="40% - Accent5 2 3 2 4 2 2 3" xfId="24064" xr:uid="{00000000-0005-0000-0000-000073520000}"/>
    <cellStyle name="40% - Accent5 2 3 2 4 2 3" xfId="8549" xr:uid="{00000000-0005-0000-0000-000074520000}"/>
    <cellStyle name="40% - Accent5 2 3 2 4 2 3 2" xfId="22147" xr:uid="{00000000-0005-0000-0000-000075520000}"/>
    <cellStyle name="40% - Accent5 2 3 2 4 2 4" xfId="24068" xr:uid="{00000000-0005-0000-0000-000076520000}"/>
    <cellStyle name="40% - Accent5 2 3 2 4 3" xfId="28122" xr:uid="{00000000-0005-0000-0000-000077520000}"/>
    <cellStyle name="40% - Accent5 2 3 2 4 3 2" xfId="2083" xr:uid="{00000000-0005-0000-0000-000078520000}"/>
    <cellStyle name="40% - Accent5 2 3 2 4 3 2 2" xfId="15976" xr:uid="{00000000-0005-0000-0000-000079520000}"/>
    <cellStyle name="40% - Accent5 2 3 2 4 3 3" xfId="24077" xr:uid="{00000000-0005-0000-0000-00007A520000}"/>
    <cellStyle name="40% - Accent5 2 3 2 4 4" xfId="23708" xr:uid="{00000000-0005-0000-0000-00007B520000}"/>
    <cellStyle name="40% - Accent5 2 3 2 4 4 2" xfId="24083" xr:uid="{00000000-0005-0000-0000-00007C520000}"/>
    <cellStyle name="40% - Accent5 2 3 2 4 5" xfId="23719" xr:uid="{00000000-0005-0000-0000-00007D520000}"/>
    <cellStyle name="40% - Accent5 2 3 2 5" xfId="32304" xr:uid="{00000000-0005-0000-0000-00007E520000}"/>
    <cellStyle name="40% - Accent5 2 3 2 5 2" xfId="24086" xr:uid="{00000000-0005-0000-0000-00007F520000}"/>
    <cellStyle name="40% - Accent5 2 3 2 5 2 2" xfId="10362" xr:uid="{00000000-0005-0000-0000-000080520000}"/>
    <cellStyle name="40% - Accent5 2 3 2 5 2 2 2" xfId="21882" xr:uid="{00000000-0005-0000-0000-000081520000}"/>
    <cellStyle name="40% - Accent5 2 3 2 5 2 3" xfId="10375" xr:uid="{00000000-0005-0000-0000-000082520000}"/>
    <cellStyle name="40% - Accent5 2 3 2 5 3" xfId="17963" xr:uid="{00000000-0005-0000-0000-000083520000}"/>
    <cellStyle name="40% - Accent5 2 3 2 5 3 2" xfId="24088" xr:uid="{00000000-0005-0000-0000-000084520000}"/>
    <cellStyle name="40% - Accent5 2 3 2 5 4" xfId="23723" xr:uid="{00000000-0005-0000-0000-000085520000}"/>
    <cellStyle name="40% - Accent5 2 3 2 6" xfId="29073" xr:uid="{00000000-0005-0000-0000-000086520000}"/>
    <cellStyle name="40% - Accent5 2 3 2 6 2" xfId="10505" xr:uid="{00000000-0005-0000-0000-000087520000}"/>
    <cellStyle name="40% - Accent5 2 3 2 6 2 2" xfId="24091" xr:uid="{00000000-0005-0000-0000-000088520000}"/>
    <cellStyle name="40% - Accent5 2 3 2 6 3" xfId="24094" xr:uid="{00000000-0005-0000-0000-000089520000}"/>
    <cellStyle name="40% - Accent5 2 3 2 7" xfId="24096" xr:uid="{00000000-0005-0000-0000-00008A520000}"/>
    <cellStyle name="40% - Accent5 2 3 2 7 2" xfId="24097" xr:uid="{00000000-0005-0000-0000-00008B520000}"/>
    <cellStyle name="40% - Accent5 2 3 2 8" xfId="24099" xr:uid="{00000000-0005-0000-0000-00008C520000}"/>
    <cellStyle name="40% - Accent5 2 3 3" xfId="20213" xr:uid="{00000000-0005-0000-0000-00008D520000}"/>
    <cellStyle name="40% - Accent5 2 3 3 2" xfId="19367" xr:uid="{00000000-0005-0000-0000-00008E520000}"/>
    <cellStyle name="40% - Accent5 2 3 3 2 2" xfId="24101" xr:uid="{00000000-0005-0000-0000-00008F520000}"/>
    <cellStyle name="40% - Accent5 2 3 3 2 2 2" xfId="2202" xr:uid="{00000000-0005-0000-0000-000090520000}"/>
    <cellStyle name="40% - Accent5 2 3 3 2 2 2 2" xfId="19801" xr:uid="{00000000-0005-0000-0000-000091520000}"/>
    <cellStyle name="40% - Accent5 2 3 3 2 2 2 2 2" xfId="5061" xr:uid="{00000000-0005-0000-0000-000092520000}"/>
    <cellStyle name="40% - Accent5 2 3 3 2 2 2 2 2 2" xfId="3161" xr:uid="{00000000-0005-0000-0000-000093520000}"/>
    <cellStyle name="40% - Accent5 2 3 3 2 2 2 2 3" xfId="31964" xr:uid="{00000000-0005-0000-0000-000094520000}"/>
    <cellStyle name="40% - Accent5 2 3 3 2 2 2 3" xfId="11543" xr:uid="{00000000-0005-0000-0000-000095520000}"/>
    <cellStyle name="40% - Accent5 2 3 3 2 2 2 3 2" xfId="28163" xr:uid="{00000000-0005-0000-0000-000096520000}"/>
    <cellStyle name="40% - Accent5 2 3 3 2 2 2 4" xfId="27055" xr:uid="{00000000-0005-0000-0000-000097520000}"/>
    <cellStyle name="40% - Accent5 2 3 3 2 2 3" xfId="10998" xr:uid="{00000000-0005-0000-0000-000098520000}"/>
    <cellStyle name="40% - Accent5 2 3 3 2 2 3 2" xfId="19909" xr:uid="{00000000-0005-0000-0000-000099520000}"/>
    <cellStyle name="40% - Accent5 2 3 3 2 2 3 2 2" xfId="28184" xr:uid="{00000000-0005-0000-0000-00009A520000}"/>
    <cellStyle name="40% - Accent5 2 3 3 2 2 3 3" xfId="19947" xr:uid="{00000000-0005-0000-0000-00009B520000}"/>
    <cellStyle name="40% - Accent5 2 3 3 2 2 4" xfId="11005" xr:uid="{00000000-0005-0000-0000-00009C520000}"/>
    <cellStyle name="40% - Accent5 2 3 3 2 2 4 2" xfId="19974" xr:uid="{00000000-0005-0000-0000-00009D520000}"/>
    <cellStyle name="40% - Accent5 2 3 3 2 2 5" xfId="24105" xr:uid="{00000000-0005-0000-0000-00009E520000}"/>
    <cellStyle name="40% - Accent5 2 3 3 2 3" xfId="27873" xr:uid="{00000000-0005-0000-0000-00009F520000}"/>
    <cellStyle name="40% - Accent5 2 3 3 2 3 2" xfId="2218" xr:uid="{00000000-0005-0000-0000-0000A0520000}"/>
    <cellStyle name="40% - Accent5 2 3 3 2 3 2 2" xfId="26874" xr:uid="{00000000-0005-0000-0000-0000A1520000}"/>
    <cellStyle name="40% - Accent5 2 3 3 2 3 2 2 2" xfId="25705" xr:uid="{00000000-0005-0000-0000-0000A2520000}"/>
    <cellStyle name="40% - Accent5 2 3 3 2 3 2 3" xfId="11916" xr:uid="{00000000-0005-0000-0000-0000A3520000}"/>
    <cellStyle name="40% - Accent5 2 3 3 2 3 3" xfId="11008" xr:uid="{00000000-0005-0000-0000-0000A4520000}"/>
    <cellStyle name="40% - Accent5 2 3 3 2 3 3 2" xfId="20180" xr:uid="{00000000-0005-0000-0000-0000A5520000}"/>
    <cellStyle name="40% - Accent5 2 3 3 2 3 4" xfId="24107" xr:uid="{00000000-0005-0000-0000-0000A6520000}"/>
    <cellStyle name="40% - Accent5 2 3 3 2 4" xfId="24111" xr:uid="{00000000-0005-0000-0000-0000A7520000}"/>
    <cellStyle name="40% - Accent5 2 3 3 2 4 2" xfId="23856" xr:uid="{00000000-0005-0000-0000-0000A8520000}"/>
    <cellStyle name="40% - Accent5 2 3 3 2 4 2 2" xfId="20621" xr:uid="{00000000-0005-0000-0000-0000A9520000}"/>
    <cellStyle name="40% - Accent5 2 3 3 2 4 3" xfId="12712" xr:uid="{00000000-0005-0000-0000-0000AA520000}"/>
    <cellStyle name="40% - Accent5 2 3 3 2 5" xfId="24116" xr:uid="{00000000-0005-0000-0000-0000AB520000}"/>
    <cellStyle name="40% - Accent5 2 3 3 2 5 2" xfId="24117" xr:uid="{00000000-0005-0000-0000-0000AC520000}"/>
    <cellStyle name="40% - Accent5 2 3 3 2 6" xfId="13863" xr:uid="{00000000-0005-0000-0000-0000AD520000}"/>
    <cellStyle name="40% - Accent5 2 3 3 3" xfId="24122" xr:uid="{00000000-0005-0000-0000-0000AE520000}"/>
    <cellStyle name="40% - Accent5 2 3 3 3 2" xfId="24130" xr:uid="{00000000-0005-0000-0000-0000AF520000}"/>
    <cellStyle name="40% - Accent5 2 3 3 3 2 2" xfId="26851" xr:uid="{00000000-0005-0000-0000-0000B0520000}"/>
    <cellStyle name="40% - Accent5 2 3 3 3 2 2 2" xfId="22683" xr:uid="{00000000-0005-0000-0000-0000B1520000}"/>
    <cellStyle name="40% - Accent5 2 3 3 3 2 2 2 2" xfId="20325" xr:uid="{00000000-0005-0000-0000-0000B2520000}"/>
    <cellStyle name="40% - Accent5 2 3 3 3 2 2 3" xfId="22707" xr:uid="{00000000-0005-0000-0000-0000B3520000}"/>
    <cellStyle name="40% - Accent5 2 3 3 3 2 3" xfId="11027" xr:uid="{00000000-0005-0000-0000-0000B4520000}"/>
    <cellStyle name="40% - Accent5 2 3 3 3 2 3 2" xfId="20167" xr:uid="{00000000-0005-0000-0000-0000B5520000}"/>
    <cellStyle name="40% - Accent5 2 3 3 3 2 4" xfId="24135" xr:uid="{00000000-0005-0000-0000-0000B6520000}"/>
    <cellStyle name="40% - Accent5 2 3 3 3 3" xfId="24139" xr:uid="{00000000-0005-0000-0000-0000B7520000}"/>
    <cellStyle name="40% - Accent5 2 3 3 3 3 2" xfId="16025" xr:uid="{00000000-0005-0000-0000-0000B8520000}"/>
    <cellStyle name="40% - Accent5 2 3 3 3 3 2 2" xfId="22875" xr:uid="{00000000-0005-0000-0000-0000B9520000}"/>
    <cellStyle name="40% - Accent5 2 3 3 3 3 3" xfId="24145" xr:uid="{00000000-0005-0000-0000-0000BA520000}"/>
    <cellStyle name="40% - Accent5 2 3 3 3 4" xfId="23738" xr:uid="{00000000-0005-0000-0000-0000BB520000}"/>
    <cellStyle name="40% - Accent5 2 3 3 3 4 2" xfId="24152" xr:uid="{00000000-0005-0000-0000-0000BC520000}"/>
    <cellStyle name="40% - Accent5 2 3 3 3 5" xfId="23757" xr:uid="{00000000-0005-0000-0000-0000BD520000}"/>
    <cellStyle name="40% - Accent5 2 3 3 4" xfId="24155" xr:uid="{00000000-0005-0000-0000-0000BE520000}"/>
    <cellStyle name="40% - Accent5 2 3 3 4 2" xfId="29138" xr:uid="{00000000-0005-0000-0000-0000BF520000}"/>
    <cellStyle name="40% - Accent5 2 3 3 4 2 2" xfId="31432" xr:uid="{00000000-0005-0000-0000-0000C0520000}"/>
    <cellStyle name="40% - Accent5 2 3 3 4 2 2 2" xfId="24162" xr:uid="{00000000-0005-0000-0000-0000C1520000}"/>
    <cellStyle name="40% - Accent5 2 3 3 4 2 3" xfId="24165" xr:uid="{00000000-0005-0000-0000-0000C2520000}"/>
    <cellStyle name="40% - Accent5 2 3 3 4 3" xfId="28166" xr:uid="{00000000-0005-0000-0000-0000C3520000}"/>
    <cellStyle name="40% - Accent5 2 3 3 4 3 2" xfId="24172" xr:uid="{00000000-0005-0000-0000-0000C4520000}"/>
    <cellStyle name="40% - Accent5 2 3 3 4 4" xfId="23759" xr:uid="{00000000-0005-0000-0000-0000C5520000}"/>
    <cellStyle name="40% - Accent5 2 3 3 5" xfId="20255" xr:uid="{00000000-0005-0000-0000-0000C6520000}"/>
    <cellStyle name="40% - Accent5 2 3 3 5 2" xfId="24176" xr:uid="{00000000-0005-0000-0000-0000C7520000}"/>
    <cellStyle name="40% - Accent5 2 3 3 5 2 2" xfId="24177" xr:uid="{00000000-0005-0000-0000-0000C8520000}"/>
    <cellStyle name="40% - Accent5 2 3 3 5 3" xfId="24180" xr:uid="{00000000-0005-0000-0000-0000C9520000}"/>
    <cellStyle name="40% - Accent5 2 3 3 6" xfId="33776" xr:uid="{00000000-0005-0000-0000-0000CA520000}"/>
    <cellStyle name="40% - Accent5 2 3 3 6 2" xfId="385" xr:uid="{00000000-0005-0000-0000-0000CB520000}"/>
    <cellStyle name="40% - Accent5 2 3 3 7" xfId="24187" xr:uid="{00000000-0005-0000-0000-0000CC520000}"/>
    <cellStyle name="40% - Accent5 2 3 4" xfId="24189" xr:uid="{00000000-0005-0000-0000-0000CD520000}"/>
    <cellStyle name="40% - Accent5 2 3 4 2" xfId="19825" xr:uid="{00000000-0005-0000-0000-0000CE520000}"/>
    <cellStyle name="40% - Accent5 2 3 4 2 2" xfId="33960" xr:uid="{00000000-0005-0000-0000-0000CF520000}"/>
    <cellStyle name="40% - Accent5 2 3 4 2 2 2" xfId="2331" xr:uid="{00000000-0005-0000-0000-0000D0520000}"/>
    <cellStyle name="40% - Accent5 2 3 4 2 2 2 2" xfId="20430" xr:uid="{00000000-0005-0000-0000-0000D1520000}"/>
    <cellStyle name="40% - Accent5 2 3 4 2 2 2 2 2" xfId="7929" xr:uid="{00000000-0005-0000-0000-0000D2520000}"/>
    <cellStyle name="40% - Accent5 2 3 4 2 2 2 3" xfId="29187" xr:uid="{00000000-0005-0000-0000-0000D3520000}"/>
    <cellStyle name="40% - Accent5 2 3 4 2 2 3" xfId="11049" xr:uid="{00000000-0005-0000-0000-0000D4520000}"/>
    <cellStyle name="40% - Accent5 2 3 4 2 2 3 2" xfId="24190" xr:uid="{00000000-0005-0000-0000-0000D5520000}"/>
    <cellStyle name="40% - Accent5 2 3 4 2 2 4" xfId="9652" xr:uid="{00000000-0005-0000-0000-0000D6520000}"/>
    <cellStyle name="40% - Accent5 2 3 4 2 3" xfId="24195" xr:uid="{00000000-0005-0000-0000-0000D7520000}"/>
    <cellStyle name="40% - Accent5 2 3 4 2 3 2" xfId="2771" xr:uid="{00000000-0005-0000-0000-0000D8520000}"/>
    <cellStyle name="40% - Accent5 2 3 4 2 3 2 2" xfId="24201" xr:uid="{00000000-0005-0000-0000-0000D9520000}"/>
    <cellStyle name="40% - Accent5 2 3 4 2 3 3" xfId="24203" xr:uid="{00000000-0005-0000-0000-0000DA520000}"/>
    <cellStyle name="40% - Accent5 2 3 4 2 4" xfId="28483" xr:uid="{00000000-0005-0000-0000-0000DB520000}"/>
    <cellStyle name="40% - Accent5 2 3 4 2 4 2" xfId="29801" xr:uid="{00000000-0005-0000-0000-0000DC520000}"/>
    <cellStyle name="40% - Accent5 2 3 4 2 5" xfId="32628" xr:uid="{00000000-0005-0000-0000-0000DD520000}"/>
    <cellStyle name="40% - Accent5 2 3 4 3" xfId="24210" xr:uid="{00000000-0005-0000-0000-0000DE520000}"/>
    <cellStyle name="40% - Accent5 2 3 4 3 2" xfId="24211" xr:uid="{00000000-0005-0000-0000-0000DF520000}"/>
    <cellStyle name="40% - Accent5 2 3 4 3 2 2" xfId="28181" xr:uid="{00000000-0005-0000-0000-0000E0520000}"/>
    <cellStyle name="40% - Accent5 2 3 4 3 2 2 2" xfId="28097" xr:uid="{00000000-0005-0000-0000-0000E1520000}"/>
    <cellStyle name="40% - Accent5 2 3 4 3 2 3" xfId="11067" xr:uid="{00000000-0005-0000-0000-0000E2520000}"/>
    <cellStyle name="40% - Accent5 2 3 4 3 3" xfId="24215" xr:uid="{00000000-0005-0000-0000-0000E3520000}"/>
    <cellStyle name="40% - Accent5 2 3 4 3 3 2" xfId="269" xr:uid="{00000000-0005-0000-0000-0000E4520000}"/>
    <cellStyle name="40% - Accent5 2 3 4 3 4" xfId="30365" xr:uid="{00000000-0005-0000-0000-0000E5520000}"/>
    <cellStyle name="40% - Accent5 2 3 4 4" xfId="24219" xr:uid="{00000000-0005-0000-0000-0000E6520000}"/>
    <cellStyle name="40% - Accent5 2 3 4 4 2" xfId="31928" xr:uid="{00000000-0005-0000-0000-0000E7520000}"/>
    <cellStyle name="40% - Accent5 2 3 4 4 2 2" xfId="27075" xr:uid="{00000000-0005-0000-0000-0000E8520000}"/>
    <cellStyle name="40% - Accent5 2 3 4 4 3" xfId="12069" xr:uid="{00000000-0005-0000-0000-0000E9520000}"/>
    <cellStyle name="40% - Accent5 2 3 4 5" xfId="18757" xr:uid="{00000000-0005-0000-0000-0000EA520000}"/>
    <cellStyle name="40% - Accent5 2 3 4 5 2" xfId="28260" xr:uid="{00000000-0005-0000-0000-0000EB520000}"/>
    <cellStyle name="40% - Accent5 2 3 4 6" xfId="18761" xr:uid="{00000000-0005-0000-0000-0000EC520000}"/>
    <cellStyle name="40% - Accent5 2 3 5" xfId="24223" xr:uid="{00000000-0005-0000-0000-0000ED520000}"/>
    <cellStyle name="40% - Accent5 2 3 5 2" xfId="9512" xr:uid="{00000000-0005-0000-0000-0000EE520000}"/>
    <cellStyle name="40% - Accent5 2 3 5 2 2" xfId="24224" xr:uid="{00000000-0005-0000-0000-0000EF520000}"/>
    <cellStyle name="40% - Accent5 2 3 5 2 2 2" xfId="9245" xr:uid="{00000000-0005-0000-0000-0000F0520000}"/>
    <cellStyle name="40% - Accent5 2 3 5 2 2 2 2" xfId="10060" xr:uid="{00000000-0005-0000-0000-0000F1520000}"/>
    <cellStyle name="40% - Accent5 2 3 5 2 2 3" xfId="24225" xr:uid="{00000000-0005-0000-0000-0000F2520000}"/>
    <cellStyle name="40% - Accent5 2 3 5 2 3" xfId="24230" xr:uid="{00000000-0005-0000-0000-0000F3520000}"/>
    <cellStyle name="40% - Accent5 2 3 5 2 3 2" xfId="24234" xr:uid="{00000000-0005-0000-0000-0000F4520000}"/>
    <cellStyle name="40% - Accent5 2 3 5 2 4" xfId="27751" xr:uid="{00000000-0005-0000-0000-0000F5520000}"/>
    <cellStyle name="40% - Accent5 2 3 5 3" xfId="24239" xr:uid="{00000000-0005-0000-0000-0000F6520000}"/>
    <cellStyle name="40% - Accent5 2 3 5 3 2" xfId="24242" xr:uid="{00000000-0005-0000-0000-0000F7520000}"/>
    <cellStyle name="40% - Accent5 2 3 5 3 2 2" xfId="15362" xr:uid="{00000000-0005-0000-0000-0000F8520000}"/>
    <cellStyle name="40% - Accent5 2 3 5 3 3" xfId="24243" xr:uid="{00000000-0005-0000-0000-0000F9520000}"/>
    <cellStyle name="40% - Accent5 2 3 5 4" xfId="25529" xr:uid="{00000000-0005-0000-0000-0000FA520000}"/>
    <cellStyle name="40% - Accent5 2 3 5 4 2" xfId="23699" xr:uid="{00000000-0005-0000-0000-0000FB520000}"/>
    <cellStyle name="40% - Accent5 2 3 5 5" xfId="25534" xr:uid="{00000000-0005-0000-0000-0000FC520000}"/>
    <cellStyle name="40% - Accent5 2 3 6" xfId="24245" xr:uid="{00000000-0005-0000-0000-0000FD520000}"/>
    <cellStyle name="40% - Accent5 2 3 6 2" xfId="24247" xr:uid="{00000000-0005-0000-0000-0000FE520000}"/>
    <cellStyle name="40% - Accent5 2 3 6 2 2" xfId="24248" xr:uid="{00000000-0005-0000-0000-0000FF520000}"/>
    <cellStyle name="40% - Accent5 2 3 6 2 2 2" xfId="24252" xr:uid="{00000000-0005-0000-0000-000000530000}"/>
    <cellStyle name="40% - Accent5 2 3 6 2 3" xfId="24255" xr:uid="{00000000-0005-0000-0000-000001530000}"/>
    <cellStyle name="40% - Accent5 2 3 6 3" xfId="24258" xr:uid="{00000000-0005-0000-0000-000002530000}"/>
    <cellStyle name="40% - Accent5 2 3 6 3 2" xfId="24263" xr:uid="{00000000-0005-0000-0000-000003530000}"/>
    <cellStyle name="40% - Accent5 2 3 6 4" xfId="24268" xr:uid="{00000000-0005-0000-0000-000004530000}"/>
    <cellStyle name="40% - Accent5 2 3 7" xfId="6243" xr:uid="{00000000-0005-0000-0000-000005530000}"/>
    <cellStyle name="40% - Accent5 2 3 7 2" xfId="24271" xr:uid="{00000000-0005-0000-0000-000006530000}"/>
    <cellStyle name="40% - Accent5 2 3 7 2 2" xfId="24273" xr:uid="{00000000-0005-0000-0000-000007530000}"/>
    <cellStyle name="40% - Accent5 2 3 7 3" xfId="21445" xr:uid="{00000000-0005-0000-0000-000008530000}"/>
    <cellStyle name="40% - Accent5 2 3 8" xfId="16989" xr:uid="{00000000-0005-0000-0000-000009530000}"/>
    <cellStyle name="40% - Accent5 2 3 8 2" xfId="24277" xr:uid="{00000000-0005-0000-0000-00000A530000}"/>
    <cellStyle name="40% - Accent5 2 3 9" xfId="16993" xr:uid="{00000000-0005-0000-0000-00000B530000}"/>
    <cellStyle name="40% - Accent5 2 4" xfId="2661" xr:uid="{00000000-0005-0000-0000-00000C530000}"/>
    <cellStyle name="40% - Accent5 2 4 2" xfId="7630" xr:uid="{00000000-0005-0000-0000-00000D530000}"/>
    <cellStyle name="40% - Accent5 2 4 2 2" xfId="7633" xr:uid="{00000000-0005-0000-0000-00000E530000}"/>
    <cellStyle name="40% - Accent5 2 4 2 2 2" xfId="24280" xr:uid="{00000000-0005-0000-0000-00000F530000}"/>
    <cellStyle name="40% - Accent5 2 4 2 2 2 2" xfId="28164" xr:uid="{00000000-0005-0000-0000-000010530000}"/>
    <cellStyle name="40% - Accent5 2 4 2 2 2 2 2" xfId="21931" xr:uid="{00000000-0005-0000-0000-000011530000}"/>
    <cellStyle name="40% - Accent5 2 4 2 2 2 2 2 2" xfId="27583" xr:uid="{00000000-0005-0000-0000-000012530000}"/>
    <cellStyle name="40% - Accent5 2 4 2 2 2 2 2 2 2" xfId="24283" xr:uid="{00000000-0005-0000-0000-000013530000}"/>
    <cellStyle name="40% - Accent5 2 4 2 2 2 2 2 3" xfId="26352" xr:uid="{00000000-0005-0000-0000-000014530000}"/>
    <cellStyle name="40% - Accent5 2 4 2 2 2 2 3" xfId="21933" xr:uid="{00000000-0005-0000-0000-000015530000}"/>
    <cellStyle name="40% - Accent5 2 4 2 2 2 2 3 2" xfId="24286" xr:uid="{00000000-0005-0000-0000-000016530000}"/>
    <cellStyle name="40% - Accent5 2 4 2 2 2 2 4" xfId="24288" xr:uid="{00000000-0005-0000-0000-000017530000}"/>
    <cellStyle name="40% - Accent5 2 4 2 2 2 3" xfId="9313" xr:uid="{00000000-0005-0000-0000-000018530000}"/>
    <cellStyle name="40% - Accent5 2 4 2 2 2 3 2" xfId="21937" xr:uid="{00000000-0005-0000-0000-000019530000}"/>
    <cellStyle name="40% - Accent5 2 4 2 2 2 3 2 2" xfId="31717" xr:uid="{00000000-0005-0000-0000-00001A530000}"/>
    <cellStyle name="40% - Accent5 2 4 2 2 2 3 3" xfId="30065" xr:uid="{00000000-0005-0000-0000-00001B530000}"/>
    <cellStyle name="40% - Accent5 2 4 2 2 2 4" xfId="13479" xr:uid="{00000000-0005-0000-0000-00001C530000}"/>
    <cellStyle name="40% - Accent5 2 4 2 2 2 4 2" xfId="24293" xr:uid="{00000000-0005-0000-0000-00001D530000}"/>
    <cellStyle name="40% - Accent5 2 4 2 2 2 5" xfId="2900" xr:uid="{00000000-0005-0000-0000-00001E530000}"/>
    <cellStyle name="40% - Accent5 2 4 2 2 3" xfId="30446" xr:uid="{00000000-0005-0000-0000-00001F530000}"/>
    <cellStyle name="40% - Accent5 2 4 2 2 3 2" xfId="9320" xr:uid="{00000000-0005-0000-0000-000020530000}"/>
    <cellStyle name="40% - Accent5 2 4 2 2 3 2 2" xfId="21947" xr:uid="{00000000-0005-0000-0000-000021530000}"/>
    <cellStyle name="40% - Accent5 2 4 2 2 3 2 2 2" xfId="13640" xr:uid="{00000000-0005-0000-0000-000022530000}"/>
    <cellStyle name="40% - Accent5 2 4 2 2 3 2 3" xfId="11055" xr:uid="{00000000-0005-0000-0000-000023530000}"/>
    <cellStyle name="40% - Accent5 2 4 2 2 3 3" xfId="9410" xr:uid="{00000000-0005-0000-0000-000024530000}"/>
    <cellStyle name="40% - Accent5 2 4 2 2 3 3 2" xfId="30223" xr:uid="{00000000-0005-0000-0000-000025530000}"/>
    <cellStyle name="40% - Accent5 2 4 2 2 3 4" xfId="2967" xr:uid="{00000000-0005-0000-0000-000026530000}"/>
    <cellStyle name="40% - Accent5 2 4 2 2 4" xfId="24297" xr:uid="{00000000-0005-0000-0000-000027530000}"/>
    <cellStyle name="40% - Accent5 2 4 2 2 4 2" xfId="29024" xr:uid="{00000000-0005-0000-0000-000028530000}"/>
    <cellStyle name="40% - Accent5 2 4 2 2 4 2 2" xfId="24365" xr:uid="{00000000-0005-0000-0000-000029530000}"/>
    <cellStyle name="40% - Accent5 2 4 2 2 4 3" xfId="32846" xr:uid="{00000000-0005-0000-0000-00002A530000}"/>
    <cellStyle name="40% - Accent5 2 4 2 2 5" xfId="7107" xr:uid="{00000000-0005-0000-0000-00002B530000}"/>
    <cellStyle name="40% - Accent5 2 4 2 2 5 2" xfId="8995" xr:uid="{00000000-0005-0000-0000-00002C530000}"/>
    <cellStyle name="40% - Accent5 2 4 2 2 6" xfId="18552" xr:uid="{00000000-0005-0000-0000-00002D530000}"/>
    <cellStyle name="40% - Accent5 2 4 2 3" xfId="24298" xr:uid="{00000000-0005-0000-0000-00002E530000}"/>
    <cellStyle name="40% - Accent5 2 4 2 3 2" xfId="32870" xr:uid="{00000000-0005-0000-0000-00002F530000}"/>
    <cellStyle name="40% - Accent5 2 4 2 3 2 2" xfId="12" xr:uid="{00000000-0005-0000-0000-000030530000}"/>
    <cellStyle name="40% - Accent5 2 4 2 3 2 2 2" xfId="28399" xr:uid="{00000000-0005-0000-0000-000031530000}"/>
    <cellStyle name="40% - Accent5 2 4 2 3 2 2 2 2" xfId="2330" xr:uid="{00000000-0005-0000-0000-000032530000}"/>
    <cellStyle name="40% - Accent5 2 4 2 3 2 2 3" xfId="31046" xr:uid="{00000000-0005-0000-0000-000033530000}"/>
    <cellStyle name="40% - Accent5 2 4 2 3 2 3" xfId="9023" xr:uid="{00000000-0005-0000-0000-000034530000}"/>
    <cellStyle name="40% - Accent5 2 4 2 3 2 3 2" xfId="22747" xr:uid="{00000000-0005-0000-0000-000035530000}"/>
    <cellStyle name="40% - Accent5 2 4 2 3 2 4" xfId="3082" xr:uid="{00000000-0005-0000-0000-000036530000}"/>
    <cellStyle name="40% - Accent5 2 4 2 3 3" xfId="24300" xr:uid="{00000000-0005-0000-0000-000037530000}"/>
    <cellStyle name="40% - Accent5 2 4 2 3 3 2" xfId="520" xr:uid="{00000000-0005-0000-0000-000038530000}"/>
    <cellStyle name="40% - Accent5 2 4 2 3 3 2 2" xfId="31058" xr:uid="{00000000-0005-0000-0000-000039530000}"/>
    <cellStyle name="40% - Accent5 2 4 2 3 3 3" xfId="28343" xr:uid="{00000000-0005-0000-0000-00003A530000}"/>
    <cellStyle name="40% - Accent5 2 4 2 3 4" xfId="23828" xr:uid="{00000000-0005-0000-0000-00003B530000}"/>
    <cellStyle name="40% - Accent5 2 4 2 3 4 2" xfId="31049" xr:uid="{00000000-0005-0000-0000-00003C530000}"/>
    <cellStyle name="40% - Accent5 2 4 2 3 5" xfId="23837" xr:uid="{00000000-0005-0000-0000-00003D530000}"/>
    <cellStyle name="40% - Accent5 2 4 2 4" xfId="24306" xr:uid="{00000000-0005-0000-0000-00003E530000}"/>
    <cellStyle name="40% - Accent5 2 4 2 4 2" xfId="30057" xr:uid="{00000000-0005-0000-0000-00003F530000}"/>
    <cellStyle name="40% - Accent5 2 4 2 4 2 2" xfId="8074" xr:uid="{00000000-0005-0000-0000-000040530000}"/>
    <cellStyle name="40% - Accent5 2 4 2 4 2 2 2" xfId="265" xr:uid="{00000000-0005-0000-0000-000041530000}"/>
    <cellStyle name="40% - Accent5 2 4 2 4 2 3" xfId="24310" xr:uid="{00000000-0005-0000-0000-000042530000}"/>
    <cellStyle name="40% - Accent5 2 4 2 4 3" xfId="24312" xr:uid="{00000000-0005-0000-0000-000043530000}"/>
    <cellStyle name="40% - Accent5 2 4 2 4 3 2" xfId="17021" xr:uid="{00000000-0005-0000-0000-000044530000}"/>
    <cellStyle name="40% - Accent5 2 4 2 4 4" xfId="23846" xr:uid="{00000000-0005-0000-0000-000045530000}"/>
    <cellStyle name="40% - Accent5 2 4 2 5" xfId="33579" xr:uid="{00000000-0005-0000-0000-000046530000}"/>
    <cellStyle name="40% - Accent5 2 4 2 5 2" xfId="20957" xr:uid="{00000000-0005-0000-0000-000047530000}"/>
    <cellStyle name="40% - Accent5 2 4 2 5 2 2" xfId="14288" xr:uid="{00000000-0005-0000-0000-000048530000}"/>
    <cellStyle name="40% - Accent5 2 4 2 5 3" xfId="24324" xr:uid="{00000000-0005-0000-0000-000049530000}"/>
    <cellStyle name="40% - Accent5 2 4 2 6" xfId="28332" xr:uid="{00000000-0005-0000-0000-00004A530000}"/>
    <cellStyle name="40% - Accent5 2 4 2 6 2" xfId="30120" xr:uid="{00000000-0005-0000-0000-00004B530000}"/>
    <cellStyle name="40% - Accent5 2 4 2 7" xfId="21939" xr:uid="{00000000-0005-0000-0000-00004C530000}"/>
    <cellStyle name="40% - Accent5 2 4 3" xfId="7642" xr:uid="{00000000-0005-0000-0000-00004D530000}"/>
    <cellStyle name="40% - Accent5 2 4 3 2" xfId="24326" xr:uid="{00000000-0005-0000-0000-00004E530000}"/>
    <cellStyle name="40% - Accent5 2 4 3 2 2" xfId="33902" xr:uid="{00000000-0005-0000-0000-00004F530000}"/>
    <cellStyle name="40% - Accent5 2 4 3 2 2 2" xfId="9625" xr:uid="{00000000-0005-0000-0000-000050530000}"/>
    <cellStyle name="40% - Accent5 2 4 3 2 2 2 2" xfId="8401" xr:uid="{00000000-0005-0000-0000-000051530000}"/>
    <cellStyle name="40% - Accent5 2 4 3 2 2 2 2 2" xfId="21650" xr:uid="{00000000-0005-0000-0000-000052530000}"/>
    <cellStyle name="40% - Accent5 2 4 3 2 2 2 3" xfId="32429" xr:uid="{00000000-0005-0000-0000-000053530000}"/>
    <cellStyle name="40% - Accent5 2 4 3 2 2 3" xfId="11111" xr:uid="{00000000-0005-0000-0000-000054530000}"/>
    <cellStyle name="40% - Accent5 2 4 3 2 2 3 2" xfId="24329" xr:uid="{00000000-0005-0000-0000-000055530000}"/>
    <cellStyle name="40% - Accent5 2 4 3 2 2 4" xfId="22918" xr:uid="{00000000-0005-0000-0000-000056530000}"/>
    <cellStyle name="40% - Accent5 2 4 3 2 3" xfId="24332" xr:uid="{00000000-0005-0000-0000-000057530000}"/>
    <cellStyle name="40% - Accent5 2 4 3 2 3 2" xfId="9362" xr:uid="{00000000-0005-0000-0000-000058530000}"/>
    <cellStyle name="40% - Accent5 2 4 3 2 3 2 2" xfId="26527" xr:uid="{00000000-0005-0000-0000-000059530000}"/>
    <cellStyle name="40% - Accent5 2 4 3 2 3 3" xfId="19704" xr:uid="{00000000-0005-0000-0000-00005A530000}"/>
    <cellStyle name="40% - Accent5 2 4 3 2 4" xfId="24334" xr:uid="{00000000-0005-0000-0000-00005B530000}"/>
    <cellStyle name="40% - Accent5 2 4 3 2 4 2" xfId="3097" xr:uid="{00000000-0005-0000-0000-00005C530000}"/>
    <cellStyle name="40% - Accent5 2 4 3 2 5" xfId="32122" xr:uid="{00000000-0005-0000-0000-00005D530000}"/>
    <cellStyle name="40% - Accent5 2 4 3 3" xfId="27361" xr:uid="{00000000-0005-0000-0000-00005E530000}"/>
    <cellStyle name="40% - Accent5 2 4 3 3 2" xfId="24337" xr:uid="{00000000-0005-0000-0000-00005F530000}"/>
    <cellStyle name="40% - Accent5 2 4 3 3 2 2" xfId="2785" xr:uid="{00000000-0005-0000-0000-000060530000}"/>
    <cellStyle name="40% - Accent5 2 4 3 3 2 2 2" xfId="18529" xr:uid="{00000000-0005-0000-0000-000061530000}"/>
    <cellStyle name="40% - Accent5 2 4 3 3 2 3" xfId="19915" xr:uid="{00000000-0005-0000-0000-000062530000}"/>
    <cellStyle name="40% - Accent5 2 4 3 3 3" xfId="24340" xr:uid="{00000000-0005-0000-0000-000063530000}"/>
    <cellStyle name="40% - Accent5 2 4 3 3 3 2" xfId="31105" xr:uid="{00000000-0005-0000-0000-000064530000}"/>
    <cellStyle name="40% - Accent5 2 4 3 3 4" xfId="23853" xr:uid="{00000000-0005-0000-0000-000065530000}"/>
    <cellStyle name="40% - Accent5 2 4 3 4" xfId="24344" xr:uid="{00000000-0005-0000-0000-000066530000}"/>
    <cellStyle name="40% - Accent5 2 4 3 4 2" xfId="30220" xr:uid="{00000000-0005-0000-0000-000067530000}"/>
    <cellStyle name="40% - Accent5 2 4 3 4 2 2" xfId="13715" xr:uid="{00000000-0005-0000-0000-000068530000}"/>
    <cellStyle name="40% - Accent5 2 4 3 4 3" xfId="30224" xr:uid="{00000000-0005-0000-0000-000069530000}"/>
    <cellStyle name="40% - Accent5 2 4 3 5" xfId="21872" xr:uid="{00000000-0005-0000-0000-00006A530000}"/>
    <cellStyle name="40% - Accent5 2 4 3 5 2" xfId="30886" xr:uid="{00000000-0005-0000-0000-00006B530000}"/>
    <cellStyle name="40% - Accent5 2 4 3 6" xfId="31496" xr:uid="{00000000-0005-0000-0000-00006C530000}"/>
    <cellStyle name="40% - Accent5 2 4 4" xfId="1058" xr:uid="{00000000-0005-0000-0000-00006D530000}"/>
    <cellStyle name="40% - Accent5 2 4 4 2" xfId="2381" xr:uid="{00000000-0005-0000-0000-00006E530000}"/>
    <cellStyle name="40% - Accent5 2 4 4 2 2" xfId="2198" xr:uid="{00000000-0005-0000-0000-00006F530000}"/>
    <cellStyle name="40% - Accent5 2 4 4 2 2 2" xfId="13838" xr:uid="{00000000-0005-0000-0000-000070530000}"/>
    <cellStyle name="40% - Accent5 2 4 4 2 2 2 2" xfId="24351" xr:uid="{00000000-0005-0000-0000-000071530000}"/>
    <cellStyle name="40% - Accent5 2 4 4 2 2 3" xfId="24354" xr:uid="{00000000-0005-0000-0000-000072530000}"/>
    <cellStyle name="40% - Accent5 2 4 4 2 3" xfId="13281" xr:uid="{00000000-0005-0000-0000-000073530000}"/>
    <cellStyle name="40% - Accent5 2 4 4 2 3 2" xfId="24356" xr:uid="{00000000-0005-0000-0000-000074530000}"/>
    <cellStyle name="40% - Accent5 2 4 4 2 4" xfId="24357" xr:uid="{00000000-0005-0000-0000-000075530000}"/>
    <cellStyle name="40% - Accent5 2 4 4 3" xfId="2491" xr:uid="{00000000-0005-0000-0000-000076530000}"/>
    <cellStyle name="40% - Accent5 2 4 4 3 2" xfId="2501" xr:uid="{00000000-0005-0000-0000-000077530000}"/>
    <cellStyle name="40% - Accent5 2 4 4 3 2 2" xfId="24363" xr:uid="{00000000-0005-0000-0000-000078530000}"/>
    <cellStyle name="40% - Accent5 2 4 4 3 3" xfId="24368" xr:uid="{00000000-0005-0000-0000-000079530000}"/>
    <cellStyle name="40% - Accent5 2 4 4 4" xfId="3198" xr:uid="{00000000-0005-0000-0000-00007A530000}"/>
    <cellStyle name="40% - Accent5 2 4 4 4 2" xfId="32409" xr:uid="{00000000-0005-0000-0000-00007B530000}"/>
    <cellStyle name="40% - Accent5 2 4 4 5" xfId="18767" xr:uid="{00000000-0005-0000-0000-00007C530000}"/>
    <cellStyle name="40% - Accent5 2 4 5" xfId="24376" xr:uid="{00000000-0005-0000-0000-00007D530000}"/>
    <cellStyle name="40% - Accent5 2 4 5 2" xfId="2613" xr:uid="{00000000-0005-0000-0000-00007E530000}"/>
    <cellStyle name="40% - Accent5 2 4 5 2 2" xfId="2619" xr:uid="{00000000-0005-0000-0000-00007F530000}"/>
    <cellStyle name="40% - Accent5 2 4 5 2 2 2" xfId="24381" xr:uid="{00000000-0005-0000-0000-000080530000}"/>
    <cellStyle name="40% - Accent5 2 4 5 2 3" xfId="24387" xr:uid="{00000000-0005-0000-0000-000081530000}"/>
    <cellStyle name="40% - Accent5 2 4 5 3" xfId="2694" xr:uid="{00000000-0005-0000-0000-000082530000}"/>
    <cellStyle name="40% - Accent5 2 4 5 3 2" xfId="20274" xr:uid="{00000000-0005-0000-0000-000083530000}"/>
    <cellStyle name="40% - Accent5 2 4 5 4" xfId="20293" xr:uid="{00000000-0005-0000-0000-000084530000}"/>
    <cellStyle name="40% - Accent5 2 4 6" xfId="17925" xr:uid="{00000000-0005-0000-0000-000085530000}"/>
    <cellStyle name="40% - Accent5 2 4 6 2" xfId="16091" xr:uid="{00000000-0005-0000-0000-000086530000}"/>
    <cellStyle name="40% - Accent5 2 4 6 2 2" xfId="24402" xr:uid="{00000000-0005-0000-0000-000087530000}"/>
    <cellStyle name="40% - Accent5 2 4 6 3" xfId="523" xr:uid="{00000000-0005-0000-0000-000088530000}"/>
    <cellStyle name="40% - Accent5 2 4 7" xfId="24407" xr:uid="{00000000-0005-0000-0000-000089530000}"/>
    <cellStyle name="40% - Accent5 2 4 7 2" xfId="24408" xr:uid="{00000000-0005-0000-0000-00008A530000}"/>
    <cellStyle name="40% - Accent5 2 4 8" xfId="17005" xr:uid="{00000000-0005-0000-0000-00008B530000}"/>
    <cellStyle name="40% - Accent5 2 5" xfId="5921" xr:uid="{00000000-0005-0000-0000-00008C530000}"/>
    <cellStyle name="40% - Accent5 2 5 2" xfId="7726" xr:uid="{00000000-0005-0000-0000-00008D530000}"/>
    <cellStyle name="40% - Accent5 2 5 2 2" xfId="32524" xr:uid="{00000000-0005-0000-0000-00008E530000}"/>
    <cellStyle name="40% - Accent5 2 5 2 2 2" xfId="16831" xr:uid="{00000000-0005-0000-0000-00008F530000}"/>
    <cellStyle name="40% - Accent5 2 5 2 2 2 2" xfId="24657" xr:uid="{00000000-0005-0000-0000-000090530000}"/>
    <cellStyle name="40% - Accent5 2 5 2 2 2 2 2" xfId="11880" xr:uid="{00000000-0005-0000-0000-000091530000}"/>
    <cellStyle name="40% - Accent5 2 5 2 2 2 2 2 2" xfId="23649" xr:uid="{00000000-0005-0000-0000-000092530000}"/>
    <cellStyle name="40% - Accent5 2 5 2 2 2 2 3" xfId="21808" xr:uid="{00000000-0005-0000-0000-000093530000}"/>
    <cellStyle name="40% - Accent5 2 5 2 2 2 3" xfId="14295" xr:uid="{00000000-0005-0000-0000-000094530000}"/>
    <cellStyle name="40% - Accent5 2 5 2 2 2 3 2" xfId="27343" xr:uid="{00000000-0005-0000-0000-000095530000}"/>
    <cellStyle name="40% - Accent5 2 5 2 2 2 4" xfId="1887" xr:uid="{00000000-0005-0000-0000-000096530000}"/>
    <cellStyle name="40% - Accent5 2 5 2 2 3" xfId="19785" xr:uid="{00000000-0005-0000-0000-000097530000}"/>
    <cellStyle name="40% - Accent5 2 5 2 2 3 2" xfId="9451" xr:uid="{00000000-0005-0000-0000-000098530000}"/>
    <cellStyle name="40% - Accent5 2 5 2 2 3 2 2" xfId="27373" xr:uid="{00000000-0005-0000-0000-000099530000}"/>
    <cellStyle name="40% - Accent5 2 5 2 2 3 3" xfId="24411" xr:uid="{00000000-0005-0000-0000-00009A530000}"/>
    <cellStyle name="40% - Accent5 2 5 2 2 4" xfId="30262" xr:uid="{00000000-0005-0000-0000-00009B530000}"/>
    <cellStyle name="40% - Accent5 2 5 2 2 4 2" xfId="24413" xr:uid="{00000000-0005-0000-0000-00009C530000}"/>
    <cellStyle name="40% - Accent5 2 5 2 2 5" xfId="24416" xr:uid="{00000000-0005-0000-0000-00009D530000}"/>
    <cellStyle name="40% - Accent5 2 5 2 3" xfId="33784" xr:uid="{00000000-0005-0000-0000-00009E530000}"/>
    <cellStyle name="40% - Accent5 2 5 2 3 2" xfId="22677" xr:uid="{00000000-0005-0000-0000-00009F530000}"/>
    <cellStyle name="40% - Accent5 2 5 2 3 2 2" xfId="3002" xr:uid="{00000000-0005-0000-0000-0000A0530000}"/>
    <cellStyle name="40% - Accent5 2 5 2 3 2 2 2" xfId="26463" xr:uid="{00000000-0005-0000-0000-0000A1530000}"/>
    <cellStyle name="40% - Accent5 2 5 2 3 2 3" xfId="3796" xr:uid="{00000000-0005-0000-0000-0000A2530000}"/>
    <cellStyle name="40% - Accent5 2 5 2 3 3" xfId="24916" xr:uid="{00000000-0005-0000-0000-0000A3530000}"/>
    <cellStyle name="40% - Accent5 2 5 2 3 3 2" xfId="31220" xr:uid="{00000000-0005-0000-0000-0000A4530000}"/>
    <cellStyle name="40% - Accent5 2 5 2 3 4" xfId="25711" xr:uid="{00000000-0005-0000-0000-0000A5530000}"/>
    <cellStyle name="40% - Accent5 2 5 2 4" xfId="24418" xr:uid="{00000000-0005-0000-0000-0000A6530000}"/>
    <cellStyle name="40% - Accent5 2 5 2 4 2" xfId="24420" xr:uid="{00000000-0005-0000-0000-0000A7530000}"/>
    <cellStyle name="40% - Accent5 2 5 2 4 2 2" xfId="32118" xr:uid="{00000000-0005-0000-0000-0000A8530000}"/>
    <cellStyle name="40% - Accent5 2 5 2 4 3" xfId="21901" xr:uid="{00000000-0005-0000-0000-0000A9530000}"/>
    <cellStyle name="40% - Accent5 2 5 2 5" xfId="24422" xr:uid="{00000000-0005-0000-0000-0000AA530000}"/>
    <cellStyle name="40% - Accent5 2 5 2 5 2" xfId="24427" xr:uid="{00000000-0005-0000-0000-0000AB530000}"/>
    <cellStyle name="40% - Accent5 2 5 2 6" xfId="15418" xr:uid="{00000000-0005-0000-0000-0000AC530000}"/>
    <cellStyle name="40% - Accent5 2 5 3" xfId="20219" xr:uid="{00000000-0005-0000-0000-0000AD530000}"/>
    <cellStyle name="40% - Accent5 2 5 3 2" xfId="20968" xr:uid="{00000000-0005-0000-0000-0000AE530000}"/>
    <cellStyle name="40% - Accent5 2 5 3 2 2" xfId="6449" xr:uid="{00000000-0005-0000-0000-0000AF530000}"/>
    <cellStyle name="40% - Accent5 2 5 3 2 2 2" xfId="9478" xr:uid="{00000000-0005-0000-0000-0000B0530000}"/>
    <cellStyle name="40% - Accent5 2 5 3 2 2 2 2" xfId="24430" xr:uid="{00000000-0005-0000-0000-0000B1530000}"/>
    <cellStyle name="40% - Accent5 2 5 3 2 2 3" xfId="24433" xr:uid="{00000000-0005-0000-0000-0000B2530000}"/>
    <cellStyle name="40% - Accent5 2 5 3 2 3" xfId="24440" xr:uid="{00000000-0005-0000-0000-0000B3530000}"/>
    <cellStyle name="40% - Accent5 2 5 3 2 3 2" xfId="24444" xr:uid="{00000000-0005-0000-0000-0000B4530000}"/>
    <cellStyle name="40% - Accent5 2 5 3 2 4" xfId="24446" xr:uid="{00000000-0005-0000-0000-0000B5530000}"/>
    <cellStyle name="40% - Accent5 2 5 3 3" xfId="20229" xr:uid="{00000000-0005-0000-0000-0000B6530000}"/>
    <cellStyle name="40% - Accent5 2 5 3 3 2" xfId="24448" xr:uid="{00000000-0005-0000-0000-0000B7530000}"/>
    <cellStyle name="40% - Accent5 2 5 3 3 2 2" xfId="30606" xr:uid="{00000000-0005-0000-0000-0000B8530000}"/>
    <cellStyle name="40% - Accent5 2 5 3 3 3" xfId="24451" xr:uid="{00000000-0005-0000-0000-0000B9530000}"/>
    <cellStyle name="40% - Accent5 2 5 3 4" xfId="28948" xr:uid="{00000000-0005-0000-0000-0000BA530000}"/>
    <cellStyle name="40% - Accent5 2 5 3 4 2" xfId="19846" xr:uid="{00000000-0005-0000-0000-0000BB530000}"/>
    <cellStyle name="40% - Accent5 2 5 3 5" xfId="28950" xr:uid="{00000000-0005-0000-0000-0000BC530000}"/>
    <cellStyle name="40% - Accent5 2 5 4" xfId="20233" xr:uid="{00000000-0005-0000-0000-0000BD530000}"/>
    <cellStyle name="40% - Accent5 2 5 4 2" xfId="12760" xr:uid="{00000000-0005-0000-0000-0000BE530000}"/>
    <cellStyle name="40% - Accent5 2 5 4 2 2" xfId="3156" xr:uid="{00000000-0005-0000-0000-0000BF530000}"/>
    <cellStyle name="40% - Accent5 2 5 4 2 2 2" xfId="23983" xr:uid="{00000000-0005-0000-0000-0000C0530000}"/>
    <cellStyle name="40% - Accent5 2 5 4 2 3" xfId="24460" xr:uid="{00000000-0005-0000-0000-0000C1530000}"/>
    <cellStyle name="40% - Accent5 2 5 4 3" xfId="2902" xr:uid="{00000000-0005-0000-0000-0000C2530000}"/>
    <cellStyle name="40% - Accent5 2 5 4 3 2" xfId="26789" xr:uid="{00000000-0005-0000-0000-0000C3530000}"/>
    <cellStyle name="40% - Accent5 2 5 4 4" xfId="821" xr:uid="{00000000-0005-0000-0000-0000C4530000}"/>
    <cellStyle name="40% - Accent5 2 5 5" xfId="25069" xr:uid="{00000000-0005-0000-0000-0000C5530000}"/>
    <cellStyle name="40% - Accent5 2 5 5 2" xfId="2971" xr:uid="{00000000-0005-0000-0000-0000C6530000}"/>
    <cellStyle name="40% - Accent5 2 5 5 2 2" xfId="24468" xr:uid="{00000000-0005-0000-0000-0000C7530000}"/>
    <cellStyle name="40% - Accent5 2 5 5 3" xfId="28979" xr:uid="{00000000-0005-0000-0000-0000C8530000}"/>
    <cellStyle name="40% - Accent5 2 5 6" xfId="24471" xr:uid="{00000000-0005-0000-0000-0000C9530000}"/>
    <cellStyle name="40% - Accent5 2 5 6 2" xfId="24473" xr:uid="{00000000-0005-0000-0000-0000CA530000}"/>
    <cellStyle name="40% - Accent5 2 5 7" xfId="23193" xr:uid="{00000000-0005-0000-0000-0000CB530000}"/>
    <cellStyle name="40% - Accent5 2 6" xfId="24476" xr:uid="{00000000-0005-0000-0000-0000CC530000}"/>
    <cellStyle name="40% - Accent5 2 6 2" xfId="24482" xr:uid="{00000000-0005-0000-0000-0000CD530000}"/>
    <cellStyle name="40% - Accent5 2 6 2 2" xfId="24486" xr:uid="{00000000-0005-0000-0000-0000CE530000}"/>
    <cellStyle name="40% - Accent5 2 6 2 2 2" xfId="33140" xr:uid="{00000000-0005-0000-0000-0000CF530000}"/>
    <cellStyle name="40% - Accent5 2 6 2 2 2 2" xfId="9506" xr:uid="{00000000-0005-0000-0000-0000D0530000}"/>
    <cellStyle name="40% - Accent5 2 6 2 2 2 2 2" xfId="33278" xr:uid="{00000000-0005-0000-0000-0000D1530000}"/>
    <cellStyle name="40% - Accent5 2 6 2 2 2 3" xfId="24500" xr:uid="{00000000-0005-0000-0000-0000D2530000}"/>
    <cellStyle name="40% - Accent5 2 6 2 2 3" xfId="18260" xr:uid="{00000000-0005-0000-0000-0000D3530000}"/>
    <cellStyle name="40% - Accent5 2 6 2 2 3 2" xfId="24513" xr:uid="{00000000-0005-0000-0000-0000D4530000}"/>
    <cellStyle name="40% - Accent5 2 6 2 2 4" xfId="18263" xr:uid="{00000000-0005-0000-0000-0000D5530000}"/>
    <cellStyle name="40% - Accent5 2 6 2 3" xfId="24518" xr:uid="{00000000-0005-0000-0000-0000D6530000}"/>
    <cellStyle name="40% - Accent5 2 6 2 3 2" xfId="24527" xr:uid="{00000000-0005-0000-0000-0000D7530000}"/>
    <cellStyle name="40% - Accent5 2 6 2 3 2 2" xfId="24531" xr:uid="{00000000-0005-0000-0000-0000D8530000}"/>
    <cellStyle name="40% - Accent5 2 6 2 3 3" xfId="18267" xr:uid="{00000000-0005-0000-0000-0000D9530000}"/>
    <cellStyle name="40% - Accent5 2 6 2 4" xfId="3460" xr:uid="{00000000-0005-0000-0000-0000DA530000}"/>
    <cellStyle name="40% - Accent5 2 6 2 4 2" xfId="1770" xr:uid="{00000000-0005-0000-0000-0000DB530000}"/>
    <cellStyle name="40% - Accent5 2 6 2 5" xfId="10962" xr:uid="{00000000-0005-0000-0000-0000DC530000}"/>
    <cellStyle name="40% - Accent5 2 6 3" xfId="17019" xr:uid="{00000000-0005-0000-0000-0000DD530000}"/>
    <cellStyle name="40% - Accent5 2 6 3 2" xfId="20238" xr:uid="{00000000-0005-0000-0000-0000DE530000}"/>
    <cellStyle name="40% - Accent5 2 6 3 2 2" xfId="24537" xr:uid="{00000000-0005-0000-0000-0000DF530000}"/>
    <cellStyle name="40% - Accent5 2 6 3 2 2 2" xfId="15364" xr:uid="{00000000-0005-0000-0000-0000E0530000}"/>
    <cellStyle name="40% - Accent5 2 6 3 2 3" xfId="18281" xr:uid="{00000000-0005-0000-0000-0000E1530000}"/>
    <cellStyle name="40% - Accent5 2 6 3 3" xfId="24540" xr:uid="{00000000-0005-0000-0000-0000E2530000}"/>
    <cellStyle name="40% - Accent5 2 6 3 3 2" xfId="24542" xr:uid="{00000000-0005-0000-0000-0000E3530000}"/>
    <cellStyle name="40% - Accent5 2 6 3 4" xfId="3730" xr:uid="{00000000-0005-0000-0000-0000E4530000}"/>
    <cellStyle name="40% - Accent5 2 6 4" xfId="20251" xr:uid="{00000000-0005-0000-0000-0000E5530000}"/>
    <cellStyle name="40% - Accent5 2 6 4 2" xfId="3085" xr:uid="{00000000-0005-0000-0000-0000E6530000}"/>
    <cellStyle name="40% - Accent5 2 6 4 2 2" xfId="24555" xr:uid="{00000000-0005-0000-0000-0000E7530000}"/>
    <cellStyle name="40% - Accent5 2 6 4 3" xfId="24557" xr:uid="{00000000-0005-0000-0000-0000E8530000}"/>
    <cellStyle name="40% - Accent5 2 6 5" xfId="24559" xr:uid="{00000000-0005-0000-0000-0000E9530000}"/>
    <cellStyle name="40% - Accent5 2 6 5 2" xfId="24562" xr:uid="{00000000-0005-0000-0000-0000EA530000}"/>
    <cellStyle name="40% - Accent5 2 6 6" xfId="24567" xr:uid="{00000000-0005-0000-0000-0000EB530000}"/>
    <cellStyle name="40% - Accent5 2 7" xfId="24571" xr:uid="{00000000-0005-0000-0000-0000EC530000}"/>
    <cellStyle name="40% - Accent5 2 7 2" xfId="17069" xr:uid="{00000000-0005-0000-0000-0000ED530000}"/>
    <cellStyle name="40% - Accent5 2 7 2 2" xfId="24574" xr:uid="{00000000-0005-0000-0000-0000EE530000}"/>
    <cellStyle name="40% - Accent5 2 7 2 2 2" xfId="24581" xr:uid="{00000000-0005-0000-0000-0000EF530000}"/>
    <cellStyle name="40% - Accent5 2 7 2 2 2 2" xfId="17077" xr:uid="{00000000-0005-0000-0000-0000F0530000}"/>
    <cellStyle name="40% - Accent5 2 7 2 2 3" xfId="18311" xr:uid="{00000000-0005-0000-0000-0000F1530000}"/>
    <cellStyle name="40% - Accent5 2 7 2 3" xfId="24583" xr:uid="{00000000-0005-0000-0000-0000F2530000}"/>
    <cellStyle name="40% - Accent5 2 7 2 3 2" xfId="26878" xr:uid="{00000000-0005-0000-0000-0000F3530000}"/>
    <cellStyle name="40% - Accent5 2 7 2 4" xfId="3739" xr:uid="{00000000-0005-0000-0000-0000F4530000}"/>
    <cellStyle name="40% - Accent5 2 7 3" xfId="20259" xr:uid="{00000000-0005-0000-0000-0000F5530000}"/>
    <cellStyle name="40% - Accent5 2 7 3 2" xfId="24585" xr:uid="{00000000-0005-0000-0000-0000F6530000}"/>
    <cellStyle name="40% - Accent5 2 7 3 2 2" xfId="24589" xr:uid="{00000000-0005-0000-0000-0000F7530000}"/>
    <cellStyle name="40% - Accent5 2 7 3 3" xfId="24593" xr:uid="{00000000-0005-0000-0000-0000F8530000}"/>
    <cellStyle name="40% - Accent5 2 7 4" xfId="23957" xr:uid="{00000000-0005-0000-0000-0000F9530000}"/>
    <cellStyle name="40% - Accent5 2 7 4 2" xfId="25650" xr:uid="{00000000-0005-0000-0000-0000FA530000}"/>
    <cellStyle name="40% - Accent5 2 7 5" xfId="24595" xr:uid="{00000000-0005-0000-0000-0000FB530000}"/>
    <cellStyle name="40% - Accent5 2 8" xfId="16980" xr:uid="{00000000-0005-0000-0000-0000FC530000}"/>
    <cellStyle name="40% - Accent5 2 8 2" xfId="24598" xr:uid="{00000000-0005-0000-0000-0000FD530000}"/>
    <cellStyle name="40% - Accent5 2 8 2 2" xfId="30778" xr:uid="{00000000-0005-0000-0000-0000FE530000}"/>
    <cellStyle name="40% - Accent5 2 8 2 2 2" xfId="32474" xr:uid="{00000000-0005-0000-0000-0000FF530000}"/>
    <cellStyle name="40% - Accent5 2 8 2 3" xfId="32476" xr:uid="{00000000-0005-0000-0000-000000540000}"/>
    <cellStyle name="40% - Accent5 2 8 3" xfId="24607" xr:uid="{00000000-0005-0000-0000-000001540000}"/>
    <cellStyle name="40% - Accent5 2 8 3 2" xfId="24608" xr:uid="{00000000-0005-0000-0000-000002540000}"/>
    <cellStyle name="40% - Accent5 2 8 4" xfId="16588" xr:uid="{00000000-0005-0000-0000-000003540000}"/>
    <cellStyle name="40% - Accent5 2 9" xfId="24615" xr:uid="{00000000-0005-0000-0000-000004540000}"/>
    <cellStyle name="40% - Accent5 2 9 2" xfId="24619" xr:uid="{00000000-0005-0000-0000-000005540000}"/>
    <cellStyle name="40% - Accent5 2 9 2 2" xfId="24621" xr:uid="{00000000-0005-0000-0000-000006540000}"/>
    <cellStyle name="40% - Accent5 2 9 3" xfId="24623" xr:uid="{00000000-0005-0000-0000-000007540000}"/>
    <cellStyle name="40% - Accent5 3" xfId="24628" xr:uid="{00000000-0005-0000-0000-000008540000}"/>
    <cellStyle name="40% - Accent5 3 10" xfId="24631" xr:uid="{00000000-0005-0000-0000-000009540000}"/>
    <cellStyle name="40% - Accent5 3 2" xfId="24634" xr:uid="{00000000-0005-0000-0000-00000A540000}"/>
    <cellStyle name="40% - Accent5 3 2 2" xfId="24639" xr:uid="{00000000-0005-0000-0000-00000B540000}"/>
    <cellStyle name="40% - Accent5 3 2 2 2" xfId="25495" xr:uid="{00000000-0005-0000-0000-00000C540000}"/>
    <cellStyle name="40% - Accent5 3 2 2 2 2" xfId="7446" xr:uid="{00000000-0005-0000-0000-00000D540000}"/>
    <cellStyle name="40% - Accent5 3 2 2 2 2 2" xfId="7449" xr:uid="{00000000-0005-0000-0000-00000E540000}"/>
    <cellStyle name="40% - Accent5 3 2 2 2 2 2 2" xfId="10054" xr:uid="{00000000-0005-0000-0000-00000F540000}"/>
    <cellStyle name="40% - Accent5 3 2 2 2 2 2 2 2" xfId="24641" xr:uid="{00000000-0005-0000-0000-000010540000}"/>
    <cellStyle name="40% - Accent5 3 2 2 2 2 2 2 2 2" xfId="24645" xr:uid="{00000000-0005-0000-0000-000011540000}"/>
    <cellStyle name="40% - Accent5 3 2 2 2 2 2 2 2 2 2" xfId="2992" xr:uid="{00000000-0005-0000-0000-000012540000}"/>
    <cellStyle name="40% - Accent5 3 2 2 2 2 2 2 2 3" xfId="13558" xr:uid="{00000000-0005-0000-0000-000013540000}"/>
    <cellStyle name="40% - Accent5 3 2 2 2 2 2 2 3" xfId="24649" xr:uid="{00000000-0005-0000-0000-000014540000}"/>
    <cellStyle name="40% - Accent5 3 2 2 2 2 2 2 3 2" xfId="24652" xr:uid="{00000000-0005-0000-0000-000015540000}"/>
    <cellStyle name="40% - Accent5 3 2 2 2 2 2 2 4" xfId="5430" xr:uid="{00000000-0005-0000-0000-000016540000}"/>
    <cellStyle name="40% - Accent5 3 2 2 2 2 2 3" xfId="11654" xr:uid="{00000000-0005-0000-0000-000017540000}"/>
    <cellStyle name="40% - Accent5 3 2 2 2 2 2 3 2" xfId="24656" xr:uid="{00000000-0005-0000-0000-000018540000}"/>
    <cellStyle name="40% - Accent5 3 2 2 2 2 2 3 2 2" xfId="24667" xr:uid="{00000000-0005-0000-0000-000019540000}"/>
    <cellStyle name="40% - Accent5 3 2 2 2 2 2 3 3" xfId="24668" xr:uid="{00000000-0005-0000-0000-00001A540000}"/>
    <cellStyle name="40% - Accent5 3 2 2 2 2 2 4" xfId="979" xr:uid="{00000000-0005-0000-0000-00001B540000}"/>
    <cellStyle name="40% - Accent5 3 2 2 2 2 2 4 2" xfId="28391" xr:uid="{00000000-0005-0000-0000-00001C540000}"/>
    <cellStyle name="40% - Accent5 3 2 2 2 2 2 5" xfId="7920" xr:uid="{00000000-0005-0000-0000-00001D540000}"/>
    <cellStyle name="40% - Accent5 3 2 2 2 2 3" xfId="7451" xr:uid="{00000000-0005-0000-0000-00001E540000}"/>
    <cellStyle name="40% - Accent5 3 2 2 2 2 3 2" xfId="24109" xr:uid="{00000000-0005-0000-0000-00001F540000}"/>
    <cellStyle name="40% - Accent5 3 2 2 2 2 3 2 2" xfId="24670" xr:uid="{00000000-0005-0000-0000-000020540000}"/>
    <cellStyle name="40% - Accent5 3 2 2 2 2 3 2 2 2" xfId="23874" xr:uid="{00000000-0005-0000-0000-000021540000}"/>
    <cellStyle name="40% - Accent5 3 2 2 2 2 3 2 3" xfId="8985" xr:uid="{00000000-0005-0000-0000-000022540000}"/>
    <cellStyle name="40% - Accent5 3 2 2 2 2 3 3" xfId="1000" xr:uid="{00000000-0005-0000-0000-000023540000}"/>
    <cellStyle name="40% - Accent5 3 2 2 2 2 3 3 2" xfId="24683" xr:uid="{00000000-0005-0000-0000-000024540000}"/>
    <cellStyle name="40% - Accent5 3 2 2 2 2 3 4" xfId="1005" xr:uid="{00000000-0005-0000-0000-000025540000}"/>
    <cellStyle name="40% - Accent5 3 2 2 2 2 4" xfId="30628" xr:uid="{00000000-0005-0000-0000-000026540000}"/>
    <cellStyle name="40% - Accent5 3 2 2 2 2 4 2" xfId="22828" xr:uid="{00000000-0005-0000-0000-000027540000}"/>
    <cellStyle name="40% - Accent5 3 2 2 2 2 4 2 2" xfId="24690" xr:uid="{00000000-0005-0000-0000-000028540000}"/>
    <cellStyle name="40% - Accent5 3 2 2 2 2 4 3" xfId="5763" xr:uid="{00000000-0005-0000-0000-000029540000}"/>
    <cellStyle name="40% - Accent5 3 2 2 2 2 5" xfId="22374" xr:uid="{00000000-0005-0000-0000-00002A540000}"/>
    <cellStyle name="40% - Accent5 3 2 2 2 2 5 2" xfId="24695" xr:uid="{00000000-0005-0000-0000-00002B540000}"/>
    <cellStyle name="40% - Accent5 3 2 2 2 2 6" xfId="24637" xr:uid="{00000000-0005-0000-0000-00002C540000}"/>
    <cellStyle name="40% - Accent5 3 2 2 2 3" xfId="6976" xr:uid="{00000000-0005-0000-0000-00002D540000}"/>
    <cellStyle name="40% - Accent5 3 2 2 2 3 2" xfId="7461" xr:uid="{00000000-0005-0000-0000-00002E540000}"/>
    <cellStyle name="40% - Accent5 3 2 2 2 3 2 2" xfId="10211" xr:uid="{00000000-0005-0000-0000-00002F540000}"/>
    <cellStyle name="40% - Accent5 3 2 2 2 3 2 2 2" xfId="12767" xr:uid="{00000000-0005-0000-0000-000030540000}"/>
    <cellStyle name="40% - Accent5 3 2 2 2 3 2 2 2 2" xfId="30726" xr:uid="{00000000-0005-0000-0000-000031540000}"/>
    <cellStyle name="40% - Accent5 3 2 2 2 3 2 2 3" xfId="12781" xr:uid="{00000000-0005-0000-0000-000032540000}"/>
    <cellStyle name="40% - Accent5 3 2 2 2 3 2 3" xfId="16657" xr:uid="{00000000-0005-0000-0000-000033540000}"/>
    <cellStyle name="40% - Accent5 3 2 2 2 3 2 3 2" xfId="12795" xr:uid="{00000000-0005-0000-0000-000034540000}"/>
    <cellStyle name="40% - Accent5 3 2 2 2 3 2 4" xfId="10107" xr:uid="{00000000-0005-0000-0000-000035540000}"/>
    <cellStyle name="40% - Accent5 3 2 2 2 3 3" xfId="7463" xr:uid="{00000000-0005-0000-0000-000036540000}"/>
    <cellStyle name="40% - Accent5 3 2 2 2 3 3 2" xfId="6661" xr:uid="{00000000-0005-0000-0000-000037540000}"/>
    <cellStyle name="40% - Accent5 3 2 2 2 3 3 2 2" xfId="12413" xr:uid="{00000000-0005-0000-0000-000038540000}"/>
    <cellStyle name="40% - Accent5 3 2 2 2 3 3 3" xfId="11817" xr:uid="{00000000-0005-0000-0000-000039540000}"/>
    <cellStyle name="40% - Accent5 3 2 2 2 3 4" xfId="13084" xr:uid="{00000000-0005-0000-0000-00003A540000}"/>
    <cellStyle name="40% - Accent5 3 2 2 2 3 4 2" xfId="23228" xr:uid="{00000000-0005-0000-0000-00003B540000}"/>
    <cellStyle name="40% - Accent5 3 2 2 2 3 5" xfId="13091" xr:uid="{00000000-0005-0000-0000-00003C540000}"/>
    <cellStyle name="40% - Accent5 3 2 2 2 4" xfId="6980" xr:uid="{00000000-0005-0000-0000-00003D540000}"/>
    <cellStyle name="40% - Accent5 3 2 2 2 4 2" xfId="8223" xr:uid="{00000000-0005-0000-0000-00003E540000}"/>
    <cellStyle name="40% - Accent5 3 2 2 2 4 2 2" xfId="10221" xr:uid="{00000000-0005-0000-0000-00003F540000}"/>
    <cellStyle name="40% - Accent5 3 2 2 2 4 2 2 2" xfId="8342" xr:uid="{00000000-0005-0000-0000-000040540000}"/>
    <cellStyle name="40% - Accent5 3 2 2 2 4 2 3" xfId="11532" xr:uid="{00000000-0005-0000-0000-000041540000}"/>
    <cellStyle name="40% - Accent5 3 2 2 2 4 3" xfId="7484" xr:uid="{00000000-0005-0000-0000-000042540000}"/>
    <cellStyle name="40% - Accent5 3 2 2 2 4 3 2" xfId="24290" xr:uid="{00000000-0005-0000-0000-000043540000}"/>
    <cellStyle name="40% - Accent5 3 2 2 2 4 4" xfId="28944" xr:uid="{00000000-0005-0000-0000-000044540000}"/>
    <cellStyle name="40% - Accent5 3 2 2 2 5" xfId="7489" xr:uid="{00000000-0005-0000-0000-000045540000}"/>
    <cellStyle name="40% - Accent5 3 2 2 2 5 2" xfId="7492" xr:uid="{00000000-0005-0000-0000-000046540000}"/>
    <cellStyle name="40% - Accent5 3 2 2 2 5 2 2" xfId="24699" xr:uid="{00000000-0005-0000-0000-000047540000}"/>
    <cellStyle name="40% - Accent5 3 2 2 2 5 3" xfId="28084" xr:uid="{00000000-0005-0000-0000-000048540000}"/>
    <cellStyle name="40% - Accent5 3 2 2 2 6" xfId="17122" xr:uid="{00000000-0005-0000-0000-000049540000}"/>
    <cellStyle name="40% - Accent5 3 2 2 2 6 2" xfId="31749" xr:uid="{00000000-0005-0000-0000-00004A540000}"/>
    <cellStyle name="40% - Accent5 3 2 2 2 7" xfId="30605" xr:uid="{00000000-0005-0000-0000-00004B540000}"/>
    <cellStyle name="40% - Accent5 3 2 2 3" xfId="24701" xr:uid="{00000000-0005-0000-0000-00004C540000}"/>
    <cellStyle name="40% - Accent5 3 2 2 3 2" xfId="33420" xr:uid="{00000000-0005-0000-0000-00004D540000}"/>
    <cellStyle name="40% - Accent5 3 2 2 3 2 2" xfId="14264" xr:uid="{00000000-0005-0000-0000-00004E540000}"/>
    <cellStyle name="40% - Accent5 3 2 2 3 2 2 2" xfId="10454" xr:uid="{00000000-0005-0000-0000-00004F540000}"/>
    <cellStyle name="40% - Accent5 3 2 2 3 2 2 2 2" xfId="24705" xr:uid="{00000000-0005-0000-0000-000050540000}"/>
    <cellStyle name="40% - Accent5 3 2 2 3 2 2 2 2 2" xfId="24709" xr:uid="{00000000-0005-0000-0000-000051540000}"/>
    <cellStyle name="40% - Accent5 3 2 2 3 2 2 2 3" xfId="22553" xr:uid="{00000000-0005-0000-0000-000052540000}"/>
    <cellStyle name="40% - Accent5 3 2 2 3 2 2 3" xfId="1793" xr:uid="{00000000-0005-0000-0000-000053540000}"/>
    <cellStyle name="40% - Accent5 3 2 2 3 2 2 3 2" xfId="24724" xr:uid="{00000000-0005-0000-0000-000054540000}"/>
    <cellStyle name="40% - Accent5 3 2 2 3 2 2 4" xfId="4965" xr:uid="{00000000-0005-0000-0000-000055540000}"/>
    <cellStyle name="40% - Accent5 3 2 2 3 2 3" xfId="14270" xr:uid="{00000000-0005-0000-0000-000056540000}"/>
    <cellStyle name="40% - Accent5 3 2 2 3 2 3 2" xfId="3670" xr:uid="{00000000-0005-0000-0000-000057540000}"/>
    <cellStyle name="40% - Accent5 3 2 2 3 2 3 2 2" xfId="24728" xr:uid="{00000000-0005-0000-0000-000058540000}"/>
    <cellStyle name="40% - Accent5 3 2 2 3 2 3 3" xfId="1138" xr:uid="{00000000-0005-0000-0000-000059540000}"/>
    <cellStyle name="40% - Accent5 3 2 2 3 2 4" xfId="13284" xr:uid="{00000000-0005-0000-0000-00005A540000}"/>
    <cellStyle name="40% - Accent5 3 2 2 3 2 4 2" xfId="18930" xr:uid="{00000000-0005-0000-0000-00005B540000}"/>
    <cellStyle name="40% - Accent5 3 2 2 3 2 5" xfId="13288" xr:uid="{00000000-0005-0000-0000-00005C540000}"/>
    <cellStyle name="40% - Accent5 3 2 2 3 3" xfId="14274" xr:uid="{00000000-0005-0000-0000-00005D540000}"/>
    <cellStyle name="40% - Accent5 3 2 2 3 3 2" xfId="14278" xr:uid="{00000000-0005-0000-0000-00005E540000}"/>
    <cellStyle name="40% - Accent5 3 2 2 3 3 2 2" xfId="6322" xr:uid="{00000000-0005-0000-0000-00005F540000}"/>
    <cellStyle name="40% - Accent5 3 2 2 3 3 2 2 2" xfId="31455" xr:uid="{00000000-0005-0000-0000-000060540000}"/>
    <cellStyle name="40% - Accent5 3 2 2 3 3 2 3" xfId="6334" xr:uid="{00000000-0005-0000-0000-000061540000}"/>
    <cellStyle name="40% - Accent5 3 2 2 3 3 3" xfId="8533" xr:uid="{00000000-0005-0000-0000-000062540000}"/>
    <cellStyle name="40% - Accent5 3 2 2 3 3 3 2" xfId="18946" xr:uid="{00000000-0005-0000-0000-000063540000}"/>
    <cellStyle name="40% - Accent5 3 2 2 3 3 4" xfId="13293" xr:uid="{00000000-0005-0000-0000-000064540000}"/>
    <cellStyle name="40% - Accent5 3 2 2 3 4" xfId="7810" xr:uid="{00000000-0005-0000-0000-000065540000}"/>
    <cellStyle name="40% - Accent5 3 2 2 3 4 2" xfId="7813" xr:uid="{00000000-0005-0000-0000-000066540000}"/>
    <cellStyle name="40% - Accent5 3 2 2 3 4 2 2" xfId="24732" xr:uid="{00000000-0005-0000-0000-000067540000}"/>
    <cellStyle name="40% - Accent5 3 2 2 3 4 3" xfId="3135" xr:uid="{00000000-0005-0000-0000-000068540000}"/>
    <cellStyle name="40% - Accent5 3 2 2 3 5" xfId="18652" xr:uid="{00000000-0005-0000-0000-000069540000}"/>
    <cellStyle name="40% - Accent5 3 2 2 3 5 2" xfId="24735" xr:uid="{00000000-0005-0000-0000-00006A540000}"/>
    <cellStyle name="40% - Accent5 3 2 2 3 6" xfId="9494" xr:uid="{00000000-0005-0000-0000-00006B540000}"/>
    <cellStyle name="40% - Accent5 3 2 2 4" xfId="29500" xr:uid="{00000000-0005-0000-0000-00006C540000}"/>
    <cellStyle name="40% - Accent5 3 2 2 4 2" xfId="7884" xr:uid="{00000000-0005-0000-0000-00006D540000}"/>
    <cellStyle name="40% - Accent5 3 2 2 4 2 2" xfId="5314" xr:uid="{00000000-0005-0000-0000-00006E540000}"/>
    <cellStyle name="40% - Accent5 3 2 2 4 2 2 2" xfId="3682" xr:uid="{00000000-0005-0000-0000-00006F540000}"/>
    <cellStyle name="40% - Accent5 3 2 2 4 2 2 2 2" xfId="32464" xr:uid="{00000000-0005-0000-0000-000070540000}"/>
    <cellStyle name="40% - Accent5 3 2 2 4 2 2 3" xfId="2892" xr:uid="{00000000-0005-0000-0000-000071540000}"/>
    <cellStyle name="40% - Accent5 3 2 2 4 2 3" xfId="7891" xr:uid="{00000000-0005-0000-0000-000072540000}"/>
    <cellStyle name="40% - Accent5 3 2 2 4 2 3 2" xfId="25160" xr:uid="{00000000-0005-0000-0000-000073540000}"/>
    <cellStyle name="40% - Accent5 3 2 2 4 2 4" xfId="28382" xr:uid="{00000000-0005-0000-0000-000074540000}"/>
    <cellStyle name="40% - Accent5 3 2 2 4 3" xfId="7898" xr:uid="{00000000-0005-0000-0000-000075540000}"/>
    <cellStyle name="40% - Accent5 3 2 2 4 3 2" xfId="7901" xr:uid="{00000000-0005-0000-0000-000076540000}"/>
    <cellStyle name="40% - Accent5 3 2 2 4 3 2 2" xfId="24740" xr:uid="{00000000-0005-0000-0000-000077540000}"/>
    <cellStyle name="40% - Accent5 3 2 2 4 3 3" xfId="3190" xr:uid="{00000000-0005-0000-0000-000078540000}"/>
    <cellStyle name="40% - Accent5 3 2 2 4 4" xfId="2091" xr:uid="{00000000-0005-0000-0000-000079540000}"/>
    <cellStyle name="40% - Accent5 3 2 2 4 4 2" xfId="30774" xr:uid="{00000000-0005-0000-0000-00007A540000}"/>
    <cellStyle name="40% - Accent5 3 2 2 4 5" xfId="28113" xr:uid="{00000000-0005-0000-0000-00007B540000}"/>
    <cellStyle name="40% - Accent5 3 2 2 5" xfId="29510" xr:uid="{00000000-0005-0000-0000-00007C540000}"/>
    <cellStyle name="40% - Accent5 3 2 2 5 2" xfId="7940" xr:uid="{00000000-0005-0000-0000-00007D540000}"/>
    <cellStyle name="40% - Accent5 3 2 2 5 2 2" xfId="1997" xr:uid="{00000000-0005-0000-0000-00007E540000}"/>
    <cellStyle name="40% - Accent5 3 2 2 5 2 2 2" xfId="25682" xr:uid="{00000000-0005-0000-0000-00007F540000}"/>
    <cellStyle name="40% - Accent5 3 2 2 5 2 3" xfId="7390" xr:uid="{00000000-0005-0000-0000-000080540000}"/>
    <cellStyle name="40% - Accent5 3 2 2 5 3" xfId="13681" xr:uid="{00000000-0005-0000-0000-000081540000}"/>
    <cellStyle name="40% - Accent5 3 2 2 5 3 2" xfId="24743" xr:uid="{00000000-0005-0000-0000-000082540000}"/>
    <cellStyle name="40% - Accent5 3 2 2 5 4" xfId="9139" xr:uid="{00000000-0005-0000-0000-000083540000}"/>
    <cellStyle name="40% - Accent5 3 2 2 6" xfId="33523" xr:uid="{00000000-0005-0000-0000-000084540000}"/>
    <cellStyle name="40% - Accent5 3 2 2 6 2" xfId="7971" xr:uid="{00000000-0005-0000-0000-000085540000}"/>
    <cellStyle name="40% - Accent5 3 2 2 6 2 2" xfId="4907" xr:uid="{00000000-0005-0000-0000-000086540000}"/>
    <cellStyle name="40% - Accent5 3 2 2 6 3" xfId="24748" xr:uid="{00000000-0005-0000-0000-000087540000}"/>
    <cellStyle name="40% - Accent5 3 2 2 7" xfId="24756" xr:uid="{00000000-0005-0000-0000-000088540000}"/>
    <cellStyle name="40% - Accent5 3 2 2 7 2" xfId="32659" xr:uid="{00000000-0005-0000-0000-000089540000}"/>
    <cellStyle name="40% - Accent5 3 2 2 8" xfId="25667" xr:uid="{00000000-0005-0000-0000-00008A540000}"/>
    <cellStyle name="40% - Accent5 3 2 3" xfId="24758" xr:uid="{00000000-0005-0000-0000-00008B540000}"/>
    <cellStyle name="40% - Accent5 3 2 3 2" xfId="19416" xr:uid="{00000000-0005-0000-0000-00008C540000}"/>
    <cellStyle name="40% - Accent5 3 2 3 2 2" xfId="2303" xr:uid="{00000000-0005-0000-0000-00008D540000}"/>
    <cellStyle name="40% - Accent5 3 2 3 2 2 2" xfId="8411" xr:uid="{00000000-0005-0000-0000-00008E540000}"/>
    <cellStyle name="40% - Accent5 3 2 3 2 2 2 2" xfId="28752" xr:uid="{00000000-0005-0000-0000-00008F540000}"/>
    <cellStyle name="40% - Accent5 3 2 3 2 2 2 2 2" xfId="24759" xr:uid="{00000000-0005-0000-0000-000090540000}"/>
    <cellStyle name="40% - Accent5 3 2 3 2 2 2 2 2 2" xfId="24764" xr:uid="{00000000-0005-0000-0000-000091540000}"/>
    <cellStyle name="40% - Accent5 3 2 3 2 2 2 2 3" xfId="24768" xr:uid="{00000000-0005-0000-0000-000092540000}"/>
    <cellStyle name="40% - Accent5 3 2 3 2 2 2 3" xfId="5957" xr:uid="{00000000-0005-0000-0000-000093540000}"/>
    <cellStyle name="40% - Accent5 3 2 3 2 2 2 3 2" xfId="20937" xr:uid="{00000000-0005-0000-0000-000094540000}"/>
    <cellStyle name="40% - Accent5 3 2 3 2 2 2 4" xfId="608" xr:uid="{00000000-0005-0000-0000-000095540000}"/>
    <cellStyle name="40% - Accent5 3 2 3 2 2 3" xfId="25690" xr:uid="{00000000-0005-0000-0000-000096540000}"/>
    <cellStyle name="40% - Accent5 3 2 3 2 2 3 2" xfId="6300" xr:uid="{00000000-0005-0000-0000-000097540000}"/>
    <cellStyle name="40% - Accent5 3 2 3 2 2 3 2 2" xfId="28848" xr:uid="{00000000-0005-0000-0000-000098540000}"/>
    <cellStyle name="40% - Accent5 3 2 3 2 2 3 3" xfId="33013" xr:uid="{00000000-0005-0000-0000-000099540000}"/>
    <cellStyle name="40% - Accent5 3 2 3 2 2 4" xfId="25695" xr:uid="{00000000-0005-0000-0000-00009A540000}"/>
    <cellStyle name="40% - Accent5 3 2 3 2 2 4 2" xfId="5893" xr:uid="{00000000-0005-0000-0000-00009B540000}"/>
    <cellStyle name="40% - Accent5 3 2 3 2 2 5" xfId="24393" xr:uid="{00000000-0005-0000-0000-00009C540000}"/>
    <cellStyle name="40% - Accent5 3 2 3 2 3" xfId="6986" xr:uid="{00000000-0005-0000-0000-00009D540000}"/>
    <cellStyle name="40% - Accent5 3 2 3 2 3 2" xfId="8425" xr:uid="{00000000-0005-0000-0000-00009E540000}"/>
    <cellStyle name="40% - Accent5 3 2 3 2 3 2 2" xfId="10302" xr:uid="{00000000-0005-0000-0000-00009F540000}"/>
    <cellStyle name="40% - Accent5 3 2 3 2 3 2 2 2" xfId="4693" xr:uid="{00000000-0005-0000-0000-0000A0540000}"/>
    <cellStyle name="40% - Accent5 3 2 3 2 3 2 3" xfId="25394" xr:uid="{00000000-0005-0000-0000-0000A1540000}"/>
    <cellStyle name="40% - Accent5 3 2 3 2 3 3" xfId="9833" xr:uid="{00000000-0005-0000-0000-0000A2540000}"/>
    <cellStyle name="40% - Accent5 3 2 3 2 3 3 2" xfId="3830" xr:uid="{00000000-0005-0000-0000-0000A3540000}"/>
    <cellStyle name="40% - Accent5 3 2 3 2 3 4" xfId="24772" xr:uid="{00000000-0005-0000-0000-0000A4540000}"/>
    <cellStyle name="40% - Accent5 3 2 3 2 4" xfId="30440" xr:uid="{00000000-0005-0000-0000-0000A5540000}"/>
    <cellStyle name="40% - Accent5 3 2 3 2 4 2" xfId="14104" xr:uid="{00000000-0005-0000-0000-0000A6540000}"/>
    <cellStyle name="40% - Accent5 3 2 3 2 4 2 2" xfId="10391" xr:uid="{00000000-0005-0000-0000-0000A7540000}"/>
    <cellStyle name="40% - Accent5 3 2 3 2 4 3" xfId="6471" xr:uid="{00000000-0005-0000-0000-0000A8540000}"/>
    <cellStyle name="40% - Accent5 3 2 3 2 5" xfId="8432" xr:uid="{00000000-0005-0000-0000-0000A9540000}"/>
    <cellStyle name="40% - Accent5 3 2 3 2 5 2" xfId="24777" xr:uid="{00000000-0005-0000-0000-0000AA540000}"/>
    <cellStyle name="40% - Accent5 3 2 3 2 6" xfId="27389" xr:uid="{00000000-0005-0000-0000-0000AB540000}"/>
    <cellStyle name="40% - Accent5 3 2 3 3" xfId="24779" xr:uid="{00000000-0005-0000-0000-0000AC540000}"/>
    <cellStyle name="40% - Accent5 3 2 3 3 2" xfId="7544" xr:uid="{00000000-0005-0000-0000-0000AD540000}"/>
    <cellStyle name="40% - Accent5 3 2 3 3 2 2" xfId="7550" xr:uid="{00000000-0005-0000-0000-0000AE540000}"/>
    <cellStyle name="40% - Accent5 3 2 3 3 2 2 2" xfId="3720" xr:uid="{00000000-0005-0000-0000-0000AF540000}"/>
    <cellStyle name="40% - Accent5 3 2 3 3 2 2 2 2" xfId="24784" xr:uid="{00000000-0005-0000-0000-0000B0540000}"/>
    <cellStyle name="40% - Accent5 3 2 3 3 2 2 3" xfId="5175" xr:uid="{00000000-0005-0000-0000-0000B1540000}"/>
    <cellStyle name="40% - Accent5 3 2 3 3 2 3" xfId="7566" xr:uid="{00000000-0005-0000-0000-0000B2540000}"/>
    <cellStyle name="40% - Accent5 3 2 3 3 2 3 2" xfId="32820" xr:uid="{00000000-0005-0000-0000-0000B3540000}"/>
    <cellStyle name="40% - Accent5 3 2 3 3 2 4" xfId="3869" xr:uid="{00000000-0005-0000-0000-0000B4540000}"/>
    <cellStyle name="40% - Accent5 3 2 3 3 3" xfId="7576" xr:uid="{00000000-0005-0000-0000-0000B5540000}"/>
    <cellStyle name="40% - Accent5 3 2 3 3 3 2" xfId="7586" xr:uid="{00000000-0005-0000-0000-0000B6540000}"/>
    <cellStyle name="40% - Accent5 3 2 3 3 3 2 2" xfId="2583" xr:uid="{00000000-0005-0000-0000-0000B7540000}"/>
    <cellStyle name="40% - Accent5 3 2 3 3 3 3" xfId="1285" xr:uid="{00000000-0005-0000-0000-0000B8540000}"/>
    <cellStyle name="40% - Accent5 3 2 3 3 4" xfId="5358" xr:uid="{00000000-0005-0000-0000-0000B9540000}"/>
    <cellStyle name="40% - Accent5 3 2 3 3 4 2" xfId="24785" xr:uid="{00000000-0005-0000-0000-0000BA540000}"/>
    <cellStyle name="40% - Accent5 3 2 3 3 5" xfId="5076" xr:uid="{00000000-0005-0000-0000-0000BB540000}"/>
    <cellStyle name="40% - Accent5 3 2 3 4" xfId="29066" xr:uid="{00000000-0005-0000-0000-0000BC540000}"/>
    <cellStyle name="40% - Accent5 3 2 3 4 2" xfId="7608" xr:uid="{00000000-0005-0000-0000-0000BD540000}"/>
    <cellStyle name="40% - Accent5 3 2 3 4 2 2" xfId="7611" xr:uid="{00000000-0005-0000-0000-0000BE540000}"/>
    <cellStyle name="40% - Accent5 3 2 3 4 2 2 2" xfId="24789" xr:uid="{00000000-0005-0000-0000-0000BF540000}"/>
    <cellStyle name="40% - Accent5 3 2 3 4 2 3" xfId="1331" xr:uid="{00000000-0005-0000-0000-0000C0540000}"/>
    <cellStyle name="40% - Accent5 3 2 3 4 3" xfId="7617" xr:uid="{00000000-0005-0000-0000-0000C1540000}"/>
    <cellStyle name="40% - Accent5 3 2 3 4 3 2" xfId="24790" xr:uid="{00000000-0005-0000-0000-0000C2540000}"/>
    <cellStyle name="40% - Accent5 3 2 3 4 4" xfId="2085" xr:uid="{00000000-0005-0000-0000-0000C3540000}"/>
    <cellStyle name="40% - Accent5 3 2 3 5" xfId="26798" xr:uid="{00000000-0005-0000-0000-0000C4540000}"/>
    <cellStyle name="40% - Accent5 3 2 3 5 2" xfId="4543" xr:uid="{00000000-0005-0000-0000-0000C5540000}"/>
    <cellStyle name="40% - Accent5 3 2 3 5 2 2" xfId="24794" xr:uid="{00000000-0005-0000-0000-0000C6540000}"/>
    <cellStyle name="40% - Accent5 3 2 3 5 3" xfId="24798" xr:uid="{00000000-0005-0000-0000-0000C7540000}"/>
    <cellStyle name="40% - Accent5 3 2 3 6" xfId="24805" xr:uid="{00000000-0005-0000-0000-0000C8540000}"/>
    <cellStyle name="40% - Accent5 3 2 3 6 2" xfId="2882" xr:uid="{00000000-0005-0000-0000-0000C9540000}"/>
    <cellStyle name="40% - Accent5 3 2 3 7" xfId="24807" xr:uid="{00000000-0005-0000-0000-0000CA540000}"/>
    <cellStyle name="40% - Accent5 3 2 4" xfId="24809" xr:uid="{00000000-0005-0000-0000-0000CB540000}"/>
    <cellStyle name="40% - Accent5 3 2 4 2" xfId="24813" xr:uid="{00000000-0005-0000-0000-0000CC540000}"/>
    <cellStyle name="40% - Accent5 3 2 4 2 2" xfId="21217" xr:uid="{00000000-0005-0000-0000-0000CD540000}"/>
    <cellStyle name="40% - Accent5 3 2 4 2 2 2" xfId="66" xr:uid="{00000000-0005-0000-0000-0000CE540000}"/>
    <cellStyle name="40% - Accent5 3 2 4 2 2 2 2" xfId="23949" xr:uid="{00000000-0005-0000-0000-0000CF540000}"/>
    <cellStyle name="40% - Accent5 3 2 4 2 2 2 2 2" xfId="23953" xr:uid="{00000000-0005-0000-0000-0000D0540000}"/>
    <cellStyle name="40% - Accent5 3 2 4 2 2 2 3" xfId="7888" xr:uid="{00000000-0005-0000-0000-0000D1540000}"/>
    <cellStyle name="40% - Accent5 3 2 4 2 2 3" xfId="25725" xr:uid="{00000000-0005-0000-0000-0000D2540000}"/>
    <cellStyle name="40% - Accent5 3 2 4 2 2 3 2" xfId="23969" xr:uid="{00000000-0005-0000-0000-0000D3540000}"/>
    <cellStyle name="40% - Accent5 3 2 4 2 2 4" xfId="13360" xr:uid="{00000000-0005-0000-0000-0000D4540000}"/>
    <cellStyle name="40% - Accent5 3 2 4 2 3" xfId="1629" xr:uid="{00000000-0005-0000-0000-0000D5540000}"/>
    <cellStyle name="40% - Accent5 3 2 4 2 3 2" xfId="8716" xr:uid="{00000000-0005-0000-0000-0000D6540000}"/>
    <cellStyle name="40% - Accent5 3 2 4 2 3 2 2" xfId="9049" xr:uid="{00000000-0005-0000-0000-0000D7540000}"/>
    <cellStyle name="40% - Accent5 3 2 4 2 3 3" xfId="31726" xr:uid="{00000000-0005-0000-0000-0000D8540000}"/>
    <cellStyle name="40% - Accent5 3 2 4 2 4" xfId="32719" xr:uid="{00000000-0005-0000-0000-0000D9540000}"/>
    <cellStyle name="40% - Accent5 3 2 4 2 4 2" xfId="26481" xr:uid="{00000000-0005-0000-0000-0000DA540000}"/>
    <cellStyle name="40% - Accent5 3 2 4 2 5" xfId="31750" xr:uid="{00000000-0005-0000-0000-0000DB540000}"/>
    <cellStyle name="40% - Accent5 3 2 4 3" xfId="24818" xr:uid="{00000000-0005-0000-0000-0000DC540000}"/>
    <cellStyle name="40% - Accent5 3 2 4 3 2" xfId="1485" xr:uid="{00000000-0005-0000-0000-0000DD540000}"/>
    <cellStyle name="40% - Accent5 3 2 4 3 2 2" xfId="7665" xr:uid="{00000000-0005-0000-0000-0000DE540000}"/>
    <cellStyle name="40% - Accent5 3 2 4 3 2 2 2" xfId="24034" xr:uid="{00000000-0005-0000-0000-0000DF540000}"/>
    <cellStyle name="40% - Accent5 3 2 4 3 2 3" xfId="2216" xr:uid="{00000000-0005-0000-0000-0000E0540000}"/>
    <cellStyle name="40% - Accent5 3 2 4 3 3" xfId="7677" xr:uid="{00000000-0005-0000-0000-0000E1540000}"/>
    <cellStyle name="40% - Accent5 3 2 4 3 3 2" xfId="24820" xr:uid="{00000000-0005-0000-0000-0000E2540000}"/>
    <cellStyle name="40% - Accent5 3 2 4 3 4" xfId="2120" xr:uid="{00000000-0005-0000-0000-0000E3540000}"/>
    <cellStyle name="40% - Accent5 3 2 4 4" xfId="24821" xr:uid="{00000000-0005-0000-0000-0000E4540000}"/>
    <cellStyle name="40% - Accent5 3 2 4 4 2" xfId="7702" xr:uid="{00000000-0005-0000-0000-0000E5540000}"/>
    <cellStyle name="40% - Accent5 3 2 4 4 2 2" xfId="24824" xr:uid="{00000000-0005-0000-0000-0000E6540000}"/>
    <cellStyle name="40% - Accent5 3 2 4 4 3" xfId="26491" xr:uid="{00000000-0005-0000-0000-0000E7540000}"/>
    <cellStyle name="40% - Accent5 3 2 4 5" xfId="24825" xr:uid="{00000000-0005-0000-0000-0000E8540000}"/>
    <cellStyle name="40% - Accent5 3 2 4 5 2" xfId="24826" xr:uid="{00000000-0005-0000-0000-0000E9540000}"/>
    <cellStyle name="40% - Accent5 3 2 4 6" xfId="24828" xr:uid="{00000000-0005-0000-0000-0000EA540000}"/>
    <cellStyle name="40% - Accent5 3 2 5" xfId="26810" xr:uid="{00000000-0005-0000-0000-0000EB540000}"/>
    <cellStyle name="40% - Accent5 3 2 5 2" xfId="12518" xr:uid="{00000000-0005-0000-0000-0000EC540000}"/>
    <cellStyle name="40% - Accent5 3 2 5 2 2" xfId="1524" xr:uid="{00000000-0005-0000-0000-0000ED540000}"/>
    <cellStyle name="40% - Accent5 3 2 5 2 2 2" xfId="8909" xr:uid="{00000000-0005-0000-0000-0000EE540000}"/>
    <cellStyle name="40% - Accent5 3 2 5 2 2 2 2" xfId="27056" xr:uid="{00000000-0005-0000-0000-0000EF540000}"/>
    <cellStyle name="40% - Accent5 3 2 5 2 2 3" xfId="27385" xr:uid="{00000000-0005-0000-0000-0000F0540000}"/>
    <cellStyle name="40% - Accent5 3 2 5 2 3" xfId="1085" xr:uid="{00000000-0005-0000-0000-0000F1540000}"/>
    <cellStyle name="40% - Accent5 3 2 5 2 3 2" xfId="27396" xr:uid="{00000000-0005-0000-0000-0000F2540000}"/>
    <cellStyle name="40% - Accent5 3 2 5 2 4" xfId="26191" xr:uid="{00000000-0005-0000-0000-0000F3540000}"/>
    <cellStyle name="40% - Accent5 3 2 5 3" xfId="28430" xr:uid="{00000000-0005-0000-0000-0000F4540000}"/>
    <cellStyle name="40% - Accent5 3 2 5 3 2" xfId="1174" xr:uid="{00000000-0005-0000-0000-0000F5540000}"/>
    <cellStyle name="40% - Accent5 3 2 5 3 2 2" xfId="24830" xr:uid="{00000000-0005-0000-0000-0000F6540000}"/>
    <cellStyle name="40% - Accent5 3 2 5 3 3" xfId="26493" xr:uid="{00000000-0005-0000-0000-0000F7540000}"/>
    <cellStyle name="40% - Accent5 3 2 5 4" xfId="24831" xr:uid="{00000000-0005-0000-0000-0000F8540000}"/>
    <cellStyle name="40% - Accent5 3 2 5 4 2" xfId="7780" xr:uid="{00000000-0005-0000-0000-0000F9540000}"/>
    <cellStyle name="40% - Accent5 3 2 5 5" xfId="24832" xr:uid="{00000000-0005-0000-0000-0000FA540000}"/>
    <cellStyle name="40% - Accent5 3 2 6" xfId="32104" xr:uid="{00000000-0005-0000-0000-0000FB540000}"/>
    <cellStyle name="40% - Accent5 3 2 6 2" xfId="26519" xr:uid="{00000000-0005-0000-0000-0000FC540000}"/>
    <cellStyle name="40% - Accent5 3 2 6 2 2" xfId="1287" xr:uid="{00000000-0005-0000-0000-0000FD540000}"/>
    <cellStyle name="40% - Accent5 3 2 6 2 2 2" xfId="22230" xr:uid="{00000000-0005-0000-0000-0000FE540000}"/>
    <cellStyle name="40% - Accent5 3 2 6 2 3" xfId="6058" xr:uid="{00000000-0005-0000-0000-0000FF540000}"/>
    <cellStyle name="40% - Accent5 3 2 6 3" xfId="24835" xr:uid="{00000000-0005-0000-0000-000000550000}"/>
    <cellStyle name="40% - Accent5 3 2 6 3 2" xfId="24837" xr:uid="{00000000-0005-0000-0000-000001550000}"/>
    <cellStyle name="40% - Accent5 3 2 6 4" xfId="24840" xr:uid="{00000000-0005-0000-0000-000002550000}"/>
    <cellStyle name="40% - Accent5 3 2 7" xfId="31541" xr:uid="{00000000-0005-0000-0000-000003550000}"/>
    <cellStyle name="40% - Accent5 3 2 7 2" xfId="15714" xr:uid="{00000000-0005-0000-0000-000004550000}"/>
    <cellStyle name="40% - Accent5 3 2 7 2 2" xfId="4904" xr:uid="{00000000-0005-0000-0000-000005550000}"/>
    <cellStyle name="40% - Accent5 3 2 7 3" xfId="15725" xr:uid="{00000000-0005-0000-0000-000006550000}"/>
    <cellStyle name="40% - Accent5 3 2 8" xfId="2110" xr:uid="{00000000-0005-0000-0000-000007550000}"/>
    <cellStyle name="40% - Accent5 3 2 8 2" xfId="26616" xr:uid="{00000000-0005-0000-0000-000008550000}"/>
    <cellStyle name="40% - Accent5 3 2 9" xfId="15746" xr:uid="{00000000-0005-0000-0000-000009550000}"/>
    <cellStyle name="40% - Accent5 3 3" xfId="21256" xr:uid="{00000000-0005-0000-0000-00000A550000}"/>
    <cellStyle name="40% - Accent5 3 3 2" xfId="19771" xr:uid="{00000000-0005-0000-0000-00000B550000}"/>
    <cellStyle name="40% - Accent5 3 3 2 2" xfId="25538" xr:uid="{00000000-0005-0000-0000-00000C550000}"/>
    <cellStyle name="40% - Accent5 3 3 2 2 2" xfId="17189" xr:uid="{00000000-0005-0000-0000-00000D550000}"/>
    <cellStyle name="40% - Accent5 3 3 2 2 2 2" xfId="17190" xr:uid="{00000000-0005-0000-0000-00000E550000}"/>
    <cellStyle name="40% - Accent5 3 3 2 2 2 2 2" xfId="15263" xr:uid="{00000000-0005-0000-0000-00000F550000}"/>
    <cellStyle name="40% - Accent5 3 3 2 2 2 2 2 2" xfId="25217" xr:uid="{00000000-0005-0000-0000-000010550000}"/>
    <cellStyle name="40% - Accent5 3 3 2 2 2 2 2 2 2" xfId="24847" xr:uid="{00000000-0005-0000-0000-000011550000}"/>
    <cellStyle name="40% - Accent5 3 3 2 2 2 2 2 3" xfId="24849" xr:uid="{00000000-0005-0000-0000-000012550000}"/>
    <cellStyle name="40% - Accent5 3 3 2 2 2 2 3" xfId="10085" xr:uid="{00000000-0005-0000-0000-000013550000}"/>
    <cellStyle name="40% - Accent5 3 3 2 2 2 2 3 2" xfId="18884" xr:uid="{00000000-0005-0000-0000-000014550000}"/>
    <cellStyle name="40% - Accent5 3 3 2 2 2 2 4" xfId="2167" xr:uid="{00000000-0005-0000-0000-000015550000}"/>
    <cellStyle name="40% - Accent5 3 3 2 2 2 3" xfId="29229" xr:uid="{00000000-0005-0000-0000-000016550000}"/>
    <cellStyle name="40% - Accent5 3 3 2 2 2 3 2" xfId="24853" xr:uid="{00000000-0005-0000-0000-000017550000}"/>
    <cellStyle name="40% - Accent5 3 3 2 2 2 3 2 2" xfId="25242" xr:uid="{00000000-0005-0000-0000-000018550000}"/>
    <cellStyle name="40% - Accent5 3 3 2 2 2 3 3" xfId="261" xr:uid="{00000000-0005-0000-0000-000019550000}"/>
    <cellStyle name="40% - Accent5 3 3 2 2 2 4" xfId="15685" xr:uid="{00000000-0005-0000-0000-00001A550000}"/>
    <cellStyle name="40% - Accent5 3 3 2 2 2 4 2" xfId="22632" xr:uid="{00000000-0005-0000-0000-00001B550000}"/>
    <cellStyle name="40% - Accent5 3 3 2 2 2 5" xfId="27533" xr:uid="{00000000-0005-0000-0000-00001C550000}"/>
    <cellStyle name="40% - Accent5 3 3 2 2 3" xfId="17194" xr:uid="{00000000-0005-0000-0000-00001D550000}"/>
    <cellStyle name="40% - Accent5 3 3 2 2 3 2" xfId="9564" xr:uid="{00000000-0005-0000-0000-00001E550000}"/>
    <cellStyle name="40% - Accent5 3 3 2 2 3 2 2" xfId="10508" xr:uid="{00000000-0005-0000-0000-00001F550000}"/>
    <cellStyle name="40% - Accent5 3 3 2 2 3 2 2 2" xfId="25231" xr:uid="{00000000-0005-0000-0000-000020550000}"/>
    <cellStyle name="40% - Accent5 3 3 2 2 3 2 3" xfId="2189" xr:uid="{00000000-0005-0000-0000-000021550000}"/>
    <cellStyle name="40% - Accent5 3 3 2 2 3 3" xfId="9568" xr:uid="{00000000-0005-0000-0000-000022550000}"/>
    <cellStyle name="40% - Accent5 3 3 2 2 3 3 2" xfId="27182" xr:uid="{00000000-0005-0000-0000-000023550000}"/>
    <cellStyle name="40% - Accent5 3 3 2 2 3 4" xfId="9726" xr:uid="{00000000-0005-0000-0000-000024550000}"/>
    <cellStyle name="40% - Accent5 3 3 2 2 4" xfId="17486" xr:uid="{00000000-0005-0000-0000-000025550000}"/>
    <cellStyle name="40% - Accent5 3 3 2 2 4 2" xfId="9730" xr:uid="{00000000-0005-0000-0000-000026550000}"/>
    <cellStyle name="40% - Accent5 3 3 2 2 4 2 2" xfId="24859" xr:uid="{00000000-0005-0000-0000-000027550000}"/>
    <cellStyle name="40% - Accent5 3 3 2 2 4 3" xfId="28792" xr:uid="{00000000-0005-0000-0000-000028550000}"/>
    <cellStyle name="40% - Accent5 3 3 2 2 5" xfId="6135" xr:uid="{00000000-0005-0000-0000-000029550000}"/>
    <cellStyle name="40% - Accent5 3 3 2 2 5 2" xfId="382" xr:uid="{00000000-0005-0000-0000-00002A550000}"/>
    <cellStyle name="40% - Accent5 3 3 2 2 6" xfId="17162" xr:uid="{00000000-0005-0000-0000-00002B550000}"/>
    <cellStyle name="40% - Accent5 3 3 2 3" xfId="31637" xr:uid="{00000000-0005-0000-0000-00002C550000}"/>
    <cellStyle name="40% - Accent5 3 3 2 3 2" xfId="17203" xr:uid="{00000000-0005-0000-0000-00002D550000}"/>
    <cellStyle name="40% - Accent5 3 3 2 3 2 2" xfId="5630" xr:uid="{00000000-0005-0000-0000-00002E550000}"/>
    <cellStyle name="40% - Accent5 3 3 2 3 2 2 2" xfId="12885" xr:uid="{00000000-0005-0000-0000-00002F550000}"/>
    <cellStyle name="40% - Accent5 3 3 2 3 2 2 2 2" xfId="24860" xr:uid="{00000000-0005-0000-0000-000030550000}"/>
    <cellStyle name="40% - Accent5 3 3 2 3 2 2 3" xfId="8413" xr:uid="{00000000-0005-0000-0000-000031550000}"/>
    <cellStyle name="40% - Accent5 3 3 2 3 2 3" xfId="6197" xr:uid="{00000000-0005-0000-0000-000032550000}"/>
    <cellStyle name="40% - Accent5 3 3 2 3 2 3 2" xfId="21063" xr:uid="{00000000-0005-0000-0000-000033550000}"/>
    <cellStyle name="40% - Accent5 3 3 2 3 2 4" xfId="9840" xr:uid="{00000000-0005-0000-0000-000034550000}"/>
    <cellStyle name="40% - Accent5 3 3 2 3 3" xfId="26593" xr:uid="{00000000-0005-0000-0000-000035550000}"/>
    <cellStyle name="40% - Accent5 3 3 2 3 3 2" xfId="28292" xr:uid="{00000000-0005-0000-0000-000036550000}"/>
    <cellStyle name="40% - Accent5 3 3 2 3 3 2 2" xfId="24866" xr:uid="{00000000-0005-0000-0000-000037550000}"/>
    <cellStyle name="40% - Accent5 3 3 2 3 3 3" xfId="9846" xr:uid="{00000000-0005-0000-0000-000038550000}"/>
    <cellStyle name="40% - Accent5 3 3 2 3 4" xfId="28139" xr:uid="{00000000-0005-0000-0000-000039550000}"/>
    <cellStyle name="40% - Accent5 3 3 2 3 4 2" xfId="9852" xr:uid="{00000000-0005-0000-0000-00003A550000}"/>
    <cellStyle name="40% - Accent5 3 3 2 3 5" xfId="8210" xr:uid="{00000000-0005-0000-0000-00003B550000}"/>
    <cellStyle name="40% - Accent5 3 3 2 4" xfId="26218" xr:uid="{00000000-0005-0000-0000-00003C550000}"/>
    <cellStyle name="40% - Accent5 3 3 2 4 2" xfId="30323" xr:uid="{00000000-0005-0000-0000-00003D550000}"/>
    <cellStyle name="40% - Accent5 3 3 2 4 2 2" xfId="30084" xr:uid="{00000000-0005-0000-0000-00003E550000}"/>
    <cellStyle name="40% - Accent5 3 3 2 4 2 2 2" xfId="24871" xr:uid="{00000000-0005-0000-0000-00003F550000}"/>
    <cellStyle name="40% - Accent5 3 3 2 4 2 3" xfId="9865" xr:uid="{00000000-0005-0000-0000-000040550000}"/>
    <cellStyle name="40% - Accent5 3 3 2 4 3" xfId="13339" xr:uid="{00000000-0005-0000-0000-000041550000}"/>
    <cellStyle name="40% - Accent5 3 3 2 4 3 2" xfId="3542" xr:uid="{00000000-0005-0000-0000-000042550000}"/>
    <cellStyle name="40% - Accent5 3 3 2 4 4" xfId="33532" xr:uid="{00000000-0005-0000-0000-000043550000}"/>
    <cellStyle name="40% - Accent5 3 3 2 5" xfId="18912" xr:uid="{00000000-0005-0000-0000-000044550000}"/>
    <cellStyle name="40% - Accent5 3 3 2 5 2" xfId="9883" xr:uid="{00000000-0005-0000-0000-000045550000}"/>
    <cellStyle name="40% - Accent5 3 3 2 5 2 2" xfId="20242" xr:uid="{00000000-0005-0000-0000-000046550000}"/>
    <cellStyle name="40% - Accent5 3 3 2 5 3" xfId="12192" xr:uid="{00000000-0005-0000-0000-000047550000}"/>
    <cellStyle name="40% - Accent5 3 3 2 6" xfId="24873" xr:uid="{00000000-0005-0000-0000-000048550000}"/>
    <cellStyle name="40% - Accent5 3 3 2 6 2" xfId="3831" xr:uid="{00000000-0005-0000-0000-000049550000}"/>
    <cellStyle name="40% - Accent5 3 3 2 7" xfId="24874" xr:uid="{00000000-0005-0000-0000-00004A550000}"/>
    <cellStyle name="40% - Accent5 3 3 3" xfId="24875" xr:uid="{00000000-0005-0000-0000-00004B550000}"/>
    <cellStyle name="40% - Accent5 3 3 3 2" xfId="21602" xr:uid="{00000000-0005-0000-0000-00004C550000}"/>
    <cellStyle name="40% - Accent5 3 3 3 2 2" xfId="17315" xr:uid="{00000000-0005-0000-0000-00004D550000}"/>
    <cellStyle name="40% - Accent5 3 3 3 2 2 2" xfId="11690" xr:uid="{00000000-0005-0000-0000-00004E550000}"/>
    <cellStyle name="40% - Accent5 3 3 3 2 2 2 2" xfId="24876" xr:uid="{00000000-0005-0000-0000-00004F550000}"/>
    <cellStyle name="40% - Accent5 3 3 3 2 2 2 2 2" xfId="27893" xr:uid="{00000000-0005-0000-0000-000050550000}"/>
    <cellStyle name="40% - Accent5 3 3 3 2 2 2 3" xfId="2306" xr:uid="{00000000-0005-0000-0000-000051550000}"/>
    <cellStyle name="40% - Accent5 3 3 3 2 2 3" xfId="15122" xr:uid="{00000000-0005-0000-0000-000052550000}"/>
    <cellStyle name="40% - Accent5 3 3 3 2 2 3 2" xfId="31414" xr:uid="{00000000-0005-0000-0000-000053550000}"/>
    <cellStyle name="40% - Accent5 3 3 3 2 2 4" xfId="10267" xr:uid="{00000000-0005-0000-0000-000054550000}"/>
    <cellStyle name="40% - Accent5 3 3 3 2 3" xfId="8745" xr:uid="{00000000-0005-0000-0000-000055550000}"/>
    <cellStyle name="40% - Accent5 3 3 3 2 3 2" xfId="14243" xr:uid="{00000000-0005-0000-0000-000056550000}"/>
    <cellStyle name="40% - Accent5 3 3 3 2 3 2 2" xfId="4027" xr:uid="{00000000-0005-0000-0000-000057550000}"/>
    <cellStyle name="40% - Accent5 3 3 3 2 3 3" xfId="11226" xr:uid="{00000000-0005-0000-0000-000058550000}"/>
    <cellStyle name="40% - Accent5 3 3 3 2 4" xfId="28157" xr:uid="{00000000-0005-0000-0000-000059550000}"/>
    <cellStyle name="40% - Accent5 3 3 3 2 4 2" xfId="10274" xr:uid="{00000000-0005-0000-0000-00005A550000}"/>
    <cellStyle name="40% - Accent5 3 3 3 2 5" xfId="28160" xr:uid="{00000000-0005-0000-0000-00005B550000}"/>
    <cellStyle name="40% - Accent5 3 3 3 3" xfId="24879" xr:uid="{00000000-0005-0000-0000-00005C550000}"/>
    <cellStyle name="40% - Accent5 3 3 3 3 2" xfId="12733" xr:uid="{00000000-0005-0000-0000-00005D550000}"/>
    <cellStyle name="40% - Accent5 3 3 3 3 2 2" xfId="5811" xr:uid="{00000000-0005-0000-0000-00005E550000}"/>
    <cellStyle name="40% - Accent5 3 3 3 3 2 2 2" xfId="24882" xr:uid="{00000000-0005-0000-0000-00005F550000}"/>
    <cellStyle name="40% - Accent5 3 3 3 3 2 3" xfId="11238" xr:uid="{00000000-0005-0000-0000-000060550000}"/>
    <cellStyle name="40% - Accent5 3 3 3 3 3" xfId="12750" xr:uid="{00000000-0005-0000-0000-000061550000}"/>
    <cellStyle name="40% - Accent5 3 3 3 3 3 2" xfId="10360" xr:uid="{00000000-0005-0000-0000-000062550000}"/>
    <cellStyle name="40% - Accent5 3 3 3 3 4" xfId="31433" xr:uid="{00000000-0005-0000-0000-000063550000}"/>
    <cellStyle name="40% - Accent5 3 3 3 4" xfId="24888" xr:uid="{00000000-0005-0000-0000-000064550000}"/>
    <cellStyle name="40% - Accent5 3 3 3 4 2" xfId="16548" xr:uid="{00000000-0005-0000-0000-000065550000}"/>
    <cellStyle name="40% - Accent5 3 3 3 4 2 2" xfId="13608" xr:uid="{00000000-0005-0000-0000-000066550000}"/>
    <cellStyle name="40% - Accent5 3 3 3 4 3" xfId="30799" xr:uid="{00000000-0005-0000-0000-000067550000}"/>
    <cellStyle name="40% - Accent5 3 3 3 5" xfId="24890" xr:uid="{00000000-0005-0000-0000-000068550000}"/>
    <cellStyle name="40% - Accent5 3 3 3 5 2" xfId="4690" xr:uid="{00000000-0005-0000-0000-000069550000}"/>
    <cellStyle name="40% - Accent5 3 3 3 6" xfId="29517" xr:uid="{00000000-0005-0000-0000-00006A550000}"/>
    <cellStyle name="40% - Accent5 3 3 4" xfId="25545" xr:uid="{00000000-0005-0000-0000-00006B550000}"/>
    <cellStyle name="40% - Accent5 3 3 4 2" xfId="24894" xr:uid="{00000000-0005-0000-0000-00006C550000}"/>
    <cellStyle name="40% - Accent5 3 3 4 2 2" xfId="10544" xr:uid="{00000000-0005-0000-0000-00006D550000}"/>
    <cellStyle name="40% - Accent5 3 3 4 2 2 2" xfId="1947" xr:uid="{00000000-0005-0000-0000-00006E550000}"/>
    <cellStyle name="40% - Accent5 3 3 4 2 2 2 2" xfId="24289" xr:uid="{00000000-0005-0000-0000-00006F550000}"/>
    <cellStyle name="40% - Accent5 3 3 4 2 2 3" xfId="11251" xr:uid="{00000000-0005-0000-0000-000070550000}"/>
    <cellStyle name="40% - Accent5 3 3 4 2 3" xfId="10554" xr:uid="{00000000-0005-0000-0000-000071550000}"/>
    <cellStyle name="40% - Accent5 3 3 4 2 3 2" xfId="1176" xr:uid="{00000000-0005-0000-0000-000072550000}"/>
    <cellStyle name="40% - Accent5 3 3 4 2 4" xfId="24659" xr:uid="{00000000-0005-0000-0000-000073550000}"/>
    <cellStyle name="40% - Accent5 3 3 4 3" xfId="24897" xr:uid="{00000000-0005-0000-0000-000074550000}"/>
    <cellStyle name="40% - Accent5 3 3 4 3 2" xfId="28336" xr:uid="{00000000-0005-0000-0000-000075550000}"/>
    <cellStyle name="40% - Accent5 3 3 4 3 2 2" xfId="1291" xr:uid="{00000000-0005-0000-0000-000076550000}"/>
    <cellStyle name="40% - Accent5 3 3 4 3 3" xfId="17213" xr:uid="{00000000-0005-0000-0000-000077550000}"/>
    <cellStyle name="40% - Accent5 3 3 4 4" xfId="24902" xr:uid="{00000000-0005-0000-0000-000078550000}"/>
    <cellStyle name="40% - Accent5 3 3 4 4 2" xfId="10605" xr:uid="{00000000-0005-0000-0000-000079550000}"/>
    <cellStyle name="40% - Accent5 3 3 4 5" xfId="18780" xr:uid="{00000000-0005-0000-0000-00007A550000}"/>
    <cellStyle name="40% - Accent5 3 3 5" xfId="15204" xr:uid="{00000000-0005-0000-0000-00007B550000}"/>
    <cellStyle name="40% - Accent5 3 3 5 2" xfId="24905" xr:uid="{00000000-0005-0000-0000-00007C550000}"/>
    <cellStyle name="40% - Accent5 3 3 5 2 2" xfId="15575" xr:uid="{00000000-0005-0000-0000-00007D550000}"/>
    <cellStyle name="40% - Accent5 3 3 5 2 2 2" xfId="15462" xr:uid="{00000000-0005-0000-0000-00007E550000}"/>
    <cellStyle name="40% - Accent5 3 3 5 2 3" xfId="10668" xr:uid="{00000000-0005-0000-0000-00007F550000}"/>
    <cellStyle name="40% - Accent5 3 3 5 3" xfId="24908" xr:uid="{00000000-0005-0000-0000-000080550000}"/>
    <cellStyle name="40% - Accent5 3 3 5 3 2" xfId="10735" xr:uid="{00000000-0005-0000-0000-000081550000}"/>
    <cellStyle name="40% - Accent5 3 3 5 4" xfId="25568" xr:uid="{00000000-0005-0000-0000-000082550000}"/>
    <cellStyle name="40% - Accent5 3 3 6" xfId="24912" xr:uid="{00000000-0005-0000-0000-000083550000}"/>
    <cellStyle name="40% - Accent5 3 3 6 2" xfId="24913" xr:uid="{00000000-0005-0000-0000-000084550000}"/>
    <cellStyle name="40% - Accent5 3 3 6 2 2" xfId="10826" xr:uid="{00000000-0005-0000-0000-000085550000}"/>
    <cellStyle name="40% - Accent5 3 3 6 3" xfId="24915" xr:uid="{00000000-0005-0000-0000-000086550000}"/>
    <cellStyle name="40% - Accent5 3 3 7" xfId="30118" xr:uid="{00000000-0005-0000-0000-000087550000}"/>
    <cellStyle name="40% - Accent5 3 3 7 2" xfId="27945" xr:uid="{00000000-0005-0000-0000-000088550000}"/>
    <cellStyle name="40% - Accent5 3 3 8" xfId="12400" xr:uid="{00000000-0005-0000-0000-000089550000}"/>
    <cellStyle name="40% - Accent5 3 4" xfId="21124" xr:uid="{00000000-0005-0000-0000-00008A550000}"/>
    <cellStyle name="40% - Accent5 3 4 2" xfId="7851" xr:uid="{00000000-0005-0000-0000-00008B550000}"/>
    <cellStyle name="40% - Accent5 3 4 2 2" xfId="29412" xr:uid="{00000000-0005-0000-0000-00008C550000}"/>
    <cellStyle name="40% - Accent5 3 4 2 2 2" xfId="17706" xr:uid="{00000000-0005-0000-0000-00008D550000}"/>
    <cellStyle name="40% - Accent5 3 4 2 2 2 2" xfId="18014" xr:uid="{00000000-0005-0000-0000-00008E550000}"/>
    <cellStyle name="40% - Accent5 3 4 2 2 2 2 2" xfId="22691" xr:uid="{00000000-0005-0000-0000-00008F550000}"/>
    <cellStyle name="40% - Accent5 3 4 2 2 2 2 2 2" xfId="24921" xr:uid="{00000000-0005-0000-0000-000090550000}"/>
    <cellStyle name="40% - Accent5 3 4 2 2 2 2 3" xfId="8287" xr:uid="{00000000-0005-0000-0000-000091550000}"/>
    <cellStyle name="40% - Accent5 3 4 2 2 2 3" xfId="7049" xr:uid="{00000000-0005-0000-0000-000092550000}"/>
    <cellStyle name="40% - Accent5 3 4 2 2 2 3 2" xfId="24648" xr:uid="{00000000-0005-0000-0000-000093550000}"/>
    <cellStyle name="40% - Accent5 3 4 2 2 2 4" xfId="29695" xr:uid="{00000000-0005-0000-0000-000094550000}"/>
    <cellStyle name="40% - Accent5 3 4 2 2 3" xfId="10695" xr:uid="{00000000-0005-0000-0000-000095550000}"/>
    <cellStyle name="40% - Accent5 3 4 2 2 3 2" xfId="33096" xr:uid="{00000000-0005-0000-0000-000096550000}"/>
    <cellStyle name="40% - Accent5 3 4 2 2 3 2 2" xfId="8424" xr:uid="{00000000-0005-0000-0000-000097550000}"/>
    <cellStyle name="40% - Accent5 3 4 2 2 3 3" xfId="31730" xr:uid="{00000000-0005-0000-0000-000098550000}"/>
    <cellStyle name="40% - Accent5 3 4 2 2 4" xfId="28171" xr:uid="{00000000-0005-0000-0000-000099550000}"/>
    <cellStyle name="40% - Accent5 3 4 2 2 4 2" xfId="33981" xr:uid="{00000000-0005-0000-0000-00009A550000}"/>
    <cellStyle name="40% - Accent5 3 4 2 2 5" xfId="28178" xr:uid="{00000000-0005-0000-0000-00009B550000}"/>
    <cellStyle name="40% - Accent5 3 4 2 3" xfId="29416" xr:uid="{00000000-0005-0000-0000-00009C550000}"/>
    <cellStyle name="40% - Accent5 3 4 2 3 2" xfId="33001" xr:uid="{00000000-0005-0000-0000-00009D550000}"/>
    <cellStyle name="40% - Accent5 3 4 2 3 2 2" xfId="14873" xr:uid="{00000000-0005-0000-0000-00009E550000}"/>
    <cellStyle name="40% - Accent5 3 4 2 3 2 2 2" xfId="20384" xr:uid="{00000000-0005-0000-0000-00009F550000}"/>
    <cellStyle name="40% - Accent5 3 4 2 3 2 3" xfId="13540" xr:uid="{00000000-0005-0000-0000-0000A0550000}"/>
    <cellStyle name="40% - Accent5 3 4 2 3 3" xfId="11730" xr:uid="{00000000-0005-0000-0000-0000A1550000}"/>
    <cellStyle name="40% - Accent5 3 4 2 3 3 2" xfId="14882" xr:uid="{00000000-0005-0000-0000-0000A2550000}"/>
    <cellStyle name="40% - Accent5 3 4 2 3 4" xfId="28182" xr:uid="{00000000-0005-0000-0000-0000A3550000}"/>
    <cellStyle name="40% - Accent5 3 4 2 4" xfId="29426" xr:uid="{00000000-0005-0000-0000-0000A4550000}"/>
    <cellStyle name="40% - Accent5 3 4 2 4 2" xfId="158" xr:uid="{00000000-0005-0000-0000-0000A5550000}"/>
    <cellStyle name="40% - Accent5 3 4 2 4 2 2" xfId="14528" xr:uid="{00000000-0005-0000-0000-0000A6550000}"/>
    <cellStyle name="40% - Accent5 3 4 2 4 3" xfId="250" xr:uid="{00000000-0005-0000-0000-0000A7550000}"/>
    <cellStyle name="40% - Accent5 3 4 2 5" xfId="24922" xr:uid="{00000000-0005-0000-0000-0000A8550000}"/>
    <cellStyle name="40% - Accent5 3 4 2 5 2" xfId="254" xr:uid="{00000000-0005-0000-0000-0000A9550000}"/>
    <cellStyle name="40% - Accent5 3 4 2 6" xfId="15497" xr:uid="{00000000-0005-0000-0000-0000AA550000}"/>
    <cellStyle name="40% - Accent5 3 4 3" xfId="24926" xr:uid="{00000000-0005-0000-0000-0000AB550000}"/>
    <cellStyle name="40% - Accent5 3 4 3 2" xfId="33651" xr:uid="{00000000-0005-0000-0000-0000AC550000}"/>
    <cellStyle name="40% - Accent5 3 4 3 2 2" xfId="10712" xr:uid="{00000000-0005-0000-0000-0000AD550000}"/>
    <cellStyle name="40% - Accent5 3 4 3 2 2 2" xfId="33951" xr:uid="{00000000-0005-0000-0000-0000AE550000}"/>
    <cellStyle name="40% - Accent5 3 4 3 2 2 2 2" xfId="1370" xr:uid="{00000000-0005-0000-0000-0000AF550000}"/>
    <cellStyle name="40% - Accent5 3 4 3 2 2 3" xfId="32137" xr:uid="{00000000-0005-0000-0000-0000B0550000}"/>
    <cellStyle name="40% - Accent5 3 4 3 2 3" xfId="12128" xr:uid="{00000000-0005-0000-0000-0000B1550000}"/>
    <cellStyle name="40% - Accent5 3 4 3 2 3 2" xfId="12131" xr:uid="{00000000-0005-0000-0000-0000B2550000}"/>
    <cellStyle name="40% - Accent5 3 4 3 2 4" xfId="1831" xr:uid="{00000000-0005-0000-0000-0000B3550000}"/>
    <cellStyle name="40% - Accent5 3 4 3 3" xfId="11208" xr:uid="{00000000-0005-0000-0000-0000B4550000}"/>
    <cellStyle name="40% - Accent5 3 4 3 3 2" xfId="18540" xr:uid="{00000000-0005-0000-0000-0000B5550000}"/>
    <cellStyle name="40% - Accent5 3 4 3 3 2 2" xfId="14905" xr:uid="{00000000-0005-0000-0000-0000B6550000}"/>
    <cellStyle name="40% - Accent5 3 4 3 3 3" xfId="12166" xr:uid="{00000000-0005-0000-0000-0000B7550000}"/>
    <cellStyle name="40% - Accent5 3 4 3 4" xfId="11215" xr:uid="{00000000-0005-0000-0000-0000B8550000}"/>
    <cellStyle name="40% - Accent5 3 4 3 4 2" xfId="448" xr:uid="{00000000-0005-0000-0000-0000B9550000}"/>
    <cellStyle name="40% - Accent5 3 4 3 5" xfId="24927" xr:uid="{00000000-0005-0000-0000-0000BA550000}"/>
    <cellStyle name="40% - Accent5 3 4 4" xfId="24928" xr:uid="{00000000-0005-0000-0000-0000BB550000}"/>
    <cellStyle name="40% - Accent5 3 4 4 2" xfId="615" xr:uid="{00000000-0005-0000-0000-0000BC550000}"/>
    <cellStyle name="40% - Accent5 3 4 4 2 2" xfId="11599" xr:uid="{00000000-0005-0000-0000-0000BD550000}"/>
    <cellStyle name="40% - Accent5 3 4 4 2 2 2" xfId="1426" xr:uid="{00000000-0005-0000-0000-0000BE550000}"/>
    <cellStyle name="40% - Accent5 3 4 4 2 3" xfId="13404" xr:uid="{00000000-0005-0000-0000-0000BF550000}"/>
    <cellStyle name="40% - Accent5 3 4 4 3" xfId="11220" xr:uid="{00000000-0005-0000-0000-0000C0550000}"/>
    <cellStyle name="40% - Accent5 3 4 4 3 2" xfId="12347" xr:uid="{00000000-0005-0000-0000-0000C1550000}"/>
    <cellStyle name="40% - Accent5 3 4 4 4" xfId="24929" xr:uid="{00000000-0005-0000-0000-0000C2550000}"/>
    <cellStyle name="40% - Accent5 3 4 5" xfId="24931" xr:uid="{00000000-0005-0000-0000-0000C3550000}"/>
    <cellStyle name="40% - Accent5 3 4 5 2" xfId="627" xr:uid="{00000000-0005-0000-0000-0000C4550000}"/>
    <cellStyle name="40% - Accent5 3 4 5 2 2" xfId="12438" xr:uid="{00000000-0005-0000-0000-0000C5550000}"/>
    <cellStyle name="40% - Accent5 3 4 5 3" xfId="20359" xr:uid="{00000000-0005-0000-0000-0000C6550000}"/>
    <cellStyle name="40% - Accent5 3 4 6" xfId="24937" xr:uid="{00000000-0005-0000-0000-0000C7550000}"/>
    <cellStyle name="40% - Accent5 3 4 6 2" xfId="24948" xr:uid="{00000000-0005-0000-0000-0000C8550000}"/>
    <cellStyle name="40% - Accent5 3 4 7" xfId="11697" xr:uid="{00000000-0005-0000-0000-0000C9550000}"/>
    <cellStyle name="40% - Accent5 3 5" xfId="24951" xr:uid="{00000000-0005-0000-0000-0000CA550000}"/>
    <cellStyle name="40% - Accent5 3 5 2" xfId="25577" xr:uid="{00000000-0005-0000-0000-0000CB550000}"/>
    <cellStyle name="40% - Accent5 3 5 2 2" xfId="5218" xr:uid="{00000000-0005-0000-0000-0000CC550000}"/>
    <cellStyle name="40% - Accent5 3 5 2 2 2" xfId="32252" xr:uid="{00000000-0005-0000-0000-0000CD550000}"/>
    <cellStyle name="40% - Accent5 3 5 2 2 2 2" xfId="31063" xr:uid="{00000000-0005-0000-0000-0000CE550000}"/>
    <cellStyle name="40% - Accent5 3 5 2 2 2 2 2" xfId="24954" xr:uid="{00000000-0005-0000-0000-0000CF550000}"/>
    <cellStyle name="40% - Accent5 3 5 2 2 2 3" xfId="32561" xr:uid="{00000000-0005-0000-0000-0000D0550000}"/>
    <cellStyle name="40% - Accent5 3 5 2 2 3" xfId="28404" xr:uid="{00000000-0005-0000-0000-0000D1550000}"/>
    <cellStyle name="40% - Accent5 3 5 2 2 3 2" xfId="32948" xr:uid="{00000000-0005-0000-0000-0000D2550000}"/>
    <cellStyle name="40% - Accent5 3 5 2 2 4" xfId="28187" xr:uid="{00000000-0005-0000-0000-0000D3550000}"/>
    <cellStyle name="40% - Accent5 3 5 2 3" xfId="5229" xr:uid="{00000000-0005-0000-0000-0000D4550000}"/>
    <cellStyle name="40% - Accent5 3 5 2 3 2" xfId="28371" xr:uid="{00000000-0005-0000-0000-0000D5550000}"/>
    <cellStyle name="40% - Accent5 3 5 2 3 2 2" xfId="32548" xr:uid="{00000000-0005-0000-0000-0000D6550000}"/>
    <cellStyle name="40% - Accent5 3 5 2 3 3" xfId="13381" xr:uid="{00000000-0005-0000-0000-0000D7550000}"/>
    <cellStyle name="40% - Accent5 3 5 2 4" xfId="24957" xr:uid="{00000000-0005-0000-0000-0000D8550000}"/>
    <cellStyle name="40% - Accent5 3 5 2 4 2" xfId="388" xr:uid="{00000000-0005-0000-0000-0000D9550000}"/>
    <cellStyle name="40% - Accent5 3 5 2 5" xfId="24959" xr:uid="{00000000-0005-0000-0000-0000DA550000}"/>
    <cellStyle name="40% - Accent5 3 5 3" xfId="24322" xr:uid="{00000000-0005-0000-0000-0000DB550000}"/>
    <cellStyle name="40% - Accent5 3 5 3 2" xfId="5260" xr:uid="{00000000-0005-0000-0000-0000DC550000}"/>
    <cellStyle name="40% - Accent5 3 5 3 2 2" xfId="1165" xr:uid="{00000000-0005-0000-0000-0000DD550000}"/>
    <cellStyle name="40% - Accent5 3 5 3 2 2 2" xfId="32035" xr:uid="{00000000-0005-0000-0000-0000DE550000}"/>
    <cellStyle name="40% - Accent5 3 5 3 2 3" xfId="14056" xr:uid="{00000000-0005-0000-0000-0000DF550000}"/>
    <cellStyle name="40% - Accent5 3 5 3 3" xfId="11222" xr:uid="{00000000-0005-0000-0000-0000E0550000}"/>
    <cellStyle name="40% - Accent5 3 5 3 3 2" xfId="13805" xr:uid="{00000000-0005-0000-0000-0000E1550000}"/>
    <cellStyle name="40% - Accent5 3 5 3 4" xfId="24961" xr:uid="{00000000-0005-0000-0000-0000E2550000}"/>
    <cellStyle name="40% - Accent5 3 5 4" xfId="20264" xr:uid="{00000000-0005-0000-0000-0000E3550000}"/>
    <cellStyle name="40% - Accent5 3 5 4 2" xfId="297" xr:uid="{00000000-0005-0000-0000-0000E4550000}"/>
    <cellStyle name="40% - Accent5 3 5 4 2 2" xfId="13959" xr:uid="{00000000-0005-0000-0000-0000E5550000}"/>
    <cellStyle name="40% - Accent5 3 5 4 3" xfId="24962" xr:uid="{00000000-0005-0000-0000-0000E6550000}"/>
    <cellStyle name="40% - Accent5 3 5 5" xfId="24968" xr:uid="{00000000-0005-0000-0000-0000E7550000}"/>
    <cellStyle name="40% - Accent5 3 5 5 2" xfId="26797" xr:uid="{00000000-0005-0000-0000-0000E8550000}"/>
    <cellStyle name="40% - Accent5 3 5 6" xfId="24971" xr:uid="{00000000-0005-0000-0000-0000E9550000}"/>
    <cellStyle name="40% - Accent5 3 6" xfId="24973" xr:uid="{00000000-0005-0000-0000-0000EA550000}"/>
    <cellStyle name="40% - Accent5 3 6 2" xfId="24974" xr:uid="{00000000-0005-0000-0000-0000EB550000}"/>
    <cellStyle name="40% - Accent5 3 6 2 2" xfId="9492" xr:uid="{00000000-0005-0000-0000-0000EC550000}"/>
    <cellStyle name="40% - Accent5 3 6 2 2 2" xfId="24976" xr:uid="{00000000-0005-0000-0000-0000ED550000}"/>
    <cellStyle name="40% - Accent5 3 6 2 2 2 2" xfId="24978" xr:uid="{00000000-0005-0000-0000-0000EE550000}"/>
    <cellStyle name="40% - Accent5 3 6 2 2 3" xfId="18346" xr:uid="{00000000-0005-0000-0000-0000EF550000}"/>
    <cellStyle name="40% - Accent5 3 6 2 3" xfId="24979" xr:uid="{00000000-0005-0000-0000-0000F0550000}"/>
    <cellStyle name="40% - Accent5 3 6 2 3 2" xfId="24980" xr:uid="{00000000-0005-0000-0000-0000F1550000}"/>
    <cellStyle name="40% - Accent5 3 6 2 4" xfId="4109" xr:uid="{00000000-0005-0000-0000-0000F2550000}"/>
    <cellStyle name="40% - Accent5 3 6 3" xfId="19790" xr:uid="{00000000-0005-0000-0000-0000F3550000}"/>
    <cellStyle name="40% - Accent5 3 6 3 2" xfId="24981" xr:uid="{00000000-0005-0000-0000-0000F4550000}"/>
    <cellStyle name="40% - Accent5 3 6 3 2 2" xfId="24982" xr:uid="{00000000-0005-0000-0000-0000F5550000}"/>
    <cellStyle name="40% - Accent5 3 6 3 3" xfId="32460" xr:uid="{00000000-0005-0000-0000-0000F6550000}"/>
    <cellStyle name="40% - Accent5 3 6 4" xfId="24983" xr:uid="{00000000-0005-0000-0000-0000F7550000}"/>
    <cellStyle name="40% - Accent5 3 6 4 2" xfId="24984" xr:uid="{00000000-0005-0000-0000-0000F8550000}"/>
    <cellStyle name="40% - Accent5 3 6 5" xfId="34020" xr:uid="{00000000-0005-0000-0000-0000F9550000}"/>
    <cellStyle name="40% - Accent5 3 7" xfId="24986" xr:uid="{00000000-0005-0000-0000-0000FA550000}"/>
    <cellStyle name="40% - Accent5 3 7 2" xfId="24988" xr:uid="{00000000-0005-0000-0000-0000FB550000}"/>
    <cellStyle name="40% - Accent5 3 7 2 2" xfId="11700" xr:uid="{00000000-0005-0000-0000-0000FC550000}"/>
    <cellStyle name="40% - Accent5 3 7 2 2 2" xfId="24613" xr:uid="{00000000-0005-0000-0000-0000FD550000}"/>
    <cellStyle name="40% - Accent5 3 7 2 3" xfId="24990" xr:uid="{00000000-0005-0000-0000-0000FE550000}"/>
    <cellStyle name="40% - Accent5 3 7 3" xfId="24991" xr:uid="{00000000-0005-0000-0000-0000FF550000}"/>
    <cellStyle name="40% - Accent5 3 7 3 2" xfId="22036" xr:uid="{00000000-0005-0000-0000-000000560000}"/>
    <cellStyle name="40% - Accent5 3 7 4" xfId="24993" xr:uid="{00000000-0005-0000-0000-000001560000}"/>
    <cellStyle name="40% - Accent5 3 8" xfId="9732" xr:uid="{00000000-0005-0000-0000-000002560000}"/>
    <cellStyle name="40% - Accent5 3 8 2" xfId="32486" xr:uid="{00000000-0005-0000-0000-000003560000}"/>
    <cellStyle name="40% - Accent5 3 8 2 2" xfId="24994" xr:uid="{00000000-0005-0000-0000-000004560000}"/>
    <cellStyle name="40% - Accent5 3 8 3" xfId="8921" xr:uid="{00000000-0005-0000-0000-000005560000}"/>
    <cellStyle name="40% - Accent5 3 9" xfId="1335" xr:uid="{00000000-0005-0000-0000-000006560000}"/>
    <cellStyle name="40% - Accent5 3 9 2" xfId="27329" xr:uid="{00000000-0005-0000-0000-000007560000}"/>
    <cellStyle name="40% - Accent5 4" xfId="16974" xr:uid="{00000000-0005-0000-0000-000008560000}"/>
    <cellStyle name="40% - Accent5 4 2" xfId="24995" xr:uid="{00000000-0005-0000-0000-000009560000}"/>
    <cellStyle name="40% - Accent5 4 2 2" xfId="24161" xr:uid="{00000000-0005-0000-0000-00000A560000}"/>
    <cellStyle name="40% - Accent5 4 2 2 2" xfId="28081" xr:uid="{00000000-0005-0000-0000-00000B560000}"/>
    <cellStyle name="40% - Accent5 4 2 2 2 2" xfId="16839" xr:uid="{00000000-0005-0000-0000-00000C560000}"/>
    <cellStyle name="40% - Accent5 4 2 2 2 2 2" xfId="24996" xr:uid="{00000000-0005-0000-0000-00000D560000}"/>
    <cellStyle name="40% - Accent5 4 2 2 2 2 2 2" xfId="407" xr:uid="{00000000-0005-0000-0000-00000E560000}"/>
    <cellStyle name="40% - Accent5 4 2 2 2 2 2 2 2" xfId="15563" xr:uid="{00000000-0005-0000-0000-00000F560000}"/>
    <cellStyle name="40% - Accent5 4 2 2 2 2 2 2 2 2" xfId="24997" xr:uid="{00000000-0005-0000-0000-000010560000}"/>
    <cellStyle name="40% - Accent5 4 2 2 2 2 2 2 3" xfId="15580" xr:uid="{00000000-0005-0000-0000-000011560000}"/>
    <cellStyle name="40% - Accent5 4 2 2 2 2 2 3" xfId="25001" xr:uid="{00000000-0005-0000-0000-000012560000}"/>
    <cellStyle name="40% - Accent5 4 2 2 2 2 2 3 2" xfId="15587" xr:uid="{00000000-0005-0000-0000-000013560000}"/>
    <cellStyle name="40% - Accent5 4 2 2 2 2 2 4" xfId="25002" xr:uid="{00000000-0005-0000-0000-000014560000}"/>
    <cellStyle name="40% - Accent5 4 2 2 2 2 3" xfId="60" xr:uid="{00000000-0005-0000-0000-000015560000}"/>
    <cellStyle name="40% - Accent5 4 2 2 2 2 3 2" xfId="25005" xr:uid="{00000000-0005-0000-0000-000016560000}"/>
    <cellStyle name="40% - Accent5 4 2 2 2 2 3 2 2" xfId="15608" xr:uid="{00000000-0005-0000-0000-000017560000}"/>
    <cellStyle name="40% - Accent5 4 2 2 2 2 3 3" xfId="25007" xr:uid="{00000000-0005-0000-0000-000018560000}"/>
    <cellStyle name="40% - Accent5 4 2 2 2 2 4" xfId="30336" xr:uid="{00000000-0005-0000-0000-000019560000}"/>
    <cellStyle name="40% - Accent5 4 2 2 2 2 4 2" xfId="11300" xr:uid="{00000000-0005-0000-0000-00001A560000}"/>
    <cellStyle name="40% - Accent5 4 2 2 2 2 5" xfId="25008" xr:uid="{00000000-0005-0000-0000-00001B560000}"/>
    <cellStyle name="40% - Accent5 4 2 2 2 3" xfId="33217" xr:uid="{00000000-0005-0000-0000-00001C560000}"/>
    <cellStyle name="40% - Accent5 4 2 2 2 3 2" xfId="16573" xr:uid="{00000000-0005-0000-0000-00001D560000}"/>
    <cellStyle name="40% - Accent5 4 2 2 2 3 2 2" xfId="12091" xr:uid="{00000000-0005-0000-0000-00001E560000}"/>
    <cellStyle name="40% - Accent5 4 2 2 2 3 2 2 2" xfId="15789" xr:uid="{00000000-0005-0000-0000-00001F560000}"/>
    <cellStyle name="40% - Accent5 4 2 2 2 3 2 3" xfId="12095" xr:uid="{00000000-0005-0000-0000-000020560000}"/>
    <cellStyle name="40% - Accent5 4 2 2 2 3 3" xfId="31657" xr:uid="{00000000-0005-0000-0000-000021560000}"/>
    <cellStyle name="40% - Accent5 4 2 2 2 3 3 2" xfId="7225" xr:uid="{00000000-0005-0000-0000-000022560000}"/>
    <cellStyle name="40% - Accent5 4 2 2 2 3 4" xfId="25009" xr:uid="{00000000-0005-0000-0000-000023560000}"/>
    <cellStyle name="40% - Accent5 4 2 2 2 4" xfId="27449" xr:uid="{00000000-0005-0000-0000-000024560000}"/>
    <cellStyle name="40% - Accent5 4 2 2 2 4 2" xfId="28189" xr:uid="{00000000-0005-0000-0000-000025560000}"/>
    <cellStyle name="40% - Accent5 4 2 2 2 4 2 2" xfId="12103" xr:uid="{00000000-0005-0000-0000-000026560000}"/>
    <cellStyle name="40% - Accent5 4 2 2 2 4 3" xfId="28192" xr:uid="{00000000-0005-0000-0000-000027560000}"/>
    <cellStyle name="40% - Accent5 4 2 2 2 5" xfId="30584" xr:uid="{00000000-0005-0000-0000-000028560000}"/>
    <cellStyle name="40% - Accent5 4 2 2 2 5 2" xfId="28194" xr:uid="{00000000-0005-0000-0000-000029560000}"/>
    <cellStyle name="40% - Accent5 4 2 2 2 6" xfId="1692" xr:uid="{00000000-0005-0000-0000-00002A560000}"/>
    <cellStyle name="40% - Accent5 4 2 2 3" xfId="21974" xr:uid="{00000000-0005-0000-0000-00002B560000}"/>
    <cellStyle name="40% - Accent5 4 2 2 3 2" xfId="21977" xr:uid="{00000000-0005-0000-0000-00002C560000}"/>
    <cellStyle name="40% - Accent5 4 2 2 3 2 2" xfId="25010" xr:uid="{00000000-0005-0000-0000-00002D560000}"/>
    <cellStyle name="40% - Accent5 4 2 2 3 2 2 2" xfId="11257" xr:uid="{00000000-0005-0000-0000-00002E560000}"/>
    <cellStyle name="40% - Accent5 4 2 2 3 2 2 2 2" xfId="16123" xr:uid="{00000000-0005-0000-0000-00002F560000}"/>
    <cellStyle name="40% - Accent5 4 2 2 3 2 2 3" xfId="25014" xr:uid="{00000000-0005-0000-0000-000030560000}"/>
    <cellStyle name="40% - Accent5 4 2 2 3 2 3" xfId="28589" xr:uid="{00000000-0005-0000-0000-000031560000}"/>
    <cellStyle name="40% - Accent5 4 2 2 3 2 3 2" xfId="25016" xr:uid="{00000000-0005-0000-0000-000032560000}"/>
    <cellStyle name="40% - Accent5 4 2 2 3 2 4" xfId="32722" xr:uid="{00000000-0005-0000-0000-000033560000}"/>
    <cellStyle name="40% - Accent5 4 2 2 3 3" xfId="19208" xr:uid="{00000000-0005-0000-0000-000034560000}"/>
    <cellStyle name="40% - Accent5 4 2 2 3 3 2" xfId="29896" xr:uid="{00000000-0005-0000-0000-000035560000}"/>
    <cellStyle name="40% - Accent5 4 2 2 3 3 2 2" xfId="7217" xr:uid="{00000000-0005-0000-0000-000036560000}"/>
    <cellStyle name="40% - Accent5 4 2 2 3 3 3" xfId="25025" xr:uid="{00000000-0005-0000-0000-000037560000}"/>
    <cellStyle name="40% - Accent5 4 2 2 3 4" xfId="14450" xr:uid="{00000000-0005-0000-0000-000038560000}"/>
    <cellStyle name="40% - Accent5 4 2 2 3 4 2" xfId="32969" xr:uid="{00000000-0005-0000-0000-000039560000}"/>
    <cellStyle name="40% - Accent5 4 2 2 3 5" xfId="14454" xr:uid="{00000000-0005-0000-0000-00003A560000}"/>
    <cellStyle name="40% - Accent5 4 2 2 4" xfId="29878" xr:uid="{00000000-0005-0000-0000-00003B560000}"/>
    <cellStyle name="40% - Accent5 4 2 2 4 2" xfId="21986" xr:uid="{00000000-0005-0000-0000-00003C560000}"/>
    <cellStyle name="40% - Accent5 4 2 2 4 2 2" xfId="4012" xr:uid="{00000000-0005-0000-0000-00003D560000}"/>
    <cellStyle name="40% - Accent5 4 2 2 4 2 2 2" xfId="32405" xr:uid="{00000000-0005-0000-0000-00003E560000}"/>
    <cellStyle name="40% - Accent5 4 2 2 4 2 3" xfId="3363" xr:uid="{00000000-0005-0000-0000-00003F560000}"/>
    <cellStyle name="40% - Accent5 4 2 2 4 3" xfId="19267" xr:uid="{00000000-0005-0000-0000-000040560000}"/>
    <cellStyle name="40% - Accent5 4 2 2 4 3 2" xfId="2525" xr:uid="{00000000-0005-0000-0000-000041560000}"/>
    <cellStyle name="40% - Accent5 4 2 2 4 4" xfId="3232" xr:uid="{00000000-0005-0000-0000-000042560000}"/>
    <cellStyle name="40% - Accent5 4 2 2 5" xfId="26239" xr:uid="{00000000-0005-0000-0000-000043560000}"/>
    <cellStyle name="40% - Accent5 4 2 2 5 2" xfId="26041" xr:uid="{00000000-0005-0000-0000-000044560000}"/>
    <cellStyle name="40% - Accent5 4 2 2 5 2 2" xfId="2686" xr:uid="{00000000-0005-0000-0000-000045560000}"/>
    <cellStyle name="40% - Accent5 4 2 2 5 3" xfId="22003" xr:uid="{00000000-0005-0000-0000-000046560000}"/>
    <cellStyle name="40% - Accent5 4 2 2 6" xfId="22006" xr:uid="{00000000-0005-0000-0000-000047560000}"/>
    <cellStyle name="40% - Accent5 4 2 2 6 2" xfId="25647" xr:uid="{00000000-0005-0000-0000-000048560000}"/>
    <cellStyle name="40% - Accent5 4 2 2 7" xfId="22015" xr:uid="{00000000-0005-0000-0000-000049560000}"/>
    <cellStyle name="40% - Accent5 4 2 3" xfId="25028" xr:uid="{00000000-0005-0000-0000-00004A560000}"/>
    <cellStyle name="40% - Accent5 4 2 3 2" xfId="25599" xr:uid="{00000000-0005-0000-0000-00004B560000}"/>
    <cellStyle name="40% - Accent5 4 2 3 2 2" xfId="26809" xr:uid="{00000000-0005-0000-0000-00004C560000}"/>
    <cellStyle name="40% - Accent5 4 2 3 2 2 2" xfId="20893" xr:uid="{00000000-0005-0000-0000-00004D560000}"/>
    <cellStyle name="40% - Accent5 4 2 3 2 2 2 2" xfId="4932" xr:uid="{00000000-0005-0000-0000-00004E560000}"/>
    <cellStyle name="40% - Accent5 4 2 3 2 2 2 2 2" xfId="16883" xr:uid="{00000000-0005-0000-0000-00004F560000}"/>
    <cellStyle name="40% - Accent5 4 2 3 2 2 2 3" xfId="1363" xr:uid="{00000000-0005-0000-0000-000050560000}"/>
    <cellStyle name="40% - Accent5 4 2 3 2 2 3" xfId="25034" xr:uid="{00000000-0005-0000-0000-000051560000}"/>
    <cellStyle name="40% - Accent5 4 2 3 2 2 3 2" xfId="392" xr:uid="{00000000-0005-0000-0000-000052560000}"/>
    <cellStyle name="40% - Accent5 4 2 3 2 2 4" xfId="25037" xr:uid="{00000000-0005-0000-0000-000053560000}"/>
    <cellStyle name="40% - Accent5 4 2 3 2 3" xfId="26709" xr:uid="{00000000-0005-0000-0000-000054560000}"/>
    <cellStyle name="40% - Accent5 4 2 3 2 3 2" xfId="4216" xr:uid="{00000000-0005-0000-0000-000055560000}"/>
    <cellStyle name="40% - Accent5 4 2 3 2 3 2 2" xfId="12144" xr:uid="{00000000-0005-0000-0000-000056560000}"/>
    <cellStyle name="40% - Accent5 4 2 3 2 3 3" xfId="26800" xr:uid="{00000000-0005-0000-0000-000057560000}"/>
    <cellStyle name="40% - Accent5 4 2 3 2 4" xfId="26720" xr:uid="{00000000-0005-0000-0000-000058560000}"/>
    <cellStyle name="40% - Accent5 4 2 3 2 4 2" xfId="26803" xr:uid="{00000000-0005-0000-0000-000059560000}"/>
    <cellStyle name="40% - Accent5 4 2 3 2 5" xfId="25039" xr:uid="{00000000-0005-0000-0000-00005A560000}"/>
    <cellStyle name="40% - Accent5 4 2 3 3" xfId="22018" xr:uid="{00000000-0005-0000-0000-00005B560000}"/>
    <cellStyle name="40% - Accent5 4 2 3 3 2" xfId="22019" xr:uid="{00000000-0005-0000-0000-00005C560000}"/>
    <cellStyle name="40% - Accent5 4 2 3 3 2 2" xfId="31124" xr:uid="{00000000-0005-0000-0000-00005D560000}"/>
    <cellStyle name="40% - Accent5 4 2 3 3 2 2 2" xfId="5045" xr:uid="{00000000-0005-0000-0000-00005E560000}"/>
    <cellStyle name="40% - Accent5 4 2 3 3 2 3" xfId="25042" xr:uid="{00000000-0005-0000-0000-00005F560000}"/>
    <cellStyle name="40% - Accent5 4 2 3 3 3" xfId="19998" xr:uid="{00000000-0005-0000-0000-000060560000}"/>
    <cellStyle name="40% - Accent5 4 2 3 3 3 2" xfId="33004" xr:uid="{00000000-0005-0000-0000-000061560000}"/>
    <cellStyle name="40% - Accent5 4 2 3 3 4" xfId="8456" xr:uid="{00000000-0005-0000-0000-000062560000}"/>
    <cellStyle name="40% - Accent5 4 2 3 4" xfId="22028" xr:uid="{00000000-0005-0000-0000-000063560000}"/>
    <cellStyle name="40% - Accent5 4 2 3 4 2" xfId="17011" xr:uid="{00000000-0005-0000-0000-000064560000}"/>
    <cellStyle name="40% - Accent5 4 2 3 4 2 2" xfId="2737" xr:uid="{00000000-0005-0000-0000-000065560000}"/>
    <cellStyle name="40% - Accent5 4 2 3 4 3" xfId="24484" xr:uid="{00000000-0005-0000-0000-000066560000}"/>
    <cellStyle name="40% - Accent5 4 2 3 5" xfId="22031" xr:uid="{00000000-0005-0000-0000-000067560000}"/>
    <cellStyle name="40% - Accent5 4 2 3 5 2" xfId="17065" xr:uid="{00000000-0005-0000-0000-000068560000}"/>
    <cellStyle name="40% - Accent5 4 2 3 6" xfId="29852" xr:uid="{00000000-0005-0000-0000-000069560000}"/>
    <cellStyle name="40% - Accent5 4 2 4" xfId="25043" xr:uid="{00000000-0005-0000-0000-00006A560000}"/>
    <cellStyle name="40% - Accent5 4 2 4 2" xfId="25046" xr:uid="{00000000-0005-0000-0000-00006B560000}"/>
    <cellStyle name="40% - Accent5 4 2 4 2 2" xfId="33009" xr:uid="{00000000-0005-0000-0000-00006C560000}"/>
    <cellStyle name="40% - Accent5 4 2 4 2 2 2" xfId="27105" xr:uid="{00000000-0005-0000-0000-00006D560000}"/>
    <cellStyle name="40% - Accent5 4 2 4 2 2 2 2" xfId="2168" xr:uid="{00000000-0005-0000-0000-00006E560000}"/>
    <cellStyle name="40% - Accent5 4 2 4 2 2 3" xfId="27789" xr:uid="{00000000-0005-0000-0000-00006F560000}"/>
    <cellStyle name="40% - Accent5 4 2 4 2 3" xfId="28323" xr:uid="{00000000-0005-0000-0000-000070560000}"/>
    <cellStyle name="40% - Accent5 4 2 4 2 3 2" xfId="20382" xr:uid="{00000000-0005-0000-0000-000071560000}"/>
    <cellStyle name="40% - Accent5 4 2 4 2 4" xfId="25048" xr:uid="{00000000-0005-0000-0000-000072560000}"/>
    <cellStyle name="40% - Accent5 4 2 4 3" xfId="22034" xr:uid="{00000000-0005-0000-0000-000073560000}"/>
    <cellStyle name="40% - Accent5 4 2 4 3 2" xfId="22039" xr:uid="{00000000-0005-0000-0000-000074560000}"/>
    <cellStyle name="40% - Accent5 4 2 4 3 2 2" xfId="29285" xr:uid="{00000000-0005-0000-0000-000075560000}"/>
    <cellStyle name="40% - Accent5 4 2 4 3 3" xfId="22044" xr:uid="{00000000-0005-0000-0000-000076560000}"/>
    <cellStyle name="40% - Accent5 4 2 4 4" xfId="22052" xr:uid="{00000000-0005-0000-0000-000077560000}"/>
    <cellStyle name="40% - Accent5 4 2 4 4 2" xfId="17117" xr:uid="{00000000-0005-0000-0000-000078560000}"/>
    <cellStyle name="40% - Accent5 4 2 4 5" xfId="26640" xr:uid="{00000000-0005-0000-0000-000079560000}"/>
    <cellStyle name="40% - Accent5 4 2 5" xfId="25057" xr:uid="{00000000-0005-0000-0000-00007A560000}"/>
    <cellStyle name="40% - Accent5 4 2 5 2" xfId="25059" xr:uid="{00000000-0005-0000-0000-00007B560000}"/>
    <cellStyle name="40% - Accent5 4 2 5 2 2" xfId="33239" xr:uid="{00000000-0005-0000-0000-00007C560000}"/>
    <cellStyle name="40% - Accent5 4 2 5 2 2 2" xfId="24157" xr:uid="{00000000-0005-0000-0000-00007D560000}"/>
    <cellStyle name="40% - Accent5 4 2 5 2 3" xfId="25062" xr:uid="{00000000-0005-0000-0000-00007E560000}"/>
    <cellStyle name="40% - Accent5 4 2 5 3" xfId="22057" xr:uid="{00000000-0005-0000-0000-00007F560000}"/>
    <cellStyle name="40% - Accent5 4 2 5 3 2" xfId="909" xr:uid="{00000000-0005-0000-0000-000080560000}"/>
    <cellStyle name="40% - Accent5 4 2 5 4" xfId="22059" xr:uid="{00000000-0005-0000-0000-000081560000}"/>
    <cellStyle name="40% - Accent5 4 2 6" xfId="12589" xr:uid="{00000000-0005-0000-0000-000082560000}"/>
    <cellStyle name="40% - Accent5 4 2 6 2" xfId="25067" xr:uid="{00000000-0005-0000-0000-000083560000}"/>
    <cellStyle name="40% - Accent5 4 2 6 2 2" xfId="25071" xr:uid="{00000000-0005-0000-0000-000084560000}"/>
    <cellStyle name="40% - Accent5 4 2 6 3" xfId="23071" xr:uid="{00000000-0005-0000-0000-000085560000}"/>
    <cellStyle name="40% - Accent5 4 2 7" xfId="14628" xr:uid="{00000000-0005-0000-0000-000086560000}"/>
    <cellStyle name="40% - Accent5 4 2 7 2" xfId="17000" xr:uid="{00000000-0005-0000-0000-000087560000}"/>
    <cellStyle name="40% - Accent5 4 2 8" xfId="5546" xr:uid="{00000000-0005-0000-0000-000088560000}"/>
    <cellStyle name="40% - Accent5 4 3" xfId="21004" xr:uid="{00000000-0005-0000-0000-000089560000}"/>
    <cellStyle name="40% - Accent5 4 3 2" xfId="25073" xr:uid="{00000000-0005-0000-0000-00008A560000}"/>
    <cellStyle name="40% - Accent5 4 3 2 2" xfId="25075" xr:uid="{00000000-0005-0000-0000-00008B560000}"/>
    <cellStyle name="40% - Accent5 4 3 2 2 2" xfId="20639" xr:uid="{00000000-0005-0000-0000-00008C560000}"/>
    <cellStyle name="40% - Accent5 4 3 2 2 2 2" xfId="27499" xr:uid="{00000000-0005-0000-0000-00008D560000}"/>
    <cellStyle name="40% - Accent5 4 3 2 2 2 2 2" xfId="17365" xr:uid="{00000000-0005-0000-0000-00008E560000}"/>
    <cellStyle name="40% - Accent5 4 3 2 2 2 2 2 2" xfId="21077" xr:uid="{00000000-0005-0000-0000-00008F560000}"/>
    <cellStyle name="40% - Accent5 4 3 2 2 2 2 3" xfId="25083" xr:uid="{00000000-0005-0000-0000-000090560000}"/>
    <cellStyle name="40% - Accent5 4 3 2 2 2 3" xfId="9763" xr:uid="{00000000-0005-0000-0000-000091560000}"/>
    <cellStyle name="40% - Accent5 4 3 2 2 2 3 2" xfId="25084" xr:uid="{00000000-0005-0000-0000-000092560000}"/>
    <cellStyle name="40% - Accent5 4 3 2 2 2 4" xfId="28683" xr:uid="{00000000-0005-0000-0000-000093560000}"/>
    <cellStyle name="40% - Accent5 4 3 2 2 3" xfId="25091" xr:uid="{00000000-0005-0000-0000-000094560000}"/>
    <cellStyle name="40% - Accent5 4 3 2 2 3 2" xfId="9766" xr:uid="{00000000-0005-0000-0000-000095560000}"/>
    <cellStyle name="40% - Accent5 4 3 2 2 3 2 2" xfId="12303" xr:uid="{00000000-0005-0000-0000-000096560000}"/>
    <cellStyle name="40% - Accent5 4 3 2 2 3 3" xfId="25093" xr:uid="{00000000-0005-0000-0000-000097560000}"/>
    <cellStyle name="40% - Accent5 4 3 2 2 4" xfId="20412" xr:uid="{00000000-0005-0000-0000-000098560000}"/>
    <cellStyle name="40% - Accent5 4 3 2 2 4 2" xfId="30730" xr:uid="{00000000-0005-0000-0000-000099560000}"/>
    <cellStyle name="40% - Accent5 4 3 2 2 5" xfId="30738" xr:uid="{00000000-0005-0000-0000-00009A560000}"/>
    <cellStyle name="40% - Accent5 4 3 2 3" xfId="22363" xr:uid="{00000000-0005-0000-0000-00009B560000}"/>
    <cellStyle name="40% - Accent5 4 3 2 3 2" xfId="22104" xr:uid="{00000000-0005-0000-0000-00009C560000}"/>
    <cellStyle name="40% - Accent5 4 3 2 3 2 2" xfId="4043" xr:uid="{00000000-0005-0000-0000-00009D560000}"/>
    <cellStyle name="40% - Accent5 4 3 2 3 2 2 2" xfId="25097" xr:uid="{00000000-0005-0000-0000-00009E560000}"/>
    <cellStyle name="40% - Accent5 4 3 2 3 2 3" xfId="26635" xr:uid="{00000000-0005-0000-0000-00009F560000}"/>
    <cellStyle name="40% - Accent5 4 3 2 3 3" xfId="20846" xr:uid="{00000000-0005-0000-0000-0000A0560000}"/>
    <cellStyle name="40% - Accent5 4 3 2 3 3 2" xfId="25100" xr:uid="{00000000-0005-0000-0000-0000A1560000}"/>
    <cellStyle name="40% - Accent5 4 3 2 3 4" xfId="7481" xr:uid="{00000000-0005-0000-0000-0000A2560000}"/>
    <cellStyle name="40% - Accent5 4 3 2 4" xfId="22111" xr:uid="{00000000-0005-0000-0000-0000A3560000}"/>
    <cellStyle name="40% - Accent5 4 3 2 4 2" xfId="22120" xr:uid="{00000000-0005-0000-0000-0000A4560000}"/>
    <cellStyle name="40% - Accent5 4 3 2 4 2 2" xfId="6618" xr:uid="{00000000-0005-0000-0000-0000A5560000}"/>
    <cellStyle name="40% - Accent5 4 3 2 4 3" xfId="22124" xr:uid="{00000000-0005-0000-0000-0000A6560000}"/>
    <cellStyle name="40% - Accent5 4 3 2 5" xfId="27323" xr:uid="{00000000-0005-0000-0000-0000A7560000}"/>
    <cellStyle name="40% - Accent5 4 3 2 5 2" xfId="22128" xr:uid="{00000000-0005-0000-0000-0000A8560000}"/>
    <cellStyle name="40% - Accent5 4 3 2 6" xfId="22130" xr:uid="{00000000-0005-0000-0000-0000A9560000}"/>
    <cellStyle name="40% - Accent5 4 3 3" xfId="25106" xr:uid="{00000000-0005-0000-0000-0000AA560000}"/>
    <cellStyle name="40% - Accent5 4 3 3 2" xfId="25109" xr:uid="{00000000-0005-0000-0000-0000AB560000}"/>
    <cellStyle name="40% - Accent5 4 3 3 2 2" xfId="25114" xr:uid="{00000000-0005-0000-0000-0000AC560000}"/>
    <cellStyle name="40% - Accent5 4 3 3 2 2 2" xfId="3230" xr:uid="{00000000-0005-0000-0000-0000AD560000}"/>
    <cellStyle name="40% - Accent5 4 3 3 2 2 2 2" xfId="2638" xr:uid="{00000000-0005-0000-0000-0000AE560000}"/>
    <cellStyle name="40% - Accent5 4 3 3 2 2 3" xfId="27562" xr:uid="{00000000-0005-0000-0000-0000AF560000}"/>
    <cellStyle name="40% - Accent5 4 3 3 2 3" xfId="26817" xr:uid="{00000000-0005-0000-0000-0000B0560000}"/>
    <cellStyle name="40% - Accent5 4 3 3 2 3 2" xfId="26818" xr:uid="{00000000-0005-0000-0000-0000B1560000}"/>
    <cellStyle name="40% - Accent5 4 3 3 2 4" xfId="3879" xr:uid="{00000000-0005-0000-0000-0000B2560000}"/>
    <cellStyle name="40% - Accent5 4 3 3 3" xfId="22133" xr:uid="{00000000-0005-0000-0000-0000B3560000}"/>
    <cellStyle name="40% - Accent5 4 3 3 3 2" xfId="22137" xr:uid="{00000000-0005-0000-0000-0000B4560000}"/>
    <cellStyle name="40% - Accent5 4 3 3 3 2 2" xfId="25115" xr:uid="{00000000-0005-0000-0000-0000B5560000}"/>
    <cellStyle name="40% - Accent5 4 3 3 3 3" xfId="24887" xr:uid="{00000000-0005-0000-0000-0000B6560000}"/>
    <cellStyle name="40% - Accent5 4 3 3 4" xfId="22150" xr:uid="{00000000-0005-0000-0000-0000B7560000}"/>
    <cellStyle name="40% - Accent5 4 3 3 4 2" xfId="17232" xr:uid="{00000000-0005-0000-0000-0000B8560000}"/>
    <cellStyle name="40% - Accent5 4 3 3 5" xfId="25334" xr:uid="{00000000-0005-0000-0000-0000B9560000}"/>
    <cellStyle name="40% - Accent5 4 3 4" xfId="25116" xr:uid="{00000000-0005-0000-0000-0000BA560000}"/>
    <cellStyle name="40% - Accent5 4 3 4 2" xfId="25121" xr:uid="{00000000-0005-0000-0000-0000BB560000}"/>
    <cellStyle name="40% - Accent5 4 3 4 2 2" xfId="25127" xr:uid="{00000000-0005-0000-0000-0000BC560000}"/>
    <cellStyle name="40% - Accent5 4 3 4 2 2 2" xfId="3709" xr:uid="{00000000-0005-0000-0000-0000BD560000}"/>
    <cellStyle name="40% - Accent5 4 3 4 2 3" xfId="27711" xr:uid="{00000000-0005-0000-0000-0000BE560000}"/>
    <cellStyle name="40% - Accent5 4 3 4 3" xfId="22157" xr:uid="{00000000-0005-0000-0000-0000BF560000}"/>
    <cellStyle name="40% - Accent5 4 3 4 3 2" xfId="27719" xr:uid="{00000000-0005-0000-0000-0000C0560000}"/>
    <cellStyle name="40% - Accent5 4 3 4 4" xfId="24424" xr:uid="{00000000-0005-0000-0000-0000C1560000}"/>
    <cellStyle name="40% - Accent5 4 3 5" xfId="25132" xr:uid="{00000000-0005-0000-0000-0000C2560000}"/>
    <cellStyle name="40% - Accent5 4 3 5 2" xfId="25134" xr:uid="{00000000-0005-0000-0000-0000C3560000}"/>
    <cellStyle name="40% - Accent5 4 3 5 2 2" xfId="27739" xr:uid="{00000000-0005-0000-0000-0000C4560000}"/>
    <cellStyle name="40% - Accent5 4 3 5 3" xfId="22159" xr:uid="{00000000-0005-0000-0000-0000C5560000}"/>
    <cellStyle name="40% - Accent5 4 3 6" xfId="25137" xr:uid="{00000000-0005-0000-0000-0000C6560000}"/>
    <cellStyle name="40% - Accent5 4 3 6 2" xfId="33407" xr:uid="{00000000-0005-0000-0000-0000C7560000}"/>
    <cellStyle name="40% - Accent5 4 3 7" xfId="5556" xr:uid="{00000000-0005-0000-0000-0000C8560000}"/>
    <cellStyle name="40% - Accent5 4 4" xfId="25144" xr:uid="{00000000-0005-0000-0000-0000C9560000}"/>
    <cellStyle name="40% - Accent5 4 4 2" xfId="25148" xr:uid="{00000000-0005-0000-0000-0000CA560000}"/>
    <cellStyle name="40% - Accent5 4 4 2 2" xfId="26643" xr:uid="{00000000-0005-0000-0000-0000CB560000}"/>
    <cellStyle name="40% - Accent5 4 4 2 2 2" xfId="25151" xr:uid="{00000000-0005-0000-0000-0000CC560000}"/>
    <cellStyle name="40% - Accent5 4 4 2 2 2 2" xfId="19891" xr:uid="{00000000-0005-0000-0000-0000CD560000}"/>
    <cellStyle name="40% - Accent5 4 4 2 2 2 2 2" xfId="25154" xr:uid="{00000000-0005-0000-0000-0000CE560000}"/>
    <cellStyle name="40% - Accent5 4 4 2 2 2 3" xfId="6782" xr:uid="{00000000-0005-0000-0000-0000CF560000}"/>
    <cellStyle name="40% - Accent5 4 4 2 2 3" xfId="25155" xr:uid="{00000000-0005-0000-0000-0000D0560000}"/>
    <cellStyle name="40% - Accent5 4 4 2 2 3 2" xfId="25159" xr:uid="{00000000-0005-0000-0000-0000D1560000}"/>
    <cellStyle name="40% - Accent5 4 4 2 2 4" xfId="28201" xr:uid="{00000000-0005-0000-0000-0000D2560000}"/>
    <cellStyle name="40% - Accent5 4 4 2 3" xfId="22174" xr:uid="{00000000-0005-0000-0000-0000D3560000}"/>
    <cellStyle name="40% - Accent5 4 4 2 3 2" xfId="22181" xr:uid="{00000000-0005-0000-0000-0000D4560000}"/>
    <cellStyle name="40% - Accent5 4 4 2 3 2 2" xfId="25169" xr:uid="{00000000-0005-0000-0000-0000D5560000}"/>
    <cellStyle name="40% - Accent5 4 4 2 3 3" xfId="22183" xr:uid="{00000000-0005-0000-0000-0000D6560000}"/>
    <cellStyle name="40% - Accent5 4 4 2 4" xfId="19477" xr:uid="{00000000-0005-0000-0000-0000D7560000}"/>
    <cellStyle name="40% - Accent5 4 4 2 4 2" xfId="22187" xr:uid="{00000000-0005-0000-0000-0000D8560000}"/>
    <cellStyle name="40% - Accent5 4 4 2 5" xfId="19482" xr:uid="{00000000-0005-0000-0000-0000D9560000}"/>
    <cellStyle name="40% - Accent5 4 4 3" xfId="25174" xr:uid="{00000000-0005-0000-0000-0000DA560000}"/>
    <cellStyle name="40% - Accent5 4 4 3 2" xfId="25180" xr:uid="{00000000-0005-0000-0000-0000DB560000}"/>
    <cellStyle name="40% - Accent5 4 4 3 2 2" xfId="25186" xr:uid="{00000000-0005-0000-0000-0000DC560000}"/>
    <cellStyle name="40% - Accent5 4 4 3 2 2 2" xfId="25187" xr:uid="{00000000-0005-0000-0000-0000DD560000}"/>
    <cellStyle name="40% - Accent5 4 4 3 2 3" xfId="1467" xr:uid="{00000000-0005-0000-0000-0000DE560000}"/>
    <cellStyle name="40% - Accent5 4 4 3 3" xfId="11228" xr:uid="{00000000-0005-0000-0000-0000DF560000}"/>
    <cellStyle name="40% - Accent5 4 4 3 3 2" xfId="22192" xr:uid="{00000000-0005-0000-0000-0000E0560000}"/>
    <cellStyle name="40% - Accent5 4 4 3 4" xfId="19849" xr:uid="{00000000-0005-0000-0000-0000E1560000}"/>
    <cellStyle name="40% - Accent5 4 4 4" xfId="25190" xr:uid="{00000000-0005-0000-0000-0000E2560000}"/>
    <cellStyle name="40% - Accent5 4 4 4 2" xfId="2214" xr:uid="{00000000-0005-0000-0000-0000E3560000}"/>
    <cellStyle name="40% - Accent5 4 4 4 2 2" xfId="25192" xr:uid="{00000000-0005-0000-0000-0000E4560000}"/>
    <cellStyle name="40% - Accent5 4 4 4 3" xfId="22196" xr:uid="{00000000-0005-0000-0000-0000E5560000}"/>
    <cellStyle name="40% - Accent5 4 4 5" xfId="25195" xr:uid="{00000000-0005-0000-0000-0000E6560000}"/>
    <cellStyle name="40% - Accent5 4 4 5 2" xfId="4669" xr:uid="{00000000-0005-0000-0000-0000E7560000}"/>
    <cellStyle name="40% - Accent5 4 4 6" xfId="25201" xr:uid="{00000000-0005-0000-0000-0000E8560000}"/>
    <cellStyle name="40% - Accent5 4 5" xfId="25203" xr:uid="{00000000-0005-0000-0000-0000E9560000}"/>
    <cellStyle name="40% - Accent5 4 5 2" xfId="25205" xr:uid="{00000000-0005-0000-0000-0000EA560000}"/>
    <cellStyle name="40% - Accent5 4 5 2 2" xfId="5597" xr:uid="{00000000-0005-0000-0000-0000EB560000}"/>
    <cellStyle name="40% - Accent5 4 5 2 2 2" xfId="25207" xr:uid="{00000000-0005-0000-0000-0000EC560000}"/>
    <cellStyle name="40% - Accent5 4 5 2 2 2 2" xfId="25208" xr:uid="{00000000-0005-0000-0000-0000ED560000}"/>
    <cellStyle name="40% - Accent5 4 5 2 2 3" xfId="25214" xr:uid="{00000000-0005-0000-0000-0000EE560000}"/>
    <cellStyle name="40% - Accent5 4 5 2 3" xfId="22200" xr:uid="{00000000-0005-0000-0000-0000EF560000}"/>
    <cellStyle name="40% - Accent5 4 5 2 3 2" xfId="28570" xr:uid="{00000000-0005-0000-0000-0000F0560000}"/>
    <cellStyle name="40% - Accent5 4 5 2 4" xfId="19487" xr:uid="{00000000-0005-0000-0000-0000F1560000}"/>
    <cellStyle name="40% - Accent5 4 5 3" xfId="20267" xr:uid="{00000000-0005-0000-0000-0000F2560000}"/>
    <cellStyle name="40% - Accent5 4 5 3 2" xfId="25220" xr:uid="{00000000-0005-0000-0000-0000F3560000}"/>
    <cellStyle name="40% - Accent5 4 5 3 2 2" xfId="25226" xr:uid="{00000000-0005-0000-0000-0000F4560000}"/>
    <cellStyle name="40% - Accent5 4 5 3 3" xfId="22205" xr:uid="{00000000-0005-0000-0000-0000F5560000}"/>
    <cellStyle name="40% - Accent5 4 5 4" xfId="25227" xr:uid="{00000000-0005-0000-0000-0000F6560000}"/>
    <cellStyle name="40% - Accent5 4 5 4 2" xfId="25230" xr:uid="{00000000-0005-0000-0000-0000F7560000}"/>
    <cellStyle name="40% - Accent5 4 5 5" xfId="33723" xr:uid="{00000000-0005-0000-0000-0000F8560000}"/>
    <cellStyle name="40% - Accent5 4 6" xfId="25233" xr:uid="{00000000-0005-0000-0000-0000F9560000}"/>
    <cellStyle name="40% - Accent5 4 6 2" xfId="25236" xr:uid="{00000000-0005-0000-0000-0000FA560000}"/>
    <cellStyle name="40% - Accent5 4 6 2 2" xfId="25238" xr:uid="{00000000-0005-0000-0000-0000FB560000}"/>
    <cellStyle name="40% - Accent5 4 6 2 2 2" xfId="6140" xr:uid="{00000000-0005-0000-0000-0000FC560000}"/>
    <cellStyle name="40% - Accent5 4 6 2 3" xfId="22211" xr:uid="{00000000-0005-0000-0000-0000FD560000}"/>
    <cellStyle name="40% - Accent5 4 6 3" xfId="25239" xr:uid="{00000000-0005-0000-0000-0000FE560000}"/>
    <cellStyle name="40% - Accent5 4 6 3 2" xfId="25244" xr:uid="{00000000-0005-0000-0000-0000FF560000}"/>
    <cellStyle name="40% - Accent5 4 6 4" xfId="25245" xr:uid="{00000000-0005-0000-0000-000000570000}"/>
    <cellStyle name="40% - Accent5 4 7" xfId="25246" xr:uid="{00000000-0005-0000-0000-000001570000}"/>
    <cellStyle name="40% - Accent5 4 7 2" xfId="14774" xr:uid="{00000000-0005-0000-0000-000002570000}"/>
    <cellStyle name="40% - Accent5 4 7 2 2" xfId="19217" xr:uid="{00000000-0005-0000-0000-000003570000}"/>
    <cellStyle name="40% - Accent5 4 7 3" xfId="25247" xr:uid="{00000000-0005-0000-0000-000004570000}"/>
    <cellStyle name="40% - Accent5 4 8" xfId="25248" xr:uid="{00000000-0005-0000-0000-000005570000}"/>
    <cellStyle name="40% - Accent5 4 8 2" xfId="33494" xr:uid="{00000000-0005-0000-0000-000006570000}"/>
    <cellStyle name="40% - Accent5 4 9" xfId="7414" xr:uid="{00000000-0005-0000-0000-000007570000}"/>
    <cellStyle name="40% - Accent5 5" xfId="16977" xr:uid="{00000000-0005-0000-0000-000008570000}"/>
    <cellStyle name="40% - Accent5 5 2" xfId="25250" xr:uid="{00000000-0005-0000-0000-000009570000}"/>
    <cellStyle name="40% - Accent5 5 2 2" xfId="25253" xr:uid="{00000000-0005-0000-0000-00000A570000}"/>
    <cellStyle name="40% - Accent5 5 2 2 2" xfId="6007" xr:uid="{00000000-0005-0000-0000-00000B570000}"/>
    <cellStyle name="40% - Accent5 5 2 2 2 2" xfId="15500" xr:uid="{00000000-0005-0000-0000-00000C570000}"/>
    <cellStyle name="40% - Accent5 5 2 2 2 2 2" xfId="21956" xr:uid="{00000000-0005-0000-0000-00000D570000}"/>
    <cellStyle name="40% - Accent5 5 2 2 2 2 2 2" xfId="33756" xr:uid="{00000000-0005-0000-0000-00000E570000}"/>
    <cellStyle name="40% - Accent5 5 2 2 2 2 2 2 2" xfId="661" xr:uid="{00000000-0005-0000-0000-00000F570000}"/>
    <cellStyle name="40% - Accent5 5 2 2 2 2 2 3" xfId="29725" xr:uid="{00000000-0005-0000-0000-000010570000}"/>
    <cellStyle name="40% - Accent5 5 2 2 2 2 3" xfId="25257" xr:uid="{00000000-0005-0000-0000-000011570000}"/>
    <cellStyle name="40% - Accent5 5 2 2 2 2 3 2" xfId="7297" xr:uid="{00000000-0005-0000-0000-000012570000}"/>
    <cellStyle name="40% - Accent5 5 2 2 2 2 4" xfId="25263" xr:uid="{00000000-0005-0000-0000-000013570000}"/>
    <cellStyle name="40% - Accent5 5 2 2 2 3" xfId="25268" xr:uid="{00000000-0005-0000-0000-000014570000}"/>
    <cellStyle name="40% - Accent5 5 2 2 2 3 2" xfId="25270" xr:uid="{00000000-0005-0000-0000-000015570000}"/>
    <cellStyle name="40% - Accent5 5 2 2 2 3 2 2" xfId="161" xr:uid="{00000000-0005-0000-0000-000016570000}"/>
    <cellStyle name="40% - Accent5 5 2 2 2 3 3" xfId="25274" xr:uid="{00000000-0005-0000-0000-000017570000}"/>
    <cellStyle name="40% - Accent5 5 2 2 2 4" xfId="16847" xr:uid="{00000000-0005-0000-0000-000018570000}"/>
    <cellStyle name="40% - Accent5 5 2 2 2 4 2" xfId="25278" xr:uid="{00000000-0005-0000-0000-000019570000}"/>
    <cellStyle name="40% - Accent5 5 2 2 2 5" xfId="10628" xr:uid="{00000000-0005-0000-0000-00001A570000}"/>
    <cellStyle name="40% - Accent5 5 2 2 3" xfId="1017" xr:uid="{00000000-0005-0000-0000-00001B570000}"/>
    <cellStyle name="40% - Accent5 5 2 2 3 2" xfId="20350" xr:uid="{00000000-0005-0000-0000-00001C570000}"/>
    <cellStyle name="40% - Accent5 5 2 2 3 2 2" xfId="25285" xr:uid="{00000000-0005-0000-0000-00001D570000}"/>
    <cellStyle name="40% - Accent5 5 2 2 3 2 2 2" xfId="27949" xr:uid="{00000000-0005-0000-0000-00001E570000}"/>
    <cellStyle name="40% - Accent5 5 2 2 3 2 3" xfId="4536" xr:uid="{00000000-0005-0000-0000-00001F570000}"/>
    <cellStyle name="40% - Accent5 5 2 2 3 3" xfId="22289" xr:uid="{00000000-0005-0000-0000-000020570000}"/>
    <cellStyle name="40% - Accent5 5 2 2 3 3 2" xfId="25291" xr:uid="{00000000-0005-0000-0000-000021570000}"/>
    <cellStyle name="40% - Accent5 5 2 2 3 4" xfId="14594" xr:uid="{00000000-0005-0000-0000-000022570000}"/>
    <cellStyle name="40% - Accent5 5 2 2 4" xfId="22297" xr:uid="{00000000-0005-0000-0000-000023570000}"/>
    <cellStyle name="40% - Accent5 5 2 2 4 2" xfId="22310" xr:uid="{00000000-0005-0000-0000-000024570000}"/>
    <cellStyle name="40% - Accent5 5 2 2 4 2 2" xfId="4028" xr:uid="{00000000-0005-0000-0000-000025570000}"/>
    <cellStyle name="40% - Accent5 5 2 2 4 3" xfId="22322" xr:uid="{00000000-0005-0000-0000-000026570000}"/>
    <cellStyle name="40% - Accent5 5 2 2 5" xfId="22324" xr:uid="{00000000-0005-0000-0000-000027570000}"/>
    <cellStyle name="40% - Accent5 5 2 2 5 2" xfId="363" xr:uid="{00000000-0005-0000-0000-000028570000}"/>
    <cellStyle name="40% - Accent5 5 2 2 6" xfId="22329" xr:uid="{00000000-0005-0000-0000-000029570000}"/>
    <cellStyle name="40% - Accent5 5 2 3" xfId="10618" xr:uid="{00000000-0005-0000-0000-00002A570000}"/>
    <cellStyle name="40% - Accent5 5 2 3 2" xfId="11407" xr:uid="{00000000-0005-0000-0000-00002B570000}"/>
    <cellStyle name="40% - Accent5 5 2 3 2 2" xfId="25295" xr:uid="{00000000-0005-0000-0000-00002C570000}"/>
    <cellStyle name="40% - Accent5 5 2 3 2 2 2" xfId="25297" xr:uid="{00000000-0005-0000-0000-00002D570000}"/>
    <cellStyle name="40% - Accent5 5 2 3 2 2 2 2" xfId="16919" xr:uid="{00000000-0005-0000-0000-00002E570000}"/>
    <cellStyle name="40% - Accent5 5 2 3 2 2 3" xfId="25300" xr:uid="{00000000-0005-0000-0000-00002F570000}"/>
    <cellStyle name="40% - Accent5 5 2 3 2 3" xfId="25303" xr:uid="{00000000-0005-0000-0000-000030570000}"/>
    <cellStyle name="40% - Accent5 5 2 3 2 3 2" xfId="8510" xr:uid="{00000000-0005-0000-0000-000031570000}"/>
    <cellStyle name="40% - Accent5 5 2 3 2 4" xfId="25309" xr:uid="{00000000-0005-0000-0000-000032570000}"/>
    <cellStyle name="40% - Accent5 5 2 3 3" xfId="22335" xr:uid="{00000000-0005-0000-0000-000033570000}"/>
    <cellStyle name="40% - Accent5 5 2 3 3 2" xfId="22340" xr:uid="{00000000-0005-0000-0000-000034570000}"/>
    <cellStyle name="40% - Accent5 5 2 3 3 2 2" xfId="31909" xr:uid="{00000000-0005-0000-0000-000035570000}"/>
    <cellStyle name="40% - Accent5 5 2 3 3 3" xfId="26304" xr:uid="{00000000-0005-0000-0000-000036570000}"/>
    <cellStyle name="40% - Accent5 5 2 3 4" xfId="22344" xr:uid="{00000000-0005-0000-0000-000037570000}"/>
    <cellStyle name="40% - Accent5 5 2 3 4 2" xfId="17589" xr:uid="{00000000-0005-0000-0000-000038570000}"/>
    <cellStyle name="40% - Accent5 5 2 3 5" xfId="29351" xr:uid="{00000000-0005-0000-0000-000039570000}"/>
    <cellStyle name="40% - Accent5 5 2 4" xfId="10620" xr:uid="{00000000-0005-0000-0000-00003A570000}"/>
    <cellStyle name="40% - Accent5 5 2 4 2" xfId="25316" xr:uid="{00000000-0005-0000-0000-00003B570000}"/>
    <cellStyle name="40% - Accent5 5 2 4 2 2" xfId="18770" xr:uid="{00000000-0005-0000-0000-00003C570000}"/>
    <cellStyle name="40% - Accent5 5 2 4 2 2 2" xfId="25319" xr:uid="{00000000-0005-0000-0000-00003D570000}"/>
    <cellStyle name="40% - Accent5 5 2 4 2 3" xfId="25327" xr:uid="{00000000-0005-0000-0000-00003E570000}"/>
    <cellStyle name="40% - Accent5 5 2 4 3" xfId="22356" xr:uid="{00000000-0005-0000-0000-00003F570000}"/>
    <cellStyle name="40% - Accent5 5 2 4 3 2" xfId="22364" xr:uid="{00000000-0005-0000-0000-000040570000}"/>
    <cellStyle name="40% - Accent5 5 2 4 4" xfId="22375" xr:uid="{00000000-0005-0000-0000-000041570000}"/>
    <cellStyle name="40% - Accent5 5 2 5" xfId="25330" xr:uid="{00000000-0005-0000-0000-000042570000}"/>
    <cellStyle name="40% - Accent5 5 2 5 2" xfId="25795" xr:uid="{00000000-0005-0000-0000-000043570000}"/>
    <cellStyle name="40% - Accent5 5 2 5 2 2" xfId="25340" xr:uid="{00000000-0005-0000-0000-000044570000}"/>
    <cellStyle name="40% - Accent5 5 2 5 3" xfId="842" xr:uid="{00000000-0005-0000-0000-000045570000}"/>
    <cellStyle name="40% - Accent5 5 2 6" xfId="21662" xr:uid="{00000000-0005-0000-0000-000046570000}"/>
    <cellStyle name="40% - Accent5 5 2 6 2" xfId="25349" xr:uid="{00000000-0005-0000-0000-000047570000}"/>
    <cellStyle name="40% - Accent5 5 2 7" xfId="5742" xr:uid="{00000000-0005-0000-0000-000048570000}"/>
    <cellStyle name="40% - Accent5 5 3" xfId="9950" xr:uid="{00000000-0005-0000-0000-000049570000}"/>
    <cellStyle name="40% - Accent5 5 3 2" xfId="25353" xr:uid="{00000000-0005-0000-0000-00004A570000}"/>
    <cellStyle name="40% - Accent5 5 3 2 2" xfId="11583" xr:uid="{00000000-0005-0000-0000-00004B570000}"/>
    <cellStyle name="40% - Accent5 5 3 2 2 2" xfId="25358" xr:uid="{00000000-0005-0000-0000-00004C570000}"/>
    <cellStyle name="40% - Accent5 5 3 2 2 2 2" xfId="21556" xr:uid="{00000000-0005-0000-0000-00004D570000}"/>
    <cellStyle name="40% - Accent5 5 3 2 2 2 2 2" xfId="23840" xr:uid="{00000000-0005-0000-0000-00004E570000}"/>
    <cellStyle name="40% - Accent5 5 3 2 2 2 3" xfId="25363" xr:uid="{00000000-0005-0000-0000-00004F570000}"/>
    <cellStyle name="40% - Accent5 5 3 2 2 3" xfId="25368" xr:uid="{00000000-0005-0000-0000-000050570000}"/>
    <cellStyle name="40% - Accent5 5 3 2 2 3 2" xfId="25371" xr:uid="{00000000-0005-0000-0000-000051570000}"/>
    <cellStyle name="40% - Accent5 5 3 2 2 4" xfId="25372" xr:uid="{00000000-0005-0000-0000-000052570000}"/>
    <cellStyle name="40% - Accent5 5 3 2 3" xfId="22411" xr:uid="{00000000-0005-0000-0000-000053570000}"/>
    <cellStyle name="40% - Accent5 5 3 2 3 2" xfId="22420" xr:uid="{00000000-0005-0000-0000-000054570000}"/>
    <cellStyle name="40% - Accent5 5 3 2 3 2 2" xfId="25374" xr:uid="{00000000-0005-0000-0000-000055570000}"/>
    <cellStyle name="40% - Accent5 5 3 2 3 3" xfId="24844" xr:uid="{00000000-0005-0000-0000-000056570000}"/>
    <cellStyle name="40% - Accent5 5 3 2 4" xfId="25442" xr:uid="{00000000-0005-0000-0000-000057570000}"/>
    <cellStyle name="40% - Accent5 5 3 2 4 2" xfId="22428" xr:uid="{00000000-0005-0000-0000-000058570000}"/>
    <cellStyle name="40% - Accent5 5 3 2 5" xfId="14373" xr:uid="{00000000-0005-0000-0000-000059570000}"/>
    <cellStyle name="40% - Accent5 5 3 3" xfId="10115" xr:uid="{00000000-0005-0000-0000-00005A570000}"/>
    <cellStyle name="40% - Accent5 5 3 3 2" xfId="24522" xr:uid="{00000000-0005-0000-0000-00005B570000}"/>
    <cellStyle name="40% - Accent5 5 3 3 2 2" xfId="25378" xr:uid="{00000000-0005-0000-0000-00005C570000}"/>
    <cellStyle name="40% - Accent5 5 3 3 2 2 2" xfId="25383" xr:uid="{00000000-0005-0000-0000-00005D570000}"/>
    <cellStyle name="40% - Accent5 5 3 3 2 3" xfId="25387" xr:uid="{00000000-0005-0000-0000-00005E570000}"/>
    <cellStyle name="40% - Accent5 5 3 3 3" xfId="22431" xr:uid="{00000000-0005-0000-0000-00005F570000}"/>
    <cellStyle name="40% - Accent5 5 3 3 3 2" xfId="22444" xr:uid="{00000000-0005-0000-0000-000060570000}"/>
    <cellStyle name="40% - Accent5 5 3 3 4" xfId="23908" xr:uid="{00000000-0005-0000-0000-000061570000}"/>
    <cellStyle name="40% - Accent5 5 3 4" xfId="25397" xr:uid="{00000000-0005-0000-0000-000062570000}"/>
    <cellStyle name="40% - Accent5 5 3 4 2" xfId="25402" xr:uid="{00000000-0005-0000-0000-000063570000}"/>
    <cellStyle name="40% - Accent5 5 3 4 2 2" xfId="25404" xr:uid="{00000000-0005-0000-0000-000064570000}"/>
    <cellStyle name="40% - Accent5 5 3 4 3" xfId="22445" xr:uid="{00000000-0005-0000-0000-000065570000}"/>
    <cellStyle name="40% - Accent5 5 3 5" xfId="25407" xr:uid="{00000000-0005-0000-0000-000066570000}"/>
    <cellStyle name="40% - Accent5 5 3 5 2" xfId="28662" xr:uid="{00000000-0005-0000-0000-000067570000}"/>
    <cellStyle name="40% - Accent5 5 3 6" xfId="28672" xr:uid="{00000000-0005-0000-0000-000068570000}"/>
    <cellStyle name="40% - Accent5 5 4" xfId="25409" xr:uid="{00000000-0005-0000-0000-000069570000}"/>
    <cellStyle name="40% - Accent5 5 4 2" xfId="25411" xr:uid="{00000000-0005-0000-0000-00006A570000}"/>
    <cellStyle name="40% - Accent5 5 4 2 2" xfId="25413" xr:uid="{00000000-0005-0000-0000-00006B570000}"/>
    <cellStyle name="40% - Accent5 5 4 2 2 2" xfId="25416" xr:uid="{00000000-0005-0000-0000-00006C570000}"/>
    <cellStyle name="40% - Accent5 5 4 2 2 2 2" xfId="25418" xr:uid="{00000000-0005-0000-0000-00006D570000}"/>
    <cellStyle name="40% - Accent5 5 4 2 2 3" xfId="25423" xr:uid="{00000000-0005-0000-0000-00006E570000}"/>
    <cellStyle name="40% - Accent5 5 4 2 3" xfId="22480" xr:uid="{00000000-0005-0000-0000-00006F570000}"/>
    <cellStyle name="40% - Accent5 5 4 2 3 2" xfId="22487" xr:uid="{00000000-0005-0000-0000-000070570000}"/>
    <cellStyle name="40% - Accent5 5 4 2 4" xfId="23652" xr:uid="{00000000-0005-0000-0000-000071570000}"/>
    <cellStyle name="40% - Accent5 5 4 3" xfId="25429" xr:uid="{00000000-0005-0000-0000-000072570000}"/>
    <cellStyle name="40% - Accent5 5 4 3 2" xfId="25433" xr:uid="{00000000-0005-0000-0000-000073570000}"/>
    <cellStyle name="40% - Accent5 5 4 3 2 2" xfId="25436" xr:uid="{00000000-0005-0000-0000-000074570000}"/>
    <cellStyle name="40% - Accent5 5 4 3 3" xfId="27849" xr:uid="{00000000-0005-0000-0000-000075570000}"/>
    <cellStyle name="40% - Accent5 5 4 4" xfId="5658" xr:uid="{00000000-0005-0000-0000-000076570000}"/>
    <cellStyle name="40% - Accent5 5 4 4 2" xfId="27794" xr:uid="{00000000-0005-0000-0000-000077570000}"/>
    <cellStyle name="40% - Accent5 5 4 5" xfId="25438" xr:uid="{00000000-0005-0000-0000-000078570000}"/>
    <cellStyle name="40% - Accent5 5 5" xfId="25440" xr:uid="{00000000-0005-0000-0000-000079570000}"/>
    <cellStyle name="40% - Accent5 5 5 2" xfId="25447" xr:uid="{00000000-0005-0000-0000-00007A570000}"/>
    <cellStyle name="40% - Accent5 5 5 2 2" xfId="25087" xr:uid="{00000000-0005-0000-0000-00007B570000}"/>
    <cellStyle name="40% - Accent5 5 5 2 2 2" xfId="25457" xr:uid="{00000000-0005-0000-0000-00007C570000}"/>
    <cellStyle name="40% - Accent5 5 5 2 3" xfId="22501" xr:uid="{00000000-0005-0000-0000-00007D570000}"/>
    <cellStyle name="40% - Accent5 5 5 3" xfId="25460" xr:uid="{00000000-0005-0000-0000-00007E570000}"/>
    <cellStyle name="40% - Accent5 5 5 3 2" xfId="25466" xr:uid="{00000000-0005-0000-0000-00007F570000}"/>
    <cellStyle name="40% - Accent5 5 5 4" xfId="25469" xr:uid="{00000000-0005-0000-0000-000080570000}"/>
    <cellStyle name="40% - Accent5 5 6" xfId="24296" xr:uid="{00000000-0005-0000-0000-000081570000}"/>
    <cellStyle name="40% - Accent5 5 6 2" xfId="25471" xr:uid="{00000000-0005-0000-0000-000082570000}"/>
    <cellStyle name="40% - Accent5 5 6 2 2" xfId="1240" xr:uid="{00000000-0005-0000-0000-000083570000}"/>
    <cellStyle name="40% - Accent5 5 6 3" xfId="25472" xr:uid="{00000000-0005-0000-0000-000084570000}"/>
    <cellStyle name="40% - Accent5 5 7" xfId="25476" xr:uid="{00000000-0005-0000-0000-000085570000}"/>
    <cellStyle name="40% - Accent5 5 7 2" xfId="25477" xr:uid="{00000000-0005-0000-0000-000086570000}"/>
    <cellStyle name="40% - Accent5 5 8" xfId="23501" xr:uid="{00000000-0005-0000-0000-000087570000}"/>
    <cellStyle name="40% - Accent5 6" xfId="19213" xr:uid="{00000000-0005-0000-0000-000088570000}"/>
    <cellStyle name="40% - Accent5 6 2" xfId="19321" xr:uid="{00000000-0005-0000-0000-000089570000}"/>
    <cellStyle name="40% - Accent5 6 2 2" xfId="22531" xr:uid="{00000000-0005-0000-0000-00008A570000}"/>
    <cellStyle name="40% - Accent5 6 2 2 2" xfId="19325" xr:uid="{00000000-0005-0000-0000-00008B570000}"/>
    <cellStyle name="40% - Accent5 6 2 2 2 2" xfId="25481" xr:uid="{00000000-0005-0000-0000-00008C570000}"/>
    <cellStyle name="40% - Accent5 6 2 2 2 2 2" xfId="24930" xr:uid="{00000000-0005-0000-0000-00008D570000}"/>
    <cellStyle name="40% - Accent5 6 2 2 2 2 2 2" xfId="1746" xr:uid="{00000000-0005-0000-0000-00008E570000}"/>
    <cellStyle name="40% - Accent5 6 2 2 2 2 3" xfId="24936" xr:uid="{00000000-0005-0000-0000-00008F570000}"/>
    <cellStyle name="40% - Accent5 6 2 2 2 3" xfId="25050" xr:uid="{00000000-0005-0000-0000-000090570000}"/>
    <cellStyle name="40% - Accent5 6 2 2 2 3 2" xfId="24969" xr:uid="{00000000-0005-0000-0000-000091570000}"/>
    <cellStyle name="40% - Accent5 6 2 2 2 4" xfId="23680" xr:uid="{00000000-0005-0000-0000-000092570000}"/>
    <cellStyle name="40% - Accent5 6 2 2 3" xfId="22524" xr:uid="{00000000-0005-0000-0000-000093570000}"/>
    <cellStyle name="40% - Accent5 6 2 2 3 2" xfId="27810" xr:uid="{00000000-0005-0000-0000-000094570000}"/>
    <cellStyle name="40% - Accent5 6 2 2 3 2 2" xfId="25194" xr:uid="{00000000-0005-0000-0000-000095570000}"/>
    <cellStyle name="40% - Accent5 6 2 2 3 3" xfId="22541" xr:uid="{00000000-0005-0000-0000-000096570000}"/>
    <cellStyle name="40% - Accent5 6 2 2 4" xfId="22543" xr:uid="{00000000-0005-0000-0000-000097570000}"/>
    <cellStyle name="40% - Accent5 6 2 2 4 2" xfId="20559" xr:uid="{00000000-0005-0000-0000-000098570000}"/>
    <cellStyle name="40% - Accent5 6 2 2 5" xfId="22546" xr:uid="{00000000-0005-0000-0000-000099570000}"/>
    <cellStyle name="40% - Accent5 6 2 3" xfId="19389" xr:uid="{00000000-0005-0000-0000-00009A570000}"/>
    <cellStyle name="40% - Accent5 6 2 3 2" xfId="25494" xr:uid="{00000000-0005-0000-0000-00009B570000}"/>
    <cellStyle name="40% - Accent5 6 2 3 2 2" xfId="25500" xr:uid="{00000000-0005-0000-0000-00009C570000}"/>
    <cellStyle name="40% - Accent5 6 2 3 2 2 2" xfId="8841" xr:uid="{00000000-0005-0000-0000-00009D570000}"/>
    <cellStyle name="40% - Accent5 6 2 3 2 3" xfId="25504" xr:uid="{00000000-0005-0000-0000-00009E570000}"/>
    <cellStyle name="40% - Accent5 6 2 3 3" xfId="22549" xr:uid="{00000000-0005-0000-0000-00009F570000}"/>
    <cellStyle name="40% - Accent5 6 2 3 3 2" xfId="22302" xr:uid="{00000000-0005-0000-0000-0000A0570000}"/>
    <cellStyle name="40% - Accent5 6 2 3 4" xfId="19604" xr:uid="{00000000-0005-0000-0000-0000A1570000}"/>
    <cellStyle name="40% - Accent5 6 2 4" xfId="8749" xr:uid="{00000000-0005-0000-0000-0000A2570000}"/>
    <cellStyle name="40% - Accent5 6 2 4 2" xfId="25510" xr:uid="{00000000-0005-0000-0000-0000A3570000}"/>
    <cellStyle name="40% - Accent5 6 2 4 2 2" xfId="19454" xr:uid="{00000000-0005-0000-0000-0000A4570000}"/>
    <cellStyle name="40% - Accent5 6 2 4 3" xfId="22555" xr:uid="{00000000-0005-0000-0000-0000A5570000}"/>
    <cellStyle name="40% - Accent5 6 2 5" xfId="11286" xr:uid="{00000000-0005-0000-0000-0000A6570000}"/>
    <cellStyle name="40% - Accent5 6 2 5 2" xfId="25515" xr:uid="{00000000-0005-0000-0000-0000A7570000}"/>
    <cellStyle name="40% - Accent5 6 2 6" xfId="3883" xr:uid="{00000000-0005-0000-0000-0000A8570000}"/>
    <cellStyle name="40% - Accent5 6 3" xfId="19470" xr:uid="{00000000-0005-0000-0000-0000A9570000}"/>
    <cellStyle name="40% - Accent5 6 3 2" xfId="25519" xr:uid="{00000000-0005-0000-0000-0000AA570000}"/>
    <cellStyle name="40% - Accent5 6 3 2 2" xfId="25525" xr:uid="{00000000-0005-0000-0000-0000AB570000}"/>
    <cellStyle name="40% - Accent5 6 3 2 2 2" xfId="25528" xr:uid="{00000000-0005-0000-0000-0000AC570000}"/>
    <cellStyle name="40% - Accent5 6 3 2 2 2 2" xfId="23698" xr:uid="{00000000-0005-0000-0000-0000AD570000}"/>
    <cellStyle name="40% - Accent5 6 3 2 2 3" xfId="25535" xr:uid="{00000000-0005-0000-0000-0000AE570000}"/>
    <cellStyle name="40% - Accent5 6 3 2 3" xfId="22577" xr:uid="{00000000-0005-0000-0000-0000AF570000}"/>
    <cellStyle name="40% - Accent5 6 3 2 3 2" xfId="24267" xr:uid="{00000000-0005-0000-0000-0000B0570000}"/>
    <cellStyle name="40% - Accent5 6 3 2 4" xfId="20604" xr:uid="{00000000-0005-0000-0000-0000B1570000}"/>
    <cellStyle name="40% - Accent5 6 3 3" xfId="19494" xr:uid="{00000000-0005-0000-0000-0000B2570000}"/>
    <cellStyle name="40% - Accent5 6 3 3 2" xfId="25539" xr:uid="{00000000-0005-0000-0000-0000B3570000}"/>
    <cellStyle name="40% - Accent5 6 3 3 2 2" xfId="20294" xr:uid="{00000000-0005-0000-0000-0000B4570000}"/>
    <cellStyle name="40% - Accent5 6 3 3 3" xfId="22584" xr:uid="{00000000-0005-0000-0000-0000B5570000}"/>
    <cellStyle name="40% - Accent5 6 3 4" xfId="11291" xr:uid="{00000000-0005-0000-0000-0000B6570000}"/>
    <cellStyle name="40% - Accent5 6 3 4 2" xfId="25543" xr:uid="{00000000-0005-0000-0000-0000B7570000}"/>
    <cellStyle name="40% - Accent5 6 3 5" xfId="25549" xr:uid="{00000000-0005-0000-0000-0000B8570000}"/>
    <cellStyle name="40% - Accent5 6 4" xfId="19544" xr:uid="{00000000-0005-0000-0000-0000B9570000}"/>
    <cellStyle name="40% - Accent5 6 4 2" xfId="19546" xr:uid="{00000000-0005-0000-0000-0000BA570000}"/>
    <cellStyle name="40% - Accent5 6 4 2 2" xfId="25564" xr:uid="{00000000-0005-0000-0000-0000BB570000}"/>
    <cellStyle name="40% - Accent5 6 4 2 2 2" xfId="25567" xr:uid="{00000000-0005-0000-0000-0000BC570000}"/>
    <cellStyle name="40% - Accent5 6 4 2 3" xfId="22594" xr:uid="{00000000-0005-0000-0000-0000BD570000}"/>
    <cellStyle name="40% - Accent5 6 4 3" xfId="19556" xr:uid="{00000000-0005-0000-0000-0000BE570000}"/>
    <cellStyle name="40% - Accent5 6 4 3 2" xfId="25572" xr:uid="{00000000-0005-0000-0000-0000BF570000}"/>
    <cellStyle name="40% - Accent5 6 4 4" xfId="23586" xr:uid="{00000000-0005-0000-0000-0000C0570000}"/>
    <cellStyle name="40% - Accent5 6 5" xfId="25575" xr:uid="{00000000-0005-0000-0000-0000C1570000}"/>
    <cellStyle name="40% - Accent5 6 5 2" xfId="19575" xr:uid="{00000000-0005-0000-0000-0000C2570000}"/>
    <cellStyle name="40% - Accent5 6 5 2 2" xfId="24371" xr:uid="{00000000-0005-0000-0000-0000C3570000}"/>
    <cellStyle name="40% - Accent5 6 5 3" xfId="19581" xr:uid="{00000000-0005-0000-0000-0000C4570000}"/>
    <cellStyle name="40% - Accent5 6 6" xfId="25578" xr:uid="{00000000-0005-0000-0000-0000C5570000}"/>
    <cellStyle name="40% - Accent5 6 6 2" xfId="25582" xr:uid="{00000000-0005-0000-0000-0000C6570000}"/>
    <cellStyle name="40% - Accent5 6 7" xfId="25588" xr:uid="{00000000-0005-0000-0000-0000C7570000}"/>
    <cellStyle name="40% - Accent5 7" xfId="19590" xr:uid="{00000000-0005-0000-0000-0000C8570000}"/>
    <cellStyle name="40% - Accent5 7 2" xfId="19597" xr:uid="{00000000-0005-0000-0000-0000C9570000}"/>
    <cellStyle name="40% - Accent5 7 2 2" xfId="19599" xr:uid="{00000000-0005-0000-0000-0000CA570000}"/>
    <cellStyle name="40% - Accent5 7 2 2 2" xfId="15967" xr:uid="{00000000-0005-0000-0000-0000CB570000}"/>
    <cellStyle name="40% - Accent5 7 2 2 2 2" xfId="1249" xr:uid="{00000000-0005-0000-0000-0000CC570000}"/>
    <cellStyle name="40% - Accent5 7 2 2 2 2 2" xfId="19994" xr:uid="{00000000-0005-0000-0000-0000CD570000}"/>
    <cellStyle name="40% - Accent5 7 2 2 2 3" xfId="25592" xr:uid="{00000000-0005-0000-0000-0000CE570000}"/>
    <cellStyle name="40% - Accent5 7 2 2 3" xfId="23743" xr:uid="{00000000-0005-0000-0000-0000CF570000}"/>
    <cellStyle name="40% - Accent5 7 2 2 3 2" xfId="22621" xr:uid="{00000000-0005-0000-0000-0000D0570000}"/>
    <cellStyle name="40% - Accent5 7 2 2 4" xfId="20284" xr:uid="{00000000-0005-0000-0000-0000D1570000}"/>
    <cellStyle name="40% - Accent5 7 2 3" xfId="19635" xr:uid="{00000000-0005-0000-0000-0000D2570000}"/>
    <cellStyle name="40% - Accent5 7 2 3 2" xfId="23706" xr:uid="{00000000-0005-0000-0000-0000D3570000}"/>
    <cellStyle name="40% - Accent5 7 2 3 2 2" xfId="20265" xr:uid="{00000000-0005-0000-0000-0000D4570000}"/>
    <cellStyle name="40% - Accent5 7 2 3 3" xfId="23487" xr:uid="{00000000-0005-0000-0000-0000D5570000}"/>
    <cellStyle name="40% - Accent5 7 2 4" xfId="19651" xr:uid="{00000000-0005-0000-0000-0000D6570000}"/>
    <cellStyle name="40% - Accent5 7 2 4 2" xfId="25596" xr:uid="{00000000-0005-0000-0000-0000D7570000}"/>
    <cellStyle name="40% - Accent5 7 2 5" xfId="28926" xr:uid="{00000000-0005-0000-0000-0000D8570000}"/>
    <cellStyle name="40% - Accent5 7 3" xfId="19657" xr:uid="{00000000-0005-0000-0000-0000D9570000}"/>
    <cellStyle name="40% - Accent5 7 3 2" xfId="19661" xr:uid="{00000000-0005-0000-0000-0000DA570000}"/>
    <cellStyle name="40% - Accent5 7 3 2 2" xfId="25602" xr:uid="{00000000-0005-0000-0000-0000DB570000}"/>
    <cellStyle name="40% - Accent5 7 3 2 2 2" xfId="26358" xr:uid="{00000000-0005-0000-0000-0000DC570000}"/>
    <cellStyle name="40% - Accent5 7 3 2 3" xfId="23765" xr:uid="{00000000-0005-0000-0000-0000DD570000}"/>
    <cellStyle name="40% - Accent5 7 3 3" xfId="15213" xr:uid="{00000000-0005-0000-0000-0000DE570000}"/>
    <cellStyle name="40% - Accent5 7 3 3 2" xfId="25604" xr:uid="{00000000-0005-0000-0000-0000DF570000}"/>
    <cellStyle name="40% - Accent5 7 3 4" xfId="25101" xr:uid="{00000000-0005-0000-0000-0000E0570000}"/>
    <cellStyle name="40% - Accent5 7 4" xfId="20120" xr:uid="{00000000-0005-0000-0000-0000E1570000}"/>
    <cellStyle name="40% - Accent5 7 4 2" xfId="19675" xr:uid="{00000000-0005-0000-0000-0000E2570000}"/>
    <cellStyle name="40% - Accent5 7 4 2 2" xfId="25612" xr:uid="{00000000-0005-0000-0000-0000E3570000}"/>
    <cellStyle name="40% - Accent5 7 4 3" xfId="19685" xr:uid="{00000000-0005-0000-0000-0000E4570000}"/>
    <cellStyle name="40% - Accent5 7 5" xfId="15137" xr:uid="{00000000-0005-0000-0000-0000E5570000}"/>
    <cellStyle name="40% - Accent5 7 5 2" xfId="22491" xr:uid="{00000000-0005-0000-0000-0000E6570000}"/>
    <cellStyle name="40% - Accent5 7 6" xfId="15141" xr:uid="{00000000-0005-0000-0000-0000E7570000}"/>
    <cellStyle name="40% - Accent5 8" xfId="19696" xr:uid="{00000000-0005-0000-0000-0000E8570000}"/>
    <cellStyle name="40% - Accent5 8 2" xfId="19707" xr:uid="{00000000-0005-0000-0000-0000E9570000}"/>
    <cellStyle name="40% - Accent5 8 2 2" xfId="19233" xr:uid="{00000000-0005-0000-0000-0000EA570000}"/>
    <cellStyle name="40% - Accent5 8 2 2 2" xfId="23308" xr:uid="{00000000-0005-0000-0000-0000EB570000}"/>
    <cellStyle name="40% - Accent5 8 2 2 2 2" xfId="22574" xr:uid="{00000000-0005-0000-0000-0000EC570000}"/>
    <cellStyle name="40% - Accent5 8 2 2 3" xfId="22667" xr:uid="{00000000-0005-0000-0000-0000ED570000}"/>
    <cellStyle name="40% - Accent5 8 2 3" xfId="19260" xr:uid="{00000000-0005-0000-0000-0000EE570000}"/>
    <cellStyle name="40% - Accent5 8 2 3 2" xfId="19331" xr:uid="{00000000-0005-0000-0000-0000EF570000}"/>
    <cellStyle name="40% - Accent5 8 2 4" xfId="19274" xr:uid="{00000000-0005-0000-0000-0000F0570000}"/>
    <cellStyle name="40% - Accent5 8 3" xfId="19717" xr:uid="{00000000-0005-0000-0000-0000F1570000}"/>
    <cellStyle name="40% - Accent5 8 3 2" xfId="18525" xr:uid="{00000000-0005-0000-0000-0000F2570000}"/>
    <cellStyle name="40% - Accent5 8 3 2 2" xfId="25621" xr:uid="{00000000-0005-0000-0000-0000F3570000}"/>
    <cellStyle name="40% - Accent5 8 3 3" xfId="19303" xr:uid="{00000000-0005-0000-0000-0000F4570000}"/>
    <cellStyle name="40% - Accent5 8 4" xfId="19718" xr:uid="{00000000-0005-0000-0000-0000F5570000}"/>
    <cellStyle name="40% - Accent5 8 4 2" xfId="6021" xr:uid="{00000000-0005-0000-0000-0000F6570000}"/>
    <cellStyle name="40% - Accent5 8 5" xfId="15145" xr:uid="{00000000-0005-0000-0000-0000F7570000}"/>
    <cellStyle name="40% - Accent5 9" xfId="21485" xr:uid="{00000000-0005-0000-0000-0000F8570000}"/>
    <cellStyle name="40% - Accent5 9 2" xfId="12958" xr:uid="{00000000-0005-0000-0000-0000F9570000}"/>
    <cellStyle name="40% - Accent5 9 2 2" xfId="19720" xr:uid="{00000000-0005-0000-0000-0000FA570000}"/>
    <cellStyle name="40% - Accent5 9 2 2 2" xfId="19625" xr:uid="{00000000-0005-0000-0000-0000FB570000}"/>
    <cellStyle name="40% - Accent5 9 2 3" xfId="19745" xr:uid="{00000000-0005-0000-0000-0000FC570000}"/>
    <cellStyle name="40% - Accent5 9 3" xfId="19724" xr:uid="{00000000-0005-0000-0000-0000FD570000}"/>
    <cellStyle name="40% - Accent5 9 3 2" xfId="19726" xr:uid="{00000000-0005-0000-0000-0000FE570000}"/>
    <cellStyle name="40% - Accent5 9 4" xfId="19748" xr:uid="{00000000-0005-0000-0000-0000FF570000}"/>
    <cellStyle name="40% - Accent6 10" xfId="7545" xr:uid="{00000000-0005-0000-0000-000000580000}"/>
    <cellStyle name="40% - Accent6 10 2" xfId="7551" xr:uid="{00000000-0005-0000-0000-000001580000}"/>
    <cellStyle name="40% - Accent6 10 2 2" xfId="8483" xr:uid="{00000000-0005-0000-0000-000002580000}"/>
    <cellStyle name="40% - Accent6 10 3" xfId="7569" xr:uid="{00000000-0005-0000-0000-000003580000}"/>
    <cellStyle name="40% - Accent6 11" xfId="7577" xr:uid="{00000000-0005-0000-0000-000004580000}"/>
    <cellStyle name="40% - Accent6 11 2" xfId="7587" xr:uid="{00000000-0005-0000-0000-000005580000}"/>
    <cellStyle name="40% - Accent6 12" xfId="5359" xr:uid="{00000000-0005-0000-0000-000006580000}"/>
    <cellStyle name="40% - Accent6 13" xfId="5077" xr:uid="{00000000-0005-0000-0000-000007580000}"/>
    <cellStyle name="40% - Accent6 2" xfId="24475" xr:uid="{00000000-0005-0000-0000-000008580000}"/>
    <cellStyle name="40% - Accent6 2 10" xfId="27940" xr:uid="{00000000-0005-0000-0000-000009580000}"/>
    <cellStyle name="40% - Accent6 2 10 2" xfId="25646" xr:uid="{00000000-0005-0000-0000-00000A580000}"/>
    <cellStyle name="40% - Accent6 2 11" xfId="28087" xr:uid="{00000000-0005-0000-0000-00000B580000}"/>
    <cellStyle name="40% - Accent6 2 2" xfId="24479" xr:uid="{00000000-0005-0000-0000-00000C580000}"/>
    <cellStyle name="40% - Accent6 2 2 10" xfId="3324" xr:uid="{00000000-0005-0000-0000-00000D580000}"/>
    <cellStyle name="40% - Accent6 2 2 2" xfId="24062" xr:uid="{00000000-0005-0000-0000-00000E580000}"/>
    <cellStyle name="40% - Accent6 2 2 2 2" xfId="30160" xr:uid="{00000000-0005-0000-0000-00000F580000}"/>
    <cellStyle name="40% - Accent6 2 2 2 2 2" xfId="9507" xr:uid="{00000000-0005-0000-0000-000010580000}"/>
    <cellStyle name="40% - Accent6 2 2 2 2 2 2" xfId="12093" xr:uid="{00000000-0005-0000-0000-000011580000}"/>
    <cellStyle name="40% - Accent6 2 2 2 2 2 2 2" xfId="12745" xr:uid="{00000000-0005-0000-0000-000012580000}"/>
    <cellStyle name="40% - Accent6 2 2 2 2 2 2 2 2" xfId="25622" xr:uid="{00000000-0005-0000-0000-000013580000}"/>
    <cellStyle name="40% - Accent6 2 2 2 2 2 2 2 2 2" xfId="25628" xr:uid="{00000000-0005-0000-0000-000014580000}"/>
    <cellStyle name="40% - Accent6 2 2 2 2 2 2 2 2 2 2" xfId="9632" xr:uid="{00000000-0005-0000-0000-000015580000}"/>
    <cellStyle name="40% - Accent6 2 2 2 2 2 2 2 2 2 2 2" xfId="25633" xr:uid="{00000000-0005-0000-0000-000016580000}"/>
    <cellStyle name="40% - Accent6 2 2 2 2 2 2 2 2 2 3" xfId="11217" xr:uid="{00000000-0005-0000-0000-000017580000}"/>
    <cellStyle name="40% - Accent6 2 2 2 2 2 2 2 2 3" xfId="24073" xr:uid="{00000000-0005-0000-0000-000018580000}"/>
    <cellStyle name="40% - Accent6 2 2 2 2 2 2 2 2 3 2" xfId="626" xr:uid="{00000000-0005-0000-0000-000019580000}"/>
    <cellStyle name="40% - Accent6 2 2 2 2 2 2 2 2 4" xfId="25637" xr:uid="{00000000-0005-0000-0000-00001A580000}"/>
    <cellStyle name="40% - Accent6 2 2 2 2 2 2 2 3" xfId="22955" xr:uid="{00000000-0005-0000-0000-00001B580000}"/>
    <cellStyle name="40% - Accent6 2 2 2 2 2 2 2 3 2" xfId="11152" xr:uid="{00000000-0005-0000-0000-00001C580000}"/>
    <cellStyle name="40% - Accent6 2 2 2 2 2 2 2 3 2 2" xfId="9648" xr:uid="{00000000-0005-0000-0000-00001D580000}"/>
    <cellStyle name="40% - Accent6 2 2 2 2 2 2 2 3 3" xfId="16969" xr:uid="{00000000-0005-0000-0000-00001E580000}"/>
    <cellStyle name="40% - Accent6 2 2 2 2 2 2 2 4" xfId="10415" xr:uid="{00000000-0005-0000-0000-00001F580000}"/>
    <cellStyle name="40% - Accent6 2 2 2 2 2 2 2 4 2" xfId="24435" xr:uid="{00000000-0005-0000-0000-000020580000}"/>
    <cellStyle name="40% - Accent6 2 2 2 2 2 2 2 5" xfId="13374" xr:uid="{00000000-0005-0000-0000-000021580000}"/>
    <cellStyle name="40% - Accent6 2 2 2 2 2 2 3" xfId="26276" xr:uid="{00000000-0005-0000-0000-000022580000}"/>
    <cellStyle name="40% - Accent6 2 2 2 2 2 2 3 2" xfId="19176" xr:uid="{00000000-0005-0000-0000-000023580000}"/>
    <cellStyle name="40% - Accent6 2 2 2 2 2 2 3 2 2" xfId="25641" xr:uid="{00000000-0005-0000-0000-000024580000}"/>
    <cellStyle name="40% - Accent6 2 2 2 2 2 2 3 2 2 2" xfId="9694" xr:uid="{00000000-0005-0000-0000-000025580000}"/>
    <cellStyle name="40% - Accent6 2 2 2 2 2 2 3 2 3" xfId="25643" xr:uid="{00000000-0005-0000-0000-000026580000}"/>
    <cellStyle name="40% - Accent6 2 2 2 2 2 2 3 3" xfId="22960" xr:uid="{00000000-0005-0000-0000-000027580000}"/>
    <cellStyle name="40% - Accent6 2 2 2 2 2 2 3 3 2" xfId="29871" xr:uid="{00000000-0005-0000-0000-000028580000}"/>
    <cellStyle name="40% - Accent6 2 2 2 2 2 2 3 4" xfId="25654" xr:uid="{00000000-0005-0000-0000-000029580000}"/>
    <cellStyle name="40% - Accent6 2 2 2 2 2 2 4" xfId="5330" xr:uid="{00000000-0005-0000-0000-00002A580000}"/>
    <cellStyle name="40% - Accent6 2 2 2 2 2 2 4 2" xfId="25657" xr:uid="{00000000-0005-0000-0000-00002B580000}"/>
    <cellStyle name="40% - Accent6 2 2 2 2 2 2 4 2 2" xfId="32096" xr:uid="{00000000-0005-0000-0000-00002C580000}"/>
    <cellStyle name="40% - Accent6 2 2 2 2 2 2 4 3" xfId="25662" xr:uid="{00000000-0005-0000-0000-00002D580000}"/>
    <cellStyle name="40% - Accent6 2 2 2 2 2 2 5" xfId="21731" xr:uid="{00000000-0005-0000-0000-00002E580000}"/>
    <cellStyle name="40% - Accent6 2 2 2 2 2 2 5 2" xfId="19803" xr:uid="{00000000-0005-0000-0000-00002F580000}"/>
    <cellStyle name="40% - Accent6 2 2 2 2 2 2 6" xfId="25664" xr:uid="{00000000-0005-0000-0000-000030580000}"/>
    <cellStyle name="40% - Accent6 2 2 2 2 2 3" xfId="925" xr:uid="{00000000-0005-0000-0000-000031580000}"/>
    <cellStyle name="40% - Accent6 2 2 2 2 2 3 2" xfId="23188" xr:uid="{00000000-0005-0000-0000-000032580000}"/>
    <cellStyle name="40% - Accent6 2 2 2 2 2 3 2 2" xfId="23635" xr:uid="{00000000-0005-0000-0000-000033580000}"/>
    <cellStyle name="40% - Accent6 2 2 2 2 2 3 2 2 2" xfId="24904" xr:uid="{00000000-0005-0000-0000-000034580000}"/>
    <cellStyle name="40% - Accent6 2 2 2 2 2 3 2 2 2 2" xfId="6601" xr:uid="{00000000-0005-0000-0000-000035580000}"/>
    <cellStyle name="40% - Accent6 2 2 2 2 2 3 2 2 3" xfId="23313" xr:uid="{00000000-0005-0000-0000-000036580000}"/>
    <cellStyle name="40% - Accent6 2 2 2 2 2 3 2 3" xfId="23015" xr:uid="{00000000-0005-0000-0000-000037580000}"/>
    <cellStyle name="40% - Accent6 2 2 2 2 2 3 2 3 2" xfId="11155" xr:uid="{00000000-0005-0000-0000-000038580000}"/>
    <cellStyle name="40% - Accent6 2 2 2 2 2 3 2 4" xfId="25670" xr:uid="{00000000-0005-0000-0000-000039580000}"/>
    <cellStyle name="40% - Accent6 2 2 2 2 2 3 3" xfId="5344" xr:uid="{00000000-0005-0000-0000-00003A580000}"/>
    <cellStyle name="40% - Accent6 2 2 2 2 2 3 3 2" xfId="10495" xr:uid="{00000000-0005-0000-0000-00003B580000}"/>
    <cellStyle name="40% - Accent6 2 2 2 2 2 3 3 2 2" xfId="25673" xr:uid="{00000000-0005-0000-0000-00003C580000}"/>
    <cellStyle name="40% - Accent6 2 2 2 2 2 3 3 3" xfId="25635" xr:uid="{00000000-0005-0000-0000-00003D580000}"/>
    <cellStyle name="40% - Accent6 2 2 2 2 2 3 4" xfId="24417" xr:uid="{00000000-0005-0000-0000-00003E580000}"/>
    <cellStyle name="40% - Accent6 2 2 2 2 2 3 4 2" xfId="17748" xr:uid="{00000000-0005-0000-0000-00003F580000}"/>
    <cellStyle name="40% - Accent6 2 2 2 2 2 3 5" xfId="25674" xr:uid="{00000000-0005-0000-0000-000040580000}"/>
    <cellStyle name="40% - Accent6 2 2 2 2 2 4" xfId="3823" xr:uid="{00000000-0005-0000-0000-000041580000}"/>
    <cellStyle name="40% - Accent6 2 2 2 2 2 4 2" xfId="28491" xr:uid="{00000000-0005-0000-0000-000042580000}"/>
    <cellStyle name="40% - Accent6 2 2 2 2 2 4 2 2" xfId="25678" xr:uid="{00000000-0005-0000-0000-000043580000}"/>
    <cellStyle name="40% - Accent6 2 2 2 2 2 4 2 2 2" xfId="25683" xr:uid="{00000000-0005-0000-0000-000044580000}"/>
    <cellStyle name="40% - Accent6 2 2 2 2 2 4 2 3" xfId="27612" xr:uid="{00000000-0005-0000-0000-000045580000}"/>
    <cellStyle name="40% - Accent6 2 2 2 2 2 4 3" xfId="17816" xr:uid="{00000000-0005-0000-0000-000046580000}"/>
    <cellStyle name="40% - Accent6 2 2 2 2 2 4 3 2" xfId="6360" xr:uid="{00000000-0005-0000-0000-000047580000}"/>
    <cellStyle name="40% - Accent6 2 2 2 2 2 4 4" xfId="33147" xr:uid="{00000000-0005-0000-0000-000048580000}"/>
    <cellStyle name="40% - Accent6 2 2 2 2 2 5" xfId="16372" xr:uid="{00000000-0005-0000-0000-000049580000}"/>
    <cellStyle name="40% - Accent6 2 2 2 2 2 5 2" xfId="25685" xr:uid="{00000000-0005-0000-0000-00004A580000}"/>
    <cellStyle name="40% - Accent6 2 2 2 2 2 5 2 2" xfId="26264" xr:uid="{00000000-0005-0000-0000-00004B580000}"/>
    <cellStyle name="40% - Accent6 2 2 2 2 2 5 3" xfId="25687" xr:uid="{00000000-0005-0000-0000-00004C580000}"/>
    <cellStyle name="40% - Accent6 2 2 2 2 2 6" xfId="16377" xr:uid="{00000000-0005-0000-0000-00004D580000}"/>
    <cellStyle name="40% - Accent6 2 2 2 2 2 6 2" xfId="25688" xr:uid="{00000000-0005-0000-0000-00004E580000}"/>
    <cellStyle name="40% - Accent6 2 2 2 2 2 7" xfId="5617" xr:uid="{00000000-0005-0000-0000-00004F580000}"/>
    <cellStyle name="40% - Accent6 2 2 2 2 3" xfId="24502" xr:uid="{00000000-0005-0000-0000-000050580000}"/>
    <cellStyle name="40% - Accent6 2 2 2 2 3 2" xfId="1898" xr:uid="{00000000-0005-0000-0000-000051580000}"/>
    <cellStyle name="40% - Accent6 2 2 2 2 3 2 2" xfId="3290" xr:uid="{00000000-0005-0000-0000-000052580000}"/>
    <cellStyle name="40% - Accent6 2 2 2 2 3 2 2 2" xfId="9250" xr:uid="{00000000-0005-0000-0000-000053580000}"/>
    <cellStyle name="40% - Accent6 2 2 2 2 3 2 2 2 2" xfId="25691" xr:uid="{00000000-0005-0000-0000-000054580000}"/>
    <cellStyle name="40% - Accent6 2 2 2 2 3 2 2 2 2 2" xfId="10228" xr:uid="{00000000-0005-0000-0000-000055580000}"/>
    <cellStyle name="40% - Accent6 2 2 2 2 3 2 2 2 3" xfId="25697" xr:uid="{00000000-0005-0000-0000-000056580000}"/>
    <cellStyle name="40% - Accent6 2 2 2 2 3 2 2 3" xfId="23155" xr:uid="{00000000-0005-0000-0000-000057580000}"/>
    <cellStyle name="40% - Accent6 2 2 2 2 3 2 2 3 2" xfId="9832" xr:uid="{00000000-0005-0000-0000-000058580000}"/>
    <cellStyle name="40% - Accent6 2 2 2 2 3 2 2 4" xfId="25704" xr:uid="{00000000-0005-0000-0000-000059580000}"/>
    <cellStyle name="40% - Accent6 2 2 2 2 3 2 3" xfId="5453" xr:uid="{00000000-0005-0000-0000-00005A580000}"/>
    <cellStyle name="40% - Accent6 2 2 2 2 3 2 3 2" xfId="5829" xr:uid="{00000000-0005-0000-0000-00005B580000}"/>
    <cellStyle name="40% - Accent6 2 2 2 2 3 2 3 2 2" xfId="7568" xr:uid="{00000000-0005-0000-0000-00005C580000}"/>
    <cellStyle name="40% - Accent6 2 2 2 2 3 2 3 3" xfId="27657" xr:uid="{00000000-0005-0000-0000-00005D580000}"/>
    <cellStyle name="40% - Accent6 2 2 2 2 3 2 4" xfId="21745" xr:uid="{00000000-0005-0000-0000-00005E580000}"/>
    <cellStyle name="40% - Accent6 2 2 2 2 3 2 4 2" xfId="25714" xr:uid="{00000000-0005-0000-0000-00005F580000}"/>
    <cellStyle name="40% - Accent6 2 2 2 2 3 2 5" xfId="25717" xr:uid="{00000000-0005-0000-0000-000060580000}"/>
    <cellStyle name="40% - Accent6 2 2 2 2 3 3" xfId="31069" xr:uid="{00000000-0005-0000-0000-000061580000}"/>
    <cellStyle name="40% - Accent6 2 2 2 2 3 3 2" xfId="23208" xr:uid="{00000000-0005-0000-0000-000062580000}"/>
    <cellStyle name="40% - Accent6 2 2 2 2 3 3 2 2" xfId="7258" xr:uid="{00000000-0005-0000-0000-000063580000}"/>
    <cellStyle name="40% - Accent6 2 2 2 2 3 3 2 2 2" xfId="25726" xr:uid="{00000000-0005-0000-0000-000064580000}"/>
    <cellStyle name="40% - Accent6 2 2 2 2 3 3 2 3" xfId="24900" xr:uid="{00000000-0005-0000-0000-000065580000}"/>
    <cellStyle name="40% - Accent6 2 2 2 2 3 3 3" xfId="26780" xr:uid="{00000000-0005-0000-0000-000066580000}"/>
    <cellStyle name="40% - Accent6 2 2 2 2 3 3 3 2" xfId="26383" xr:uid="{00000000-0005-0000-0000-000067580000}"/>
    <cellStyle name="40% - Accent6 2 2 2 2 3 3 4" xfId="18344" xr:uid="{00000000-0005-0000-0000-000068580000}"/>
    <cellStyle name="40% - Accent6 2 2 2 2 3 4" xfId="25728" xr:uid="{00000000-0005-0000-0000-000069580000}"/>
    <cellStyle name="40% - Accent6 2 2 2 2 3 4 2" xfId="25733" xr:uid="{00000000-0005-0000-0000-00006A580000}"/>
    <cellStyle name="40% - Accent6 2 2 2 2 3 4 2 2" xfId="26235" xr:uid="{00000000-0005-0000-0000-00006B580000}"/>
    <cellStyle name="40% - Accent6 2 2 2 2 3 4 3" xfId="18348" xr:uid="{00000000-0005-0000-0000-00006C580000}"/>
    <cellStyle name="40% - Accent6 2 2 2 2 3 5" xfId="16382" xr:uid="{00000000-0005-0000-0000-00006D580000}"/>
    <cellStyle name="40% - Accent6 2 2 2 2 3 5 2" xfId="25742" xr:uid="{00000000-0005-0000-0000-00006E580000}"/>
    <cellStyle name="40% - Accent6 2 2 2 2 3 6" xfId="25743" xr:uid="{00000000-0005-0000-0000-00006F580000}"/>
    <cellStyle name="40% - Accent6 2 2 2 2 4" xfId="5469" xr:uid="{00000000-0005-0000-0000-000070580000}"/>
    <cellStyle name="40% - Accent6 2 2 2 2 4 2" xfId="28701" xr:uid="{00000000-0005-0000-0000-000071580000}"/>
    <cellStyle name="40% - Accent6 2 2 2 2 4 2 2" xfId="25745" xr:uid="{00000000-0005-0000-0000-000072580000}"/>
    <cellStyle name="40% - Accent6 2 2 2 2 4 2 2 2" xfId="7468" xr:uid="{00000000-0005-0000-0000-000073580000}"/>
    <cellStyle name="40% - Accent6 2 2 2 2 4 2 2 2 2" xfId="15121" xr:uid="{00000000-0005-0000-0000-000074580000}"/>
    <cellStyle name="40% - Accent6 2 2 2 2 4 2 2 3" xfId="22248" xr:uid="{00000000-0005-0000-0000-000075580000}"/>
    <cellStyle name="40% - Accent6 2 2 2 2 4 2 3" xfId="21751" xr:uid="{00000000-0005-0000-0000-000076580000}"/>
    <cellStyle name="40% - Accent6 2 2 2 2 4 2 3 2" xfId="25747" xr:uid="{00000000-0005-0000-0000-000077580000}"/>
    <cellStyle name="40% - Accent6 2 2 2 2 4 2 4" xfId="25749" xr:uid="{00000000-0005-0000-0000-000078580000}"/>
    <cellStyle name="40% - Accent6 2 2 2 2 4 3" xfId="31842" xr:uid="{00000000-0005-0000-0000-000079580000}"/>
    <cellStyle name="40% - Accent6 2 2 2 2 4 3 2" xfId="25753" xr:uid="{00000000-0005-0000-0000-00007A580000}"/>
    <cellStyle name="40% - Accent6 2 2 2 2 4 3 2 2" xfId="25756" xr:uid="{00000000-0005-0000-0000-00007B580000}"/>
    <cellStyle name="40% - Accent6 2 2 2 2 4 3 3" xfId="18355" xr:uid="{00000000-0005-0000-0000-00007C580000}"/>
    <cellStyle name="40% - Accent6 2 2 2 2 4 4" xfId="11443" xr:uid="{00000000-0005-0000-0000-00007D580000}"/>
    <cellStyle name="40% - Accent6 2 2 2 2 4 4 2" xfId="25758" xr:uid="{00000000-0005-0000-0000-00007E580000}"/>
    <cellStyle name="40% - Accent6 2 2 2 2 4 5" xfId="25762" xr:uid="{00000000-0005-0000-0000-00007F580000}"/>
    <cellStyle name="40% - Accent6 2 2 2 2 5" xfId="7746" xr:uid="{00000000-0005-0000-0000-000080580000}"/>
    <cellStyle name="40% - Accent6 2 2 2 2 5 2" xfId="7748" xr:uid="{00000000-0005-0000-0000-000081580000}"/>
    <cellStyle name="40% - Accent6 2 2 2 2 5 2 2" xfId="25768" xr:uid="{00000000-0005-0000-0000-000082580000}"/>
    <cellStyle name="40% - Accent6 2 2 2 2 5 2 2 2" xfId="3633" xr:uid="{00000000-0005-0000-0000-000083580000}"/>
    <cellStyle name="40% - Accent6 2 2 2 2 5 2 3" xfId="25771" xr:uid="{00000000-0005-0000-0000-000084580000}"/>
    <cellStyle name="40% - Accent6 2 2 2 2 5 3" xfId="3723" xr:uid="{00000000-0005-0000-0000-000085580000}"/>
    <cellStyle name="40% - Accent6 2 2 2 2 5 3 2" xfId="25775" xr:uid="{00000000-0005-0000-0000-000086580000}"/>
    <cellStyle name="40% - Accent6 2 2 2 2 5 4" xfId="25779" xr:uid="{00000000-0005-0000-0000-000087580000}"/>
    <cellStyle name="40% - Accent6 2 2 2 2 6" xfId="7761" xr:uid="{00000000-0005-0000-0000-000088580000}"/>
    <cellStyle name="40% - Accent6 2 2 2 2 6 2" xfId="7767" xr:uid="{00000000-0005-0000-0000-000089580000}"/>
    <cellStyle name="40% - Accent6 2 2 2 2 6 2 2" xfId="25785" xr:uid="{00000000-0005-0000-0000-00008A580000}"/>
    <cellStyle name="40% - Accent6 2 2 2 2 6 3" xfId="25788" xr:uid="{00000000-0005-0000-0000-00008B580000}"/>
    <cellStyle name="40% - Accent6 2 2 2 2 7" xfId="2793" xr:uid="{00000000-0005-0000-0000-00008C580000}"/>
    <cellStyle name="40% - Accent6 2 2 2 2 7 2" xfId="25789" xr:uid="{00000000-0005-0000-0000-00008D580000}"/>
    <cellStyle name="40% - Accent6 2 2 2 2 8" xfId="24480" xr:uid="{00000000-0005-0000-0000-00008E580000}"/>
    <cellStyle name="40% - Accent6 2 2 2 3" xfId="18259" xr:uid="{00000000-0005-0000-0000-00008F580000}"/>
    <cellStyle name="40% - Accent6 2 2 2 3 2" xfId="24511" xr:uid="{00000000-0005-0000-0000-000090580000}"/>
    <cellStyle name="40% - Accent6 2 2 2 3 2 2" xfId="648" xr:uid="{00000000-0005-0000-0000-000091580000}"/>
    <cellStyle name="40% - Accent6 2 2 2 3 2 2 2" xfId="12814" xr:uid="{00000000-0005-0000-0000-000092580000}"/>
    <cellStyle name="40% - Accent6 2 2 2 3 2 2 2 2" xfId="25790" xr:uid="{00000000-0005-0000-0000-000093580000}"/>
    <cellStyle name="40% - Accent6 2 2 2 3 2 2 2 2 2" xfId="17" xr:uid="{00000000-0005-0000-0000-000094580000}"/>
    <cellStyle name="40% - Accent6 2 2 2 3 2 2 2 2 2 2" xfId="12271" xr:uid="{00000000-0005-0000-0000-000095580000}"/>
    <cellStyle name="40% - Accent6 2 2 2 3 2 2 2 2 3" xfId="2766" xr:uid="{00000000-0005-0000-0000-000096580000}"/>
    <cellStyle name="40% - Accent6 2 2 2 3 2 2 2 3" xfId="25792" xr:uid="{00000000-0005-0000-0000-000097580000}"/>
    <cellStyle name="40% - Accent6 2 2 2 3 2 2 2 3 2" xfId="837" xr:uid="{00000000-0005-0000-0000-000098580000}"/>
    <cellStyle name="40% - Accent6 2 2 2 3 2 2 2 4" xfId="25797" xr:uid="{00000000-0005-0000-0000-000099580000}"/>
    <cellStyle name="40% - Accent6 2 2 2 3 2 2 3" xfId="5679" xr:uid="{00000000-0005-0000-0000-00009A580000}"/>
    <cellStyle name="40% - Accent6 2 2 2 3 2 2 3 2" xfId="20416" xr:uid="{00000000-0005-0000-0000-00009B580000}"/>
    <cellStyle name="40% - Accent6 2 2 2 3 2 2 3 2 2" xfId="4795" xr:uid="{00000000-0005-0000-0000-00009C580000}"/>
    <cellStyle name="40% - Accent6 2 2 2 3 2 2 3 3" xfId="25345" xr:uid="{00000000-0005-0000-0000-00009D580000}"/>
    <cellStyle name="40% - Accent6 2 2 2 3 2 2 4" xfId="21813" xr:uid="{00000000-0005-0000-0000-00009E580000}"/>
    <cellStyle name="40% - Accent6 2 2 2 3 2 2 4 2" xfId="21615" xr:uid="{00000000-0005-0000-0000-00009F580000}"/>
    <cellStyle name="40% - Accent6 2 2 2 3 2 2 5" xfId="25800" xr:uid="{00000000-0005-0000-0000-0000A0580000}"/>
    <cellStyle name="40% - Accent6 2 2 2 3 2 3" xfId="28704" xr:uid="{00000000-0005-0000-0000-0000A1580000}"/>
    <cellStyle name="40% - Accent6 2 2 2 3 2 3 2" xfId="23264" xr:uid="{00000000-0005-0000-0000-0000A2580000}"/>
    <cellStyle name="40% - Accent6 2 2 2 3 2 3 2 2" xfId="25803" xr:uid="{00000000-0005-0000-0000-0000A3580000}"/>
    <cellStyle name="40% - Accent6 2 2 2 3 2 3 2 2 2" xfId="6442" xr:uid="{00000000-0005-0000-0000-0000A4580000}"/>
    <cellStyle name="40% - Accent6 2 2 2 3 2 3 2 3" xfId="24315" xr:uid="{00000000-0005-0000-0000-0000A5580000}"/>
    <cellStyle name="40% - Accent6 2 2 2 3 2 3 3" xfId="21816" xr:uid="{00000000-0005-0000-0000-0000A6580000}"/>
    <cellStyle name="40% - Accent6 2 2 2 3 2 3 3 2" xfId="6357" xr:uid="{00000000-0005-0000-0000-0000A7580000}"/>
    <cellStyle name="40% - Accent6 2 2 2 3 2 3 4" xfId="32441" xr:uid="{00000000-0005-0000-0000-0000A8580000}"/>
    <cellStyle name="40% - Accent6 2 2 2 3 2 4" xfId="25805" xr:uid="{00000000-0005-0000-0000-0000A9580000}"/>
    <cellStyle name="40% - Accent6 2 2 2 3 2 4 2" xfId="1916" xr:uid="{00000000-0005-0000-0000-0000AA580000}"/>
    <cellStyle name="40% - Accent6 2 2 2 3 2 4 2 2" xfId="25807" xr:uid="{00000000-0005-0000-0000-0000AB580000}"/>
    <cellStyle name="40% - Accent6 2 2 2 3 2 4 3" xfId="25808" xr:uid="{00000000-0005-0000-0000-0000AC580000}"/>
    <cellStyle name="40% - Accent6 2 2 2 3 2 5" xfId="3388" xr:uid="{00000000-0005-0000-0000-0000AD580000}"/>
    <cellStyle name="40% - Accent6 2 2 2 3 2 5 2" xfId="25809" xr:uid="{00000000-0005-0000-0000-0000AE580000}"/>
    <cellStyle name="40% - Accent6 2 2 2 3 2 6" xfId="25811" xr:uid="{00000000-0005-0000-0000-0000AF580000}"/>
    <cellStyle name="40% - Accent6 2 2 2 3 3" xfId="25813" xr:uid="{00000000-0005-0000-0000-0000B0580000}"/>
    <cellStyle name="40% - Accent6 2 2 2 3 3 2" xfId="25814" xr:uid="{00000000-0005-0000-0000-0000B1580000}"/>
    <cellStyle name="40% - Accent6 2 2 2 3 3 2 2" xfId="3989" xr:uid="{00000000-0005-0000-0000-0000B2580000}"/>
    <cellStyle name="40% - Accent6 2 2 2 3 3 2 2 2" xfId="8299" xr:uid="{00000000-0005-0000-0000-0000B3580000}"/>
    <cellStyle name="40% - Accent6 2 2 2 3 3 2 2 2 2" xfId="25035" xr:uid="{00000000-0005-0000-0000-0000B4580000}"/>
    <cellStyle name="40% - Accent6 2 2 2 3 3 2 2 3" xfId="25940" xr:uid="{00000000-0005-0000-0000-0000B5580000}"/>
    <cellStyle name="40% - Accent6 2 2 2 3 3 2 3" xfId="4036" xr:uid="{00000000-0005-0000-0000-0000B6580000}"/>
    <cellStyle name="40% - Accent6 2 2 2 3 3 2 3 2" xfId="27271" xr:uid="{00000000-0005-0000-0000-0000B7580000}"/>
    <cellStyle name="40% - Accent6 2 2 2 3 3 2 4" xfId="25815" xr:uid="{00000000-0005-0000-0000-0000B8580000}"/>
    <cellStyle name="40% - Accent6 2 2 2 3 3 3" xfId="25816" xr:uid="{00000000-0005-0000-0000-0000B9580000}"/>
    <cellStyle name="40% - Accent6 2 2 2 3 3 3 2" xfId="26788" xr:uid="{00000000-0005-0000-0000-0000BA580000}"/>
    <cellStyle name="40% - Accent6 2 2 2 3 3 3 2 2" xfId="31140" xr:uid="{00000000-0005-0000-0000-0000BB580000}"/>
    <cellStyle name="40% - Accent6 2 2 2 3 3 3 3" xfId="19216" xr:uid="{00000000-0005-0000-0000-0000BC580000}"/>
    <cellStyle name="40% - Accent6 2 2 2 3 3 4" xfId="25823" xr:uid="{00000000-0005-0000-0000-0000BD580000}"/>
    <cellStyle name="40% - Accent6 2 2 2 3 3 4 2" xfId="25826" xr:uid="{00000000-0005-0000-0000-0000BE580000}"/>
    <cellStyle name="40% - Accent6 2 2 2 3 3 5" xfId="25829" xr:uid="{00000000-0005-0000-0000-0000BF580000}"/>
    <cellStyle name="40% - Accent6 2 2 2 3 4" xfId="14266" xr:uid="{00000000-0005-0000-0000-0000C0580000}"/>
    <cellStyle name="40% - Accent6 2 2 2 3 4 2" xfId="31343" xr:uid="{00000000-0005-0000-0000-0000C1580000}"/>
    <cellStyle name="40% - Accent6 2 2 2 3 4 2 2" xfId="17612" xr:uid="{00000000-0005-0000-0000-0000C2580000}"/>
    <cellStyle name="40% - Accent6 2 2 2 3 4 2 2 2" xfId="25835" xr:uid="{00000000-0005-0000-0000-0000C3580000}"/>
    <cellStyle name="40% - Accent6 2 2 2 3 4 2 3" xfId="25837" xr:uid="{00000000-0005-0000-0000-0000C4580000}"/>
    <cellStyle name="40% - Accent6 2 2 2 3 4 3" xfId="3734" xr:uid="{00000000-0005-0000-0000-0000C5580000}"/>
    <cellStyle name="40% - Accent6 2 2 2 3 4 3 2" xfId="25841" xr:uid="{00000000-0005-0000-0000-0000C6580000}"/>
    <cellStyle name="40% - Accent6 2 2 2 3 4 4" xfId="25845" xr:uid="{00000000-0005-0000-0000-0000C7580000}"/>
    <cellStyle name="40% - Accent6 2 2 2 3 5" xfId="18796" xr:uid="{00000000-0005-0000-0000-0000C8580000}"/>
    <cellStyle name="40% - Accent6 2 2 2 3 5 2" xfId="7791" xr:uid="{00000000-0005-0000-0000-0000C9580000}"/>
    <cellStyle name="40% - Accent6 2 2 2 3 5 2 2" xfId="25849" xr:uid="{00000000-0005-0000-0000-0000CA580000}"/>
    <cellStyle name="40% - Accent6 2 2 2 3 5 3" xfId="3099" xr:uid="{00000000-0005-0000-0000-0000CB580000}"/>
    <cellStyle name="40% - Accent6 2 2 2 3 6" xfId="29355" xr:uid="{00000000-0005-0000-0000-0000CC580000}"/>
    <cellStyle name="40% - Accent6 2 2 2 3 6 2" xfId="27317" xr:uid="{00000000-0005-0000-0000-0000CD580000}"/>
    <cellStyle name="40% - Accent6 2 2 2 3 7" xfId="1854" xr:uid="{00000000-0005-0000-0000-0000CE580000}"/>
    <cellStyle name="40% - Accent6 2 2 2 4" xfId="28962" xr:uid="{00000000-0005-0000-0000-0000CF580000}"/>
    <cellStyle name="40% - Accent6 2 2 2 4 2" xfId="24765" xr:uid="{00000000-0005-0000-0000-0000D0580000}"/>
    <cellStyle name="40% - Accent6 2 2 2 4 2 2" xfId="29188" xr:uid="{00000000-0005-0000-0000-0000D1580000}"/>
    <cellStyle name="40% - Accent6 2 2 2 4 2 2 2" xfId="25851" xr:uid="{00000000-0005-0000-0000-0000D2580000}"/>
    <cellStyle name="40% - Accent6 2 2 2 4 2 2 2 2" xfId="1214" xr:uid="{00000000-0005-0000-0000-0000D3580000}"/>
    <cellStyle name="40% - Accent6 2 2 2 4 2 2 2 2 2" xfId="4867" xr:uid="{00000000-0005-0000-0000-0000D4580000}"/>
    <cellStyle name="40% - Accent6 2 2 2 4 2 2 2 3" xfId="524" xr:uid="{00000000-0005-0000-0000-0000D5580000}"/>
    <cellStyle name="40% - Accent6 2 2 2 4 2 2 3" xfId="21855" xr:uid="{00000000-0005-0000-0000-0000D6580000}"/>
    <cellStyle name="40% - Accent6 2 2 2 4 2 2 3 2" xfId="737" xr:uid="{00000000-0005-0000-0000-0000D7580000}"/>
    <cellStyle name="40% - Accent6 2 2 2 4 2 2 4" xfId="17097" xr:uid="{00000000-0005-0000-0000-0000D8580000}"/>
    <cellStyle name="40% - Accent6 2 2 2 4 2 3" xfId="25853" xr:uid="{00000000-0005-0000-0000-0000D9580000}"/>
    <cellStyle name="40% - Accent6 2 2 2 4 2 3 2" xfId="25855" xr:uid="{00000000-0005-0000-0000-0000DA580000}"/>
    <cellStyle name="40% - Accent6 2 2 2 4 2 3 2 2" xfId="549" xr:uid="{00000000-0005-0000-0000-0000DB580000}"/>
    <cellStyle name="40% - Accent6 2 2 2 4 2 3 3" xfId="25858" xr:uid="{00000000-0005-0000-0000-0000DC580000}"/>
    <cellStyle name="40% - Accent6 2 2 2 4 2 4" xfId="33739" xr:uid="{00000000-0005-0000-0000-0000DD580000}"/>
    <cellStyle name="40% - Accent6 2 2 2 4 2 4 2" xfId="25859" xr:uid="{00000000-0005-0000-0000-0000DE580000}"/>
    <cellStyle name="40% - Accent6 2 2 2 4 2 5" xfId="25860" xr:uid="{00000000-0005-0000-0000-0000DF580000}"/>
    <cellStyle name="40% - Accent6 2 2 2 4 3" xfId="25861" xr:uid="{00000000-0005-0000-0000-0000E0580000}"/>
    <cellStyle name="40% - Accent6 2 2 2 4 3 2" xfId="25862" xr:uid="{00000000-0005-0000-0000-0000E1580000}"/>
    <cellStyle name="40% - Accent6 2 2 2 4 3 2 2" xfId="4505" xr:uid="{00000000-0005-0000-0000-0000E2580000}"/>
    <cellStyle name="40% - Accent6 2 2 2 4 3 2 2 2" xfId="1030" xr:uid="{00000000-0005-0000-0000-0000E3580000}"/>
    <cellStyle name="40% - Accent6 2 2 2 4 3 2 3" xfId="25863" xr:uid="{00000000-0005-0000-0000-0000E4580000}"/>
    <cellStyle name="40% - Accent6 2 2 2 4 3 3" xfId="25864" xr:uid="{00000000-0005-0000-0000-0000E5580000}"/>
    <cellStyle name="40% - Accent6 2 2 2 4 3 3 2" xfId="25865" xr:uid="{00000000-0005-0000-0000-0000E6580000}"/>
    <cellStyle name="40% - Accent6 2 2 2 4 3 4" xfId="25867" xr:uid="{00000000-0005-0000-0000-0000E7580000}"/>
    <cellStyle name="40% - Accent6 2 2 2 4 4" xfId="14279" xr:uid="{00000000-0005-0000-0000-0000E8580000}"/>
    <cellStyle name="40% - Accent6 2 2 2 4 4 2" xfId="7802" xr:uid="{00000000-0005-0000-0000-0000E9580000}"/>
    <cellStyle name="40% - Accent6 2 2 2 4 4 2 2" xfId="25871" xr:uid="{00000000-0005-0000-0000-0000EA580000}"/>
    <cellStyle name="40% - Accent6 2 2 2 4 4 3" xfId="25876" xr:uid="{00000000-0005-0000-0000-0000EB580000}"/>
    <cellStyle name="40% - Accent6 2 2 2 4 5" xfId="8538" xr:uid="{00000000-0005-0000-0000-0000EC580000}"/>
    <cellStyle name="40% - Accent6 2 2 2 4 5 2" xfId="3634" xr:uid="{00000000-0005-0000-0000-0000ED580000}"/>
    <cellStyle name="40% - Accent6 2 2 2 4 6" xfId="13290" xr:uid="{00000000-0005-0000-0000-0000EE580000}"/>
    <cellStyle name="40% - Accent6 2 2 2 5" xfId="566" xr:uid="{00000000-0005-0000-0000-0000EF580000}"/>
    <cellStyle name="40% - Accent6 2 2 2 5 2" xfId="25879" xr:uid="{00000000-0005-0000-0000-0000F0580000}"/>
    <cellStyle name="40% - Accent6 2 2 2 5 2 2" xfId="25881" xr:uid="{00000000-0005-0000-0000-0000F1580000}"/>
    <cellStyle name="40% - Accent6 2 2 2 5 2 2 2" xfId="25883" xr:uid="{00000000-0005-0000-0000-0000F2580000}"/>
    <cellStyle name="40% - Accent6 2 2 2 5 2 2 2 2" xfId="5729" xr:uid="{00000000-0005-0000-0000-0000F3580000}"/>
    <cellStyle name="40% - Accent6 2 2 2 5 2 2 3" xfId="26402" xr:uid="{00000000-0005-0000-0000-0000F4580000}"/>
    <cellStyle name="40% - Accent6 2 2 2 5 2 3" xfId="12359" xr:uid="{00000000-0005-0000-0000-0000F5580000}"/>
    <cellStyle name="40% - Accent6 2 2 2 5 2 3 2" xfId="17482" xr:uid="{00000000-0005-0000-0000-0000F6580000}"/>
    <cellStyle name="40% - Accent6 2 2 2 5 2 4" xfId="13774" xr:uid="{00000000-0005-0000-0000-0000F7580000}"/>
    <cellStyle name="40% - Accent6 2 2 2 5 3" xfId="13634" xr:uid="{00000000-0005-0000-0000-0000F8580000}"/>
    <cellStyle name="40% - Accent6 2 2 2 5 3 2" xfId="25885" xr:uid="{00000000-0005-0000-0000-0000F9580000}"/>
    <cellStyle name="40% - Accent6 2 2 2 5 3 2 2" xfId="25888" xr:uid="{00000000-0005-0000-0000-0000FA580000}"/>
    <cellStyle name="40% - Accent6 2 2 2 5 3 3" xfId="12459" xr:uid="{00000000-0005-0000-0000-0000FB580000}"/>
    <cellStyle name="40% - Accent6 2 2 2 5 4" xfId="7814" xr:uid="{00000000-0005-0000-0000-0000FC580000}"/>
    <cellStyle name="40% - Accent6 2 2 2 5 4 2" xfId="25892" xr:uid="{00000000-0005-0000-0000-0000FD580000}"/>
    <cellStyle name="40% - Accent6 2 2 2 5 5" xfId="3136" xr:uid="{00000000-0005-0000-0000-0000FE580000}"/>
    <cellStyle name="40% - Accent6 2 2 2 6" xfId="29882" xr:uid="{00000000-0005-0000-0000-0000FF580000}"/>
    <cellStyle name="40% - Accent6 2 2 2 6 2" xfId="30856" xr:uid="{00000000-0005-0000-0000-000000590000}"/>
    <cellStyle name="40% - Accent6 2 2 2 6 2 2" xfId="25895" xr:uid="{00000000-0005-0000-0000-000001590000}"/>
    <cellStyle name="40% - Accent6 2 2 2 6 2 2 2" xfId="28467" xr:uid="{00000000-0005-0000-0000-000002590000}"/>
    <cellStyle name="40% - Accent6 2 2 2 6 2 3" xfId="9559" xr:uid="{00000000-0005-0000-0000-000003590000}"/>
    <cellStyle name="40% - Accent6 2 2 2 6 3" xfId="25902" xr:uid="{00000000-0005-0000-0000-000004590000}"/>
    <cellStyle name="40% - Accent6 2 2 2 6 3 2" xfId="21296" xr:uid="{00000000-0005-0000-0000-000005590000}"/>
    <cellStyle name="40% - Accent6 2 2 2 6 4" xfId="25339" xr:uid="{00000000-0005-0000-0000-000006590000}"/>
    <cellStyle name="40% - Accent6 2 2 2 7" xfId="25903" xr:uid="{00000000-0005-0000-0000-000007590000}"/>
    <cellStyle name="40% - Accent6 2 2 2 7 2" xfId="23608" xr:uid="{00000000-0005-0000-0000-000008590000}"/>
    <cellStyle name="40% - Accent6 2 2 2 7 2 2" xfId="25906" xr:uid="{00000000-0005-0000-0000-000009590000}"/>
    <cellStyle name="40% - Accent6 2 2 2 7 3" xfId="31861" xr:uid="{00000000-0005-0000-0000-00000A590000}"/>
    <cellStyle name="40% - Accent6 2 2 2 8" xfId="25908" xr:uid="{00000000-0005-0000-0000-00000B590000}"/>
    <cellStyle name="40% - Accent6 2 2 2 8 2" xfId="25911" xr:uid="{00000000-0005-0000-0000-00000C590000}"/>
    <cellStyle name="40% - Accent6 2 2 2 9" xfId="6801" xr:uid="{00000000-0005-0000-0000-00000D590000}"/>
    <cellStyle name="40% - Accent6 2 2 3" xfId="24517" xr:uid="{00000000-0005-0000-0000-00000E590000}"/>
    <cellStyle name="40% - Accent6 2 2 3 2" xfId="24529" xr:uid="{00000000-0005-0000-0000-00000F590000}"/>
    <cellStyle name="40% - Accent6 2 2 3 2 2" xfId="24532" xr:uid="{00000000-0005-0000-0000-000010590000}"/>
    <cellStyle name="40% - Accent6 2 2 3 2 2 2" xfId="526" xr:uid="{00000000-0005-0000-0000-000011590000}"/>
    <cellStyle name="40% - Accent6 2 2 3 2 2 2 2" xfId="25913" xr:uid="{00000000-0005-0000-0000-000012590000}"/>
    <cellStyle name="40% - Accent6 2 2 3 2 2 2 2 2" xfId="30018" xr:uid="{00000000-0005-0000-0000-000013590000}"/>
    <cellStyle name="40% - Accent6 2 2 3 2 2 2 2 2 2" xfId="32033" xr:uid="{00000000-0005-0000-0000-000014590000}"/>
    <cellStyle name="40% - Accent6 2 2 3 2 2 2 2 2 2 2" xfId="25915" xr:uid="{00000000-0005-0000-0000-000015590000}"/>
    <cellStyle name="40% - Accent6 2 2 3 2 2 2 2 2 3" xfId="4835" xr:uid="{00000000-0005-0000-0000-000016590000}"/>
    <cellStyle name="40% - Accent6 2 2 3 2 2 2 2 3" xfId="25923" xr:uid="{00000000-0005-0000-0000-000017590000}"/>
    <cellStyle name="40% - Accent6 2 2 3 2 2 2 2 3 2" xfId="6774" xr:uid="{00000000-0005-0000-0000-000018590000}"/>
    <cellStyle name="40% - Accent6 2 2 3 2 2 2 2 4" xfId="20315" xr:uid="{00000000-0005-0000-0000-000019590000}"/>
    <cellStyle name="40% - Accent6 2 2 3 2 2 2 3" xfId="6632" xr:uid="{00000000-0005-0000-0000-00001A590000}"/>
    <cellStyle name="40% - Accent6 2 2 3 2 2 2 3 2" xfId="22073" xr:uid="{00000000-0005-0000-0000-00001B590000}"/>
    <cellStyle name="40% - Accent6 2 2 3 2 2 2 3 2 2" xfId="25925" xr:uid="{00000000-0005-0000-0000-00001C590000}"/>
    <cellStyle name="40% - Accent6 2 2 3 2 2 2 3 3" xfId="22082" xr:uid="{00000000-0005-0000-0000-00001D590000}"/>
    <cellStyle name="40% - Accent6 2 2 3 2 2 2 4" xfId="23469" xr:uid="{00000000-0005-0000-0000-00001E590000}"/>
    <cellStyle name="40% - Accent6 2 2 3 2 2 2 4 2" xfId="27174" xr:uid="{00000000-0005-0000-0000-00001F590000}"/>
    <cellStyle name="40% - Accent6 2 2 3 2 2 2 5" xfId="25927" xr:uid="{00000000-0005-0000-0000-000020590000}"/>
    <cellStyle name="40% - Accent6 2 2 3 2 2 3" xfId="20935" xr:uid="{00000000-0005-0000-0000-000021590000}"/>
    <cellStyle name="40% - Accent6 2 2 3 2 2 3 2" xfId="25563" xr:uid="{00000000-0005-0000-0000-000022590000}"/>
    <cellStyle name="40% - Accent6 2 2 3 2 2 3 2 2" xfId="29946" xr:uid="{00000000-0005-0000-0000-000023590000}"/>
    <cellStyle name="40% - Accent6 2 2 3 2 2 3 2 2 2" xfId="5290" xr:uid="{00000000-0005-0000-0000-000024590000}"/>
    <cellStyle name="40% - Accent6 2 2 3 2 2 3 2 3" xfId="29863" xr:uid="{00000000-0005-0000-0000-000025590000}"/>
    <cellStyle name="40% - Accent6 2 2 3 2 2 3 3" xfId="22595" xr:uid="{00000000-0005-0000-0000-000026590000}"/>
    <cellStyle name="40% - Accent6 2 2 3 2 2 3 3 2" xfId="3487" xr:uid="{00000000-0005-0000-0000-000027590000}"/>
    <cellStyle name="40% - Accent6 2 2 3 2 2 3 4" xfId="32981" xr:uid="{00000000-0005-0000-0000-000028590000}"/>
    <cellStyle name="40% - Accent6 2 2 3 2 2 4" xfId="25931" xr:uid="{00000000-0005-0000-0000-000029590000}"/>
    <cellStyle name="40% - Accent6 2 2 3 2 2 4 2" xfId="25573" xr:uid="{00000000-0005-0000-0000-00002A590000}"/>
    <cellStyle name="40% - Accent6 2 2 3 2 2 4 2 2" xfId="29963" xr:uid="{00000000-0005-0000-0000-00002B590000}"/>
    <cellStyle name="40% - Accent6 2 2 3 2 2 4 3" xfId="5214" xr:uid="{00000000-0005-0000-0000-00002C590000}"/>
    <cellStyle name="40% - Accent6 2 2 3 2 2 5" xfId="16496" xr:uid="{00000000-0005-0000-0000-00002D590000}"/>
    <cellStyle name="40% - Accent6 2 2 3 2 2 5 2" xfId="25932" xr:uid="{00000000-0005-0000-0000-00002E590000}"/>
    <cellStyle name="40% - Accent6 2 2 3 2 2 6" xfId="25934" xr:uid="{00000000-0005-0000-0000-00002F590000}"/>
    <cellStyle name="40% - Accent6 2 2 3 2 3" xfId="25939" xr:uid="{00000000-0005-0000-0000-000030590000}"/>
    <cellStyle name="40% - Accent6 2 2 3 2 3 2" xfId="22640" xr:uid="{00000000-0005-0000-0000-000031590000}"/>
    <cellStyle name="40% - Accent6 2 2 3 2 3 2 2" xfId="14438" xr:uid="{00000000-0005-0000-0000-000032590000}"/>
    <cellStyle name="40% - Accent6 2 2 3 2 3 2 2 2" xfId="793" xr:uid="{00000000-0005-0000-0000-000033590000}"/>
    <cellStyle name="40% - Accent6 2 2 3 2 3 2 2 2 2" xfId="25943" xr:uid="{00000000-0005-0000-0000-000034590000}"/>
    <cellStyle name="40% - Accent6 2 2 3 2 3 2 2 3" xfId="27763" xr:uid="{00000000-0005-0000-0000-000035590000}"/>
    <cellStyle name="40% - Accent6 2 2 3 2 3 2 3" xfId="22599" xr:uid="{00000000-0005-0000-0000-000036590000}"/>
    <cellStyle name="40% - Accent6 2 2 3 2 3 2 3 2" xfId="27691" xr:uid="{00000000-0005-0000-0000-000037590000}"/>
    <cellStyle name="40% - Accent6 2 2 3 2 3 2 4" xfId="25950" xr:uid="{00000000-0005-0000-0000-000038590000}"/>
    <cellStyle name="40% - Accent6 2 2 3 2 3 3" xfId="25955" xr:uid="{00000000-0005-0000-0000-000039590000}"/>
    <cellStyle name="40% - Accent6 2 2 3 2 3 3 2" xfId="24369" xr:uid="{00000000-0005-0000-0000-00003A590000}"/>
    <cellStyle name="40% - Accent6 2 2 3 2 3 3 2 2" xfId="33710" xr:uid="{00000000-0005-0000-0000-00003B590000}"/>
    <cellStyle name="40% - Accent6 2 2 3 2 3 3 3" xfId="22687" xr:uid="{00000000-0005-0000-0000-00003C590000}"/>
    <cellStyle name="40% - Accent6 2 2 3 2 3 4" xfId="10932" xr:uid="{00000000-0005-0000-0000-00003D590000}"/>
    <cellStyle name="40% - Accent6 2 2 3 2 3 4 2" xfId="25956" xr:uid="{00000000-0005-0000-0000-00003E590000}"/>
    <cellStyle name="40% - Accent6 2 2 3 2 3 5" xfId="21991" xr:uid="{00000000-0005-0000-0000-00003F590000}"/>
    <cellStyle name="40% - Accent6 2 2 3 2 4" xfId="20969" xr:uid="{00000000-0005-0000-0000-000040590000}"/>
    <cellStyle name="40% - Accent6 2 2 3 2 4 2" xfId="31408" xr:uid="{00000000-0005-0000-0000-000041590000}"/>
    <cellStyle name="40% - Accent6 2 2 3 2 4 2 2" xfId="25962" xr:uid="{00000000-0005-0000-0000-000042590000}"/>
    <cellStyle name="40% - Accent6 2 2 3 2 4 2 2 2" xfId="14521" xr:uid="{00000000-0005-0000-0000-000043590000}"/>
    <cellStyle name="40% - Accent6 2 2 3 2 4 2 3" xfId="19840" xr:uid="{00000000-0005-0000-0000-000044590000}"/>
    <cellStyle name="40% - Accent6 2 2 3 2 4 3" xfId="5523" xr:uid="{00000000-0005-0000-0000-000045590000}"/>
    <cellStyle name="40% - Accent6 2 2 3 2 4 3 2" xfId="25964" xr:uid="{00000000-0005-0000-0000-000046590000}"/>
    <cellStyle name="40% - Accent6 2 2 3 2 4 4" xfId="8763" xr:uid="{00000000-0005-0000-0000-000047590000}"/>
    <cellStyle name="40% - Accent6 2 2 3 2 5" xfId="5289" xr:uid="{00000000-0005-0000-0000-000048590000}"/>
    <cellStyle name="40% - Accent6 2 2 3 2 5 2" xfId="7878" xr:uid="{00000000-0005-0000-0000-000049590000}"/>
    <cellStyle name="40% - Accent6 2 2 3 2 5 2 2" xfId="28934" xr:uid="{00000000-0005-0000-0000-00004A590000}"/>
    <cellStyle name="40% - Accent6 2 2 3 2 5 3" xfId="8772" xr:uid="{00000000-0005-0000-0000-00004B590000}"/>
    <cellStyle name="40% - Accent6 2 2 3 2 6" xfId="512" xr:uid="{00000000-0005-0000-0000-00004C590000}"/>
    <cellStyle name="40% - Accent6 2 2 3 2 6 2" xfId="25966" xr:uid="{00000000-0005-0000-0000-00004D590000}"/>
    <cellStyle name="40% - Accent6 2 2 3 2 7" xfId="25967" xr:uid="{00000000-0005-0000-0000-00004E590000}"/>
    <cellStyle name="40% - Accent6 2 2 3 3" xfId="8961" xr:uid="{00000000-0005-0000-0000-00004F590000}"/>
    <cellStyle name="40% - Accent6 2 2 3 3 2" xfId="25968" xr:uid="{00000000-0005-0000-0000-000050590000}"/>
    <cellStyle name="40% - Accent6 2 2 3 3 2 2" xfId="28728" xr:uid="{00000000-0005-0000-0000-000051590000}"/>
    <cellStyle name="40% - Accent6 2 2 3 3 2 2 2" xfId="25969" xr:uid="{00000000-0005-0000-0000-000052590000}"/>
    <cellStyle name="40% - Accent6 2 2 3 3 2 2 2 2" xfId="25970" xr:uid="{00000000-0005-0000-0000-000053590000}"/>
    <cellStyle name="40% - Accent6 2 2 3 3 2 2 2 2 2" xfId="13480" xr:uid="{00000000-0005-0000-0000-000054590000}"/>
    <cellStyle name="40% - Accent6 2 2 3 3 2 2 2 3" xfId="25972" xr:uid="{00000000-0005-0000-0000-000055590000}"/>
    <cellStyle name="40% - Accent6 2 2 3 3 2 2 3" xfId="22646" xr:uid="{00000000-0005-0000-0000-000056590000}"/>
    <cellStyle name="40% - Accent6 2 2 3 3 2 2 3 2" xfId="21157" xr:uid="{00000000-0005-0000-0000-000057590000}"/>
    <cellStyle name="40% - Accent6 2 2 3 3 2 2 4" xfId="27770" xr:uid="{00000000-0005-0000-0000-000058590000}"/>
    <cellStyle name="40% - Accent6 2 2 3 3 2 3" xfId="25975" xr:uid="{00000000-0005-0000-0000-000059590000}"/>
    <cellStyle name="40% - Accent6 2 2 3 3 2 3 2" xfId="25611" xr:uid="{00000000-0005-0000-0000-00005A590000}"/>
    <cellStyle name="40% - Accent6 2 2 3 3 2 3 2 2" xfId="25980" xr:uid="{00000000-0005-0000-0000-00005B590000}"/>
    <cellStyle name="40% - Accent6 2 2 3 3 2 3 3" xfId="25981" xr:uid="{00000000-0005-0000-0000-00005C590000}"/>
    <cellStyle name="40% - Accent6 2 2 3 3 2 4" xfId="25982" xr:uid="{00000000-0005-0000-0000-00005D590000}"/>
    <cellStyle name="40% - Accent6 2 2 3 3 2 4 2" xfId="25983" xr:uid="{00000000-0005-0000-0000-00005E590000}"/>
    <cellStyle name="40% - Accent6 2 2 3 3 2 5" xfId="25986" xr:uid="{00000000-0005-0000-0000-00005F590000}"/>
    <cellStyle name="40% - Accent6 2 2 3 3 3" xfId="25990" xr:uid="{00000000-0005-0000-0000-000060590000}"/>
    <cellStyle name="40% - Accent6 2 2 3 3 3 2" xfId="25991" xr:uid="{00000000-0005-0000-0000-000061590000}"/>
    <cellStyle name="40% - Accent6 2 2 3 3 3 2 2" xfId="369" xr:uid="{00000000-0005-0000-0000-000062590000}"/>
    <cellStyle name="40% - Accent6 2 2 3 3 3 2 2 2" xfId="15409" xr:uid="{00000000-0005-0000-0000-000063590000}"/>
    <cellStyle name="40% - Accent6 2 2 3 3 3 2 3" xfId="25993" xr:uid="{00000000-0005-0000-0000-000064590000}"/>
    <cellStyle name="40% - Accent6 2 2 3 3 3 3" xfId="25995" xr:uid="{00000000-0005-0000-0000-000065590000}"/>
    <cellStyle name="40% - Accent6 2 2 3 3 3 3 2" xfId="29933" xr:uid="{00000000-0005-0000-0000-000066590000}"/>
    <cellStyle name="40% - Accent6 2 2 3 3 3 4" xfId="25997" xr:uid="{00000000-0005-0000-0000-000067590000}"/>
    <cellStyle name="40% - Accent6 2 2 3 3 4" xfId="5315" xr:uid="{00000000-0005-0000-0000-000068590000}"/>
    <cellStyle name="40% - Accent6 2 2 3 3 4 2" xfId="7889" xr:uid="{00000000-0005-0000-0000-000069590000}"/>
    <cellStyle name="40% - Accent6 2 2 3 3 4 2 2" xfId="26006" xr:uid="{00000000-0005-0000-0000-00006A590000}"/>
    <cellStyle name="40% - Accent6 2 2 3 3 4 3" xfId="8785" xr:uid="{00000000-0005-0000-0000-00006B590000}"/>
    <cellStyle name="40% - Accent6 2 2 3 3 5" xfId="7893" xr:uid="{00000000-0005-0000-0000-00006C590000}"/>
    <cellStyle name="40% - Accent6 2 2 3 3 5 2" xfId="3180" xr:uid="{00000000-0005-0000-0000-00006D590000}"/>
    <cellStyle name="40% - Accent6 2 2 3 3 6" xfId="5367" xr:uid="{00000000-0005-0000-0000-00006E590000}"/>
    <cellStyle name="40% - Accent6 2 2 3 4" xfId="760" xr:uid="{00000000-0005-0000-0000-00006F590000}"/>
    <cellStyle name="40% - Accent6 2 2 3 4 2" xfId="26008" xr:uid="{00000000-0005-0000-0000-000070590000}"/>
    <cellStyle name="40% - Accent6 2 2 3 4 2 2" xfId="24246" xr:uid="{00000000-0005-0000-0000-000071590000}"/>
    <cellStyle name="40% - Accent6 2 2 3 4 2 2 2" xfId="26010" xr:uid="{00000000-0005-0000-0000-000072590000}"/>
    <cellStyle name="40% - Accent6 2 2 3 4 2 2 2 2" xfId="20982" xr:uid="{00000000-0005-0000-0000-000073590000}"/>
    <cellStyle name="40% - Accent6 2 2 3 4 2 2 3" xfId="28921" xr:uid="{00000000-0005-0000-0000-000074590000}"/>
    <cellStyle name="40% - Accent6 2 2 3 4 2 3" xfId="26011" xr:uid="{00000000-0005-0000-0000-000075590000}"/>
    <cellStyle name="40% - Accent6 2 2 3 4 2 3 2" xfId="26012" xr:uid="{00000000-0005-0000-0000-000076590000}"/>
    <cellStyle name="40% - Accent6 2 2 3 4 2 4" xfId="26330" xr:uid="{00000000-0005-0000-0000-000077590000}"/>
    <cellStyle name="40% - Accent6 2 2 3 4 3" xfId="26013" xr:uid="{00000000-0005-0000-0000-000078590000}"/>
    <cellStyle name="40% - Accent6 2 2 3 4 3 2" xfId="26014" xr:uid="{00000000-0005-0000-0000-000079590000}"/>
    <cellStyle name="40% - Accent6 2 2 3 4 3 2 2" xfId="26016" xr:uid="{00000000-0005-0000-0000-00007A590000}"/>
    <cellStyle name="40% - Accent6 2 2 3 4 3 3" xfId="26017" xr:uid="{00000000-0005-0000-0000-00007B590000}"/>
    <cellStyle name="40% - Accent6 2 2 3 4 4" xfId="7902" xr:uid="{00000000-0005-0000-0000-00007C590000}"/>
    <cellStyle name="40% - Accent6 2 2 3 4 4 2" xfId="26018" xr:uid="{00000000-0005-0000-0000-00007D590000}"/>
    <cellStyle name="40% - Accent6 2 2 3 4 5" xfId="17981" xr:uid="{00000000-0005-0000-0000-00007E590000}"/>
    <cellStyle name="40% - Accent6 2 2 3 5" xfId="32577" xr:uid="{00000000-0005-0000-0000-00007F590000}"/>
    <cellStyle name="40% - Accent6 2 2 3 5 2" xfId="26019" xr:uid="{00000000-0005-0000-0000-000080590000}"/>
    <cellStyle name="40% - Accent6 2 2 3 5 2 2" xfId="26020" xr:uid="{00000000-0005-0000-0000-000081590000}"/>
    <cellStyle name="40% - Accent6 2 2 3 5 2 2 2" xfId="26023" xr:uid="{00000000-0005-0000-0000-000082590000}"/>
    <cellStyle name="40% - Accent6 2 2 3 5 2 3" xfId="8160" xr:uid="{00000000-0005-0000-0000-000083590000}"/>
    <cellStyle name="40% - Accent6 2 2 3 5 3" xfId="26025" xr:uid="{00000000-0005-0000-0000-000084590000}"/>
    <cellStyle name="40% - Accent6 2 2 3 5 3 2" xfId="26027" xr:uid="{00000000-0005-0000-0000-000085590000}"/>
    <cellStyle name="40% - Accent6 2 2 3 5 4" xfId="30775" xr:uid="{00000000-0005-0000-0000-000086590000}"/>
    <cellStyle name="40% - Accent6 2 2 3 6" xfId="22927" xr:uid="{00000000-0005-0000-0000-000087590000}"/>
    <cellStyle name="40% - Accent6 2 2 3 6 2" xfId="4524" xr:uid="{00000000-0005-0000-0000-000088590000}"/>
    <cellStyle name="40% - Accent6 2 2 3 6 2 2" xfId="26032" xr:uid="{00000000-0005-0000-0000-000089590000}"/>
    <cellStyle name="40% - Accent6 2 2 3 6 3" xfId="5153" xr:uid="{00000000-0005-0000-0000-00008A590000}"/>
    <cellStyle name="40% - Accent6 2 2 3 7" xfId="22932" xr:uid="{00000000-0005-0000-0000-00008B590000}"/>
    <cellStyle name="40% - Accent6 2 2 3 7 2" xfId="8500" xr:uid="{00000000-0005-0000-0000-00008C590000}"/>
    <cellStyle name="40% - Accent6 2 2 3 8" xfId="25188" xr:uid="{00000000-0005-0000-0000-00008D590000}"/>
    <cellStyle name="40% - Accent6 2 2 4" xfId="3462" xr:uid="{00000000-0005-0000-0000-00008E590000}"/>
    <cellStyle name="40% - Accent6 2 2 4 2" xfId="3921" xr:uid="{00000000-0005-0000-0000-00008F590000}"/>
    <cellStyle name="40% - Accent6 2 2 4 2 2" xfId="26035" xr:uid="{00000000-0005-0000-0000-000090590000}"/>
    <cellStyle name="40% - Accent6 2 2 4 2 2 2" xfId="31155" xr:uid="{00000000-0005-0000-0000-000091590000}"/>
    <cellStyle name="40% - Accent6 2 2 4 2 2 2 2" xfId="15819" xr:uid="{00000000-0005-0000-0000-000092590000}"/>
    <cellStyle name="40% - Accent6 2 2 4 2 2 2 2 2" xfId="27484" xr:uid="{00000000-0005-0000-0000-000093590000}"/>
    <cellStyle name="40% - Accent6 2 2 4 2 2 2 2 2 2" xfId="26036" xr:uid="{00000000-0005-0000-0000-000094590000}"/>
    <cellStyle name="40% - Accent6 2 2 4 2 2 2 2 3" xfId="24466" xr:uid="{00000000-0005-0000-0000-000095590000}"/>
    <cellStyle name="40% - Accent6 2 2 4 2 2 2 3" xfId="22830" xr:uid="{00000000-0005-0000-0000-000096590000}"/>
    <cellStyle name="40% - Accent6 2 2 4 2 2 2 3 2" xfId="22387" xr:uid="{00000000-0005-0000-0000-000097590000}"/>
    <cellStyle name="40% - Accent6 2 2 4 2 2 2 4" xfId="31153" xr:uid="{00000000-0005-0000-0000-000098590000}"/>
    <cellStyle name="40% - Accent6 2 2 4 2 2 3" xfId="26043" xr:uid="{00000000-0005-0000-0000-000099590000}"/>
    <cellStyle name="40% - Accent6 2 2 4 2 2 3 2" xfId="26050" xr:uid="{00000000-0005-0000-0000-00009A590000}"/>
    <cellStyle name="40% - Accent6 2 2 4 2 2 3 2 2" xfId="26059" xr:uid="{00000000-0005-0000-0000-00009B590000}"/>
    <cellStyle name="40% - Accent6 2 2 4 2 2 3 3" xfId="24602" xr:uid="{00000000-0005-0000-0000-00009C590000}"/>
    <cellStyle name="40% - Accent6 2 2 4 2 2 4" xfId="3538" xr:uid="{00000000-0005-0000-0000-00009D590000}"/>
    <cellStyle name="40% - Accent6 2 2 4 2 2 4 2" xfId="22279" xr:uid="{00000000-0005-0000-0000-00009E590000}"/>
    <cellStyle name="40% - Accent6 2 2 4 2 2 5" xfId="11185" xr:uid="{00000000-0005-0000-0000-00009F590000}"/>
    <cellStyle name="40% - Accent6 2 2 4 2 3" xfId="28374" xr:uid="{00000000-0005-0000-0000-0000A0590000}"/>
    <cellStyle name="40% - Accent6 2 2 4 2 3 2" xfId="26060" xr:uid="{00000000-0005-0000-0000-0000A1590000}"/>
    <cellStyle name="40% - Accent6 2 2 4 2 3 2 2" xfId="26061" xr:uid="{00000000-0005-0000-0000-0000A2590000}"/>
    <cellStyle name="40% - Accent6 2 2 4 2 3 2 2 2" xfId="32590" xr:uid="{00000000-0005-0000-0000-0000A3590000}"/>
    <cellStyle name="40% - Accent6 2 2 4 2 3 2 3" xfId="26062" xr:uid="{00000000-0005-0000-0000-0000A4590000}"/>
    <cellStyle name="40% - Accent6 2 2 4 2 3 3" xfId="32529" xr:uid="{00000000-0005-0000-0000-0000A5590000}"/>
    <cellStyle name="40% - Accent6 2 2 4 2 3 3 2" xfId="26064" xr:uid="{00000000-0005-0000-0000-0000A6590000}"/>
    <cellStyle name="40% - Accent6 2 2 4 2 3 4" xfId="11193" xr:uid="{00000000-0005-0000-0000-0000A7590000}"/>
    <cellStyle name="40% - Accent6 2 2 4 2 4" xfId="5421" xr:uid="{00000000-0005-0000-0000-0000A8590000}"/>
    <cellStyle name="40% - Accent6 2 2 4 2 4 2" xfId="12208" xr:uid="{00000000-0005-0000-0000-0000A9590000}"/>
    <cellStyle name="40% - Accent6 2 2 4 2 4 2 2" xfId="26068" xr:uid="{00000000-0005-0000-0000-0000AA590000}"/>
    <cellStyle name="40% - Accent6 2 2 4 2 4 3" xfId="8813" xr:uid="{00000000-0005-0000-0000-0000AB590000}"/>
    <cellStyle name="40% - Accent6 2 2 4 2 5" xfId="15457" xr:uid="{00000000-0005-0000-0000-0000AC590000}"/>
    <cellStyle name="40% - Accent6 2 2 4 2 5 2" xfId="26070" xr:uid="{00000000-0005-0000-0000-0000AD590000}"/>
    <cellStyle name="40% - Accent6 2 2 4 2 6" xfId="26072" xr:uid="{00000000-0005-0000-0000-0000AE590000}"/>
    <cellStyle name="40% - Accent6 2 2 4 3" xfId="4242" xr:uid="{00000000-0005-0000-0000-0000AF590000}"/>
    <cellStyle name="40% - Accent6 2 2 4 3 2" xfId="23619" xr:uid="{00000000-0005-0000-0000-0000B0590000}"/>
    <cellStyle name="40% - Accent6 2 2 4 3 2 2" xfId="26079" xr:uid="{00000000-0005-0000-0000-0000B1590000}"/>
    <cellStyle name="40% - Accent6 2 2 4 3 2 2 2" xfId="26080" xr:uid="{00000000-0005-0000-0000-0000B2590000}"/>
    <cellStyle name="40% - Accent6 2 2 4 3 2 2 2 2" xfId="23623" xr:uid="{00000000-0005-0000-0000-0000B3590000}"/>
    <cellStyle name="40% - Accent6 2 2 4 3 2 2 3" xfId="26081" xr:uid="{00000000-0005-0000-0000-0000B4590000}"/>
    <cellStyle name="40% - Accent6 2 2 4 3 2 3" xfId="26082" xr:uid="{00000000-0005-0000-0000-0000B5590000}"/>
    <cellStyle name="40% - Accent6 2 2 4 3 2 3 2" xfId="26083" xr:uid="{00000000-0005-0000-0000-0000B6590000}"/>
    <cellStyle name="40% - Accent6 2 2 4 3 2 4" xfId="3576" xr:uid="{00000000-0005-0000-0000-0000B7590000}"/>
    <cellStyle name="40% - Accent6 2 2 4 3 3" xfId="26089" xr:uid="{00000000-0005-0000-0000-0000B8590000}"/>
    <cellStyle name="40% - Accent6 2 2 4 3 3 2" xfId="29297" xr:uid="{00000000-0005-0000-0000-0000B9590000}"/>
    <cellStyle name="40% - Accent6 2 2 4 3 3 2 2" xfId="12261" xr:uid="{00000000-0005-0000-0000-0000BA590000}"/>
    <cellStyle name="40% - Accent6 2 2 4 3 3 3" xfId="26091" xr:uid="{00000000-0005-0000-0000-0000BB590000}"/>
    <cellStyle name="40% - Accent6 2 2 4 3 4" xfId="1999" xr:uid="{00000000-0005-0000-0000-0000BC590000}"/>
    <cellStyle name="40% - Accent6 2 2 4 3 4 2" xfId="26092" xr:uid="{00000000-0005-0000-0000-0000BD590000}"/>
    <cellStyle name="40% - Accent6 2 2 4 3 5" xfId="15477" xr:uid="{00000000-0005-0000-0000-0000BE590000}"/>
    <cellStyle name="40% - Accent6 2 2 4 4" xfId="4247" xr:uid="{00000000-0005-0000-0000-0000BF590000}"/>
    <cellStyle name="40% - Accent6 2 2 4 4 2" xfId="26093" xr:uid="{00000000-0005-0000-0000-0000C0590000}"/>
    <cellStyle name="40% - Accent6 2 2 4 4 2 2" xfId="26094" xr:uid="{00000000-0005-0000-0000-0000C1590000}"/>
    <cellStyle name="40% - Accent6 2 2 4 4 2 2 2" xfId="16866" xr:uid="{00000000-0005-0000-0000-0000C2590000}"/>
    <cellStyle name="40% - Accent6 2 2 4 4 2 3" xfId="26095" xr:uid="{00000000-0005-0000-0000-0000C3590000}"/>
    <cellStyle name="40% - Accent6 2 2 4 4 3" xfId="26096" xr:uid="{00000000-0005-0000-0000-0000C4590000}"/>
    <cellStyle name="40% - Accent6 2 2 4 4 3 2" xfId="26097" xr:uid="{00000000-0005-0000-0000-0000C5590000}"/>
    <cellStyle name="40% - Accent6 2 2 4 4 4" xfId="24744" xr:uid="{00000000-0005-0000-0000-0000C6590000}"/>
    <cellStyle name="40% - Accent6 2 2 4 5" xfId="3032" xr:uid="{00000000-0005-0000-0000-0000C7590000}"/>
    <cellStyle name="40% - Accent6 2 2 4 5 2" xfId="10685" xr:uid="{00000000-0005-0000-0000-0000C8590000}"/>
    <cellStyle name="40% - Accent6 2 2 4 5 2 2" xfId="22714" xr:uid="{00000000-0005-0000-0000-0000C9590000}"/>
    <cellStyle name="40% - Accent6 2 2 4 5 3" xfId="10692" xr:uid="{00000000-0005-0000-0000-0000CA590000}"/>
    <cellStyle name="40% - Accent6 2 2 4 6" xfId="22939" xr:uid="{00000000-0005-0000-0000-0000CB590000}"/>
    <cellStyle name="40% - Accent6 2 2 4 6 2" xfId="10721" xr:uid="{00000000-0005-0000-0000-0000CC590000}"/>
    <cellStyle name="40% - Accent6 2 2 4 7" xfId="26098" xr:uid="{00000000-0005-0000-0000-0000CD590000}"/>
    <cellStyle name="40% - Accent6 2 2 5" xfId="1593" xr:uid="{00000000-0005-0000-0000-0000CE590000}"/>
    <cellStyle name="40% - Accent6 2 2 5 2" xfId="9711" xr:uid="{00000000-0005-0000-0000-0000CF590000}"/>
    <cellStyle name="40% - Accent6 2 2 5 2 2" xfId="14474" xr:uid="{00000000-0005-0000-0000-0000D0590000}"/>
    <cellStyle name="40% - Accent6 2 2 5 2 2 2" xfId="26105" xr:uid="{00000000-0005-0000-0000-0000D1590000}"/>
    <cellStyle name="40% - Accent6 2 2 5 2 2 2 2" xfId="12372" xr:uid="{00000000-0005-0000-0000-0000D2590000}"/>
    <cellStyle name="40% - Accent6 2 2 5 2 2 2 2 2" xfId="19876" xr:uid="{00000000-0005-0000-0000-0000D3590000}"/>
    <cellStyle name="40% - Accent6 2 2 5 2 2 2 3" xfId="29849" xr:uid="{00000000-0005-0000-0000-0000D4590000}"/>
    <cellStyle name="40% - Accent6 2 2 5 2 2 3" xfId="26113" xr:uid="{00000000-0005-0000-0000-0000D5590000}"/>
    <cellStyle name="40% - Accent6 2 2 5 2 2 3 2" xfId="26119" xr:uid="{00000000-0005-0000-0000-0000D6590000}"/>
    <cellStyle name="40% - Accent6 2 2 5 2 2 4" xfId="11352" xr:uid="{00000000-0005-0000-0000-0000D7590000}"/>
    <cellStyle name="40% - Accent6 2 2 5 2 3" xfId="14478" xr:uid="{00000000-0005-0000-0000-0000D8590000}"/>
    <cellStyle name="40% - Accent6 2 2 5 2 3 2" xfId="26334" xr:uid="{00000000-0005-0000-0000-0000D9590000}"/>
    <cellStyle name="40% - Accent6 2 2 5 2 3 2 2" xfId="29289" xr:uid="{00000000-0005-0000-0000-0000DA590000}"/>
    <cellStyle name="40% - Accent6 2 2 5 2 3 3" xfId="26121" xr:uid="{00000000-0005-0000-0000-0000DB590000}"/>
    <cellStyle name="40% - Accent6 2 2 5 2 4" xfId="7970" xr:uid="{00000000-0005-0000-0000-0000DC590000}"/>
    <cellStyle name="40% - Accent6 2 2 5 2 4 2" xfId="29813" xr:uid="{00000000-0005-0000-0000-0000DD590000}"/>
    <cellStyle name="40% - Accent6 2 2 5 2 5" xfId="26126" xr:uid="{00000000-0005-0000-0000-0000DE590000}"/>
    <cellStyle name="40% - Accent6 2 2 5 3" xfId="7757" xr:uid="{00000000-0005-0000-0000-0000DF590000}"/>
    <cellStyle name="40% - Accent6 2 2 5 3 2" xfId="12484" xr:uid="{00000000-0005-0000-0000-0000E0590000}"/>
    <cellStyle name="40% - Accent6 2 2 5 3 2 2" xfId="24318" xr:uid="{00000000-0005-0000-0000-0000E1590000}"/>
    <cellStyle name="40% - Accent6 2 2 5 3 2 2 2" xfId="26252" xr:uid="{00000000-0005-0000-0000-0000E2590000}"/>
    <cellStyle name="40% - Accent6 2 2 5 3 2 3" xfId="26130" xr:uid="{00000000-0005-0000-0000-0000E3590000}"/>
    <cellStyle name="40% - Accent6 2 2 5 3 3" xfId="33410" xr:uid="{00000000-0005-0000-0000-0000E4590000}"/>
    <cellStyle name="40% - Accent6 2 2 5 3 3 2" xfId="19792" xr:uid="{00000000-0005-0000-0000-0000E5590000}"/>
    <cellStyle name="40% - Accent6 2 2 5 3 4" xfId="4908" xr:uid="{00000000-0005-0000-0000-0000E6590000}"/>
    <cellStyle name="40% - Accent6 2 2 5 4" xfId="3051" xr:uid="{00000000-0005-0000-0000-0000E7590000}"/>
    <cellStyle name="40% - Accent6 2 2 5 4 2" xfId="6154" xr:uid="{00000000-0005-0000-0000-0000E8590000}"/>
    <cellStyle name="40% - Accent6 2 2 5 4 2 2" xfId="26133" xr:uid="{00000000-0005-0000-0000-0000E9590000}"/>
    <cellStyle name="40% - Accent6 2 2 5 4 3" xfId="31224" xr:uid="{00000000-0005-0000-0000-0000EA590000}"/>
    <cellStyle name="40% - Accent6 2 2 5 5" xfId="31770" xr:uid="{00000000-0005-0000-0000-0000EB590000}"/>
    <cellStyle name="40% - Accent6 2 2 5 5 2" xfId="10705" xr:uid="{00000000-0005-0000-0000-0000EC590000}"/>
    <cellStyle name="40% - Accent6 2 2 5 6" xfId="26138" xr:uid="{00000000-0005-0000-0000-0000ED590000}"/>
    <cellStyle name="40% - Accent6 2 2 6" xfId="4997" xr:uid="{00000000-0005-0000-0000-0000EE590000}"/>
    <cellStyle name="40% - Accent6 2 2 6 2" xfId="3520" xr:uid="{00000000-0005-0000-0000-0000EF590000}"/>
    <cellStyle name="40% - Accent6 2 2 6 2 2" xfId="13127" xr:uid="{00000000-0005-0000-0000-0000F0590000}"/>
    <cellStyle name="40% - Accent6 2 2 6 2 2 2" xfId="26145" xr:uid="{00000000-0005-0000-0000-0000F1590000}"/>
    <cellStyle name="40% - Accent6 2 2 6 2 2 2 2" xfId="26153" xr:uid="{00000000-0005-0000-0000-0000F2590000}"/>
    <cellStyle name="40% - Accent6 2 2 6 2 2 3" xfId="22916" xr:uid="{00000000-0005-0000-0000-0000F3590000}"/>
    <cellStyle name="40% - Accent6 2 2 6 2 3" xfId="26155" xr:uid="{00000000-0005-0000-0000-0000F4590000}"/>
    <cellStyle name="40% - Accent6 2 2 6 2 3 2" xfId="6117" xr:uid="{00000000-0005-0000-0000-0000F5590000}"/>
    <cellStyle name="40% - Accent6 2 2 6 2 4" xfId="26162" xr:uid="{00000000-0005-0000-0000-0000F6590000}"/>
    <cellStyle name="40% - Accent6 2 2 6 3" xfId="5000" xr:uid="{00000000-0005-0000-0000-0000F7590000}"/>
    <cellStyle name="40% - Accent6 2 2 6 3 2" xfId="26165" xr:uid="{00000000-0005-0000-0000-0000F8590000}"/>
    <cellStyle name="40% - Accent6 2 2 6 3 2 2" xfId="19072" xr:uid="{00000000-0005-0000-0000-0000F9590000}"/>
    <cellStyle name="40% - Accent6 2 2 6 3 3" xfId="26171" xr:uid="{00000000-0005-0000-0000-0000FA590000}"/>
    <cellStyle name="40% - Accent6 2 2 6 4" xfId="33442" xr:uid="{00000000-0005-0000-0000-0000FB590000}"/>
    <cellStyle name="40% - Accent6 2 2 6 4 2" xfId="27015" xr:uid="{00000000-0005-0000-0000-0000FC590000}"/>
    <cellStyle name="40% - Accent6 2 2 6 5" xfId="18467" xr:uid="{00000000-0005-0000-0000-0000FD590000}"/>
    <cellStyle name="40% - Accent6 2 2 7" xfId="4129" xr:uid="{00000000-0005-0000-0000-0000FE590000}"/>
    <cellStyle name="40% - Accent6 2 2 7 2" xfId="4213" xr:uid="{00000000-0005-0000-0000-0000FF590000}"/>
    <cellStyle name="40% - Accent6 2 2 7 2 2" xfId="29980" xr:uid="{00000000-0005-0000-0000-0000005A0000}"/>
    <cellStyle name="40% - Accent6 2 2 7 2 2 2" xfId="26174" xr:uid="{00000000-0005-0000-0000-0000015A0000}"/>
    <cellStyle name="40% - Accent6 2 2 7 2 3" xfId="16663" xr:uid="{00000000-0005-0000-0000-0000025A0000}"/>
    <cellStyle name="40% - Accent6 2 2 7 3" xfId="23777" xr:uid="{00000000-0005-0000-0000-0000035A0000}"/>
    <cellStyle name="40% - Accent6 2 2 7 3 2" xfId="16672" xr:uid="{00000000-0005-0000-0000-0000045A0000}"/>
    <cellStyle name="40% - Accent6 2 2 7 4" xfId="33499" xr:uid="{00000000-0005-0000-0000-0000055A0000}"/>
    <cellStyle name="40% - Accent6 2 2 8" xfId="1670" xr:uid="{00000000-0005-0000-0000-0000065A0000}"/>
    <cellStyle name="40% - Accent6 2 2 8 2" xfId="26177" xr:uid="{00000000-0005-0000-0000-0000075A0000}"/>
    <cellStyle name="40% - Accent6 2 2 8 2 2" xfId="16676" xr:uid="{00000000-0005-0000-0000-0000085A0000}"/>
    <cellStyle name="40% - Accent6 2 2 8 3" xfId="26178" xr:uid="{00000000-0005-0000-0000-0000095A0000}"/>
    <cellStyle name="40% - Accent6 2 2 9" xfId="29563" xr:uid="{00000000-0005-0000-0000-00000A5A0000}"/>
    <cellStyle name="40% - Accent6 2 2 9 2" xfId="26180" xr:uid="{00000000-0005-0000-0000-00000B5A0000}"/>
    <cellStyle name="40% - Accent6 2 3" xfId="9880" xr:uid="{00000000-0005-0000-0000-00000C5A0000}"/>
    <cellStyle name="40% - Accent6 2 3 2" xfId="20236" xr:uid="{00000000-0005-0000-0000-00000D5A0000}"/>
    <cellStyle name="40% - Accent6 2 3 2 2" xfId="24539" xr:uid="{00000000-0005-0000-0000-00000E5A0000}"/>
    <cellStyle name="40% - Accent6 2 3 2 2 2" xfId="15366" xr:uid="{00000000-0005-0000-0000-00000F5A0000}"/>
    <cellStyle name="40% - Accent6 2 3 2 2 2 2" xfId="10357" xr:uid="{00000000-0005-0000-0000-0000105A0000}"/>
    <cellStyle name="40% - Accent6 2 3 2 2 2 2 2" xfId="26184" xr:uid="{00000000-0005-0000-0000-0000115A0000}"/>
    <cellStyle name="40% - Accent6 2 3 2 2 2 2 2 2" xfId="16474" xr:uid="{00000000-0005-0000-0000-0000125A0000}"/>
    <cellStyle name="40% - Accent6 2 3 2 2 2 2 2 2 2" xfId="24917" xr:uid="{00000000-0005-0000-0000-0000135A0000}"/>
    <cellStyle name="40% - Accent6 2 3 2 2 2 2 2 2 2 2" xfId="5042" xr:uid="{00000000-0005-0000-0000-0000145A0000}"/>
    <cellStyle name="40% - Accent6 2 3 2 2 2 2 2 2 3" xfId="25712" xr:uid="{00000000-0005-0000-0000-0000155A0000}"/>
    <cellStyle name="40% - Accent6 2 3 2 2 2 2 2 3" xfId="26202" xr:uid="{00000000-0005-0000-0000-0000165A0000}"/>
    <cellStyle name="40% - Accent6 2 3 2 2 2 2 2 3 2" xfId="21902" xr:uid="{00000000-0005-0000-0000-0000175A0000}"/>
    <cellStyle name="40% - Accent6 2 3 2 2 2 2 2 4" xfId="7914" xr:uid="{00000000-0005-0000-0000-0000185A0000}"/>
    <cellStyle name="40% - Accent6 2 3 2 2 2 2 3" xfId="2199" xr:uid="{00000000-0005-0000-0000-0000195A0000}"/>
    <cellStyle name="40% - Accent6 2 3 2 2 2 2 3 2" xfId="26186" xr:uid="{00000000-0005-0000-0000-00001A5A0000}"/>
    <cellStyle name="40% - Accent6 2 3 2 2 2 2 3 2 2" xfId="24453" xr:uid="{00000000-0005-0000-0000-00001B5A0000}"/>
    <cellStyle name="40% - Accent6 2 3 2 2 2 2 3 3" xfId="10737" xr:uid="{00000000-0005-0000-0000-00001C5A0000}"/>
    <cellStyle name="40% - Accent6 2 3 2 2 2 2 4" xfId="2410" xr:uid="{00000000-0005-0000-0000-00001D5A0000}"/>
    <cellStyle name="40% - Accent6 2 3 2 2 2 2 4 2" xfId="16427" xr:uid="{00000000-0005-0000-0000-00001E5A0000}"/>
    <cellStyle name="40% - Accent6 2 3 2 2 2 2 5" xfId="24362" xr:uid="{00000000-0005-0000-0000-00001F5A0000}"/>
    <cellStyle name="40% - Accent6 2 3 2 2 2 3" xfId="9967" xr:uid="{00000000-0005-0000-0000-0000205A0000}"/>
    <cellStyle name="40% - Accent6 2 3 2 2 2 3 2" xfId="26197" xr:uid="{00000000-0005-0000-0000-0000215A0000}"/>
    <cellStyle name="40% - Accent6 2 3 2 2 2 3 2 2" xfId="25958" xr:uid="{00000000-0005-0000-0000-0000225A0000}"/>
    <cellStyle name="40% - Accent6 2 3 2 2 2 3 2 2 2" xfId="18268" xr:uid="{00000000-0005-0000-0000-0000235A0000}"/>
    <cellStyle name="40% - Accent6 2 3 2 2 2 3 2 3" xfId="26234" xr:uid="{00000000-0005-0000-0000-0000245A0000}"/>
    <cellStyle name="40% - Accent6 2 3 2 2 2 3 3" xfId="2502" xr:uid="{00000000-0005-0000-0000-0000255A0000}"/>
    <cellStyle name="40% - Accent6 2 3 2 2 2 3 3 2" xfId="10540" xr:uid="{00000000-0005-0000-0000-0000265A0000}"/>
    <cellStyle name="40% - Accent6 2 3 2 2 2 3 4" xfId="24367" xr:uid="{00000000-0005-0000-0000-0000275A0000}"/>
    <cellStyle name="40% - Accent6 2 3 2 2 2 4" xfId="9969" xr:uid="{00000000-0005-0000-0000-0000285A0000}"/>
    <cellStyle name="40% - Accent6 2 3 2 2 2 4 2" xfId="18511" xr:uid="{00000000-0005-0000-0000-0000295A0000}"/>
    <cellStyle name="40% - Accent6 2 3 2 2 2 4 2 2" xfId="26198" xr:uid="{00000000-0005-0000-0000-00002A5A0000}"/>
    <cellStyle name="40% - Accent6 2 3 2 2 2 4 3" xfId="32410" xr:uid="{00000000-0005-0000-0000-00002B5A0000}"/>
    <cellStyle name="40% - Accent6 2 3 2 2 2 5" xfId="1911" xr:uid="{00000000-0005-0000-0000-00002C5A0000}"/>
    <cellStyle name="40% - Accent6 2 3 2 2 2 5 2" xfId="32887" xr:uid="{00000000-0005-0000-0000-00002D5A0000}"/>
    <cellStyle name="40% - Accent6 2 3 2 2 2 6" xfId="9707" xr:uid="{00000000-0005-0000-0000-00002E5A0000}"/>
    <cellStyle name="40% - Accent6 2 3 2 2 3" xfId="31435" xr:uid="{00000000-0005-0000-0000-00002F5A0000}"/>
    <cellStyle name="40% - Accent6 2 3 2 2 3 2" xfId="4478" xr:uid="{00000000-0005-0000-0000-0000305A0000}"/>
    <cellStyle name="40% - Accent6 2 3 2 2 3 2 2" xfId="12632" xr:uid="{00000000-0005-0000-0000-0000315A0000}"/>
    <cellStyle name="40% - Accent6 2 3 2 2 3 2 2 2" xfId="11178" xr:uid="{00000000-0005-0000-0000-0000325A0000}"/>
    <cellStyle name="40% - Accent6 2 3 2 2 3 2 2 2 2" xfId="13382" xr:uid="{00000000-0005-0000-0000-0000335A0000}"/>
    <cellStyle name="40% - Accent6 2 3 2 2 3 2 2 3" xfId="30246" xr:uid="{00000000-0005-0000-0000-0000345A0000}"/>
    <cellStyle name="40% - Accent6 2 3 2 2 3 2 3" xfId="2620" xr:uid="{00000000-0005-0000-0000-0000355A0000}"/>
    <cellStyle name="40% - Accent6 2 3 2 2 3 2 3 2" xfId="28438" xr:uid="{00000000-0005-0000-0000-0000365A0000}"/>
    <cellStyle name="40% - Accent6 2 3 2 2 3 2 4" xfId="24388" xr:uid="{00000000-0005-0000-0000-0000375A0000}"/>
    <cellStyle name="40% - Accent6 2 3 2 2 3 3" xfId="31398" xr:uid="{00000000-0005-0000-0000-0000385A0000}"/>
    <cellStyle name="40% - Accent6 2 3 2 2 3 3 2" xfId="26201" xr:uid="{00000000-0005-0000-0000-0000395A0000}"/>
    <cellStyle name="40% - Accent6 2 3 2 2 3 3 2 2" xfId="32311" xr:uid="{00000000-0005-0000-0000-00003A5A0000}"/>
    <cellStyle name="40% - Accent6 2 3 2 2 3 3 3" xfId="20273" xr:uid="{00000000-0005-0000-0000-00003B5A0000}"/>
    <cellStyle name="40% - Accent6 2 3 2 2 3 4" xfId="26204" xr:uid="{00000000-0005-0000-0000-00003C5A0000}"/>
    <cellStyle name="40% - Accent6 2 3 2 2 3 4 2" xfId="891" xr:uid="{00000000-0005-0000-0000-00003D5A0000}"/>
    <cellStyle name="40% - Accent6 2 3 2 2 3 5" xfId="2419" xr:uid="{00000000-0005-0000-0000-00003E5A0000}"/>
    <cellStyle name="40% - Accent6 2 3 2 2 4" xfId="7528" xr:uid="{00000000-0005-0000-0000-00003F5A0000}"/>
    <cellStyle name="40% - Accent6 2 3 2 2 4 2" xfId="31612" xr:uid="{00000000-0005-0000-0000-0000405A0000}"/>
    <cellStyle name="40% - Accent6 2 3 2 2 4 2 2" xfId="19605" xr:uid="{00000000-0005-0000-0000-0000415A0000}"/>
    <cellStyle name="40% - Accent6 2 3 2 2 4 2 2 2" xfId="27247" xr:uid="{00000000-0005-0000-0000-0000425A0000}"/>
    <cellStyle name="40% - Accent6 2 3 2 2 4 2 3" xfId="24400" xr:uid="{00000000-0005-0000-0000-0000435A0000}"/>
    <cellStyle name="40% - Accent6 2 3 2 2 4 3" xfId="8277" xr:uid="{00000000-0005-0000-0000-0000445A0000}"/>
    <cellStyle name="40% - Accent6 2 3 2 2 4 3 2" xfId="26211" xr:uid="{00000000-0005-0000-0000-0000455A0000}"/>
    <cellStyle name="40% - Accent6 2 3 2 2 4 4" xfId="22242" xr:uid="{00000000-0005-0000-0000-0000465A0000}"/>
    <cellStyle name="40% - Accent6 2 3 2 2 5" xfId="7534" xr:uid="{00000000-0005-0000-0000-0000475A0000}"/>
    <cellStyle name="40% - Accent6 2 3 2 2 5 2" xfId="24199" xr:uid="{00000000-0005-0000-0000-0000485A0000}"/>
    <cellStyle name="40% - Accent6 2 3 2 2 5 2 2" xfId="26217" xr:uid="{00000000-0005-0000-0000-0000495A0000}"/>
    <cellStyle name="40% - Accent6 2 3 2 2 5 3" xfId="26224" xr:uid="{00000000-0005-0000-0000-00004A5A0000}"/>
    <cellStyle name="40% - Accent6 2 3 2 2 6" xfId="13307" xr:uid="{00000000-0005-0000-0000-00004B5A0000}"/>
    <cellStyle name="40% - Accent6 2 3 2 2 6 2" xfId="30533" xr:uid="{00000000-0005-0000-0000-00004C5A0000}"/>
    <cellStyle name="40% - Accent6 2 3 2 2 7" xfId="26227" xr:uid="{00000000-0005-0000-0000-00004D5A0000}"/>
    <cellStyle name="40% - Accent6 2 3 2 3" xfId="7782" xr:uid="{00000000-0005-0000-0000-00004E5A0000}"/>
    <cellStyle name="40% - Accent6 2 3 2 3 2" xfId="27907" xr:uid="{00000000-0005-0000-0000-00004F5A0000}"/>
    <cellStyle name="40% - Accent6 2 3 2 3 2 2" xfId="1648" xr:uid="{00000000-0005-0000-0000-0000505A0000}"/>
    <cellStyle name="40% - Accent6 2 3 2 3 2 2 2" xfId="9012" xr:uid="{00000000-0005-0000-0000-0000515A0000}"/>
    <cellStyle name="40% - Accent6 2 3 2 3 2 2 2 2" xfId="5914" xr:uid="{00000000-0005-0000-0000-0000525A0000}"/>
    <cellStyle name="40% - Accent6 2 3 2 3 2 2 2 2 2" xfId="24515" xr:uid="{00000000-0005-0000-0000-0000535A0000}"/>
    <cellStyle name="40% - Accent6 2 3 2 3 2 2 2 3" xfId="26230" xr:uid="{00000000-0005-0000-0000-0000545A0000}"/>
    <cellStyle name="40% - Accent6 2 3 2 3 2 2 3" xfId="3158" xr:uid="{00000000-0005-0000-0000-0000555A0000}"/>
    <cellStyle name="40% - Accent6 2 3 2 3 2 2 3 2" xfId="21917" xr:uid="{00000000-0005-0000-0000-0000565A0000}"/>
    <cellStyle name="40% - Accent6 2 3 2 3 2 2 4" xfId="24458" xr:uid="{00000000-0005-0000-0000-0000575A0000}"/>
    <cellStyle name="40% - Accent6 2 3 2 3 2 3" xfId="2159" xr:uid="{00000000-0005-0000-0000-0000585A0000}"/>
    <cellStyle name="40% - Accent6 2 3 2 3 2 3 2" xfId="28045" xr:uid="{00000000-0005-0000-0000-0000595A0000}"/>
    <cellStyle name="40% - Accent6 2 3 2 3 2 3 2 2" xfId="22395" xr:uid="{00000000-0005-0000-0000-00005A5A0000}"/>
    <cellStyle name="40% - Accent6 2 3 2 3 2 3 3" xfId="28576" xr:uid="{00000000-0005-0000-0000-00005B5A0000}"/>
    <cellStyle name="40% - Accent6 2 3 2 3 2 4" xfId="26231" xr:uid="{00000000-0005-0000-0000-00005C5A0000}"/>
    <cellStyle name="40% - Accent6 2 3 2 3 2 4 2" xfId="698" xr:uid="{00000000-0005-0000-0000-00005D5A0000}"/>
    <cellStyle name="40% - Accent6 2 3 2 3 2 5" xfId="2439" xr:uid="{00000000-0005-0000-0000-00005E5A0000}"/>
    <cellStyle name="40% - Accent6 2 3 2 3 3" xfId="28427" xr:uid="{00000000-0005-0000-0000-00005F5A0000}"/>
    <cellStyle name="40% - Accent6 2 3 2 3 3 2" xfId="31795" xr:uid="{00000000-0005-0000-0000-0000605A0000}"/>
    <cellStyle name="40% - Accent6 2 3 2 3 3 2 2" xfId="63" xr:uid="{00000000-0005-0000-0000-0000615A0000}"/>
    <cellStyle name="40% - Accent6 2 3 2 3 3 2 2 2" xfId="32458" xr:uid="{00000000-0005-0000-0000-0000625A0000}"/>
    <cellStyle name="40% - Accent6 2 3 2 3 3 2 3" xfId="24469" xr:uid="{00000000-0005-0000-0000-0000635A0000}"/>
    <cellStyle name="40% - Accent6 2 3 2 3 3 3" xfId="31939" xr:uid="{00000000-0005-0000-0000-0000645A0000}"/>
    <cellStyle name="40% - Accent6 2 3 2 3 3 3 2" xfId="26232" xr:uid="{00000000-0005-0000-0000-0000655A0000}"/>
    <cellStyle name="40% - Accent6 2 3 2 3 3 4" xfId="22463" xr:uid="{00000000-0005-0000-0000-0000665A0000}"/>
    <cellStyle name="40% - Accent6 2 3 2 3 4" xfId="7552" xr:uid="{00000000-0005-0000-0000-0000675A0000}"/>
    <cellStyle name="40% - Accent6 2 3 2 3 4 2" xfId="8484" xr:uid="{00000000-0005-0000-0000-0000685A0000}"/>
    <cellStyle name="40% - Accent6 2 3 2 3 4 2 2" xfId="24858" xr:uid="{00000000-0005-0000-0000-0000695A0000}"/>
    <cellStyle name="40% - Accent6 2 3 2 3 4 3" xfId="26244" xr:uid="{00000000-0005-0000-0000-00006A5A0000}"/>
    <cellStyle name="40% - Accent6 2 3 2 3 5" xfId="7570" xr:uid="{00000000-0005-0000-0000-00006B5A0000}"/>
    <cellStyle name="40% - Accent6 2 3 2 3 5 2" xfId="1094" xr:uid="{00000000-0005-0000-0000-00006C5A0000}"/>
    <cellStyle name="40% - Accent6 2 3 2 3 6" xfId="1609" xr:uid="{00000000-0005-0000-0000-00006D5A0000}"/>
    <cellStyle name="40% - Accent6 2 3 2 4" xfId="506" xr:uid="{00000000-0005-0000-0000-00006E5A0000}"/>
    <cellStyle name="40% - Accent6 2 3 2 4 2" xfId="26425" xr:uid="{00000000-0005-0000-0000-00006F5A0000}"/>
    <cellStyle name="40% - Accent6 2 3 2 4 2 2" xfId="9992" xr:uid="{00000000-0005-0000-0000-0000705A0000}"/>
    <cellStyle name="40% - Accent6 2 3 2 4 2 2 2" xfId="26247" xr:uid="{00000000-0005-0000-0000-0000715A0000}"/>
    <cellStyle name="40% - Accent6 2 3 2 4 2 2 2 2" xfId="20317" xr:uid="{00000000-0005-0000-0000-0000725A0000}"/>
    <cellStyle name="40% - Accent6 2 3 2 4 2 2 3" xfId="24553" xr:uid="{00000000-0005-0000-0000-0000735A0000}"/>
    <cellStyle name="40% - Accent6 2 3 2 4 2 3" xfId="28643" xr:uid="{00000000-0005-0000-0000-0000745A0000}"/>
    <cellStyle name="40% - Accent6 2 3 2 4 2 3 2" xfId="26764" xr:uid="{00000000-0005-0000-0000-0000755A0000}"/>
    <cellStyle name="40% - Accent6 2 3 2 4 2 4" xfId="26249" xr:uid="{00000000-0005-0000-0000-0000765A0000}"/>
    <cellStyle name="40% - Accent6 2 3 2 4 3" xfId="21057" xr:uid="{00000000-0005-0000-0000-0000775A0000}"/>
    <cellStyle name="40% - Accent6 2 3 2 4 3 2" xfId="31858" xr:uid="{00000000-0005-0000-0000-0000785A0000}"/>
    <cellStyle name="40% - Accent6 2 3 2 4 3 2 2" xfId="26254" xr:uid="{00000000-0005-0000-0000-0000795A0000}"/>
    <cellStyle name="40% - Accent6 2 3 2 4 3 3" xfId="29270" xr:uid="{00000000-0005-0000-0000-00007A5A0000}"/>
    <cellStyle name="40% - Accent6 2 3 2 4 4" xfId="7588" xr:uid="{00000000-0005-0000-0000-00007B5A0000}"/>
    <cellStyle name="40% - Accent6 2 3 2 4 4 2" xfId="26257" xr:uid="{00000000-0005-0000-0000-00007C5A0000}"/>
    <cellStyle name="40% - Accent6 2 3 2 4 5" xfId="1286" xr:uid="{00000000-0005-0000-0000-00007D5A0000}"/>
    <cellStyle name="40% - Accent6 2 3 2 5" xfId="31575" xr:uid="{00000000-0005-0000-0000-00007E5A0000}"/>
    <cellStyle name="40% - Accent6 2 3 2 5 2" xfId="27462" xr:uid="{00000000-0005-0000-0000-00007F5A0000}"/>
    <cellStyle name="40% - Accent6 2 3 2 5 2 2" xfId="11776" xr:uid="{00000000-0005-0000-0000-0000805A0000}"/>
    <cellStyle name="40% - Accent6 2 3 2 5 2 2 2" xfId="26262" xr:uid="{00000000-0005-0000-0000-0000815A0000}"/>
    <cellStyle name="40% - Accent6 2 3 2 5 2 3" xfId="8218" xr:uid="{00000000-0005-0000-0000-0000825A0000}"/>
    <cellStyle name="40% - Accent6 2 3 2 5 3" xfId="30961" xr:uid="{00000000-0005-0000-0000-0000835A0000}"/>
    <cellStyle name="40% - Accent6 2 3 2 5 3 2" xfId="8565" xr:uid="{00000000-0005-0000-0000-0000845A0000}"/>
    <cellStyle name="40% - Accent6 2 3 2 5 4" xfId="24786" xr:uid="{00000000-0005-0000-0000-0000855A0000}"/>
    <cellStyle name="40% - Accent6 2 3 2 6" xfId="27436" xr:uid="{00000000-0005-0000-0000-0000865A0000}"/>
    <cellStyle name="40% - Accent6 2 3 2 6 2" xfId="31704" xr:uid="{00000000-0005-0000-0000-0000875A0000}"/>
    <cellStyle name="40% - Accent6 2 3 2 6 2 2" xfId="9751" xr:uid="{00000000-0005-0000-0000-0000885A0000}"/>
    <cellStyle name="40% - Accent6 2 3 2 6 3" xfId="31615" xr:uid="{00000000-0005-0000-0000-0000895A0000}"/>
    <cellStyle name="40% - Accent6 2 3 2 7" xfId="31718" xr:uid="{00000000-0005-0000-0000-00008A5A0000}"/>
    <cellStyle name="40% - Accent6 2 3 2 7 2" xfId="26268" xr:uid="{00000000-0005-0000-0000-00008B5A0000}"/>
    <cellStyle name="40% - Accent6 2 3 2 8" xfId="31859" xr:uid="{00000000-0005-0000-0000-00008C5A0000}"/>
    <cellStyle name="40% - Accent6 2 3 3" xfId="24541" xr:uid="{00000000-0005-0000-0000-00008D5A0000}"/>
    <cellStyle name="40% - Accent6 2 3 3 2" xfId="24545" xr:uid="{00000000-0005-0000-0000-00008E5A0000}"/>
    <cellStyle name="40% - Accent6 2 3 3 2 2" xfId="17212" xr:uid="{00000000-0005-0000-0000-00008F5A0000}"/>
    <cellStyle name="40% - Accent6 2 3 3 2 2 2" xfId="10024" xr:uid="{00000000-0005-0000-0000-0000905A0000}"/>
    <cellStyle name="40% - Accent6 2 3 3 2 2 2 2" xfId="10582" xr:uid="{00000000-0005-0000-0000-0000915A0000}"/>
    <cellStyle name="40% - Accent6 2 3 3 2 2 2 2 2" xfId="29079" xr:uid="{00000000-0005-0000-0000-0000925A0000}"/>
    <cellStyle name="40% - Accent6 2 3 3 2 2 2 2 2 2" xfId="28813" xr:uid="{00000000-0005-0000-0000-0000935A0000}"/>
    <cellStyle name="40% - Accent6 2 3 3 2 2 2 2 3" xfId="28826" xr:uid="{00000000-0005-0000-0000-0000945A0000}"/>
    <cellStyle name="40% - Accent6 2 3 3 2 2 2 3" xfId="11600" xr:uid="{00000000-0005-0000-0000-0000955A0000}"/>
    <cellStyle name="40% - Accent6 2 3 3 2 2 2 3 2" xfId="22712" xr:uid="{00000000-0005-0000-0000-0000965A0000}"/>
    <cellStyle name="40% - Accent6 2 3 3 2 2 2 4" xfId="13405" xr:uid="{00000000-0005-0000-0000-0000975A0000}"/>
    <cellStyle name="40% - Accent6 2 3 3 2 2 3" xfId="14601" xr:uid="{00000000-0005-0000-0000-0000985A0000}"/>
    <cellStyle name="40% - Accent6 2 3 3 2 2 3 2" xfId="12345" xr:uid="{00000000-0005-0000-0000-0000995A0000}"/>
    <cellStyle name="40% - Accent6 2 3 3 2 2 3 2 2" xfId="26275" xr:uid="{00000000-0005-0000-0000-00009A5A0000}"/>
    <cellStyle name="40% - Accent6 2 3 3 2 2 3 3" xfId="12348" xr:uid="{00000000-0005-0000-0000-00009B5A0000}"/>
    <cellStyle name="40% - Accent6 2 3 3 2 2 4" xfId="28089" xr:uid="{00000000-0005-0000-0000-00009C5A0000}"/>
    <cellStyle name="40% - Accent6 2 3 3 2 2 4 2" xfId="779" xr:uid="{00000000-0005-0000-0000-00009D5A0000}"/>
    <cellStyle name="40% - Accent6 2 3 3 2 2 5" xfId="5923" xr:uid="{00000000-0005-0000-0000-00009E5A0000}"/>
    <cellStyle name="40% - Accent6 2 3 3 2 3" xfId="28392" xr:uid="{00000000-0005-0000-0000-00009F5A0000}"/>
    <cellStyle name="40% - Accent6 2 3 3 2 3 2" xfId="187" xr:uid="{00000000-0005-0000-0000-0000A05A0000}"/>
    <cellStyle name="40% - Accent6 2 3 3 2 3 2 2" xfId="12434" xr:uid="{00000000-0005-0000-0000-0000A15A0000}"/>
    <cellStyle name="40% - Accent6 2 3 3 2 3 2 2 2" xfId="32017" xr:uid="{00000000-0005-0000-0000-0000A25A0000}"/>
    <cellStyle name="40% - Accent6 2 3 3 2 3 2 3" xfId="22716" xr:uid="{00000000-0005-0000-0000-0000A35A0000}"/>
    <cellStyle name="40% - Accent6 2 3 3 2 3 3" xfId="26285" xr:uid="{00000000-0005-0000-0000-0000A45A0000}"/>
    <cellStyle name="40% - Accent6 2 3 3 2 3 3 2" xfId="12444" xr:uid="{00000000-0005-0000-0000-0000A55A0000}"/>
    <cellStyle name="40% - Accent6 2 3 3 2 3 4" xfId="28106" xr:uid="{00000000-0005-0000-0000-0000A65A0000}"/>
    <cellStyle name="40% - Accent6 2 3 3 2 4" xfId="6158" xr:uid="{00000000-0005-0000-0000-0000A75A0000}"/>
    <cellStyle name="40% - Accent6 2 3 3 2 4 2" xfId="33621" xr:uid="{00000000-0005-0000-0000-0000A85A0000}"/>
    <cellStyle name="40% - Accent6 2 3 3 2 4 2 2" xfId="19641" xr:uid="{00000000-0005-0000-0000-0000A95A0000}"/>
    <cellStyle name="40% - Accent6 2 3 3 2 4 3" xfId="30825" xr:uid="{00000000-0005-0000-0000-0000AA5A0000}"/>
    <cellStyle name="40% - Accent6 2 3 3 2 5" xfId="7601" xr:uid="{00000000-0005-0000-0000-0000AB5A0000}"/>
    <cellStyle name="40% - Accent6 2 3 3 2 5 2" xfId="26289" xr:uid="{00000000-0005-0000-0000-0000AC5A0000}"/>
    <cellStyle name="40% - Accent6 2 3 3 2 6" xfId="3378" xr:uid="{00000000-0005-0000-0000-0000AD5A0000}"/>
    <cellStyle name="40% - Accent6 2 3 3 3" xfId="27120" xr:uid="{00000000-0005-0000-0000-0000AE5A0000}"/>
    <cellStyle name="40% - Accent6 2 3 3 3 2" xfId="26293" xr:uid="{00000000-0005-0000-0000-0000AF5A0000}"/>
    <cellStyle name="40% - Accent6 2 3 3 3 2 2" xfId="25041" xr:uid="{00000000-0005-0000-0000-0000B05A0000}"/>
    <cellStyle name="40% - Accent6 2 3 3 3 2 2 2" xfId="8564" xr:uid="{00000000-0005-0000-0000-0000B15A0000}"/>
    <cellStyle name="40% - Accent6 2 3 3 3 2 2 2 2" xfId="32643" xr:uid="{00000000-0005-0000-0000-0000B25A0000}"/>
    <cellStyle name="40% - Accent6 2 3 3 3 2 2 3" xfId="13962" xr:uid="{00000000-0005-0000-0000-0000B35A0000}"/>
    <cellStyle name="40% - Accent6 2 3 3 3 2 3" xfId="26295" xr:uid="{00000000-0005-0000-0000-0000B45A0000}"/>
    <cellStyle name="40% - Accent6 2 3 3 3 2 3 2" xfId="14002" xr:uid="{00000000-0005-0000-0000-0000B55A0000}"/>
    <cellStyle name="40% - Accent6 2 3 3 3 2 4" xfId="33437" xr:uid="{00000000-0005-0000-0000-0000B65A0000}"/>
    <cellStyle name="40% - Accent6 2 3 3 3 3" xfId="26298" xr:uid="{00000000-0005-0000-0000-0000B75A0000}"/>
    <cellStyle name="40% - Accent6 2 3 3 3 3 2" xfId="31711" xr:uid="{00000000-0005-0000-0000-0000B85A0000}"/>
    <cellStyle name="40% - Accent6 2 3 3 3 3 2 2" xfId="14113" xr:uid="{00000000-0005-0000-0000-0000B95A0000}"/>
    <cellStyle name="40% - Accent6 2 3 3 3 3 3" xfId="26300" xr:uid="{00000000-0005-0000-0000-0000BA5A0000}"/>
    <cellStyle name="40% - Accent6 2 3 3 3 4" xfId="7612" xr:uid="{00000000-0005-0000-0000-0000BB5A0000}"/>
    <cellStyle name="40% - Accent6 2 3 3 3 4 2" xfId="28790" xr:uid="{00000000-0005-0000-0000-0000BC5A0000}"/>
    <cellStyle name="40% - Accent6 2 3 3 3 5" xfId="1332" xr:uid="{00000000-0005-0000-0000-0000BD5A0000}"/>
    <cellStyle name="40% - Accent6 2 3 3 4" xfId="26306" xr:uid="{00000000-0005-0000-0000-0000BE5A0000}"/>
    <cellStyle name="40% - Accent6 2 3 3 4 2" xfId="26313" xr:uid="{00000000-0005-0000-0000-0000BF5A0000}"/>
    <cellStyle name="40% - Accent6 2 3 3 4 2 2" xfId="32568" xr:uid="{00000000-0005-0000-0000-0000C05A0000}"/>
    <cellStyle name="40% - Accent6 2 3 3 4 2 2 2" xfId="26315" xr:uid="{00000000-0005-0000-0000-0000C15A0000}"/>
    <cellStyle name="40% - Accent6 2 3 3 4 2 3" xfId="21963" xr:uid="{00000000-0005-0000-0000-0000C25A0000}"/>
    <cellStyle name="40% - Accent6 2 3 3 4 3" xfId="26316" xr:uid="{00000000-0005-0000-0000-0000C35A0000}"/>
    <cellStyle name="40% - Accent6 2 3 3 4 3 2" xfId="28068" xr:uid="{00000000-0005-0000-0000-0000C45A0000}"/>
    <cellStyle name="40% - Accent6 2 3 3 4 4" xfId="24791" xr:uid="{00000000-0005-0000-0000-0000C55A0000}"/>
    <cellStyle name="40% - Accent6 2 3 3 5" xfId="28185" xr:uid="{00000000-0005-0000-0000-0000C65A0000}"/>
    <cellStyle name="40% - Accent6 2 3 3 5 2" xfId="33879" xr:uid="{00000000-0005-0000-0000-0000C75A0000}"/>
    <cellStyle name="40% - Accent6 2 3 3 5 2 2" xfId="8660" xr:uid="{00000000-0005-0000-0000-0000C85A0000}"/>
    <cellStyle name="40% - Accent6 2 3 3 5 3" xfId="31619" xr:uid="{00000000-0005-0000-0000-0000C95A0000}"/>
    <cellStyle name="40% - Accent6 2 3 3 6" xfId="22950" xr:uid="{00000000-0005-0000-0000-0000CA5A0000}"/>
    <cellStyle name="40% - Accent6 2 3 3 6 2" xfId="4682" xr:uid="{00000000-0005-0000-0000-0000CB5A0000}"/>
    <cellStyle name="40% - Accent6 2 3 3 7" xfId="31869" xr:uid="{00000000-0005-0000-0000-0000CC5A0000}"/>
    <cellStyle name="40% - Accent6 2 3 4" xfId="3533" xr:uid="{00000000-0005-0000-0000-0000CD5A0000}"/>
    <cellStyle name="40% - Accent6 2 3 4 2" xfId="3535" xr:uid="{00000000-0005-0000-0000-0000CE5A0000}"/>
    <cellStyle name="40% - Accent6 2 3 4 2 2" xfId="26325" xr:uid="{00000000-0005-0000-0000-0000CF5A0000}"/>
    <cellStyle name="40% - Accent6 2 3 4 2 2 2" xfId="7209" xr:uid="{00000000-0005-0000-0000-0000D05A0000}"/>
    <cellStyle name="40% - Accent6 2 3 4 2 2 2 2" xfId="23363" xr:uid="{00000000-0005-0000-0000-0000D15A0000}"/>
    <cellStyle name="40% - Accent6 2 3 4 2 2 2 2 2" xfId="28005" xr:uid="{00000000-0005-0000-0000-0000D25A0000}"/>
    <cellStyle name="40% - Accent6 2 3 4 2 2 2 3" xfId="25191" xr:uid="{00000000-0005-0000-0000-0000D35A0000}"/>
    <cellStyle name="40% - Accent6 2 3 4 2 2 3" xfId="26328" xr:uid="{00000000-0005-0000-0000-0000D45A0000}"/>
    <cellStyle name="40% - Accent6 2 3 4 2 2 3 2" xfId="31994" xr:uid="{00000000-0005-0000-0000-0000D55A0000}"/>
    <cellStyle name="40% - Accent6 2 3 4 2 2 4" xfId="32142" xr:uid="{00000000-0005-0000-0000-0000D65A0000}"/>
    <cellStyle name="40% - Accent6 2 3 4 2 3" xfId="26331" xr:uid="{00000000-0005-0000-0000-0000D75A0000}"/>
    <cellStyle name="40% - Accent6 2 3 4 2 3 2" xfId="28389" xr:uid="{00000000-0005-0000-0000-0000D85A0000}"/>
    <cellStyle name="40% - Accent6 2 3 4 2 3 2 2" xfId="29374" xr:uid="{00000000-0005-0000-0000-0000D95A0000}"/>
    <cellStyle name="40% - Accent6 2 3 4 2 3 3" xfId="33052" xr:uid="{00000000-0005-0000-0000-0000DA5A0000}"/>
    <cellStyle name="40% - Accent6 2 3 4 2 4" xfId="540" xr:uid="{00000000-0005-0000-0000-0000DB5A0000}"/>
    <cellStyle name="40% - Accent6 2 3 4 2 4 2" xfId="7021" xr:uid="{00000000-0005-0000-0000-0000DC5A0000}"/>
    <cellStyle name="40% - Accent6 2 3 4 2 5" xfId="26339" xr:uid="{00000000-0005-0000-0000-0000DD5A0000}"/>
    <cellStyle name="40% - Accent6 2 3 4 3" xfId="4279" xr:uid="{00000000-0005-0000-0000-0000DE5A0000}"/>
    <cellStyle name="40% - Accent6 2 3 4 3 2" xfId="26347" xr:uid="{00000000-0005-0000-0000-0000DF5A0000}"/>
    <cellStyle name="40% - Accent6 2 3 4 3 2 2" xfId="26349" xr:uid="{00000000-0005-0000-0000-0000E05A0000}"/>
    <cellStyle name="40% - Accent6 2 3 4 3 2 2 2" xfId="29930" xr:uid="{00000000-0005-0000-0000-0000E15A0000}"/>
    <cellStyle name="40% - Accent6 2 3 4 3 2 3" xfId="26350" xr:uid="{00000000-0005-0000-0000-0000E25A0000}"/>
    <cellStyle name="40% - Accent6 2 3 4 3 3" xfId="28559" xr:uid="{00000000-0005-0000-0000-0000E35A0000}"/>
    <cellStyle name="40% - Accent6 2 3 4 3 3 2" xfId="28561" xr:uid="{00000000-0005-0000-0000-0000E45A0000}"/>
    <cellStyle name="40% - Accent6 2 3 4 3 4" xfId="24793" xr:uid="{00000000-0005-0000-0000-0000E55A0000}"/>
    <cellStyle name="40% - Accent6 2 3 4 4" xfId="3058" xr:uid="{00000000-0005-0000-0000-0000E65A0000}"/>
    <cellStyle name="40% - Accent6 2 3 4 4 2" xfId="27584" xr:uid="{00000000-0005-0000-0000-0000E75A0000}"/>
    <cellStyle name="40% - Accent6 2 3 4 4 2 2" xfId="34029" xr:uid="{00000000-0005-0000-0000-0000E85A0000}"/>
    <cellStyle name="40% - Accent6 2 3 4 4 3" xfId="26353" xr:uid="{00000000-0005-0000-0000-0000E95A0000}"/>
    <cellStyle name="40% - Accent6 2 3 4 5" xfId="18800" xr:uid="{00000000-0005-0000-0000-0000EA5A0000}"/>
    <cellStyle name="40% - Accent6 2 3 4 5 2" xfId="8945" xr:uid="{00000000-0005-0000-0000-0000EB5A0000}"/>
    <cellStyle name="40% - Accent6 2 3 4 6" xfId="30566" xr:uid="{00000000-0005-0000-0000-0000EC5A0000}"/>
    <cellStyle name="40% - Accent6 2 3 5" xfId="1595" xr:uid="{00000000-0005-0000-0000-0000ED5A0000}"/>
    <cellStyle name="40% - Accent6 2 3 5 2" xfId="3556" xr:uid="{00000000-0005-0000-0000-0000EE5A0000}"/>
    <cellStyle name="40% - Accent6 2 3 5 2 2" xfId="14484" xr:uid="{00000000-0005-0000-0000-0000EF5A0000}"/>
    <cellStyle name="40% - Accent6 2 3 5 2 2 2" xfId="26355" xr:uid="{00000000-0005-0000-0000-0000F05A0000}"/>
    <cellStyle name="40% - Accent6 2 3 5 2 2 2 2" xfId="33124" xr:uid="{00000000-0005-0000-0000-0000F15A0000}"/>
    <cellStyle name="40% - Accent6 2 3 5 2 2 3" xfId="26356" xr:uid="{00000000-0005-0000-0000-0000F25A0000}"/>
    <cellStyle name="40% - Accent6 2 3 5 2 3" xfId="11784" xr:uid="{00000000-0005-0000-0000-0000F35A0000}"/>
    <cellStyle name="40% - Accent6 2 3 5 2 3 2" xfId="33265" xr:uid="{00000000-0005-0000-0000-0000F45A0000}"/>
    <cellStyle name="40% - Accent6 2 3 5 2 4" xfId="32987" xr:uid="{00000000-0005-0000-0000-0000F55A0000}"/>
    <cellStyle name="40% - Accent6 2 3 5 3" xfId="3071" xr:uid="{00000000-0005-0000-0000-0000F65A0000}"/>
    <cellStyle name="40% - Accent6 2 3 5 3 2" xfId="11790" xr:uid="{00000000-0005-0000-0000-0000F75A0000}"/>
    <cellStyle name="40% - Accent6 2 3 5 3 2 2" xfId="22201" xr:uid="{00000000-0005-0000-0000-0000F85A0000}"/>
    <cellStyle name="40% - Accent6 2 3 5 3 3" xfId="32673" xr:uid="{00000000-0005-0000-0000-0000F95A0000}"/>
    <cellStyle name="40% - Accent6 2 3 5 4" xfId="26359" xr:uid="{00000000-0005-0000-0000-0000FA5A0000}"/>
    <cellStyle name="40% - Accent6 2 3 5 4 2" xfId="26363" xr:uid="{00000000-0005-0000-0000-0000FB5A0000}"/>
    <cellStyle name="40% - Accent6 2 3 5 5" xfId="26364" xr:uid="{00000000-0005-0000-0000-0000FC5A0000}"/>
    <cellStyle name="40% - Accent6 2 3 6" xfId="5006" xr:uid="{00000000-0005-0000-0000-0000FD5A0000}"/>
    <cellStyle name="40% - Accent6 2 3 6 2" xfId="5015" xr:uid="{00000000-0005-0000-0000-0000FE5A0000}"/>
    <cellStyle name="40% - Accent6 2 3 6 2 2" xfId="11799" xr:uid="{00000000-0005-0000-0000-0000FF5A0000}"/>
    <cellStyle name="40% - Accent6 2 3 6 2 2 2" xfId="26368" xr:uid="{00000000-0005-0000-0000-0000005B0000}"/>
    <cellStyle name="40% - Accent6 2 3 6 2 3" xfId="30109" xr:uid="{00000000-0005-0000-0000-0000015B0000}"/>
    <cellStyle name="40% - Accent6 2 3 6 3" xfId="26531" xr:uid="{00000000-0005-0000-0000-0000025B0000}"/>
    <cellStyle name="40% - Accent6 2 3 6 3 2" xfId="26370" xr:uid="{00000000-0005-0000-0000-0000035B0000}"/>
    <cellStyle name="40% - Accent6 2 3 6 4" xfId="26371" xr:uid="{00000000-0005-0000-0000-0000045B0000}"/>
    <cellStyle name="40% - Accent6 2 3 7" xfId="1253" xr:uid="{00000000-0005-0000-0000-0000055B0000}"/>
    <cellStyle name="40% - Accent6 2 3 7 2" xfId="26380" xr:uid="{00000000-0005-0000-0000-0000065B0000}"/>
    <cellStyle name="40% - Accent6 2 3 7 2 2" xfId="7927" xr:uid="{00000000-0005-0000-0000-0000075B0000}"/>
    <cellStyle name="40% - Accent6 2 3 7 3" xfId="26310" xr:uid="{00000000-0005-0000-0000-0000085B0000}"/>
    <cellStyle name="40% - Accent6 2 3 8" xfId="17050" xr:uid="{00000000-0005-0000-0000-0000095B0000}"/>
    <cellStyle name="40% - Accent6 2 3 8 2" xfId="29447" xr:uid="{00000000-0005-0000-0000-00000A5B0000}"/>
    <cellStyle name="40% - Accent6 2 3 9" xfId="807" xr:uid="{00000000-0005-0000-0000-00000B5B0000}"/>
    <cellStyle name="40% - Accent6 2 4" xfId="20248" xr:uid="{00000000-0005-0000-0000-00000C5B0000}"/>
    <cellStyle name="40% - Accent6 2 4 2" xfId="3086" xr:uid="{00000000-0005-0000-0000-00000D5B0000}"/>
    <cellStyle name="40% - Accent6 2 4 2 2" xfId="24552" xr:uid="{00000000-0005-0000-0000-00000E5B0000}"/>
    <cellStyle name="40% - Accent6 2 4 2 2 2" xfId="27067" xr:uid="{00000000-0005-0000-0000-00000F5B0000}"/>
    <cellStyle name="40% - Accent6 2 4 2 2 2 2" xfId="12168" xr:uid="{00000000-0005-0000-0000-0000105B0000}"/>
    <cellStyle name="40% - Accent6 2 4 2 2 2 2 2" xfId="24687" xr:uid="{00000000-0005-0000-0000-0000115B0000}"/>
    <cellStyle name="40% - Accent6 2 4 2 2 2 2 2 2" xfId="24689" xr:uid="{00000000-0005-0000-0000-0000125B0000}"/>
    <cellStyle name="40% - Accent6 2 4 2 2 2 2 2 2 2" xfId="27748" xr:uid="{00000000-0005-0000-0000-0000135B0000}"/>
    <cellStyle name="40% - Accent6 2 4 2 2 2 2 2 3" xfId="23140" xr:uid="{00000000-0005-0000-0000-0000145B0000}"/>
    <cellStyle name="40% - Accent6 2 4 2 2 2 2 3" xfId="1013" xr:uid="{00000000-0005-0000-0000-0000155B0000}"/>
    <cellStyle name="40% - Accent6 2 4 2 2 2 2 3 2" xfId="24309" xr:uid="{00000000-0005-0000-0000-0000165B0000}"/>
    <cellStyle name="40% - Accent6 2 4 2 2 2 2 4" xfId="32984" xr:uid="{00000000-0005-0000-0000-0000175B0000}"/>
    <cellStyle name="40% - Accent6 2 4 2 2 2 3" xfId="22372" xr:uid="{00000000-0005-0000-0000-0000185B0000}"/>
    <cellStyle name="40% - Accent6 2 4 2 2 2 3 2" xfId="24694" xr:uid="{00000000-0005-0000-0000-0000195B0000}"/>
    <cellStyle name="40% - Accent6 2 4 2 2 2 3 2 2" xfId="19501" xr:uid="{00000000-0005-0000-0000-00001A5B0000}"/>
    <cellStyle name="40% - Accent6 2 4 2 2 2 3 3" xfId="10064" xr:uid="{00000000-0005-0000-0000-00001B5B0000}"/>
    <cellStyle name="40% - Accent6 2 4 2 2 2 4" xfId="24638" xr:uid="{00000000-0005-0000-0000-00001C5B0000}"/>
    <cellStyle name="40% - Accent6 2 4 2 2 2 4 2" xfId="25052" xr:uid="{00000000-0005-0000-0000-00001D5B0000}"/>
    <cellStyle name="40% - Accent6 2 4 2 2 2 5" xfId="24421" xr:uid="{00000000-0005-0000-0000-00001E5B0000}"/>
    <cellStyle name="40% - Accent6 2 4 2 2 3" xfId="26391" xr:uid="{00000000-0005-0000-0000-00001F5B0000}"/>
    <cellStyle name="40% - Accent6 2 4 2 2 3 2" xfId="13082" xr:uid="{00000000-0005-0000-0000-0000205B0000}"/>
    <cellStyle name="40% - Accent6 2 4 2 2 3 2 2" xfId="24698" xr:uid="{00000000-0005-0000-0000-0000215B0000}"/>
    <cellStyle name="40% - Accent6 2 4 2 2 3 2 2 2" xfId="12882" xr:uid="{00000000-0005-0000-0000-0000225B0000}"/>
    <cellStyle name="40% - Accent6 2 4 2 2 3 2 3" xfId="11829" xr:uid="{00000000-0005-0000-0000-0000235B0000}"/>
    <cellStyle name="40% - Accent6 2 4 2 2 3 3" xfId="5332" xr:uid="{00000000-0005-0000-0000-0000245B0000}"/>
    <cellStyle name="40% - Accent6 2 4 2 2 3 3 2" xfId="26392" xr:uid="{00000000-0005-0000-0000-0000255B0000}"/>
    <cellStyle name="40% - Accent6 2 4 2 2 3 4" xfId="21221" xr:uid="{00000000-0005-0000-0000-0000265B0000}"/>
    <cellStyle name="40% - Accent6 2 4 2 2 4" xfId="7658" xr:uid="{00000000-0005-0000-0000-0000275B0000}"/>
    <cellStyle name="40% - Accent6 2 4 2 2 4 2" xfId="1210" xr:uid="{00000000-0005-0000-0000-0000285B0000}"/>
    <cellStyle name="40% - Accent6 2 4 2 2 4 2 2" xfId="26240" xr:uid="{00000000-0005-0000-0000-0000295B0000}"/>
    <cellStyle name="40% - Accent6 2 4 2 2 4 3" xfId="26398" xr:uid="{00000000-0005-0000-0000-00002A5B0000}"/>
    <cellStyle name="40% - Accent6 2 4 2 2 5" xfId="7661" xr:uid="{00000000-0005-0000-0000-00002B5B0000}"/>
    <cellStyle name="40% - Accent6 2 4 2 2 5 2" xfId="26403" xr:uid="{00000000-0005-0000-0000-00002C5B0000}"/>
    <cellStyle name="40% - Accent6 2 4 2 2 6" xfId="26768" xr:uid="{00000000-0005-0000-0000-00002D5B0000}"/>
    <cellStyle name="40% - Accent6 2 4 2 3" xfId="17152" xr:uid="{00000000-0005-0000-0000-00002E5B0000}"/>
    <cellStyle name="40% - Accent6 2 4 2 3 2" xfId="27030" xr:uid="{00000000-0005-0000-0000-00002F5B0000}"/>
    <cellStyle name="40% - Accent6 2 4 2 3 2 2" xfId="29356" xr:uid="{00000000-0005-0000-0000-0000305B0000}"/>
    <cellStyle name="40% - Accent6 2 4 2 3 2 2 2" xfId="18928" xr:uid="{00000000-0005-0000-0000-0000315B0000}"/>
    <cellStyle name="40% - Accent6 2 4 2 3 2 2 2 2" xfId="15465" xr:uid="{00000000-0005-0000-0000-0000325B0000}"/>
    <cellStyle name="40% - Accent6 2 4 2 3 2 2 3" xfId="32274" xr:uid="{00000000-0005-0000-0000-0000335B0000}"/>
    <cellStyle name="40% - Accent6 2 4 2 3 2 3" xfId="1855" xr:uid="{00000000-0005-0000-0000-0000345B0000}"/>
    <cellStyle name="40% - Accent6 2 4 2 3 2 3 2" xfId="26407" xr:uid="{00000000-0005-0000-0000-0000355B0000}"/>
    <cellStyle name="40% - Accent6 2 4 2 3 2 4" xfId="2827" xr:uid="{00000000-0005-0000-0000-0000365B0000}"/>
    <cellStyle name="40% - Accent6 2 4 2 3 3" xfId="26411" xr:uid="{00000000-0005-0000-0000-0000375B0000}"/>
    <cellStyle name="40% - Accent6 2 4 2 3 3 2" xfId="13291" xr:uid="{00000000-0005-0000-0000-0000385B0000}"/>
    <cellStyle name="40% - Accent6 2 4 2 3 3 2 2" xfId="29742" xr:uid="{00000000-0005-0000-0000-0000395B0000}"/>
    <cellStyle name="40% - Accent6 2 4 2 3 3 3" xfId="3131" xr:uid="{00000000-0005-0000-0000-00003A5B0000}"/>
    <cellStyle name="40% - Accent6 2 4 2 3 4" xfId="7666" xr:uid="{00000000-0005-0000-0000-00003B5B0000}"/>
    <cellStyle name="40% - Accent6 2 4 2 3 4 2" xfId="3148" xr:uid="{00000000-0005-0000-0000-00003C5B0000}"/>
    <cellStyle name="40% - Accent6 2 4 2 3 5" xfId="2217" xr:uid="{00000000-0005-0000-0000-00003D5B0000}"/>
    <cellStyle name="40% - Accent6 2 4 2 4" xfId="26879" xr:uid="{00000000-0005-0000-0000-00003E5B0000}"/>
    <cellStyle name="40% - Accent6 2 4 2 4 2" xfId="26416" xr:uid="{00000000-0005-0000-0000-00003F5B0000}"/>
    <cellStyle name="40% - Accent6 2 4 2 4 2 2" xfId="5368" xr:uid="{00000000-0005-0000-0000-0000405B0000}"/>
    <cellStyle name="40% - Accent6 2 4 2 4 2 2 2" xfId="26420" xr:uid="{00000000-0005-0000-0000-0000415B0000}"/>
    <cellStyle name="40% - Accent6 2 4 2 4 2 3" xfId="5372" xr:uid="{00000000-0005-0000-0000-0000425B0000}"/>
    <cellStyle name="40% - Accent6 2 4 2 4 3" xfId="27345" xr:uid="{00000000-0005-0000-0000-0000435B0000}"/>
    <cellStyle name="40% - Accent6 2 4 2 4 3 2" xfId="5377" xr:uid="{00000000-0005-0000-0000-0000445B0000}"/>
    <cellStyle name="40% - Accent6 2 4 2 4 4" xfId="24819" xr:uid="{00000000-0005-0000-0000-0000455B0000}"/>
    <cellStyle name="40% - Accent6 2 4 2 5" xfId="31630" xr:uid="{00000000-0005-0000-0000-0000465B0000}"/>
    <cellStyle name="40% - Accent6 2 4 2 5 2" xfId="31821" xr:uid="{00000000-0005-0000-0000-0000475B0000}"/>
    <cellStyle name="40% - Accent6 2 4 2 5 2 2" xfId="8778" xr:uid="{00000000-0005-0000-0000-0000485B0000}"/>
    <cellStyle name="40% - Accent6 2 4 2 5 3" xfId="31632" xr:uid="{00000000-0005-0000-0000-0000495B0000}"/>
    <cellStyle name="40% - Accent6 2 4 2 6" xfId="15645" xr:uid="{00000000-0005-0000-0000-00004A5B0000}"/>
    <cellStyle name="40% - Accent6 2 4 2 6 2" xfId="31298" xr:uid="{00000000-0005-0000-0000-00004B5B0000}"/>
    <cellStyle name="40% - Accent6 2 4 2 7" xfId="24328" xr:uid="{00000000-0005-0000-0000-00004C5B0000}"/>
    <cellStyle name="40% - Accent6 2 4 3" xfId="24558" xr:uid="{00000000-0005-0000-0000-00004D5B0000}"/>
    <cellStyle name="40% - Accent6 2 4 3 2" xfId="26577" xr:uid="{00000000-0005-0000-0000-00004E5B0000}"/>
    <cellStyle name="40% - Accent6 2 4 3 2 2" xfId="26426" xr:uid="{00000000-0005-0000-0000-00004F5B0000}"/>
    <cellStyle name="40% - Accent6 2 4 3 2 2 2" xfId="31820" xr:uid="{00000000-0005-0000-0000-0000505B0000}"/>
    <cellStyle name="40% - Accent6 2 4 3 2 2 2 2" xfId="5193" xr:uid="{00000000-0005-0000-0000-0000515B0000}"/>
    <cellStyle name="40% - Accent6 2 4 3 2 2 2 2 2" xfId="26429" xr:uid="{00000000-0005-0000-0000-0000525B0000}"/>
    <cellStyle name="40% - Accent6 2 4 3 2 2 2 3" xfId="14606" xr:uid="{00000000-0005-0000-0000-0000535B0000}"/>
    <cellStyle name="40% - Accent6 2 4 3 2 2 3" xfId="24769" xr:uid="{00000000-0005-0000-0000-0000545B0000}"/>
    <cellStyle name="40% - Accent6 2 4 3 2 2 3 2" xfId="92" xr:uid="{00000000-0005-0000-0000-0000555B0000}"/>
    <cellStyle name="40% - Accent6 2 4 3 2 2 4" xfId="29667" xr:uid="{00000000-0005-0000-0000-0000565B0000}"/>
    <cellStyle name="40% - Accent6 2 4 3 2 3" xfId="28712" xr:uid="{00000000-0005-0000-0000-0000575B0000}"/>
    <cellStyle name="40% - Accent6 2 4 3 2 3 2" xfId="24773" xr:uid="{00000000-0005-0000-0000-0000585B0000}"/>
    <cellStyle name="40% - Accent6 2 4 3 2 3 2 2" xfId="5206" xr:uid="{00000000-0005-0000-0000-0000595B0000}"/>
    <cellStyle name="40% - Accent6 2 4 3 2 3 3" xfId="29945" xr:uid="{00000000-0005-0000-0000-00005A5B0000}"/>
    <cellStyle name="40% - Accent6 2 4 3 2 4" xfId="4085" xr:uid="{00000000-0005-0000-0000-00005B5B0000}"/>
    <cellStyle name="40% - Accent6 2 4 3 2 4 2" xfId="6475" xr:uid="{00000000-0005-0000-0000-00005C5B0000}"/>
    <cellStyle name="40% - Accent6 2 4 3 2 5" xfId="28719" xr:uid="{00000000-0005-0000-0000-00005D5B0000}"/>
    <cellStyle name="40% - Accent6 2 4 3 3" xfId="20221" xr:uid="{00000000-0005-0000-0000-00005E5B0000}"/>
    <cellStyle name="40% - Accent6 2 4 3 3 2" xfId="28743" xr:uid="{00000000-0005-0000-0000-00005F5B0000}"/>
    <cellStyle name="40% - Accent6 2 4 3 3 2 2" xfId="1611" xr:uid="{00000000-0005-0000-0000-0000605B0000}"/>
    <cellStyle name="40% - Accent6 2 4 3 3 2 2 2" xfId="20632" xr:uid="{00000000-0005-0000-0000-0000615B0000}"/>
    <cellStyle name="40% - Accent6 2 4 3 3 2 3" xfId="1392" xr:uid="{00000000-0005-0000-0000-0000625B0000}"/>
    <cellStyle name="40% - Accent6 2 4 3 3 3" xfId="27374" xr:uid="{00000000-0005-0000-0000-0000635B0000}"/>
    <cellStyle name="40% - Accent6 2 4 3 3 3 2" xfId="1195" xr:uid="{00000000-0005-0000-0000-0000645B0000}"/>
    <cellStyle name="40% - Accent6 2 4 3 3 4" xfId="24822" xr:uid="{00000000-0005-0000-0000-0000655B0000}"/>
    <cellStyle name="40% - Accent6 2 4 3 4" xfId="26433" xr:uid="{00000000-0005-0000-0000-0000665B0000}"/>
    <cellStyle name="40% - Accent6 2 4 3 4 2" xfId="26434" xr:uid="{00000000-0005-0000-0000-0000675B0000}"/>
    <cellStyle name="40% - Accent6 2 4 3 4 2 2" xfId="5406" xr:uid="{00000000-0005-0000-0000-0000685B0000}"/>
    <cellStyle name="40% - Accent6 2 4 3 4 3" xfId="26435" xr:uid="{00000000-0005-0000-0000-0000695B0000}"/>
    <cellStyle name="40% - Accent6 2 4 3 5" xfId="28735" xr:uid="{00000000-0005-0000-0000-00006A5B0000}"/>
    <cellStyle name="40% - Accent6 2 4 3 5 2" xfId="33767" xr:uid="{00000000-0005-0000-0000-00006B5B0000}"/>
    <cellStyle name="40% - Accent6 2 4 3 6" xfId="15658" xr:uid="{00000000-0005-0000-0000-00006C5B0000}"/>
    <cellStyle name="40% - Accent6 2 4 4" xfId="3568" xr:uid="{00000000-0005-0000-0000-00006D5B0000}"/>
    <cellStyle name="40% - Accent6 2 4 4 2" xfId="3571" xr:uid="{00000000-0005-0000-0000-00006E5B0000}"/>
    <cellStyle name="40% - Accent6 2 4 4 2 2" xfId="1014" xr:uid="{00000000-0005-0000-0000-00006F5B0000}"/>
    <cellStyle name="40% - Accent6 2 4 4 2 2 2" xfId="13362" xr:uid="{00000000-0005-0000-0000-0000705B0000}"/>
    <cellStyle name="40% - Accent6 2 4 4 2 2 2 2" xfId="2156" xr:uid="{00000000-0005-0000-0000-0000715B0000}"/>
    <cellStyle name="40% - Accent6 2 4 4 2 2 3" xfId="13371" xr:uid="{00000000-0005-0000-0000-0000725B0000}"/>
    <cellStyle name="40% - Accent6 2 4 4 2 3" xfId="32985" xr:uid="{00000000-0005-0000-0000-0000735B0000}"/>
    <cellStyle name="40% - Accent6 2 4 4 2 3 2" xfId="29223" xr:uid="{00000000-0005-0000-0000-0000745B0000}"/>
    <cellStyle name="40% - Accent6 2 4 4 2 4" xfId="23632" xr:uid="{00000000-0005-0000-0000-0000755B0000}"/>
    <cellStyle name="40% - Accent6 2 4 4 3" xfId="7397" xr:uid="{00000000-0005-0000-0000-0000765B0000}"/>
    <cellStyle name="40% - Accent6 2 4 4 3 2" xfId="10065" xr:uid="{00000000-0005-0000-0000-0000775B0000}"/>
    <cellStyle name="40% - Accent6 2 4 4 3 2 2" xfId="13390" xr:uid="{00000000-0005-0000-0000-0000785B0000}"/>
    <cellStyle name="40% - Accent6 2 4 4 3 3" xfId="26436" xr:uid="{00000000-0005-0000-0000-0000795B0000}"/>
    <cellStyle name="40% - Accent6 2 4 4 4" xfId="15354" xr:uid="{00000000-0005-0000-0000-00007A5B0000}"/>
    <cellStyle name="40% - Accent6 2 4 4 4 2" xfId="23683" xr:uid="{00000000-0005-0000-0000-00007B5B0000}"/>
    <cellStyle name="40% - Accent6 2 4 4 5" xfId="21587" xr:uid="{00000000-0005-0000-0000-00007C5B0000}"/>
    <cellStyle name="40% - Accent6 2 4 5" xfId="2550" xr:uid="{00000000-0005-0000-0000-00007D5B0000}"/>
    <cellStyle name="40% - Accent6 2 4 5 2" xfId="3581" xr:uid="{00000000-0005-0000-0000-00007E5B0000}"/>
    <cellStyle name="40% - Accent6 2 4 5 2 2" xfId="11831" xr:uid="{00000000-0005-0000-0000-00007F5B0000}"/>
    <cellStyle name="40% - Accent6 2 4 5 2 2 2" xfId="26442" xr:uid="{00000000-0005-0000-0000-0000805B0000}"/>
    <cellStyle name="40% - Accent6 2 4 5 2 3" xfId="26471" xr:uid="{00000000-0005-0000-0000-0000815B0000}"/>
    <cellStyle name="40% - Accent6 2 4 5 3" xfId="18480" xr:uid="{00000000-0005-0000-0000-0000825B0000}"/>
    <cellStyle name="40% - Accent6 2 4 5 3 2" xfId="23107" xr:uid="{00000000-0005-0000-0000-0000835B0000}"/>
    <cellStyle name="40% - Accent6 2 4 5 4" xfId="25080" xr:uid="{00000000-0005-0000-0000-0000845B0000}"/>
    <cellStyle name="40% - Accent6 2 4 6" xfId="4047" xr:uid="{00000000-0005-0000-0000-0000855B0000}"/>
    <cellStyle name="40% - Accent6 2 4 6 2" xfId="10150" xr:uid="{00000000-0005-0000-0000-0000865B0000}"/>
    <cellStyle name="40% - Accent6 2 4 6 2 2" xfId="26446" xr:uid="{00000000-0005-0000-0000-0000875B0000}"/>
    <cellStyle name="40% - Accent6 2 4 6 3" xfId="2799" xr:uid="{00000000-0005-0000-0000-0000885B0000}"/>
    <cellStyle name="40% - Accent6 2 4 7" xfId="30870" xr:uid="{00000000-0005-0000-0000-0000895B0000}"/>
    <cellStyle name="40% - Accent6 2 4 7 2" xfId="26455" xr:uid="{00000000-0005-0000-0000-00008A5B0000}"/>
    <cellStyle name="40% - Accent6 2 4 8" xfId="17058" xr:uid="{00000000-0005-0000-0000-00008B5B0000}"/>
    <cellStyle name="40% - Accent6 2 5" xfId="24561" xr:uid="{00000000-0005-0000-0000-00008C5B0000}"/>
    <cellStyle name="40% - Accent6 2 5 2" xfId="24563" xr:uid="{00000000-0005-0000-0000-00008D5B0000}"/>
    <cellStyle name="40% - Accent6 2 5 2 2" xfId="26587" xr:uid="{00000000-0005-0000-0000-00008E5B0000}"/>
    <cellStyle name="40% - Accent6 2 5 2 2 2" xfId="18849" xr:uid="{00000000-0005-0000-0000-00008F5B0000}"/>
    <cellStyle name="40% - Accent6 2 5 2 2 2 2" xfId="15687" xr:uid="{00000000-0005-0000-0000-0000905B0000}"/>
    <cellStyle name="40% - Accent6 2 5 2 2 2 2 2" xfId="22630" xr:uid="{00000000-0005-0000-0000-0000915B0000}"/>
    <cellStyle name="40% - Accent6 2 5 2 2 2 2 2 2" xfId="31344" xr:uid="{00000000-0005-0000-0000-0000925B0000}"/>
    <cellStyle name="40% - Accent6 2 5 2 2 2 2 3" xfId="18626" xr:uid="{00000000-0005-0000-0000-0000935B0000}"/>
    <cellStyle name="40% - Accent6 2 5 2 2 2 3" xfId="27534" xr:uid="{00000000-0005-0000-0000-0000945B0000}"/>
    <cellStyle name="40% - Accent6 2 5 2 2 2 3 2" xfId="29400" xr:uid="{00000000-0005-0000-0000-0000955B0000}"/>
    <cellStyle name="40% - Accent6 2 5 2 2 2 4" xfId="26691" xr:uid="{00000000-0005-0000-0000-0000965B0000}"/>
    <cellStyle name="40% - Accent6 2 5 2 2 3" xfId="18852" xr:uid="{00000000-0005-0000-0000-0000975B0000}"/>
    <cellStyle name="40% - Accent6 2 5 2 2 3 2" xfId="9727" xr:uid="{00000000-0005-0000-0000-0000985B0000}"/>
    <cellStyle name="40% - Accent6 2 5 2 2 3 2 2" xfId="30466" xr:uid="{00000000-0005-0000-0000-0000995B0000}"/>
    <cellStyle name="40% - Accent6 2 5 2 2 3 3" xfId="31328" xr:uid="{00000000-0005-0000-0000-00009A5B0000}"/>
    <cellStyle name="40% - Accent6 2 5 2 2 4" xfId="7744" xr:uid="{00000000-0005-0000-0000-00009B5B0000}"/>
    <cellStyle name="40% - Accent6 2 5 2 2 4 2" xfId="27301" xr:uid="{00000000-0005-0000-0000-00009C5B0000}"/>
    <cellStyle name="40% - Accent6 2 5 2 2 5" xfId="27394" xr:uid="{00000000-0005-0000-0000-00009D5B0000}"/>
    <cellStyle name="40% - Accent6 2 5 2 3" xfId="26459" xr:uid="{00000000-0005-0000-0000-00009E5B0000}"/>
    <cellStyle name="40% - Accent6 2 5 2 3 2" xfId="18870" xr:uid="{00000000-0005-0000-0000-00009F5B0000}"/>
    <cellStyle name="40% - Accent6 2 5 2 3 2 2" xfId="29777" xr:uid="{00000000-0005-0000-0000-0000A05B0000}"/>
    <cellStyle name="40% - Accent6 2 5 2 3 2 2 2" xfId="21089" xr:uid="{00000000-0005-0000-0000-0000A15B0000}"/>
    <cellStyle name="40% - Accent6 2 5 2 3 2 3" xfId="13041" xr:uid="{00000000-0005-0000-0000-0000A25B0000}"/>
    <cellStyle name="40% - Accent6 2 5 2 3 3" xfId="24514" xr:uid="{00000000-0005-0000-0000-0000A35B0000}"/>
    <cellStyle name="40% - Accent6 2 5 2 3 3 2" xfId="6497" xr:uid="{00000000-0005-0000-0000-0000A45B0000}"/>
    <cellStyle name="40% - Accent6 2 5 2 3 4" xfId="24829" xr:uid="{00000000-0005-0000-0000-0000A55B0000}"/>
    <cellStyle name="40% - Accent6 2 5 2 4" xfId="26465" xr:uid="{00000000-0005-0000-0000-0000A65B0000}"/>
    <cellStyle name="40% - Accent6 2 5 2 4 2" xfId="26466" xr:uid="{00000000-0005-0000-0000-0000A75B0000}"/>
    <cellStyle name="40% - Accent6 2 5 2 4 2 2" xfId="6515" xr:uid="{00000000-0005-0000-0000-0000A85B0000}"/>
    <cellStyle name="40% - Accent6 2 5 2 4 3" xfId="26470" xr:uid="{00000000-0005-0000-0000-0000A95B0000}"/>
    <cellStyle name="40% - Accent6 2 5 2 5" xfId="11874" xr:uid="{00000000-0005-0000-0000-0000AA5B0000}"/>
    <cellStyle name="40% - Accent6 2 5 2 5 2" xfId="26476" xr:uid="{00000000-0005-0000-0000-0000AB5B0000}"/>
    <cellStyle name="40% - Accent6 2 5 2 6" xfId="27253" xr:uid="{00000000-0005-0000-0000-0000AC5B0000}"/>
    <cellStyle name="40% - Accent6 2 5 3" xfId="20334" xr:uid="{00000000-0005-0000-0000-0000AD5B0000}"/>
    <cellStyle name="40% - Accent6 2 5 3 2" xfId="20336" xr:uid="{00000000-0005-0000-0000-0000AE5B0000}"/>
    <cellStyle name="40% - Accent6 2 5 3 2 2" xfId="18914" xr:uid="{00000000-0005-0000-0000-0000AF5B0000}"/>
    <cellStyle name="40% - Accent6 2 5 3 2 2 2" xfId="10271" xr:uid="{00000000-0005-0000-0000-0000B05B0000}"/>
    <cellStyle name="40% - Accent6 2 5 3 2 2 2 2" xfId="24958" xr:uid="{00000000-0005-0000-0000-0000B15B0000}"/>
    <cellStyle name="40% - Accent6 2 5 3 2 2 3" xfId="31007" xr:uid="{00000000-0005-0000-0000-0000B25B0000}"/>
    <cellStyle name="40% - Accent6 2 5 3 2 3" xfId="26479" xr:uid="{00000000-0005-0000-0000-0000B35B0000}"/>
    <cellStyle name="40% - Accent6 2 5 3 2 3 2" xfId="19150" xr:uid="{00000000-0005-0000-0000-0000B45B0000}"/>
    <cellStyle name="40% - Accent6 2 5 3 2 4" xfId="26482" xr:uid="{00000000-0005-0000-0000-0000B55B0000}"/>
    <cellStyle name="40% - Accent6 2 5 3 3" xfId="26483" xr:uid="{00000000-0005-0000-0000-0000B65B0000}"/>
    <cellStyle name="40% - Accent6 2 5 3 3 2" xfId="26484" xr:uid="{00000000-0005-0000-0000-0000B75B0000}"/>
    <cellStyle name="40% - Accent6 2 5 3 3 2 2" xfId="6032" xr:uid="{00000000-0005-0000-0000-0000B85B0000}"/>
    <cellStyle name="40% - Accent6 2 5 3 3 3" xfId="26488" xr:uid="{00000000-0005-0000-0000-0000B95B0000}"/>
    <cellStyle name="40% - Accent6 2 5 3 4" xfId="26490" xr:uid="{00000000-0005-0000-0000-0000BA5B0000}"/>
    <cellStyle name="40% - Accent6 2 5 3 4 2" xfId="26492" xr:uid="{00000000-0005-0000-0000-0000BB5B0000}"/>
    <cellStyle name="40% - Accent6 2 5 3 5" xfId="31074" xr:uid="{00000000-0005-0000-0000-0000BC5B0000}"/>
    <cellStyle name="40% - Accent6 2 5 4" xfId="3590" xr:uid="{00000000-0005-0000-0000-0000BD5B0000}"/>
    <cellStyle name="40% - Accent6 2 5 4 2" xfId="1185" xr:uid="{00000000-0005-0000-0000-0000BE5B0000}"/>
    <cellStyle name="40% - Accent6 2 5 4 2 2" xfId="10235" xr:uid="{00000000-0005-0000-0000-0000BF5B0000}"/>
    <cellStyle name="40% - Accent6 2 5 4 2 2 2" xfId="27399" xr:uid="{00000000-0005-0000-0000-0000C05B0000}"/>
    <cellStyle name="40% - Accent6 2 5 4 2 3" xfId="26195" xr:uid="{00000000-0005-0000-0000-0000C15B0000}"/>
    <cellStyle name="40% - Accent6 2 5 4 3" xfId="10238" xr:uid="{00000000-0005-0000-0000-0000C25B0000}"/>
    <cellStyle name="40% - Accent6 2 5 4 3 2" xfId="26495" xr:uid="{00000000-0005-0000-0000-0000C35B0000}"/>
    <cellStyle name="40% - Accent6 2 5 4 4" xfId="21671" xr:uid="{00000000-0005-0000-0000-0000C45B0000}"/>
    <cellStyle name="40% - Accent6 2 5 5" xfId="676" xr:uid="{00000000-0005-0000-0000-0000C55B0000}"/>
    <cellStyle name="40% - Accent6 2 5 5 2" xfId="10252" xr:uid="{00000000-0005-0000-0000-0000C65B0000}"/>
    <cellStyle name="40% - Accent6 2 5 5 2 2" xfId="29689" xr:uid="{00000000-0005-0000-0000-0000C75B0000}"/>
    <cellStyle name="40% - Accent6 2 5 5 3" xfId="23164" xr:uid="{00000000-0005-0000-0000-0000C85B0000}"/>
    <cellStyle name="40% - Accent6 2 5 6" xfId="26499" xr:uid="{00000000-0005-0000-0000-0000C95B0000}"/>
    <cellStyle name="40% - Accent6 2 5 6 2" xfId="26501" xr:uid="{00000000-0005-0000-0000-0000CA5B0000}"/>
    <cellStyle name="40% - Accent6 2 5 7" xfId="26503" xr:uid="{00000000-0005-0000-0000-0000CB5B0000}"/>
    <cellStyle name="40% - Accent6 2 6" xfId="24565" xr:uid="{00000000-0005-0000-0000-0000CC5B0000}"/>
    <cellStyle name="40% - Accent6 2 6 2" xfId="26508" xr:uid="{00000000-0005-0000-0000-0000CD5B0000}"/>
    <cellStyle name="40% - Accent6 2 6 2 2" xfId="17233" xr:uid="{00000000-0005-0000-0000-0000CE5B0000}"/>
    <cellStyle name="40% - Accent6 2 6 2 2 2" xfId="19529" xr:uid="{00000000-0005-0000-0000-0000CF5B0000}"/>
    <cellStyle name="40% - Accent6 2 6 2 2 2 2" xfId="29696" xr:uid="{00000000-0005-0000-0000-0000D05B0000}"/>
    <cellStyle name="40% - Accent6 2 6 2 2 2 2 2" xfId="24651" xr:uid="{00000000-0005-0000-0000-0000D15B0000}"/>
    <cellStyle name="40% - Accent6 2 6 2 2 2 3" xfId="29719" xr:uid="{00000000-0005-0000-0000-0000D25B0000}"/>
    <cellStyle name="40% - Accent6 2 6 2 2 3" xfId="20108" xr:uid="{00000000-0005-0000-0000-0000D35B0000}"/>
    <cellStyle name="40% - Accent6 2 6 2 2 3 2" xfId="20109" xr:uid="{00000000-0005-0000-0000-0000D45B0000}"/>
    <cellStyle name="40% - Accent6 2 6 2 2 4" xfId="20112" xr:uid="{00000000-0005-0000-0000-0000D55B0000}"/>
    <cellStyle name="40% - Accent6 2 6 2 3" xfId="8904" xr:uid="{00000000-0005-0000-0000-0000D65B0000}"/>
    <cellStyle name="40% - Accent6 2 6 2 3 2" xfId="31992" xr:uid="{00000000-0005-0000-0000-0000D75B0000}"/>
    <cellStyle name="40% - Accent6 2 6 2 3 2 2" xfId="11728" xr:uid="{00000000-0005-0000-0000-0000D85B0000}"/>
    <cellStyle name="40% - Accent6 2 6 2 3 3" xfId="20117" xr:uid="{00000000-0005-0000-0000-0000D95B0000}"/>
    <cellStyle name="40% - Accent6 2 6 2 4" xfId="12717" xr:uid="{00000000-0005-0000-0000-0000DA5B0000}"/>
    <cellStyle name="40% - Accent6 2 6 2 4 2" xfId="5269" xr:uid="{00000000-0005-0000-0000-0000DB5B0000}"/>
    <cellStyle name="40% - Accent6 2 6 2 5" xfId="14359" xr:uid="{00000000-0005-0000-0000-0000DC5B0000}"/>
    <cellStyle name="40% - Accent6 2 6 3" xfId="20339" xr:uid="{00000000-0005-0000-0000-0000DD5B0000}"/>
    <cellStyle name="40% - Accent6 2 6 3 2" xfId="5797" xr:uid="{00000000-0005-0000-0000-0000DE5B0000}"/>
    <cellStyle name="40% - Accent6 2 6 3 2 2" xfId="26511" xr:uid="{00000000-0005-0000-0000-0000DF5B0000}"/>
    <cellStyle name="40% - Accent6 2 6 3 2 2 2" xfId="32152" xr:uid="{00000000-0005-0000-0000-0000E05B0000}"/>
    <cellStyle name="40% - Accent6 2 6 3 2 3" xfId="20141" xr:uid="{00000000-0005-0000-0000-0000E15B0000}"/>
    <cellStyle name="40% - Accent6 2 6 3 3" xfId="12726" xr:uid="{00000000-0005-0000-0000-0000E25B0000}"/>
    <cellStyle name="40% - Accent6 2 6 3 3 2" xfId="26514" xr:uid="{00000000-0005-0000-0000-0000E35B0000}"/>
    <cellStyle name="40% - Accent6 2 6 3 4" xfId="14757" xr:uid="{00000000-0005-0000-0000-0000E45B0000}"/>
    <cellStyle name="40% - Accent6 2 6 4" xfId="3596" xr:uid="{00000000-0005-0000-0000-0000E55B0000}"/>
    <cellStyle name="40% - Accent6 2 6 4 2" xfId="12742" xr:uid="{00000000-0005-0000-0000-0000E65B0000}"/>
    <cellStyle name="40% - Accent6 2 6 4 2 2" xfId="26517" xr:uid="{00000000-0005-0000-0000-0000E75B0000}"/>
    <cellStyle name="40% - Accent6 2 6 4 3" xfId="12746" xr:uid="{00000000-0005-0000-0000-0000E85B0000}"/>
    <cellStyle name="40% - Accent6 2 6 5" xfId="26702" xr:uid="{00000000-0005-0000-0000-0000E95B0000}"/>
    <cellStyle name="40% - Accent6 2 6 5 2" xfId="12752" xr:uid="{00000000-0005-0000-0000-0000EA5B0000}"/>
    <cellStyle name="40% - Accent6 2 6 6" xfId="23622" xr:uid="{00000000-0005-0000-0000-0000EB5B0000}"/>
    <cellStyle name="40% - Accent6 2 7" xfId="26520" xr:uid="{00000000-0005-0000-0000-0000EC5B0000}"/>
    <cellStyle name="40% - Accent6 2 7 2" xfId="26521" xr:uid="{00000000-0005-0000-0000-0000ED5B0000}"/>
    <cellStyle name="40% - Accent6 2 7 2 2" xfId="16629" xr:uid="{00000000-0005-0000-0000-0000EE5B0000}"/>
    <cellStyle name="40% - Accent6 2 7 2 2 2" xfId="26524" xr:uid="{00000000-0005-0000-0000-0000EF5B0000}"/>
    <cellStyle name="40% - Accent6 2 7 2 2 2 2" xfId="33057" xr:uid="{00000000-0005-0000-0000-0000F05B0000}"/>
    <cellStyle name="40% - Accent6 2 7 2 2 3" xfId="16816" xr:uid="{00000000-0005-0000-0000-0000F15B0000}"/>
    <cellStyle name="40% - Accent6 2 7 2 3" xfId="16635" xr:uid="{00000000-0005-0000-0000-0000F25B0000}"/>
    <cellStyle name="40% - Accent6 2 7 2 3 2" xfId="26529" xr:uid="{00000000-0005-0000-0000-0000F35B0000}"/>
    <cellStyle name="40% - Accent6 2 7 2 4" xfId="12763" xr:uid="{00000000-0005-0000-0000-0000F45B0000}"/>
    <cellStyle name="40% - Accent6 2 7 3" xfId="26530" xr:uid="{00000000-0005-0000-0000-0000F55B0000}"/>
    <cellStyle name="40% - Accent6 2 7 3 2" xfId="16640" xr:uid="{00000000-0005-0000-0000-0000F65B0000}"/>
    <cellStyle name="40% - Accent6 2 7 3 2 2" xfId="26533" xr:uid="{00000000-0005-0000-0000-0000F75B0000}"/>
    <cellStyle name="40% - Accent6 2 7 3 3" xfId="12774" xr:uid="{00000000-0005-0000-0000-0000F85B0000}"/>
    <cellStyle name="40% - Accent6 2 7 4" xfId="26824" xr:uid="{00000000-0005-0000-0000-0000F95B0000}"/>
    <cellStyle name="40% - Accent6 2 7 4 2" xfId="12785" xr:uid="{00000000-0005-0000-0000-0000FA5B0000}"/>
    <cellStyle name="40% - Accent6 2 7 5" xfId="174" xr:uid="{00000000-0005-0000-0000-0000FB5B0000}"/>
    <cellStyle name="40% - Accent6 2 8" xfId="29995" xr:uid="{00000000-0005-0000-0000-0000FC5B0000}"/>
    <cellStyle name="40% - Accent6 2 8 2" xfId="26536" xr:uid="{00000000-0005-0000-0000-0000FD5B0000}"/>
    <cellStyle name="40% - Accent6 2 8 2 2" xfId="16651" xr:uid="{00000000-0005-0000-0000-0000FE5B0000}"/>
    <cellStyle name="40% - Accent6 2 8 2 2 2" xfId="19461" xr:uid="{00000000-0005-0000-0000-0000FF5B0000}"/>
    <cellStyle name="40% - Accent6 2 8 2 3" xfId="12792" xr:uid="{00000000-0005-0000-0000-0000005C0000}"/>
    <cellStyle name="40% - Accent6 2 8 3" xfId="30685" xr:uid="{00000000-0005-0000-0000-0000015C0000}"/>
    <cellStyle name="40% - Accent6 2 8 3 2" xfId="12800" xr:uid="{00000000-0005-0000-0000-0000025C0000}"/>
    <cellStyle name="40% - Accent6 2 8 4" xfId="31045" xr:uid="{00000000-0005-0000-0000-0000035C0000}"/>
    <cellStyle name="40% - Accent6 2 9" xfId="16904" xr:uid="{00000000-0005-0000-0000-0000045C0000}"/>
    <cellStyle name="40% - Accent6 2 9 2" xfId="30321" xr:uid="{00000000-0005-0000-0000-0000055C0000}"/>
    <cellStyle name="40% - Accent6 2 9 2 2" xfId="12803" xr:uid="{00000000-0005-0000-0000-0000065C0000}"/>
    <cellStyle name="40% - Accent6 2 9 3" xfId="26654" xr:uid="{00000000-0005-0000-0000-0000075C0000}"/>
    <cellStyle name="40% - Accent6 3" xfId="24569" xr:uid="{00000000-0005-0000-0000-0000085C0000}"/>
    <cellStyle name="40% - Accent6 3 10" xfId="15298" xr:uid="{00000000-0005-0000-0000-0000095C0000}"/>
    <cellStyle name="40% - Accent6 3 2" xfId="2828" xr:uid="{00000000-0005-0000-0000-00000A5C0000}"/>
    <cellStyle name="40% - Accent6 3 2 2" xfId="24573" xr:uid="{00000000-0005-0000-0000-00000B5C0000}"/>
    <cellStyle name="40% - Accent6 3 2 2 2" xfId="24580" xr:uid="{00000000-0005-0000-0000-00000C5C0000}"/>
    <cellStyle name="40% - Accent6 3 2 2 2 2" xfId="17078" xr:uid="{00000000-0005-0000-0000-00000D5C0000}"/>
    <cellStyle name="40% - Accent6 3 2 2 2 2 2" xfId="27137" xr:uid="{00000000-0005-0000-0000-00000E5C0000}"/>
    <cellStyle name="40% - Accent6 3 2 2 2 2 2 2" xfId="33624" xr:uid="{00000000-0005-0000-0000-00000F5C0000}"/>
    <cellStyle name="40% - Accent6 3 2 2 2 2 2 2 2" xfId="29571" xr:uid="{00000000-0005-0000-0000-0000105C0000}"/>
    <cellStyle name="40% - Accent6 3 2 2 2 2 2 2 2 2" xfId="25265" xr:uid="{00000000-0005-0000-0000-0000115C0000}"/>
    <cellStyle name="40% - Accent6 3 2 2 2 2 2 2 2 2 2" xfId="12283" xr:uid="{00000000-0005-0000-0000-0000125C0000}"/>
    <cellStyle name="40% - Accent6 3 2 2 2 2 2 2 2 3" xfId="26541" xr:uid="{00000000-0005-0000-0000-0000135C0000}"/>
    <cellStyle name="40% - Accent6 3 2 2 2 2 2 2 3" xfId="7256" xr:uid="{00000000-0005-0000-0000-0000145C0000}"/>
    <cellStyle name="40% - Accent6 3 2 2 2 2 2 2 3 2" xfId="22290" xr:uid="{00000000-0005-0000-0000-0000155C0000}"/>
    <cellStyle name="40% - Accent6 3 2 2 2 2 2 2 4" xfId="7270" xr:uid="{00000000-0005-0000-0000-0000165C0000}"/>
    <cellStyle name="40% - Accent6 3 2 2 2 2 2 3" xfId="16351" xr:uid="{00000000-0005-0000-0000-0000175C0000}"/>
    <cellStyle name="40% - Accent6 3 2 2 2 2 2 3 2" xfId="21642" xr:uid="{00000000-0005-0000-0000-0000185C0000}"/>
    <cellStyle name="40% - Accent6 3 2 2 2 2 2 3 2 2" xfId="25307" xr:uid="{00000000-0005-0000-0000-0000195C0000}"/>
    <cellStyle name="40% - Accent6 3 2 2 2 2 2 3 3" xfId="7122" xr:uid="{00000000-0005-0000-0000-00001A5C0000}"/>
    <cellStyle name="40% - Accent6 3 2 2 2 2 2 4" xfId="26549" xr:uid="{00000000-0005-0000-0000-00001B5C0000}"/>
    <cellStyle name="40% - Accent6 3 2 2 2 2 2 4 2" xfId="25390" xr:uid="{00000000-0005-0000-0000-00001C5C0000}"/>
    <cellStyle name="40% - Accent6 3 2 2 2 2 2 5" xfId="26555" xr:uid="{00000000-0005-0000-0000-00001D5C0000}"/>
    <cellStyle name="40% - Accent6 3 2 2 2 2 3" xfId="25336" xr:uid="{00000000-0005-0000-0000-00001E5C0000}"/>
    <cellStyle name="40% - Accent6 3 2 2 2 2 3 2" xfId="32971" xr:uid="{00000000-0005-0000-0000-00001F5C0000}"/>
    <cellStyle name="40% - Accent6 3 2 2 2 2 3 2 2" xfId="9757" xr:uid="{00000000-0005-0000-0000-0000205C0000}"/>
    <cellStyle name="40% - Accent6 3 2 2 2 2 3 2 2 2" xfId="25365" xr:uid="{00000000-0005-0000-0000-0000215C0000}"/>
    <cellStyle name="40% - Accent6 3 2 2 2 2 3 2 3" xfId="7488" xr:uid="{00000000-0005-0000-0000-0000225C0000}"/>
    <cellStyle name="40% - Accent6 3 2 2 2 2 3 3" xfId="27490" xr:uid="{00000000-0005-0000-0000-0000235C0000}"/>
    <cellStyle name="40% - Accent6 3 2 2 2 2 3 3 2" xfId="28916" xr:uid="{00000000-0005-0000-0000-0000245C0000}"/>
    <cellStyle name="40% - Accent6 3 2 2 2 2 3 4" xfId="30765" xr:uid="{00000000-0005-0000-0000-0000255C0000}"/>
    <cellStyle name="40% - Accent6 3 2 2 2 2 4" xfId="843" xr:uid="{00000000-0005-0000-0000-0000265C0000}"/>
    <cellStyle name="40% - Accent6 3 2 2 2 2 4 2" xfId="30918" xr:uid="{00000000-0005-0000-0000-0000275C0000}"/>
    <cellStyle name="40% - Accent6 3 2 2 2 2 4 2 2" xfId="14471" xr:uid="{00000000-0005-0000-0000-0000285C0000}"/>
    <cellStyle name="40% - Accent6 3 2 2 2 2 4 3" xfId="26558" xr:uid="{00000000-0005-0000-0000-0000295C0000}"/>
    <cellStyle name="40% - Accent6 3 2 2 2 2 5" xfId="29788" xr:uid="{00000000-0005-0000-0000-00002A5C0000}"/>
    <cellStyle name="40% - Accent6 3 2 2 2 2 5 2" xfId="17886" xr:uid="{00000000-0005-0000-0000-00002B5C0000}"/>
    <cellStyle name="40% - Accent6 3 2 2 2 2 6" xfId="25793" xr:uid="{00000000-0005-0000-0000-00002C5C0000}"/>
    <cellStyle name="40% - Accent6 3 2 2 2 3" xfId="26564" xr:uid="{00000000-0005-0000-0000-00002D5C0000}"/>
    <cellStyle name="40% - Accent6 3 2 2 2 3 2" xfId="26557" xr:uid="{00000000-0005-0000-0000-00002E5C0000}"/>
    <cellStyle name="40% - Accent6 3 2 2 2 3 2 2" xfId="33264" xr:uid="{00000000-0005-0000-0000-00002F5C0000}"/>
    <cellStyle name="40% - Accent6 3 2 2 2 3 2 2 2" xfId="26565" xr:uid="{00000000-0005-0000-0000-0000305C0000}"/>
    <cellStyle name="40% - Accent6 3 2 2 2 3 2 2 2 2" xfId="25484" xr:uid="{00000000-0005-0000-0000-0000315C0000}"/>
    <cellStyle name="40% - Accent6 3 2 2 2 3 2 2 3" xfId="8318" xr:uid="{00000000-0005-0000-0000-0000325C0000}"/>
    <cellStyle name="40% - Accent6 3 2 2 2 3 2 3" xfId="26566" xr:uid="{00000000-0005-0000-0000-0000335C0000}"/>
    <cellStyle name="40% - Accent6 3 2 2 2 3 2 3 2" xfId="7142" xr:uid="{00000000-0005-0000-0000-0000345C0000}"/>
    <cellStyle name="40% - Accent6 3 2 2 2 3 2 4" xfId="26568" xr:uid="{00000000-0005-0000-0000-0000355C0000}"/>
    <cellStyle name="40% - Accent6 3 2 2 2 3 3" xfId="19896" xr:uid="{00000000-0005-0000-0000-0000365C0000}"/>
    <cellStyle name="40% - Accent6 3 2 2 2 3 3 2" xfId="19819" xr:uid="{00000000-0005-0000-0000-0000375C0000}"/>
    <cellStyle name="40% - Accent6 3 2 2 2 3 3 2 2" xfId="30364" xr:uid="{00000000-0005-0000-0000-0000385C0000}"/>
    <cellStyle name="40% - Accent6 3 2 2 2 3 3 3" xfId="29591" xr:uid="{00000000-0005-0000-0000-0000395C0000}"/>
    <cellStyle name="40% - Accent6 3 2 2 2 3 4" xfId="29549" xr:uid="{00000000-0005-0000-0000-00003A5C0000}"/>
    <cellStyle name="40% - Accent6 3 2 2 2 3 4 2" xfId="19858" xr:uid="{00000000-0005-0000-0000-00003B5C0000}"/>
    <cellStyle name="40% - Accent6 3 2 2 2 3 5" xfId="26569" xr:uid="{00000000-0005-0000-0000-00003C5C0000}"/>
    <cellStyle name="40% - Accent6 3 2 2 2 4" xfId="3152" xr:uid="{00000000-0005-0000-0000-00003D5C0000}"/>
    <cellStyle name="40% - Accent6 3 2 2 2 4 2" xfId="27780" xr:uid="{00000000-0005-0000-0000-00003E5C0000}"/>
    <cellStyle name="40% - Accent6 3 2 2 2 4 2 2" xfId="27980" xr:uid="{00000000-0005-0000-0000-00003F5C0000}"/>
    <cellStyle name="40% - Accent6 3 2 2 2 4 2 2 2" xfId="27645" xr:uid="{00000000-0005-0000-0000-0000405C0000}"/>
    <cellStyle name="40% - Accent6 3 2 2 2 4 2 3" xfId="27984" xr:uid="{00000000-0005-0000-0000-0000415C0000}"/>
    <cellStyle name="40% - Accent6 3 2 2 2 4 3" xfId="10214" xr:uid="{00000000-0005-0000-0000-0000425C0000}"/>
    <cellStyle name="40% - Accent6 3 2 2 2 4 3 2" xfId="25836" xr:uid="{00000000-0005-0000-0000-0000435C0000}"/>
    <cellStyle name="40% - Accent6 3 2 2 2 4 4" xfId="9813" xr:uid="{00000000-0005-0000-0000-0000445C0000}"/>
    <cellStyle name="40% - Accent6 3 2 2 2 5" xfId="3166" xr:uid="{00000000-0005-0000-0000-0000455C0000}"/>
    <cellStyle name="40% - Accent6 3 2 2 2 5 2" xfId="2211" xr:uid="{00000000-0005-0000-0000-0000465C0000}"/>
    <cellStyle name="40% - Accent6 3 2 2 2 5 2 2" xfId="30238" xr:uid="{00000000-0005-0000-0000-0000475C0000}"/>
    <cellStyle name="40% - Accent6 3 2 2 2 5 3" xfId="9820" xr:uid="{00000000-0005-0000-0000-0000485C0000}"/>
    <cellStyle name="40% - Accent6 3 2 2 2 6" xfId="2538" xr:uid="{00000000-0005-0000-0000-0000495C0000}"/>
    <cellStyle name="40% - Accent6 3 2 2 2 6 2" xfId="28854" xr:uid="{00000000-0005-0000-0000-00004A5C0000}"/>
    <cellStyle name="40% - Accent6 3 2 2 2 7" xfId="10973" xr:uid="{00000000-0005-0000-0000-00004B5C0000}"/>
    <cellStyle name="40% - Accent6 3 2 2 3" xfId="396" xr:uid="{00000000-0005-0000-0000-00004C5C0000}"/>
    <cellStyle name="40% - Accent6 3 2 2 3 2" xfId="26601" xr:uid="{00000000-0005-0000-0000-00004D5C0000}"/>
    <cellStyle name="40% - Accent6 3 2 2 3 2 2" xfId="28257" xr:uid="{00000000-0005-0000-0000-00004E5C0000}"/>
    <cellStyle name="40% - Accent6 3 2 2 3 2 2 2" xfId="1060" xr:uid="{00000000-0005-0000-0000-00004F5C0000}"/>
    <cellStyle name="40% - Accent6 3 2 2 3 2 2 2 2" xfId="15221" xr:uid="{00000000-0005-0000-0000-0000505C0000}"/>
    <cellStyle name="40% - Accent6 3 2 2 3 2 2 2 2 2" xfId="18825" xr:uid="{00000000-0005-0000-0000-0000515C0000}"/>
    <cellStyle name="40% - Accent6 3 2 2 3 2 2 2 3" xfId="8783" xr:uid="{00000000-0005-0000-0000-0000525C0000}"/>
    <cellStyle name="40% - Accent6 3 2 2 3 2 2 3" xfId="22819" xr:uid="{00000000-0005-0000-0000-0000535C0000}"/>
    <cellStyle name="40% - Accent6 3 2 2 3 2 2 3 2" xfId="23341" xr:uid="{00000000-0005-0000-0000-0000545C0000}"/>
    <cellStyle name="40% - Accent6 3 2 2 3 2 2 4" xfId="26575" xr:uid="{00000000-0005-0000-0000-0000555C0000}"/>
    <cellStyle name="40% - Accent6 3 2 2 3 2 3" xfId="20194" xr:uid="{00000000-0005-0000-0000-0000565C0000}"/>
    <cellStyle name="40% - Accent6 3 2 2 3 2 3 2" xfId="33282" xr:uid="{00000000-0005-0000-0000-0000575C0000}"/>
    <cellStyle name="40% - Accent6 3 2 2 3 2 3 2 2" xfId="8345" xr:uid="{00000000-0005-0000-0000-0000585C0000}"/>
    <cellStyle name="40% - Accent6 3 2 2 3 2 3 3" xfId="26578" xr:uid="{00000000-0005-0000-0000-0000595C0000}"/>
    <cellStyle name="40% - Accent6 3 2 2 3 2 4" xfId="29843" xr:uid="{00000000-0005-0000-0000-00005A5C0000}"/>
    <cellStyle name="40% - Accent6 3 2 2 3 2 4 2" xfId="3586" xr:uid="{00000000-0005-0000-0000-00005B5C0000}"/>
    <cellStyle name="40% - Accent6 3 2 2 3 2 5" xfId="29273" xr:uid="{00000000-0005-0000-0000-00005C5C0000}"/>
    <cellStyle name="40% - Accent6 3 2 2 3 3" xfId="26584" xr:uid="{00000000-0005-0000-0000-00005D5C0000}"/>
    <cellStyle name="40% - Accent6 3 2 2 3 3 2" xfId="25689" xr:uid="{00000000-0005-0000-0000-00005E5C0000}"/>
    <cellStyle name="40% - Accent6 3 2 2 3 3 2 2" xfId="7421" xr:uid="{00000000-0005-0000-0000-00005F5C0000}"/>
    <cellStyle name="40% - Accent6 3 2 2 3 3 2 2 2" xfId="26585" xr:uid="{00000000-0005-0000-0000-0000605C0000}"/>
    <cellStyle name="40% - Accent6 3 2 2 3 3 2 3" xfId="26596" xr:uid="{00000000-0005-0000-0000-0000615C0000}"/>
    <cellStyle name="40% - Accent6 3 2 2 3 3 3" xfId="25693" xr:uid="{00000000-0005-0000-0000-0000625C0000}"/>
    <cellStyle name="40% - Accent6 3 2 2 3 3 3 2" xfId="19930" xr:uid="{00000000-0005-0000-0000-0000635C0000}"/>
    <cellStyle name="40% - Accent6 3 2 2 3 3 4" xfId="29357" xr:uid="{00000000-0005-0000-0000-0000645C0000}"/>
    <cellStyle name="40% - Accent6 3 2 2 3 4" xfId="5631" xr:uid="{00000000-0005-0000-0000-0000655C0000}"/>
    <cellStyle name="40% - Accent6 3 2 2 3 4 2" xfId="28284" xr:uid="{00000000-0005-0000-0000-0000665C0000}"/>
    <cellStyle name="40% - Accent6 3 2 2 3 4 2 2" xfId="27989" xr:uid="{00000000-0005-0000-0000-0000675C0000}"/>
    <cellStyle name="40% - Accent6 3 2 2 3 4 3" xfId="9835" xr:uid="{00000000-0005-0000-0000-0000685C0000}"/>
    <cellStyle name="40% - Accent6 3 2 2 3 5" xfId="5639" xr:uid="{00000000-0005-0000-0000-0000695C0000}"/>
    <cellStyle name="40% - Accent6 3 2 2 3 5 2" xfId="20421" xr:uid="{00000000-0005-0000-0000-00006A5C0000}"/>
    <cellStyle name="40% - Accent6 3 2 2 3 6" xfId="29778" xr:uid="{00000000-0005-0000-0000-00006B5C0000}"/>
    <cellStyle name="40% - Accent6 3 2 2 4" xfId="2541" xr:uid="{00000000-0005-0000-0000-00006C5C0000}"/>
    <cellStyle name="40% - Accent6 3 2 2 4 2" xfId="26608" xr:uid="{00000000-0005-0000-0000-00006D5C0000}"/>
    <cellStyle name="40% - Accent6 3 2 2 4 2 2" xfId="172" xr:uid="{00000000-0005-0000-0000-00006E5C0000}"/>
    <cellStyle name="40% - Accent6 3 2 2 4 2 2 2" xfId="21592" xr:uid="{00000000-0005-0000-0000-00006F5C0000}"/>
    <cellStyle name="40% - Accent6 3 2 2 4 2 2 2 2" xfId="28072" xr:uid="{00000000-0005-0000-0000-0000705C0000}"/>
    <cellStyle name="40% - Accent6 3 2 2 4 2 2 3" xfId="21628" xr:uid="{00000000-0005-0000-0000-0000715C0000}"/>
    <cellStyle name="40% - Accent6 3 2 2 4 2 3" xfId="32" xr:uid="{00000000-0005-0000-0000-0000725C0000}"/>
    <cellStyle name="40% - Accent6 3 2 2 4 2 3 2" xfId="30724" xr:uid="{00000000-0005-0000-0000-0000735C0000}"/>
    <cellStyle name="40% - Accent6 3 2 2 4 2 4" xfId="29931" xr:uid="{00000000-0005-0000-0000-0000745C0000}"/>
    <cellStyle name="40% - Accent6 3 2 2 4 3" xfId="29530" xr:uid="{00000000-0005-0000-0000-0000755C0000}"/>
    <cellStyle name="40% - Accent6 3 2 2 4 3 2" xfId="182" xr:uid="{00000000-0005-0000-0000-0000765C0000}"/>
    <cellStyle name="40% - Accent6 3 2 2 4 3 2 2" xfId="23592" xr:uid="{00000000-0005-0000-0000-0000775C0000}"/>
    <cellStyle name="40% - Accent6 3 2 2 4 3 3" xfId="29537" xr:uid="{00000000-0005-0000-0000-0000785C0000}"/>
    <cellStyle name="40% - Accent6 3 2 2 4 4" xfId="28293" xr:uid="{00000000-0005-0000-0000-0000795C0000}"/>
    <cellStyle name="40% - Accent6 3 2 2 4 4 2" xfId="9845" xr:uid="{00000000-0005-0000-0000-00007A5C0000}"/>
    <cellStyle name="40% - Accent6 3 2 2 4 5" xfId="9850" xr:uid="{00000000-0005-0000-0000-00007B5C0000}"/>
    <cellStyle name="40% - Accent6 3 2 2 5" xfId="19865" xr:uid="{00000000-0005-0000-0000-00007C5C0000}"/>
    <cellStyle name="40% - Accent6 3 2 2 5 2" xfId="29562" xr:uid="{00000000-0005-0000-0000-00007D5C0000}"/>
    <cellStyle name="40% - Accent6 3 2 2 5 2 2" xfId="16817" xr:uid="{00000000-0005-0000-0000-00007E5C0000}"/>
    <cellStyle name="40% - Accent6 3 2 2 5 2 2 2" xfId="22522" xr:uid="{00000000-0005-0000-0000-00007F5C0000}"/>
    <cellStyle name="40% - Accent6 3 2 2 5 2 3" xfId="9985" xr:uid="{00000000-0005-0000-0000-0000805C0000}"/>
    <cellStyle name="40% - Accent6 3 2 2 5 3" xfId="16555" xr:uid="{00000000-0005-0000-0000-0000815C0000}"/>
    <cellStyle name="40% - Accent6 3 2 2 5 3 2" xfId="28439" xr:uid="{00000000-0005-0000-0000-0000825C0000}"/>
    <cellStyle name="40% - Accent6 3 2 2 5 4" xfId="9853" xr:uid="{00000000-0005-0000-0000-0000835C0000}"/>
    <cellStyle name="40% - Accent6 3 2 2 6" xfId="32145" xr:uid="{00000000-0005-0000-0000-0000845C0000}"/>
    <cellStyle name="40% - Accent6 3 2 2 6 2" xfId="3076" xr:uid="{00000000-0005-0000-0000-0000855C0000}"/>
    <cellStyle name="40% - Accent6 3 2 2 6 2 2" xfId="10187" xr:uid="{00000000-0005-0000-0000-0000865C0000}"/>
    <cellStyle name="40% - Accent6 3 2 2 6 3" xfId="4848" xr:uid="{00000000-0005-0000-0000-0000875C0000}"/>
    <cellStyle name="40% - Accent6 3 2 2 7" xfId="30862" xr:uid="{00000000-0005-0000-0000-0000885C0000}"/>
    <cellStyle name="40% - Accent6 3 2 2 7 2" xfId="6469" xr:uid="{00000000-0005-0000-0000-0000895C0000}"/>
    <cellStyle name="40% - Accent6 3 2 2 8" xfId="31712" xr:uid="{00000000-0005-0000-0000-00008A5C0000}"/>
    <cellStyle name="40% - Accent6 3 2 3" xfId="24582" xr:uid="{00000000-0005-0000-0000-00008B5C0000}"/>
    <cellStyle name="40% - Accent6 3 2 3 2" xfId="26877" xr:uid="{00000000-0005-0000-0000-00008C5C0000}"/>
    <cellStyle name="40% - Accent6 3 2 3 2 2" xfId="27008" xr:uid="{00000000-0005-0000-0000-00008D5C0000}"/>
    <cellStyle name="40% - Accent6 3 2 3 2 2 2" xfId="26609" xr:uid="{00000000-0005-0000-0000-00008E5C0000}"/>
    <cellStyle name="40% - Accent6 3 2 3 2 2 2 2" xfId="6673" xr:uid="{00000000-0005-0000-0000-00008F5C0000}"/>
    <cellStyle name="40% - Accent6 3 2 3 2 2 2 2 2" xfId="8622" xr:uid="{00000000-0005-0000-0000-0000905C0000}"/>
    <cellStyle name="40% - Accent6 3 2 3 2 2 2 2 2 2" xfId="4190" xr:uid="{00000000-0005-0000-0000-0000915C0000}"/>
    <cellStyle name="40% - Accent6 3 2 3 2 2 2 2 3" xfId="14230" xr:uid="{00000000-0005-0000-0000-0000925C0000}"/>
    <cellStyle name="40% - Accent6 3 2 3 2 2 2 3" xfId="6694" xr:uid="{00000000-0005-0000-0000-0000935C0000}"/>
    <cellStyle name="40% - Accent6 3 2 3 2 2 2 3 2" xfId="5948" xr:uid="{00000000-0005-0000-0000-0000945C0000}"/>
    <cellStyle name="40% - Accent6 3 2 3 2 2 2 4" xfId="5864" xr:uid="{00000000-0005-0000-0000-0000955C0000}"/>
    <cellStyle name="40% - Accent6 3 2 3 2 2 3" xfId="25946" xr:uid="{00000000-0005-0000-0000-0000965C0000}"/>
    <cellStyle name="40% - Accent6 3 2 3 2 2 3 2" xfId="6951" xr:uid="{00000000-0005-0000-0000-0000975C0000}"/>
    <cellStyle name="40% - Accent6 3 2 3 2 2 3 2 2" xfId="4595" xr:uid="{00000000-0005-0000-0000-0000985C0000}"/>
    <cellStyle name="40% - Accent6 3 2 3 2 2 3 3" xfId="31084" xr:uid="{00000000-0005-0000-0000-0000995C0000}"/>
    <cellStyle name="40% - Accent6 3 2 3 2 2 4" xfId="26619" xr:uid="{00000000-0005-0000-0000-00009A5C0000}"/>
    <cellStyle name="40% - Accent6 3 2 3 2 2 4 2" xfId="26622" xr:uid="{00000000-0005-0000-0000-00009B5C0000}"/>
    <cellStyle name="40% - Accent6 3 2 3 2 2 5" xfId="26629" xr:uid="{00000000-0005-0000-0000-00009C5C0000}"/>
    <cellStyle name="40% - Accent6 3 2 3 2 3" xfId="29942" xr:uid="{00000000-0005-0000-0000-00009D5C0000}"/>
    <cellStyle name="40% - Accent6 3 2 3 2 3 2" xfId="3284" xr:uid="{00000000-0005-0000-0000-00009E5C0000}"/>
    <cellStyle name="40% - Accent6 3 2 3 2 3 2 2" xfId="7105" xr:uid="{00000000-0005-0000-0000-00009F5C0000}"/>
    <cellStyle name="40% - Accent6 3 2 3 2 3 2 2 2" xfId="26632" xr:uid="{00000000-0005-0000-0000-0000A05C0000}"/>
    <cellStyle name="40% - Accent6 3 2 3 2 3 2 3" xfId="26633" xr:uid="{00000000-0005-0000-0000-0000A15C0000}"/>
    <cellStyle name="40% - Accent6 3 2 3 2 3 3" xfId="26638" xr:uid="{00000000-0005-0000-0000-0000A25C0000}"/>
    <cellStyle name="40% - Accent6 3 2 3 2 3 3 2" xfId="20100" xr:uid="{00000000-0005-0000-0000-0000A35C0000}"/>
    <cellStyle name="40% - Accent6 3 2 3 2 3 4" xfId="23259" xr:uid="{00000000-0005-0000-0000-0000A45C0000}"/>
    <cellStyle name="40% - Accent6 3 2 3 2 4" xfId="3235" xr:uid="{00000000-0005-0000-0000-0000A55C0000}"/>
    <cellStyle name="40% - Accent6 3 2 3 2 4 2" xfId="1694" xr:uid="{00000000-0005-0000-0000-0000A65C0000}"/>
    <cellStyle name="40% - Accent6 3 2 3 2 4 2 2" xfId="21234" xr:uid="{00000000-0005-0000-0000-0000A75C0000}"/>
    <cellStyle name="40% - Accent6 3 2 3 2 4 3" xfId="8926" xr:uid="{00000000-0005-0000-0000-0000A85C0000}"/>
    <cellStyle name="40% - Accent6 3 2 3 2 5" xfId="2175" xr:uid="{00000000-0005-0000-0000-0000A95C0000}"/>
    <cellStyle name="40% - Accent6 3 2 3 2 5 2" xfId="1534" xr:uid="{00000000-0005-0000-0000-0000AA5C0000}"/>
    <cellStyle name="40% - Accent6 3 2 3 2 6" xfId="30046" xr:uid="{00000000-0005-0000-0000-0000AB5C0000}"/>
    <cellStyle name="40% - Accent6 3 2 3 3" xfId="28747" xr:uid="{00000000-0005-0000-0000-0000AC5C0000}"/>
    <cellStyle name="40% - Accent6 3 2 3 3 2" xfId="28748" xr:uid="{00000000-0005-0000-0000-0000AD5C0000}"/>
    <cellStyle name="40% - Accent6 3 2 3 3 2 2" xfId="26385" xr:uid="{00000000-0005-0000-0000-0000AE5C0000}"/>
    <cellStyle name="40% - Accent6 3 2 3 3 2 2 2" xfId="7339" xr:uid="{00000000-0005-0000-0000-0000AF5C0000}"/>
    <cellStyle name="40% - Accent6 3 2 3 3 2 2 2 2" xfId="26641" xr:uid="{00000000-0005-0000-0000-0000B05C0000}"/>
    <cellStyle name="40% - Accent6 3 2 3 3 2 2 3" xfId="29083" xr:uid="{00000000-0005-0000-0000-0000B15C0000}"/>
    <cellStyle name="40% - Accent6 3 2 3 3 2 3" xfId="25182" xr:uid="{00000000-0005-0000-0000-0000B25C0000}"/>
    <cellStyle name="40% - Accent6 3 2 3 3 2 3 2" xfId="32368" xr:uid="{00000000-0005-0000-0000-0000B35C0000}"/>
    <cellStyle name="40% - Accent6 3 2 3 3 2 4" xfId="29607" xr:uid="{00000000-0005-0000-0000-0000B45C0000}"/>
    <cellStyle name="40% - Accent6 3 2 3 3 3" xfId="28758" xr:uid="{00000000-0005-0000-0000-0000B55C0000}"/>
    <cellStyle name="40% - Accent6 3 2 3 3 3 2" xfId="25724" xr:uid="{00000000-0005-0000-0000-0000B65C0000}"/>
    <cellStyle name="40% - Accent6 3 2 3 3 3 2 2" xfId="31294" xr:uid="{00000000-0005-0000-0000-0000B75C0000}"/>
    <cellStyle name="40% - Accent6 3 2 3 3 3 3" xfId="26650" xr:uid="{00000000-0005-0000-0000-0000B85C0000}"/>
    <cellStyle name="40% - Accent6 3 2 3 3 4" xfId="30085" xr:uid="{00000000-0005-0000-0000-0000B95C0000}"/>
    <cellStyle name="40% - Accent6 3 2 3 3 4 2" xfId="1738" xr:uid="{00000000-0005-0000-0000-0000BA5C0000}"/>
    <cellStyle name="40% - Accent6 3 2 3 3 5" xfId="30097" xr:uid="{00000000-0005-0000-0000-0000BB5C0000}"/>
    <cellStyle name="40% - Accent6 3 2 3 4" xfId="28782" xr:uid="{00000000-0005-0000-0000-0000BC5C0000}"/>
    <cellStyle name="40% - Accent6 3 2 3 4 2" xfId="26652" xr:uid="{00000000-0005-0000-0000-0000BD5C0000}"/>
    <cellStyle name="40% - Accent6 3 2 3 4 2 2" xfId="957" xr:uid="{00000000-0005-0000-0000-0000BE5C0000}"/>
    <cellStyle name="40% - Accent6 3 2 3 4 2 2 2" xfId="24299" xr:uid="{00000000-0005-0000-0000-0000BF5C0000}"/>
    <cellStyle name="40% - Accent6 3 2 3 4 2 3" xfId="29625" xr:uid="{00000000-0005-0000-0000-0000C05C0000}"/>
    <cellStyle name="40% - Accent6 3 2 3 4 3" xfId="27303" xr:uid="{00000000-0005-0000-0000-0000C15C0000}"/>
    <cellStyle name="40% - Accent6 3 2 3 4 3 2" xfId="30035" xr:uid="{00000000-0005-0000-0000-0000C25C0000}"/>
    <cellStyle name="40% - Accent6 3 2 3 4 4" xfId="3543" xr:uid="{00000000-0005-0000-0000-0000C35C0000}"/>
    <cellStyle name="40% - Accent6 3 2 3 5" xfId="33049" xr:uid="{00000000-0005-0000-0000-0000C45C0000}"/>
    <cellStyle name="40% - Accent6 3 2 3 5 2" xfId="27790" xr:uid="{00000000-0005-0000-0000-0000C55C0000}"/>
    <cellStyle name="40% - Accent6 3 2 3 5 2 2" xfId="27248" xr:uid="{00000000-0005-0000-0000-0000C65C0000}"/>
    <cellStyle name="40% - Accent6 3 2 3 5 3" xfId="29274" xr:uid="{00000000-0005-0000-0000-0000C75C0000}"/>
    <cellStyle name="40% - Accent6 3 2 3 6" xfId="22954" xr:uid="{00000000-0005-0000-0000-0000C85C0000}"/>
    <cellStyle name="40% - Accent6 3 2 3 6 2" xfId="4865" xr:uid="{00000000-0005-0000-0000-0000C95C0000}"/>
    <cellStyle name="40% - Accent6 3 2 3 7" xfId="26655" xr:uid="{00000000-0005-0000-0000-0000CA5C0000}"/>
    <cellStyle name="40% - Accent6 3 2 4" xfId="3740" xr:uid="{00000000-0005-0000-0000-0000CB5C0000}"/>
    <cellStyle name="40% - Accent6 3 2 4 2" xfId="2460" xr:uid="{00000000-0005-0000-0000-0000CC5C0000}"/>
    <cellStyle name="40% - Accent6 3 2 4 2 2" xfId="26658" xr:uid="{00000000-0005-0000-0000-0000CD5C0000}"/>
    <cellStyle name="40% - Accent6 3 2 4 2 2 2" xfId="26660" xr:uid="{00000000-0005-0000-0000-0000CE5C0000}"/>
    <cellStyle name="40% - Accent6 3 2 4 2 2 2 2" xfId="27744" xr:uid="{00000000-0005-0000-0000-0000CF5C0000}"/>
    <cellStyle name="40% - Accent6 3 2 4 2 2 2 2 2" xfId="8839" xr:uid="{00000000-0005-0000-0000-0000D05C0000}"/>
    <cellStyle name="40% - Accent6 3 2 4 2 2 2 3" xfId="24360" xr:uid="{00000000-0005-0000-0000-0000D15C0000}"/>
    <cellStyle name="40% - Accent6 3 2 4 2 2 3" xfId="26664" xr:uid="{00000000-0005-0000-0000-0000D25C0000}"/>
    <cellStyle name="40% - Accent6 3 2 4 2 2 3 2" xfId="22559" xr:uid="{00000000-0005-0000-0000-0000D35C0000}"/>
    <cellStyle name="40% - Accent6 3 2 4 2 2 4" xfId="11921" xr:uid="{00000000-0005-0000-0000-0000D45C0000}"/>
    <cellStyle name="40% - Accent6 3 2 4 2 3" xfId="3441" xr:uid="{00000000-0005-0000-0000-0000D55C0000}"/>
    <cellStyle name="40% - Accent6 3 2 4 2 3 2" xfId="26669" xr:uid="{00000000-0005-0000-0000-0000D65C0000}"/>
    <cellStyle name="40% - Accent6 3 2 4 2 3 2 2" xfId="24386" xr:uid="{00000000-0005-0000-0000-0000D75C0000}"/>
    <cellStyle name="40% - Accent6 3 2 4 2 3 3" xfId="26673" xr:uid="{00000000-0005-0000-0000-0000D85C0000}"/>
    <cellStyle name="40% - Accent6 3 2 4 2 4" xfId="24060" xr:uid="{00000000-0005-0000-0000-0000D95C0000}"/>
    <cellStyle name="40% - Accent6 3 2 4 2 4 2" xfId="3819" xr:uid="{00000000-0005-0000-0000-0000DA5C0000}"/>
    <cellStyle name="40% - Accent6 3 2 4 2 5" xfId="14783" xr:uid="{00000000-0005-0000-0000-0000DB5C0000}"/>
    <cellStyle name="40% - Accent6 3 2 4 3" xfId="4345" xr:uid="{00000000-0005-0000-0000-0000DC5C0000}"/>
    <cellStyle name="40% - Accent6 3 2 4 3 2" xfId="734" xr:uid="{00000000-0005-0000-0000-0000DD5C0000}"/>
    <cellStyle name="40% - Accent6 3 2 4 3 2 2" xfId="2832" xr:uid="{00000000-0005-0000-0000-0000DE5C0000}"/>
    <cellStyle name="40% - Accent6 3 2 4 3 2 2 2" xfId="24457" xr:uid="{00000000-0005-0000-0000-0000DF5C0000}"/>
    <cellStyle name="40% - Accent6 3 2 4 3 2 3" xfId="7770" xr:uid="{00000000-0005-0000-0000-0000E05C0000}"/>
    <cellStyle name="40% - Accent6 3 2 4 3 3" xfId="6679" xr:uid="{00000000-0005-0000-0000-0000E15C0000}"/>
    <cellStyle name="40% - Accent6 3 2 4 3 3 2" xfId="1591" xr:uid="{00000000-0005-0000-0000-0000E25C0000}"/>
    <cellStyle name="40% - Accent6 3 2 4 3 4" xfId="20243" xr:uid="{00000000-0005-0000-0000-0000E35C0000}"/>
    <cellStyle name="40% - Accent6 3 2 4 4" xfId="3201" xr:uid="{00000000-0005-0000-0000-0000E45C0000}"/>
    <cellStyle name="40% - Accent6 3 2 4 4 2" xfId="852" xr:uid="{00000000-0005-0000-0000-0000E55C0000}"/>
    <cellStyle name="40% - Accent6 3 2 4 4 2 2" xfId="438" xr:uid="{00000000-0005-0000-0000-0000E65C0000}"/>
    <cellStyle name="40% - Accent6 3 2 4 4 3" xfId="2367" xr:uid="{00000000-0005-0000-0000-0000E75C0000}"/>
    <cellStyle name="40% - Accent6 3 2 4 5" xfId="18243" xr:uid="{00000000-0005-0000-0000-0000E85C0000}"/>
    <cellStyle name="40% - Accent6 3 2 4 5 2" xfId="10842" xr:uid="{00000000-0005-0000-0000-0000E95C0000}"/>
    <cellStyle name="40% - Accent6 3 2 4 6" xfId="18249" xr:uid="{00000000-0005-0000-0000-0000EA5C0000}"/>
    <cellStyle name="40% - Accent6 3 2 5" xfId="2272" xr:uid="{00000000-0005-0000-0000-0000EB5C0000}"/>
    <cellStyle name="40% - Accent6 3 2 5 2" xfId="18069" xr:uid="{00000000-0005-0000-0000-0000EC5C0000}"/>
    <cellStyle name="40% - Accent6 3 2 5 2 2" xfId="1063" xr:uid="{00000000-0005-0000-0000-0000ED5C0000}"/>
    <cellStyle name="40% - Accent6 3 2 5 2 2 2" xfId="6308" xr:uid="{00000000-0005-0000-0000-0000EE5C0000}"/>
    <cellStyle name="40% - Accent6 3 2 5 2 2 2 2" xfId="13407" xr:uid="{00000000-0005-0000-0000-0000EF5C0000}"/>
    <cellStyle name="40% - Accent6 3 2 5 2 2 3" xfId="573" xr:uid="{00000000-0005-0000-0000-0000F05C0000}"/>
    <cellStyle name="40% - Accent6 3 2 5 2 3" xfId="4433" xr:uid="{00000000-0005-0000-0000-0000F15C0000}"/>
    <cellStyle name="40% - Accent6 3 2 5 2 3 2" xfId="1003" xr:uid="{00000000-0005-0000-0000-0000F25C0000}"/>
    <cellStyle name="40% - Accent6 3 2 5 2 4" xfId="24578" xr:uid="{00000000-0005-0000-0000-0000F35C0000}"/>
    <cellStyle name="40% - Accent6 3 2 5 3" xfId="18070" xr:uid="{00000000-0005-0000-0000-0000F45C0000}"/>
    <cellStyle name="40% - Accent6 3 2 5 3 2" xfId="15231" xr:uid="{00000000-0005-0000-0000-0000F55C0000}"/>
    <cellStyle name="40% - Accent6 3 2 5 3 2 2" xfId="8604" xr:uid="{00000000-0005-0000-0000-0000F65C0000}"/>
    <cellStyle name="40% - Accent6 3 2 5 3 3" xfId="3457" xr:uid="{00000000-0005-0000-0000-0000F75C0000}"/>
    <cellStyle name="40% - Accent6 3 2 5 4" xfId="28840" xr:uid="{00000000-0005-0000-0000-0000F85C0000}"/>
    <cellStyle name="40% - Accent6 3 2 5 4 2" xfId="603" xr:uid="{00000000-0005-0000-0000-0000F95C0000}"/>
    <cellStyle name="40% - Accent6 3 2 5 5" xfId="32641" xr:uid="{00000000-0005-0000-0000-0000FA5C0000}"/>
    <cellStyle name="40% - Accent6 3 2 6" xfId="4221" xr:uid="{00000000-0005-0000-0000-0000FB5C0000}"/>
    <cellStyle name="40% - Accent6 3 2 6 2" xfId="18075" xr:uid="{00000000-0005-0000-0000-0000FC5C0000}"/>
    <cellStyle name="40% - Accent6 3 2 6 2 2" xfId="19996" xr:uid="{00000000-0005-0000-0000-0000FD5C0000}"/>
    <cellStyle name="40% - Accent6 3 2 6 2 2 2" xfId="6020" xr:uid="{00000000-0005-0000-0000-0000FE5C0000}"/>
    <cellStyle name="40% - Accent6 3 2 6 2 3" xfId="8459" xr:uid="{00000000-0005-0000-0000-0000FF5C0000}"/>
    <cellStyle name="40% - Accent6 3 2 6 3" xfId="26680" xr:uid="{00000000-0005-0000-0000-0000005D0000}"/>
    <cellStyle name="40% - Accent6 3 2 6 3 2" xfId="6593" xr:uid="{00000000-0005-0000-0000-0000015D0000}"/>
    <cellStyle name="40% - Accent6 3 2 6 4" xfId="26683" xr:uid="{00000000-0005-0000-0000-0000025D0000}"/>
    <cellStyle name="40% - Accent6 3 2 7" xfId="1833" xr:uid="{00000000-0005-0000-0000-0000035D0000}"/>
    <cellStyle name="40% - Accent6 3 2 7 2" xfId="19354" xr:uid="{00000000-0005-0000-0000-0000045D0000}"/>
    <cellStyle name="40% - Accent6 3 2 7 2 2" xfId="14465" xr:uid="{00000000-0005-0000-0000-0000055D0000}"/>
    <cellStyle name="40% - Accent6 3 2 7 3" xfId="15849" xr:uid="{00000000-0005-0000-0000-0000065D0000}"/>
    <cellStyle name="40% - Accent6 3 2 8" xfId="1034" xr:uid="{00000000-0005-0000-0000-0000075D0000}"/>
    <cellStyle name="40% - Accent6 3 2 8 2" xfId="15854" xr:uid="{00000000-0005-0000-0000-0000085D0000}"/>
    <cellStyle name="40% - Accent6 3 2 9" xfId="15860" xr:uid="{00000000-0005-0000-0000-0000095D0000}"/>
    <cellStyle name="40% - Accent6 3 3" xfId="19985" xr:uid="{00000000-0005-0000-0000-00000A5D0000}"/>
    <cellStyle name="40% - Accent6 3 3 2" xfId="24584" xr:uid="{00000000-0005-0000-0000-00000B5D0000}"/>
    <cellStyle name="40% - Accent6 3 3 2 2" xfId="24588" xr:uid="{00000000-0005-0000-0000-00000C5D0000}"/>
    <cellStyle name="40% - Accent6 3 3 2 2 2" xfId="27959" xr:uid="{00000000-0005-0000-0000-00000D5D0000}"/>
    <cellStyle name="40% - Accent6 3 3 2 2 2 2" xfId="10195" xr:uid="{00000000-0005-0000-0000-00000E5D0000}"/>
    <cellStyle name="40% - Accent6 3 3 2 2 2 2 2" xfId="26690" xr:uid="{00000000-0005-0000-0000-00000F5D0000}"/>
    <cellStyle name="40% - Accent6 3 3 2 2 2 2 2 2" xfId="20879" xr:uid="{00000000-0005-0000-0000-0000105D0000}"/>
    <cellStyle name="40% - Accent6 3 3 2 2 2 2 2 2 2" xfId="21087" xr:uid="{00000000-0005-0000-0000-0000115D0000}"/>
    <cellStyle name="40% - Accent6 3 3 2 2 2 2 2 3" xfId="27062" xr:uid="{00000000-0005-0000-0000-0000125D0000}"/>
    <cellStyle name="40% - Accent6 3 3 2 2 2 2 3" xfId="27531" xr:uid="{00000000-0005-0000-0000-0000135D0000}"/>
    <cellStyle name="40% - Accent6 3 3 2 2 2 2 3 2" xfId="20835" xr:uid="{00000000-0005-0000-0000-0000145D0000}"/>
    <cellStyle name="40% - Accent6 3 3 2 2 2 2 4" xfId="26694" xr:uid="{00000000-0005-0000-0000-0000155D0000}"/>
    <cellStyle name="40% - Accent6 3 3 2 2 2 3" xfId="10203" xr:uid="{00000000-0005-0000-0000-0000165D0000}"/>
    <cellStyle name="40% - Accent6 3 3 2 2 2 3 2" xfId="26695" xr:uid="{00000000-0005-0000-0000-0000175D0000}"/>
    <cellStyle name="40% - Accent6 3 3 2 2 2 3 2 2" xfId="28669" xr:uid="{00000000-0005-0000-0000-0000185D0000}"/>
    <cellStyle name="40% - Accent6 3 3 2 2 2 3 3" xfId="27679" xr:uid="{00000000-0005-0000-0000-0000195D0000}"/>
    <cellStyle name="40% - Accent6 3 3 2 2 2 4" xfId="20815" xr:uid="{00000000-0005-0000-0000-00001A5D0000}"/>
    <cellStyle name="40% - Accent6 3 3 2 2 2 4 2" xfId="20419" xr:uid="{00000000-0005-0000-0000-00001B5D0000}"/>
    <cellStyle name="40% - Accent6 3 3 2 2 2 5" xfId="881" xr:uid="{00000000-0005-0000-0000-00001C5D0000}"/>
    <cellStyle name="40% - Accent6 3 3 2 2 3" xfId="26696" xr:uid="{00000000-0005-0000-0000-00001D5D0000}"/>
    <cellStyle name="40% - Accent6 3 3 2 2 3 2" xfId="10208" xr:uid="{00000000-0005-0000-0000-00001E5D0000}"/>
    <cellStyle name="40% - Accent6 3 3 2 2 3 2 2" xfId="10795" xr:uid="{00000000-0005-0000-0000-00001F5D0000}"/>
    <cellStyle name="40% - Accent6 3 3 2 2 3 2 2 2" xfId="3409" xr:uid="{00000000-0005-0000-0000-0000205D0000}"/>
    <cellStyle name="40% - Accent6 3 3 2 2 3 2 3" xfId="26703" xr:uid="{00000000-0005-0000-0000-0000215D0000}"/>
    <cellStyle name="40% - Accent6 3 3 2 2 3 3" xfId="32070" xr:uid="{00000000-0005-0000-0000-0000225D0000}"/>
    <cellStyle name="40% - Accent6 3 3 2 2 3 3 2" xfId="27489" xr:uid="{00000000-0005-0000-0000-0000235D0000}"/>
    <cellStyle name="40% - Accent6 3 3 2 2 3 4" xfId="26704" xr:uid="{00000000-0005-0000-0000-0000245D0000}"/>
    <cellStyle name="40% - Accent6 3 3 2 2 4" xfId="3088" xr:uid="{00000000-0005-0000-0000-0000255D0000}"/>
    <cellStyle name="40% - Accent6 3 3 2 2 4 2" xfId="24684" xr:uid="{00000000-0005-0000-0000-0000265D0000}"/>
    <cellStyle name="40% - Accent6 3 3 2 2 4 2 2" xfId="28410" xr:uid="{00000000-0005-0000-0000-0000275D0000}"/>
    <cellStyle name="40% - Accent6 3 3 2 2 4 3" xfId="10341" xr:uid="{00000000-0005-0000-0000-0000285D0000}"/>
    <cellStyle name="40% - Accent6 3 3 2 2 5" xfId="2921" xr:uid="{00000000-0005-0000-0000-0000295D0000}"/>
    <cellStyle name="40% - Accent6 3 3 2 2 5 2" xfId="10348" xr:uid="{00000000-0005-0000-0000-00002A5D0000}"/>
    <cellStyle name="40% - Accent6 3 3 2 2 6" xfId="10350" xr:uid="{00000000-0005-0000-0000-00002B5D0000}"/>
    <cellStyle name="40% - Accent6 3 3 2 3" xfId="27457" xr:uid="{00000000-0005-0000-0000-00002C5D0000}"/>
    <cellStyle name="40% - Accent6 3 3 2 3 2" xfId="17052" xr:uid="{00000000-0005-0000-0000-00002D5D0000}"/>
    <cellStyle name="40% - Accent6 3 3 2 3 2 2" xfId="30861" xr:uid="{00000000-0005-0000-0000-00002E5D0000}"/>
    <cellStyle name="40% - Accent6 3 3 2 3 2 2 2" xfId="28859" xr:uid="{00000000-0005-0000-0000-00002F5D0000}"/>
    <cellStyle name="40% - Accent6 3 3 2 3 2 2 2 2" xfId="16896" xr:uid="{00000000-0005-0000-0000-0000305D0000}"/>
    <cellStyle name="40% - Accent6 3 3 2 3 2 2 3" xfId="24714" xr:uid="{00000000-0005-0000-0000-0000315D0000}"/>
    <cellStyle name="40% - Accent6 3 3 2 3 2 3" xfId="15111" xr:uid="{00000000-0005-0000-0000-0000325D0000}"/>
    <cellStyle name="40% - Accent6 3 3 2 3 2 3 2" xfId="26707" xr:uid="{00000000-0005-0000-0000-0000335D0000}"/>
    <cellStyle name="40% - Accent6 3 3 2 3 2 4" xfId="15114" xr:uid="{00000000-0005-0000-0000-0000345D0000}"/>
    <cellStyle name="40% - Accent6 3 3 2 3 3" xfId="15116" xr:uid="{00000000-0005-0000-0000-0000355D0000}"/>
    <cellStyle name="40% - Accent6 3 3 2 3 3 2" xfId="15127" xr:uid="{00000000-0005-0000-0000-0000365D0000}"/>
    <cellStyle name="40% - Accent6 3 3 2 3 3 2 2" xfId="29157" xr:uid="{00000000-0005-0000-0000-0000375D0000}"/>
    <cellStyle name="40% - Accent6 3 3 2 3 3 3" xfId="15129" xr:uid="{00000000-0005-0000-0000-0000385D0000}"/>
    <cellStyle name="40% - Accent6 3 3 2 3 4" xfId="5812" xr:uid="{00000000-0005-0000-0000-0000395D0000}"/>
    <cellStyle name="40% - Accent6 3 3 2 3 4 2" xfId="10356" xr:uid="{00000000-0005-0000-0000-00003A5D0000}"/>
    <cellStyle name="40% - Accent6 3 3 2 3 5" xfId="11236" xr:uid="{00000000-0005-0000-0000-00003B5D0000}"/>
    <cellStyle name="40% - Accent6 3 3 2 4" xfId="26700" xr:uid="{00000000-0005-0000-0000-00003C5D0000}"/>
    <cellStyle name="40% - Accent6 3 3 2 4 2" xfId="17060" xr:uid="{00000000-0005-0000-0000-00003D5D0000}"/>
    <cellStyle name="40% - Accent6 3 3 2 4 2 2" xfId="29" xr:uid="{00000000-0005-0000-0000-00003E5D0000}"/>
    <cellStyle name="40% - Accent6 3 3 2 4 2 2 2" xfId="9006" xr:uid="{00000000-0005-0000-0000-00003F5D0000}"/>
    <cellStyle name="40% - Accent6 3 3 2 4 2 3" xfId="15180" xr:uid="{00000000-0005-0000-0000-0000405D0000}"/>
    <cellStyle name="40% - Accent6 3 3 2 4 3" xfId="15182" xr:uid="{00000000-0005-0000-0000-0000415D0000}"/>
    <cellStyle name="40% - Accent6 3 3 2 4 3 2" xfId="15184" xr:uid="{00000000-0005-0000-0000-0000425D0000}"/>
    <cellStyle name="40% - Accent6 3 3 2 4 4" xfId="10361" xr:uid="{00000000-0005-0000-0000-0000435D0000}"/>
    <cellStyle name="40% - Accent6 3 3 2 5" xfId="26814" xr:uid="{00000000-0005-0000-0000-0000445D0000}"/>
    <cellStyle name="40% - Accent6 3 3 2 5 2" xfId="15200" xr:uid="{00000000-0005-0000-0000-0000455D0000}"/>
    <cellStyle name="40% - Accent6 3 3 2 5 2 2" xfId="10416" xr:uid="{00000000-0005-0000-0000-0000465D0000}"/>
    <cellStyle name="40% - Accent6 3 3 2 5 3" xfId="15202" xr:uid="{00000000-0005-0000-0000-0000475D0000}"/>
    <cellStyle name="40% - Accent6 3 3 2 6" xfId="26715" xr:uid="{00000000-0005-0000-0000-0000485D0000}"/>
    <cellStyle name="40% - Accent6 3 3 2 6 2" xfId="23013" xr:uid="{00000000-0005-0000-0000-0000495D0000}"/>
    <cellStyle name="40% - Accent6 3 3 2 7" xfId="26727" xr:uid="{00000000-0005-0000-0000-00004A5D0000}"/>
    <cellStyle name="40% - Accent6 3 3 3" xfId="24592" xr:uid="{00000000-0005-0000-0000-00004B5D0000}"/>
    <cellStyle name="40% - Accent6 3 3 3 2" xfId="2297" xr:uid="{00000000-0005-0000-0000-00004C5D0000}"/>
    <cellStyle name="40% - Accent6 3 3 3 2 2" xfId="14376" xr:uid="{00000000-0005-0000-0000-00004D5D0000}"/>
    <cellStyle name="40% - Accent6 3 3 3 2 2 2" xfId="13312" xr:uid="{00000000-0005-0000-0000-00004E5D0000}"/>
    <cellStyle name="40% - Accent6 3 3 3 2 2 2 2" xfId="160" xr:uid="{00000000-0005-0000-0000-00004F5D0000}"/>
    <cellStyle name="40% - Accent6 3 3 3 2 2 2 2 2" xfId="23549" xr:uid="{00000000-0005-0000-0000-0000505D0000}"/>
    <cellStyle name="40% - Accent6 3 3 3 2 2 2 3" xfId="1361" xr:uid="{00000000-0005-0000-0000-0000515D0000}"/>
    <cellStyle name="40% - Accent6 3 3 3 2 2 3" xfId="26732" xr:uid="{00000000-0005-0000-0000-0000525D0000}"/>
    <cellStyle name="40% - Accent6 3 3 3 2 2 3 2" xfId="9260" xr:uid="{00000000-0005-0000-0000-0000535D0000}"/>
    <cellStyle name="40% - Accent6 3 3 3 2 2 4" xfId="28275" xr:uid="{00000000-0005-0000-0000-0000545D0000}"/>
    <cellStyle name="40% - Accent6 3 3 3 2 3" xfId="14387" xr:uid="{00000000-0005-0000-0000-0000555D0000}"/>
    <cellStyle name="40% - Accent6 3 3 3 2 3 2" xfId="26736" xr:uid="{00000000-0005-0000-0000-0000565D0000}"/>
    <cellStyle name="40% - Accent6 3 3 3 2 3 2 2" xfId="20441" xr:uid="{00000000-0005-0000-0000-0000575D0000}"/>
    <cellStyle name="40% - Accent6 3 3 3 2 3 3" xfId="26739" xr:uid="{00000000-0005-0000-0000-0000585D0000}"/>
    <cellStyle name="40% - Accent6 3 3 3 2 4" xfId="32817" xr:uid="{00000000-0005-0000-0000-0000595D0000}"/>
    <cellStyle name="40% - Accent6 3 3 3 2 4 2" xfId="1869" xr:uid="{00000000-0005-0000-0000-00005A5D0000}"/>
    <cellStyle name="40% - Accent6 3 3 3 2 5" xfId="13600" xr:uid="{00000000-0005-0000-0000-00005B5D0000}"/>
    <cellStyle name="40% - Accent6 3 3 3 3" xfId="11750" xr:uid="{00000000-0005-0000-0000-00005C5D0000}"/>
    <cellStyle name="40% - Accent6 3 3 3 3 2" xfId="14405" xr:uid="{00000000-0005-0000-0000-00005D5D0000}"/>
    <cellStyle name="40% - Accent6 3 3 3 3 2 2" xfId="15246" xr:uid="{00000000-0005-0000-0000-00005E5D0000}"/>
    <cellStyle name="40% - Accent6 3 3 3 3 2 2 2" xfId="9657" xr:uid="{00000000-0005-0000-0000-00005F5D0000}"/>
    <cellStyle name="40% - Accent6 3 3 3 3 2 3" xfId="15248" xr:uid="{00000000-0005-0000-0000-0000605D0000}"/>
    <cellStyle name="40% - Accent6 3 3 3 3 3" xfId="14649" xr:uid="{00000000-0005-0000-0000-0000615D0000}"/>
    <cellStyle name="40% - Accent6 3 3 3 3 3 2" xfId="25222" xr:uid="{00000000-0005-0000-0000-0000625D0000}"/>
    <cellStyle name="40% - Accent6 3 3 3 3 4" xfId="13609" xr:uid="{00000000-0005-0000-0000-0000635D0000}"/>
    <cellStyle name="40% - Accent6 3 3 3 4" xfId="6882" xr:uid="{00000000-0005-0000-0000-0000645D0000}"/>
    <cellStyle name="40% - Accent6 3 3 3 4 2" xfId="14658" xr:uid="{00000000-0005-0000-0000-0000655D0000}"/>
    <cellStyle name="40% - Accent6 3 3 3 4 2 2" xfId="15287" xr:uid="{00000000-0005-0000-0000-0000665D0000}"/>
    <cellStyle name="40% - Accent6 3 3 3 4 3" xfId="8157" xr:uid="{00000000-0005-0000-0000-0000675D0000}"/>
    <cellStyle name="40% - Accent6 3 3 3 5" xfId="14496" xr:uid="{00000000-0005-0000-0000-0000685D0000}"/>
    <cellStyle name="40% - Accent6 3 3 3 5 2" xfId="14416" xr:uid="{00000000-0005-0000-0000-0000695D0000}"/>
    <cellStyle name="40% - Accent6 3 3 3 6" xfId="14424" xr:uid="{00000000-0005-0000-0000-00006A5D0000}"/>
    <cellStyle name="40% - Accent6 3 3 4" xfId="3747" xr:uid="{00000000-0005-0000-0000-00006B5D0000}"/>
    <cellStyle name="40% - Accent6 3 3 4 2" xfId="6502" xr:uid="{00000000-0005-0000-0000-00006C5D0000}"/>
    <cellStyle name="40% - Accent6 3 3 4 2 2" xfId="5447" xr:uid="{00000000-0005-0000-0000-00006D5D0000}"/>
    <cellStyle name="40% - Accent6 3 3 4 2 2 2" xfId="27108" xr:uid="{00000000-0005-0000-0000-00006E5D0000}"/>
    <cellStyle name="40% - Accent6 3 3 4 2 2 2 2" xfId="21188" xr:uid="{00000000-0005-0000-0000-00006F5D0000}"/>
    <cellStyle name="40% - Accent6 3 3 4 2 2 3" xfId="26743" xr:uid="{00000000-0005-0000-0000-0000705D0000}"/>
    <cellStyle name="40% - Accent6 3 3 4 2 3" xfId="3482" xr:uid="{00000000-0005-0000-0000-0000715D0000}"/>
    <cellStyle name="40% - Accent6 3 3 4 2 3 2" xfId="26748" xr:uid="{00000000-0005-0000-0000-0000725D0000}"/>
    <cellStyle name="40% - Accent6 3 3 4 2 4" xfId="28804" xr:uid="{00000000-0005-0000-0000-0000735D0000}"/>
    <cellStyle name="40% - Accent6 3 3 4 3" xfId="3479" xr:uid="{00000000-0005-0000-0000-0000745D0000}"/>
    <cellStyle name="40% - Accent6 3 3 4 3 2" xfId="4839" xr:uid="{00000000-0005-0000-0000-0000755D0000}"/>
    <cellStyle name="40% - Accent6 3 3 4 3 2 2" xfId="3605" xr:uid="{00000000-0005-0000-0000-0000765D0000}"/>
    <cellStyle name="40% - Accent6 3 3 4 3 3" xfId="3501" xr:uid="{00000000-0005-0000-0000-0000775D0000}"/>
    <cellStyle name="40% - Accent6 3 3 4 4" xfId="4084" xr:uid="{00000000-0005-0000-0000-0000785D0000}"/>
    <cellStyle name="40% - Accent6 3 3 4 4 2" xfId="2592" xr:uid="{00000000-0005-0000-0000-0000795D0000}"/>
    <cellStyle name="40% - Accent6 3 3 4 5" xfId="14501" xr:uid="{00000000-0005-0000-0000-00007A5D0000}"/>
    <cellStyle name="40% - Accent6 3 3 5" xfId="3749" xr:uid="{00000000-0005-0000-0000-00007B5D0000}"/>
    <cellStyle name="40% - Accent6 3 3 5 2" xfId="16052" xr:uid="{00000000-0005-0000-0000-00007C5D0000}"/>
    <cellStyle name="40% - Accent6 3 3 5 2 2" xfId="10847" xr:uid="{00000000-0005-0000-0000-00007D5D0000}"/>
    <cellStyle name="40% - Accent6 3 3 5 2 2 2" xfId="592" xr:uid="{00000000-0005-0000-0000-00007E5D0000}"/>
    <cellStyle name="40% - Accent6 3 3 5 2 3" xfId="6556" xr:uid="{00000000-0005-0000-0000-00007F5D0000}"/>
    <cellStyle name="40% - Accent6 3 3 5 3" xfId="25645" xr:uid="{00000000-0005-0000-0000-0000805D0000}"/>
    <cellStyle name="40% - Accent6 3 3 5 3 2" xfId="6621" xr:uid="{00000000-0005-0000-0000-0000815D0000}"/>
    <cellStyle name="40% - Accent6 3 3 5 4" xfId="24182" xr:uid="{00000000-0005-0000-0000-0000825D0000}"/>
    <cellStyle name="40% - Accent6 3 3 6" xfId="3761" xr:uid="{00000000-0005-0000-0000-0000835D0000}"/>
    <cellStyle name="40% - Accent6 3 3 6 2" xfId="26714" xr:uid="{00000000-0005-0000-0000-0000845D0000}"/>
    <cellStyle name="40% - Accent6 3 3 6 2 2" xfId="6175" xr:uid="{00000000-0005-0000-0000-0000855D0000}"/>
    <cellStyle name="40% - Accent6 3 3 6 3" xfId="26726" xr:uid="{00000000-0005-0000-0000-0000865D0000}"/>
    <cellStyle name="40% - Accent6 3 3 7" xfId="1582" xr:uid="{00000000-0005-0000-0000-0000875D0000}"/>
    <cellStyle name="40% - Accent6 3 3 7 2" xfId="14423" xr:uid="{00000000-0005-0000-0000-0000885D0000}"/>
    <cellStyle name="40% - Accent6 3 3 8" xfId="14401" xr:uid="{00000000-0005-0000-0000-0000895D0000}"/>
    <cellStyle name="40% - Accent6 3 4" xfId="23955" xr:uid="{00000000-0005-0000-0000-00008A5D0000}"/>
    <cellStyle name="40% - Accent6 3 4 2" xfId="25648" xr:uid="{00000000-0005-0000-0000-00008B5D0000}"/>
    <cellStyle name="40% - Accent6 3 4 2 2" xfId="26755" xr:uid="{00000000-0005-0000-0000-00008C5D0000}"/>
    <cellStyle name="40% - Accent6 3 4 2 2 2" xfId="23052" xr:uid="{00000000-0005-0000-0000-00008D5D0000}"/>
    <cellStyle name="40% - Accent6 3 4 2 2 2 2" xfId="23055" xr:uid="{00000000-0005-0000-0000-00008E5D0000}"/>
    <cellStyle name="40% - Accent6 3 4 2 2 2 2 2" xfId="3063" xr:uid="{00000000-0005-0000-0000-00008F5D0000}"/>
    <cellStyle name="40% - Accent6 3 4 2 2 2 2 2 2" xfId="14748" xr:uid="{00000000-0005-0000-0000-0000905D0000}"/>
    <cellStyle name="40% - Accent6 3 4 2 2 2 2 3" xfId="26762" xr:uid="{00000000-0005-0000-0000-0000915D0000}"/>
    <cellStyle name="40% - Accent6 3 4 2 2 2 3" xfId="23413" xr:uid="{00000000-0005-0000-0000-0000925D0000}"/>
    <cellStyle name="40% - Accent6 3 4 2 2 2 3 2" xfId="24848" xr:uid="{00000000-0005-0000-0000-0000935D0000}"/>
    <cellStyle name="40% - Accent6 3 4 2 2 2 4" xfId="21546" xr:uid="{00000000-0005-0000-0000-0000945D0000}"/>
    <cellStyle name="40% - Accent6 3 4 2 2 3" xfId="20089" xr:uid="{00000000-0005-0000-0000-0000955D0000}"/>
    <cellStyle name="40% - Accent6 3 4 2 2 3 2" xfId="19222" xr:uid="{00000000-0005-0000-0000-0000965D0000}"/>
    <cellStyle name="40% - Accent6 3 4 2 2 3 2 2" xfId="26258" xr:uid="{00000000-0005-0000-0000-0000975D0000}"/>
    <cellStyle name="40% - Accent6 3 4 2 2 3 3" xfId="21553" xr:uid="{00000000-0005-0000-0000-0000985D0000}"/>
    <cellStyle name="40% - Accent6 3 4 2 2 4" xfId="14098" xr:uid="{00000000-0005-0000-0000-0000995D0000}"/>
    <cellStyle name="40% - Accent6 3 4 2 2 4 2" xfId="23864" xr:uid="{00000000-0005-0000-0000-00009A5D0000}"/>
    <cellStyle name="40% - Accent6 3 4 2 2 5" xfId="25356" xr:uid="{00000000-0005-0000-0000-00009B5D0000}"/>
    <cellStyle name="40% - Accent6 3 4 2 3" xfId="23058" xr:uid="{00000000-0005-0000-0000-00009C5D0000}"/>
    <cellStyle name="40% - Accent6 3 4 2 3 2" xfId="23061" xr:uid="{00000000-0005-0000-0000-00009D5D0000}"/>
    <cellStyle name="40% - Accent6 3 4 2 3 2 2" xfId="23068" xr:uid="{00000000-0005-0000-0000-00009E5D0000}"/>
    <cellStyle name="40% - Accent6 3 4 2 3 2 2 2" xfId="32352" xr:uid="{00000000-0005-0000-0000-00009F5D0000}"/>
    <cellStyle name="40% - Accent6 3 4 2 3 2 3" xfId="21570" xr:uid="{00000000-0005-0000-0000-0000A05D0000}"/>
    <cellStyle name="40% - Accent6 3 4 2 3 3" xfId="23076" xr:uid="{00000000-0005-0000-0000-0000A15D0000}"/>
    <cellStyle name="40% - Accent6 3 4 2 3 3 2" xfId="27217" xr:uid="{00000000-0005-0000-0000-0000A25D0000}"/>
    <cellStyle name="40% - Accent6 3 4 2 3 4" xfId="17033" xr:uid="{00000000-0005-0000-0000-0000A35D0000}"/>
    <cellStyle name="40% - Accent6 3 4 2 4" xfId="23079" xr:uid="{00000000-0005-0000-0000-0000A45D0000}"/>
    <cellStyle name="40% - Accent6 3 4 2 4 2" xfId="23084" xr:uid="{00000000-0005-0000-0000-0000A55D0000}"/>
    <cellStyle name="40% - Accent6 3 4 2 4 2 2" xfId="27638" xr:uid="{00000000-0005-0000-0000-0000A65D0000}"/>
    <cellStyle name="40% - Accent6 3 4 2 4 3" xfId="29827" xr:uid="{00000000-0005-0000-0000-0000A75D0000}"/>
    <cellStyle name="40% - Accent6 3 4 2 5" xfId="23085" xr:uid="{00000000-0005-0000-0000-0000A85D0000}"/>
    <cellStyle name="40% - Accent6 3 4 2 5 2" xfId="25331" xr:uid="{00000000-0005-0000-0000-0000A95D0000}"/>
    <cellStyle name="40% - Accent6 3 4 2 6" xfId="15741" xr:uid="{00000000-0005-0000-0000-0000AA5D0000}"/>
    <cellStyle name="40% - Accent6 3 4 3" xfId="33146" xr:uid="{00000000-0005-0000-0000-0000AB5D0000}"/>
    <cellStyle name="40% - Accent6 3 4 3 2" xfId="11387" xr:uid="{00000000-0005-0000-0000-0000AC5D0000}"/>
    <cellStyle name="40% - Accent6 3 4 3 2 2" xfId="27510" xr:uid="{00000000-0005-0000-0000-0000AD5D0000}"/>
    <cellStyle name="40% - Accent6 3 4 3 2 2 2" xfId="23204" xr:uid="{00000000-0005-0000-0000-0000AE5D0000}"/>
    <cellStyle name="40% - Accent6 3 4 3 2 2 2 2" xfId="11190" xr:uid="{00000000-0005-0000-0000-0000AF5D0000}"/>
    <cellStyle name="40% - Accent6 3 4 3 2 2 3" xfId="26777" xr:uid="{00000000-0005-0000-0000-0000B05D0000}"/>
    <cellStyle name="40% - Accent6 3 4 3 2 3" xfId="14568" xr:uid="{00000000-0005-0000-0000-0000B15D0000}"/>
    <cellStyle name="40% - Accent6 3 4 3 2 3 2" xfId="25730" xr:uid="{00000000-0005-0000-0000-0000B25D0000}"/>
    <cellStyle name="40% - Accent6 3 4 3 2 4" xfId="27677" xr:uid="{00000000-0005-0000-0000-0000B35D0000}"/>
    <cellStyle name="40% - Accent6 3 4 3 3" xfId="23212" xr:uid="{00000000-0005-0000-0000-0000B45D0000}"/>
    <cellStyle name="40% - Accent6 3 4 3 3 2" xfId="14584" xr:uid="{00000000-0005-0000-0000-0000B55D0000}"/>
    <cellStyle name="40% - Accent6 3 4 3 3 2 2" xfId="25751" xr:uid="{00000000-0005-0000-0000-0000B65D0000}"/>
    <cellStyle name="40% - Accent6 3 4 3 3 3" xfId="27684" xr:uid="{00000000-0005-0000-0000-0000B75D0000}"/>
    <cellStyle name="40% - Accent6 3 4 3 4" xfId="23219" xr:uid="{00000000-0005-0000-0000-0000B85D0000}"/>
    <cellStyle name="40% - Accent6 3 4 3 4 2" xfId="27698" xr:uid="{00000000-0005-0000-0000-0000B95D0000}"/>
    <cellStyle name="40% - Accent6 3 4 3 5" xfId="27365" xr:uid="{00000000-0005-0000-0000-0000BA5D0000}"/>
    <cellStyle name="40% - Accent6 3 4 4" xfId="3767" xr:uid="{00000000-0005-0000-0000-0000BB5D0000}"/>
    <cellStyle name="40% - Accent6 3 4 4 2" xfId="23271" xr:uid="{00000000-0005-0000-0000-0000BC5D0000}"/>
    <cellStyle name="40% - Accent6 3 4 4 2 2" xfId="23843" xr:uid="{00000000-0005-0000-0000-0000BD5D0000}"/>
    <cellStyle name="40% - Accent6 3 4 4 2 2 2" xfId="26786" xr:uid="{00000000-0005-0000-0000-0000BE5D0000}"/>
    <cellStyle name="40% - Accent6 3 4 4 2 3" xfId="27475" xr:uid="{00000000-0005-0000-0000-0000BF5D0000}"/>
    <cellStyle name="40% - Accent6 3 4 4 3" xfId="23282" xr:uid="{00000000-0005-0000-0000-0000C05D0000}"/>
    <cellStyle name="40% - Accent6 3 4 4 3 2" xfId="27715" xr:uid="{00000000-0005-0000-0000-0000C15D0000}"/>
    <cellStyle name="40% - Accent6 3 4 4 4" xfId="22220" xr:uid="{00000000-0005-0000-0000-0000C25D0000}"/>
    <cellStyle name="40% - Accent6 3 4 5" xfId="8842" xr:uid="{00000000-0005-0000-0000-0000C35D0000}"/>
    <cellStyle name="40% - Accent6 3 4 5 2" xfId="14634" xr:uid="{00000000-0005-0000-0000-0000C45D0000}"/>
    <cellStyle name="40% - Accent6 3 4 5 2 2" xfId="25131" xr:uid="{00000000-0005-0000-0000-0000C55D0000}"/>
    <cellStyle name="40% - Accent6 3 4 5 3" xfId="14637" xr:uid="{00000000-0005-0000-0000-0000C65D0000}"/>
    <cellStyle name="40% - Accent6 3 4 6" xfId="26792" xr:uid="{00000000-0005-0000-0000-0000C75D0000}"/>
    <cellStyle name="40% - Accent6 3 4 6 2" xfId="11367" xr:uid="{00000000-0005-0000-0000-0000C85D0000}"/>
    <cellStyle name="40% - Accent6 3 4 7" xfId="2896" xr:uid="{00000000-0005-0000-0000-0000C95D0000}"/>
    <cellStyle name="40% - Accent6 3 5" xfId="24597" xr:uid="{00000000-0005-0000-0000-0000CA5D0000}"/>
    <cellStyle name="40% - Accent6 3 5 2" xfId="26796" xr:uid="{00000000-0005-0000-0000-0000CB5D0000}"/>
    <cellStyle name="40% - Accent6 3 5 2 2" xfId="9859" xr:uid="{00000000-0005-0000-0000-0000CC5D0000}"/>
    <cellStyle name="40% - Accent6 3 5 2 2 2" xfId="25445" xr:uid="{00000000-0005-0000-0000-0000CD5D0000}"/>
    <cellStyle name="40% - Accent6 3 5 2 2 2 2" xfId="25088" xr:uid="{00000000-0005-0000-0000-0000CE5D0000}"/>
    <cellStyle name="40% - Accent6 3 5 2 2 2 2 2" xfId="26799" xr:uid="{00000000-0005-0000-0000-0000CF5D0000}"/>
    <cellStyle name="40% - Accent6 3 5 2 2 2 3" xfId="23660" xr:uid="{00000000-0005-0000-0000-0000D05D0000}"/>
    <cellStyle name="40% - Accent6 3 5 2 2 3" xfId="25616" xr:uid="{00000000-0005-0000-0000-0000D15D0000}"/>
    <cellStyle name="40% - Accent6 3 5 2 2 3 2" xfId="25463" xr:uid="{00000000-0005-0000-0000-0000D25D0000}"/>
    <cellStyle name="40% - Accent6 3 5 2 2 4" xfId="10733" xr:uid="{00000000-0005-0000-0000-0000D35D0000}"/>
    <cellStyle name="40% - Accent6 3 5 2 3" xfId="24295" xr:uid="{00000000-0005-0000-0000-0000D45D0000}"/>
    <cellStyle name="40% - Accent6 3 5 2 3 2" xfId="16224" xr:uid="{00000000-0005-0000-0000-0000D55D0000}"/>
    <cellStyle name="40% - Accent6 3 5 2 3 2 2" xfId="16226" xr:uid="{00000000-0005-0000-0000-0000D65D0000}"/>
    <cellStyle name="40% - Accent6 3 5 2 3 3" xfId="16231" xr:uid="{00000000-0005-0000-0000-0000D75D0000}"/>
    <cellStyle name="40% - Accent6 3 5 2 4" xfId="25474" xr:uid="{00000000-0005-0000-0000-0000D85D0000}"/>
    <cellStyle name="40% - Accent6 3 5 2 4 2" xfId="16246" xr:uid="{00000000-0005-0000-0000-0000D95D0000}"/>
    <cellStyle name="40% - Accent6 3 5 2 5" xfId="23498" xr:uid="{00000000-0005-0000-0000-0000DA5D0000}"/>
    <cellStyle name="40% - Accent6 3 5 3" xfId="20354" xr:uid="{00000000-0005-0000-0000-0000DB5D0000}"/>
    <cellStyle name="40% - Accent6 3 5 3 2" xfId="6933" xr:uid="{00000000-0005-0000-0000-0000DC5D0000}"/>
    <cellStyle name="40% - Accent6 3 5 3 2 2" xfId="15277" xr:uid="{00000000-0005-0000-0000-0000DD5D0000}"/>
    <cellStyle name="40% - Accent6 3 5 3 2 2 2" xfId="24373" xr:uid="{00000000-0005-0000-0000-0000DE5D0000}"/>
    <cellStyle name="40% - Accent6 3 5 3 2 3" xfId="14662" xr:uid="{00000000-0005-0000-0000-0000DF5D0000}"/>
    <cellStyle name="40% - Accent6 3 5 3 3" xfId="14668" xr:uid="{00000000-0005-0000-0000-0000E05D0000}"/>
    <cellStyle name="40% - Accent6 3 5 3 3 2" xfId="15296" xr:uid="{00000000-0005-0000-0000-0000E15D0000}"/>
    <cellStyle name="40% - Accent6 3 5 3 4" xfId="6732" xr:uid="{00000000-0005-0000-0000-0000E25D0000}"/>
    <cellStyle name="40% - Accent6 3 5 4" xfId="3783" xr:uid="{00000000-0005-0000-0000-0000E35D0000}"/>
    <cellStyle name="40% - Accent6 3 5 4 2" xfId="15134" xr:uid="{00000000-0005-0000-0000-0000E45D0000}"/>
    <cellStyle name="40% - Accent6 3 5 4 2 2" xfId="14697" xr:uid="{00000000-0005-0000-0000-0000E55D0000}"/>
    <cellStyle name="40% - Accent6 3 5 4 3" xfId="14706" xr:uid="{00000000-0005-0000-0000-0000E65D0000}"/>
    <cellStyle name="40% - Accent6 3 5 5" xfId="18254" xr:uid="{00000000-0005-0000-0000-0000E75D0000}"/>
    <cellStyle name="40% - Accent6 3 5 5 2" xfId="15142" xr:uid="{00000000-0005-0000-0000-0000E85D0000}"/>
    <cellStyle name="40% - Accent6 3 5 6" xfId="18256" xr:uid="{00000000-0005-0000-0000-0000E95D0000}"/>
    <cellStyle name="40% - Accent6 3 6" xfId="26808" xr:uid="{00000000-0005-0000-0000-0000EA5D0000}"/>
    <cellStyle name="40% - Accent6 3 6 2" xfId="26626" xr:uid="{00000000-0005-0000-0000-0000EB5D0000}"/>
    <cellStyle name="40% - Accent6 3 6 2 2" xfId="8955" xr:uid="{00000000-0005-0000-0000-0000EC5D0000}"/>
    <cellStyle name="40% - Accent6 3 6 2 2 2" xfId="24720" xr:uid="{00000000-0005-0000-0000-0000ED5D0000}"/>
    <cellStyle name="40% - Accent6 3 6 2 2 2 2" xfId="26823" xr:uid="{00000000-0005-0000-0000-0000EE5D0000}"/>
    <cellStyle name="40% - Accent6 3 6 2 2 3" xfId="18645" xr:uid="{00000000-0005-0000-0000-0000EF5D0000}"/>
    <cellStyle name="40% - Accent6 3 6 2 3" xfId="12815" xr:uid="{00000000-0005-0000-0000-0000F05D0000}"/>
    <cellStyle name="40% - Accent6 3 6 2 3 2" xfId="16394" xr:uid="{00000000-0005-0000-0000-0000F15D0000}"/>
    <cellStyle name="40% - Accent6 3 6 2 4" xfId="12823" xr:uid="{00000000-0005-0000-0000-0000F25D0000}"/>
    <cellStyle name="40% - Accent6 3 6 3" xfId="26826" xr:uid="{00000000-0005-0000-0000-0000F35D0000}"/>
    <cellStyle name="40% - Accent6 3 6 3 2" xfId="14728" xr:uid="{00000000-0005-0000-0000-0000F45D0000}"/>
    <cellStyle name="40% - Accent6 3 6 3 2 2" xfId="7282" xr:uid="{00000000-0005-0000-0000-0000F55D0000}"/>
    <cellStyle name="40% - Accent6 3 6 3 3" xfId="14735" xr:uid="{00000000-0005-0000-0000-0000F65D0000}"/>
    <cellStyle name="40% - Accent6 3 6 4" xfId="18262" xr:uid="{00000000-0005-0000-0000-0000F75D0000}"/>
    <cellStyle name="40% - Accent6 3 6 4 2" xfId="14742" xr:uid="{00000000-0005-0000-0000-0000F85D0000}"/>
    <cellStyle name="40% - Accent6 3 6 5" xfId="18265" xr:uid="{00000000-0005-0000-0000-0000F95D0000}"/>
    <cellStyle name="40% - Accent6 3 7" xfId="26827" xr:uid="{00000000-0005-0000-0000-0000FA5D0000}"/>
    <cellStyle name="40% - Accent6 3 7 2" xfId="26828" xr:uid="{00000000-0005-0000-0000-0000FB5D0000}"/>
    <cellStyle name="40% - Accent6 3 7 2 2" xfId="16668" xr:uid="{00000000-0005-0000-0000-0000FC5D0000}"/>
    <cellStyle name="40% - Accent6 3 7 2 2 2" xfId="26833" xr:uid="{00000000-0005-0000-0000-0000FD5D0000}"/>
    <cellStyle name="40% - Accent6 3 7 2 3" xfId="7206" xr:uid="{00000000-0005-0000-0000-0000FE5D0000}"/>
    <cellStyle name="40% - Accent6 3 7 3" xfId="27738" xr:uid="{00000000-0005-0000-0000-0000FF5D0000}"/>
    <cellStyle name="40% - Accent6 3 7 3 2" xfId="12835" xr:uid="{00000000-0005-0000-0000-0000005E0000}"/>
    <cellStyle name="40% - Accent6 3 7 4" xfId="18270" xr:uid="{00000000-0005-0000-0000-0000015E0000}"/>
    <cellStyle name="40% - Accent6 3 8" xfId="27509" xr:uid="{00000000-0005-0000-0000-0000025E0000}"/>
    <cellStyle name="40% - Accent6 3 8 2" xfId="26840" xr:uid="{00000000-0005-0000-0000-0000035E0000}"/>
    <cellStyle name="40% - Accent6 3 8 2 2" xfId="12842" xr:uid="{00000000-0005-0000-0000-0000045E0000}"/>
    <cellStyle name="40% - Accent6 3 8 3" xfId="31056" xr:uid="{00000000-0005-0000-0000-0000055E0000}"/>
    <cellStyle name="40% - Accent6 3 9" xfId="9483" xr:uid="{00000000-0005-0000-0000-0000065E0000}"/>
    <cellStyle name="40% - Accent6 3 9 2" xfId="31188" xr:uid="{00000000-0005-0000-0000-0000075E0000}"/>
    <cellStyle name="40% - Accent6 4" xfId="16981" xr:uid="{00000000-0005-0000-0000-0000085E0000}"/>
    <cellStyle name="40% - Accent6 4 2" xfId="28304" xr:uid="{00000000-0005-0000-0000-0000095E0000}"/>
    <cellStyle name="40% - Accent6 4 2 2" xfId="30779" xr:uid="{00000000-0005-0000-0000-00000A5E0000}"/>
    <cellStyle name="40% - Accent6 4 2 2 2" xfId="32473" xr:uid="{00000000-0005-0000-0000-00000B5E0000}"/>
    <cellStyle name="40% - Accent6 4 2 2 2 2" xfId="28485" xr:uid="{00000000-0005-0000-0000-00000C5E0000}"/>
    <cellStyle name="40% - Accent6 4 2 2 2 2 2" xfId="1132" xr:uid="{00000000-0005-0000-0000-00000D5E0000}"/>
    <cellStyle name="40% - Accent6 4 2 2 2 2 2 2" xfId="26843" xr:uid="{00000000-0005-0000-0000-00000E5E0000}"/>
    <cellStyle name="40% - Accent6 4 2 2 2 2 2 2 2" xfId="1597" xr:uid="{00000000-0005-0000-0000-00000F5E0000}"/>
    <cellStyle name="40% - Accent6 4 2 2 2 2 2 2 2 2" xfId="9317" xr:uid="{00000000-0005-0000-0000-0000105E0000}"/>
    <cellStyle name="40% - Accent6 4 2 2 2 2 2 2 3" xfId="5007" xr:uid="{00000000-0005-0000-0000-0000115E0000}"/>
    <cellStyle name="40% - Accent6 4 2 2 2 2 2 3" xfId="29166" xr:uid="{00000000-0005-0000-0000-0000125E0000}"/>
    <cellStyle name="40% - Accent6 4 2 2 2 2 2 3 2" xfId="11978" xr:uid="{00000000-0005-0000-0000-0000135E0000}"/>
    <cellStyle name="40% - Accent6 4 2 2 2 2 2 4" xfId="6755" xr:uid="{00000000-0005-0000-0000-0000145E0000}"/>
    <cellStyle name="40% - Accent6 4 2 2 2 2 3" xfId="10405" xr:uid="{00000000-0005-0000-0000-0000155E0000}"/>
    <cellStyle name="40% - Accent6 4 2 2 2 2 3 2" xfId="26844" xr:uid="{00000000-0005-0000-0000-0000165E0000}"/>
    <cellStyle name="40% - Accent6 4 2 2 2 2 3 2 2" xfId="3750" xr:uid="{00000000-0005-0000-0000-0000175E0000}"/>
    <cellStyle name="40% - Accent6 4 2 2 2 2 3 3" xfId="26850" xr:uid="{00000000-0005-0000-0000-0000185E0000}"/>
    <cellStyle name="40% - Accent6 4 2 2 2 2 4" xfId="3832" xr:uid="{00000000-0005-0000-0000-0000195E0000}"/>
    <cellStyle name="40% - Accent6 4 2 2 2 2 4 2" xfId="26860" xr:uid="{00000000-0005-0000-0000-00001A5E0000}"/>
    <cellStyle name="40% - Accent6 4 2 2 2 2 5" xfId="21629" xr:uid="{00000000-0005-0000-0000-00001B5E0000}"/>
    <cellStyle name="40% - Accent6 4 2 2 2 3" xfId="26866" xr:uid="{00000000-0005-0000-0000-00001C5E0000}"/>
    <cellStyle name="40% - Accent6 4 2 2 2 3 2" xfId="165" xr:uid="{00000000-0005-0000-0000-00001D5E0000}"/>
    <cellStyle name="40% - Accent6 4 2 2 2 3 2 2" xfId="29343" xr:uid="{00000000-0005-0000-0000-00001E5E0000}"/>
    <cellStyle name="40% - Accent6 4 2 2 2 3 2 2 2" xfId="4149" xr:uid="{00000000-0005-0000-0000-00001F5E0000}"/>
    <cellStyle name="40% - Accent6 4 2 2 2 3 2 3" xfId="29204" xr:uid="{00000000-0005-0000-0000-0000205E0000}"/>
    <cellStyle name="40% - Accent6 4 2 2 2 3 3" xfId="431" xr:uid="{00000000-0005-0000-0000-0000215E0000}"/>
    <cellStyle name="40% - Accent6 4 2 2 2 3 3 2" xfId="20489" xr:uid="{00000000-0005-0000-0000-0000225E0000}"/>
    <cellStyle name="40% - Accent6 4 2 2 2 3 4" xfId="28441" xr:uid="{00000000-0005-0000-0000-0000235E0000}"/>
    <cellStyle name="40% - Accent6 4 2 2 2 4" xfId="29514" xr:uid="{00000000-0005-0000-0000-0000245E0000}"/>
    <cellStyle name="40% - Accent6 4 2 2 2 4 2" xfId="5733" xr:uid="{00000000-0005-0000-0000-0000255E0000}"/>
    <cellStyle name="40% - Accent6 4 2 2 2 4 2 2" xfId="4229" xr:uid="{00000000-0005-0000-0000-0000265E0000}"/>
    <cellStyle name="40% - Accent6 4 2 2 2 4 3" xfId="5735" xr:uid="{00000000-0005-0000-0000-0000275E0000}"/>
    <cellStyle name="40% - Accent6 4 2 2 2 5" xfId="2121" xr:uid="{00000000-0005-0000-0000-0000285E0000}"/>
    <cellStyle name="40% - Accent6 4 2 2 2 5 2" xfId="5743" xr:uid="{00000000-0005-0000-0000-0000295E0000}"/>
    <cellStyle name="40% - Accent6 4 2 2 2 6" xfId="15814" xr:uid="{00000000-0005-0000-0000-00002A5E0000}"/>
    <cellStyle name="40% - Accent6 4 2 2 3" xfId="20522" xr:uid="{00000000-0005-0000-0000-00002B5E0000}"/>
    <cellStyle name="40% - Accent6 4 2 2 3 2" xfId="22701" xr:uid="{00000000-0005-0000-0000-00002C5E0000}"/>
    <cellStyle name="40% - Accent6 4 2 2 3 2 2" xfId="4700" xr:uid="{00000000-0005-0000-0000-00002D5E0000}"/>
    <cellStyle name="40% - Accent6 4 2 2 3 2 2 2" xfId="26421" xr:uid="{00000000-0005-0000-0000-00002E5E0000}"/>
    <cellStyle name="40% - Accent6 4 2 2 3 2 2 2 2" xfId="9724" xr:uid="{00000000-0005-0000-0000-00002F5E0000}"/>
    <cellStyle name="40% - Accent6 4 2 2 3 2 2 3" xfId="25163" xr:uid="{00000000-0005-0000-0000-0000305E0000}"/>
    <cellStyle name="40% - Accent6 4 2 2 3 2 3" xfId="4710" xr:uid="{00000000-0005-0000-0000-0000315E0000}"/>
    <cellStyle name="40% - Accent6 4 2 2 3 2 3 2" xfId="26872" xr:uid="{00000000-0005-0000-0000-0000325E0000}"/>
    <cellStyle name="40% - Accent6 4 2 2 3 2 4" xfId="811" xr:uid="{00000000-0005-0000-0000-0000335E0000}"/>
    <cellStyle name="40% - Accent6 4 2 2 3 3" xfId="14864" xr:uid="{00000000-0005-0000-0000-0000345E0000}"/>
    <cellStyle name="40% - Accent6 4 2 2 3 3 2" xfId="4718" xr:uid="{00000000-0005-0000-0000-0000355E0000}"/>
    <cellStyle name="40% - Accent6 4 2 2 3 3 2 2" xfId="19395" xr:uid="{00000000-0005-0000-0000-0000365E0000}"/>
    <cellStyle name="40% - Accent6 4 2 2 3 3 3" xfId="436" xr:uid="{00000000-0005-0000-0000-0000375E0000}"/>
    <cellStyle name="40% - Accent6 4 2 2 3 4" xfId="14867" xr:uid="{00000000-0005-0000-0000-0000385E0000}"/>
    <cellStyle name="40% - Accent6 4 2 2 3 4 2" xfId="5875" xr:uid="{00000000-0005-0000-0000-0000395E0000}"/>
    <cellStyle name="40% - Accent6 4 2 2 3 5" xfId="14878" xr:uid="{00000000-0005-0000-0000-00003A5E0000}"/>
    <cellStyle name="40% - Accent6 4 2 2 4" xfId="28448" xr:uid="{00000000-0005-0000-0000-00003B5E0000}"/>
    <cellStyle name="40% - Accent6 4 2 2 4 2" xfId="22706" xr:uid="{00000000-0005-0000-0000-00003C5E0000}"/>
    <cellStyle name="40% - Accent6 4 2 2 4 2 2" xfId="4740" xr:uid="{00000000-0005-0000-0000-00003D5E0000}"/>
    <cellStyle name="40% - Accent6 4 2 2 4 2 2 2" xfId="31868" xr:uid="{00000000-0005-0000-0000-00003E5E0000}"/>
    <cellStyle name="40% - Accent6 4 2 2 4 2 3" xfId="651" xr:uid="{00000000-0005-0000-0000-00003F5E0000}"/>
    <cellStyle name="40% - Accent6 4 2 2 4 3" xfId="29220" xr:uid="{00000000-0005-0000-0000-0000405E0000}"/>
    <cellStyle name="40% - Accent6 4 2 2 4 3 2" xfId="278" xr:uid="{00000000-0005-0000-0000-0000415E0000}"/>
    <cellStyle name="40% - Accent6 4 2 2 4 4" xfId="14879" xr:uid="{00000000-0005-0000-0000-0000425E0000}"/>
    <cellStyle name="40% - Accent6 4 2 2 5" xfId="20537" xr:uid="{00000000-0005-0000-0000-0000435E0000}"/>
    <cellStyle name="40% - Accent6 4 2 2 5 2" xfId="25921" xr:uid="{00000000-0005-0000-0000-0000445E0000}"/>
    <cellStyle name="40% - Accent6 4 2 2 5 2 2" xfId="10012" xr:uid="{00000000-0005-0000-0000-0000455E0000}"/>
    <cellStyle name="40% - Accent6 4 2 2 5 3" xfId="26971" xr:uid="{00000000-0005-0000-0000-0000465E0000}"/>
    <cellStyle name="40% - Accent6 4 2 2 6" xfId="20545" xr:uid="{00000000-0005-0000-0000-0000475E0000}"/>
    <cellStyle name="40% - Accent6 4 2 2 6 2" xfId="29983" xr:uid="{00000000-0005-0000-0000-0000485E0000}"/>
    <cellStyle name="40% - Accent6 4 2 2 7" xfId="20552" xr:uid="{00000000-0005-0000-0000-0000495E0000}"/>
    <cellStyle name="40% - Accent6 4 2 3" xfId="24600" xr:uid="{00000000-0005-0000-0000-00004A5E0000}"/>
    <cellStyle name="40% - Accent6 4 2 3 2" xfId="27098" xr:uid="{00000000-0005-0000-0000-00004B5E0000}"/>
    <cellStyle name="40% - Accent6 4 2 3 2 2" xfId="16932" xr:uid="{00000000-0005-0000-0000-00004C5E0000}"/>
    <cellStyle name="40% - Accent6 4 2 3 2 2 2" xfId="458" xr:uid="{00000000-0005-0000-0000-00004D5E0000}"/>
    <cellStyle name="40% - Accent6 4 2 3 2 2 2 2" xfId="18962" xr:uid="{00000000-0005-0000-0000-00004E5E0000}"/>
    <cellStyle name="40% - Accent6 4 2 3 2 2 2 2 2" xfId="6997" xr:uid="{00000000-0005-0000-0000-00004F5E0000}"/>
    <cellStyle name="40% - Accent6 4 2 3 2 2 2 3" xfId="28520" xr:uid="{00000000-0005-0000-0000-0000505E0000}"/>
    <cellStyle name="40% - Accent6 4 2 3 2 2 3" xfId="461" xr:uid="{00000000-0005-0000-0000-0000515E0000}"/>
    <cellStyle name="40% - Accent6 4 2 3 2 2 3 2" xfId="29751" xr:uid="{00000000-0005-0000-0000-0000525E0000}"/>
    <cellStyle name="40% - Accent6 4 2 3 2 2 4" xfId="104" xr:uid="{00000000-0005-0000-0000-0000535E0000}"/>
    <cellStyle name="40% - Accent6 4 2 3 2 3" xfId="27747" xr:uid="{00000000-0005-0000-0000-0000545E0000}"/>
    <cellStyle name="40% - Accent6 4 2 3 2 3 2" xfId="3691" xr:uid="{00000000-0005-0000-0000-0000555E0000}"/>
    <cellStyle name="40% - Accent6 4 2 3 2 3 2 2" xfId="31351" xr:uid="{00000000-0005-0000-0000-0000565E0000}"/>
    <cellStyle name="40% - Accent6 4 2 3 2 3 3" xfId="4357" xr:uid="{00000000-0005-0000-0000-0000575E0000}"/>
    <cellStyle name="40% - Accent6 4 2 3 2 4" xfId="28350" xr:uid="{00000000-0005-0000-0000-0000585E0000}"/>
    <cellStyle name="40% - Accent6 4 2 3 2 4 2" xfId="912" xr:uid="{00000000-0005-0000-0000-0000595E0000}"/>
    <cellStyle name="40% - Accent6 4 2 3 2 5" xfId="21894" xr:uid="{00000000-0005-0000-0000-00005A5E0000}"/>
    <cellStyle name="40% - Accent6 4 2 3 3" xfId="20566" xr:uid="{00000000-0005-0000-0000-00005B5E0000}"/>
    <cellStyle name="40% - Accent6 4 2 3 3 2" xfId="28151" xr:uid="{00000000-0005-0000-0000-00005C5E0000}"/>
    <cellStyle name="40% - Accent6 4 2 3 3 2 2" xfId="4776" xr:uid="{00000000-0005-0000-0000-00005D5E0000}"/>
    <cellStyle name="40% - Accent6 4 2 3 3 2 2 2" xfId="26880" xr:uid="{00000000-0005-0000-0000-00005E5E0000}"/>
    <cellStyle name="40% - Accent6 4 2 3 3 2 3" xfId="30843" xr:uid="{00000000-0005-0000-0000-00005F5E0000}"/>
    <cellStyle name="40% - Accent6 4 2 3 3 3" xfId="8567" xr:uid="{00000000-0005-0000-0000-0000605E0000}"/>
    <cellStyle name="40% - Accent6 4 2 3 3 3 2" xfId="636" xr:uid="{00000000-0005-0000-0000-0000615E0000}"/>
    <cellStyle name="40% - Accent6 4 2 3 3 4" xfId="11745" xr:uid="{00000000-0005-0000-0000-0000625E0000}"/>
    <cellStyle name="40% - Accent6 4 2 3 4" xfId="20575" xr:uid="{00000000-0005-0000-0000-0000635E0000}"/>
    <cellStyle name="40% - Accent6 4 2 3 4 2" xfId="30015" xr:uid="{00000000-0005-0000-0000-0000645E0000}"/>
    <cellStyle name="40% - Accent6 4 2 3 4 2 2" xfId="2057" xr:uid="{00000000-0005-0000-0000-0000655E0000}"/>
    <cellStyle name="40% - Accent6 4 2 3 4 3" xfId="19016" xr:uid="{00000000-0005-0000-0000-0000665E0000}"/>
    <cellStyle name="40% - Accent6 4 2 3 5" xfId="30384" xr:uid="{00000000-0005-0000-0000-0000675E0000}"/>
    <cellStyle name="40% - Accent6 4 2 3 5 2" xfId="20561" xr:uid="{00000000-0005-0000-0000-0000685E0000}"/>
    <cellStyle name="40% - Accent6 4 2 3 6" xfId="20585" xr:uid="{00000000-0005-0000-0000-0000695E0000}"/>
    <cellStyle name="40% - Accent6 4 2 4" xfId="3871" xr:uid="{00000000-0005-0000-0000-00006A5E0000}"/>
    <cellStyle name="40% - Accent6 4 2 4 2" xfId="1480" xr:uid="{00000000-0005-0000-0000-00006B5E0000}"/>
    <cellStyle name="40% - Accent6 4 2 4 2 2" xfId="27448" xr:uid="{00000000-0005-0000-0000-00006C5E0000}"/>
    <cellStyle name="40% - Accent6 4 2 4 2 2 2" xfId="839" xr:uid="{00000000-0005-0000-0000-00006D5E0000}"/>
    <cellStyle name="40% - Accent6 4 2 4 2 2 2 2" xfId="26693" xr:uid="{00000000-0005-0000-0000-00006E5E0000}"/>
    <cellStyle name="40% - Accent6 4 2 4 2 2 3" xfId="498" xr:uid="{00000000-0005-0000-0000-00006F5E0000}"/>
    <cellStyle name="40% - Accent6 4 2 4 2 3" xfId="3714" xr:uid="{00000000-0005-0000-0000-0000705E0000}"/>
    <cellStyle name="40% - Accent6 4 2 4 2 3 2" xfId="496" xr:uid="{00000000-0005-0000-0000-0000715E0000}"/>
    <cellStyle name="40% - Accent6 4 2 4 2 4" xfId="1818" xr:uid="{00000000-0005-0000-0000-0000725E0000}"/>
    <cellStyle name="40% - Accent6 4 2 4 3" xfId="1580" xr:uid="{00000000-0005-0000-0000-0000735E0000}"/>
    <cellStyle name="40% - Accent6 4 2 4 3 2" xfId="28796" xr:uid="{00000000-0005-0000-0000-0000745E0000}"/>
    <cellStyle name="40% - Accent6 4 2 4 3 2 2" xfId="2474" xr:uid="{00000000-0005-0000-0000-0000755E0000}"/>
    <cellStyle name="40% - Accent6 4 2 4 3 3" xfId="9000" xr:uid="{00000000-0005-0000-0000-0000765E0000}"/>
    <cellStyle name="40% - Accent6 4 2 4 4" xfId="5971" xr:uid="{00000000-0005-0000-0000-0000775E0000}"/>
    <cellStyle name="40% - Accent6 4 2 4 4 2" xfId="28821" xr:uid="{00000000-0005-0000-0000-0000785E0000}"/>
    <cellStyle name="40% - Accent6 4 2 4 5" xfId="31988" xr:uid="{00000000-0005-0000-0000-0000795E0000}"/>
    <cellStyle name="40% - Accent6 4 2 5" xfId="12640" xr:uid="{00000000-0005-0000-0000-00007A5E0000}"/>
    <cellStyle name="40% - Accent6 4 2 5 2" xfId="18089" xr:uid="{00000000-0005-0000-0000-00007B5E0000}"/>
    <cellStyle name="40% - Accent6 4 2 5 2 2" xfId="32157" xr:uid="{00000000-0005-0000-0000-00007C5E0000}"/>
    <cellStyle name="40% - Accent6 4 2 5 2 2 2" xfId="23512" xr:uid="{00000000-0005-0000-0000-00007D5E0000}"/>
    <cellStyle name="40% - Accent6 4 2 5 2 3" xfId="3728" xr:uid="{00000000-0005-0000-0000-00007E5E0000}"/>
    <cellStyle name="40% - Accent6 4 2 5 3" xfId="20593" xr:uid="{00000000-0005-0000-0000-00007F5E0000}"/>
    <cellStyle name="40% - Accent6 4 2 5 3 2" xfId="3394" xr:uid="{00000000-0005-0000-0000-0000805E0000}"/>
    <cellStyle name="40% - Accent6 4 2 5 4" xfId="21576" xr:uid="{00000000-0005-0000-0000-0000815E0000}"/>
    <cellStyle name="40% - Accent6 4 2 6" xfId="14715" xr:uid="{00000000-0005-0000-0000-0000825E0000}"/>
    <cellStyle name="40% - Accent6 4 2 6 2" xfId="26883" xr:uid="{00000000-0005-0000-0000-0000835E0000}"/>
    <cellStyle name="40% - Accent6 4 2 6 2 2" xfId="26884" xr:uid="{00000000-0005-0000-0000-0000845E0000}"/>
    <cellStyle name="40% - Accent6 4 2 6 3" xfId="24114" xr:uid="{00000000-0005-0000-0000-0000855E0000}"/>
    <cellStyle name="40% - Accent6 4 2 7" xfId="935" xr:uid="{00000000-0005-0000-0000-0000865E0000}"/>
    <cellStyle name="40% - Accent6 4 2 7 2" xfId="5138" xr:uid="{00000000-0005-0000-0000-0000875E0000}"/>
    <cellStyle name="40% - Accent6 4 2 8" xfId="4064" xr:uid="{00000000-0005-0000-0000-0000885E0000}"/>
    <cellStyle name="40% - Accent6 4 3" xfId="24397" xr:uid="{00000000-0005-0000-0000-0000895E0000}"/>
    <cellStyle name="40% - Accent6 4 3 2" xfId="24610" xr:uid="{00000000-0005-0000-0000-00008A5E0000}"/>
    <cellStyle name="40% - Accent6 4 3 2 2" xfId="29262" xr:uid="{00000000-0005-0000-0000-00008B5E0000}"/>
    <cellStyle name="40% - Accent6 4 3 2 2 2" xfId="27990" xr:uid="{00000000-0005-0000-0000-00008C5E0000}"/>
    <cellStyle name="40% - Accent6 4 3 2 2 2 2" xfId="10291" xr:uid="{00000000-0005-0000-0000-00008D5E0000}"/>
    <cellStyle name="40% - Accent6 4 3 2 2 2 2 2" xfId="28633" xr:uid="{00000000-0005-0000-0000-00008E5E0000}"/>
    <cellStyle name="40% - Accent6 4 3 2 2 2 2 2 2" xfId="28897" xr:uid="{00000000-0005-0000-0000-00008F5E0000}"/>
    <cellStyle name="40% - Accent6 4 3 2 2 2 2 3" xfId="26892" xr:uid="{00000000-0005-0000-0000-0000905E0000}"/>
    <cellStyle name="40% - Accent6 4 3 2 2 2 3" xfId="18997" xr:uid="{00000000-0005-0000-0000-0000915E0000}"/>
    <cellStyle name="40% - Accent6 4 3 2 2 2 3 2" xfId="29690" xr:uid="{00000000-0005-0000-0000-0000925E0000}"/>
    <cellStyle name="40% - Accent6 4 3 2 2 2 4" xfId="28511" xr:uid="{00000000-0005-0000-0000-0000935E0000}"/>
    <cellStyle name="40% - Accent6 4 3 2 2 3" xfId="27991" xr:uid="{00000000-0005-0000-0000-0000945E0000}"/>
    <cellStyle name="40% - Accent6 4 3 2 2 3 2" xfId="33155" xr:uid="{00000000-0005-0000-0000-0000955E0000}"/>
    <cellStyle name="40% - Accent6 4 3 2 2 3 2 2" xfId="9059" xr:uid="{00000000-0005-0000-0000-0000965E0000}"/>
    <cellStyle name="40% - Accent6 4 3 2 2 3 3" xfId="27840" xr:uid="{00000000-0005-0000-0000-0000975E0000}"/>
    <cellStyle name="40% - Accent6 4 3 2 2 4" xfId="28287" xr:uid="{00000000-0005-0000-0000-0000985E0000}"/>
    <cellStyle name="40% - Accent6 4 3 2 2 4 2" xfId="8420" xr:uid="{00000000-0005-0000-0000-0000995E0000}"/>
    <cellStyle name="40% - Accent6 4 3 2 2 5" xfId="16206" xr:uid="{00000000-0005-0000-0000-00009A5E0000}"/>
    <cellStyle name="40% - Accent6 4 3 2 3" xfId="20607" xr:uid="{00000000-0005-0000-0000-00009B5E0000}"/>
    <cellStyle name="40% - Accent6 4 3 2 3 2" xfId="28494" xr:uid="{00000000-0005-0000-0000-00009C5E0000}"/>
    <cellStyle name="40% - Accent6 4 3 2 3 2 2" xfId="2949" xr:uid="{00000000-0005-0000-0000-00009D5E0000}"/>
    <cellStyle name="40% - Accent6 4 3 2 3 2 2 2" xfId="26895" xr:uid="{00000000-0005-0000-0000-00009E5E0000}"/>
    <cellStyle name="40% - Accent6 4 3 2 3 2 3" xfId="4369" xr:uid="{00000000-0005-0000-0000-00009F5E0000}"/>
    <cellStyle name="40% - Accent6 4 3 2 3 3" xfId="17260" xr:uid="{00000000-0005-0000-0000-0000A05E0000}"/>
    <cellStyle name="40% - Accent6 4 3 2 3 3 2" xfId="4963" xr:uid="{00000000-0005-0000-0000-0000A15E0000}"/>
    <cellStyle name="40% - Accent6 4 3 2 3 4" xfId="14901" xr:uid="{00000000-0005-0000-0000-0000A25E0000}"/>
    <cellStyle name="40% - Accent6 4 3 2 4" xfId="24160" xr:uid="{00000000-0005-0000-0000-0000A35E0000}"/>
    <cellStyle name="40% - Accent6 4 3 2 4 2" xfId="17277" xr:uid="{00000000-0005-0000-0000-0000A45E0000}"/>
    <cellStyle name="40% - Accent6 4 3 2 4 2 2" xfId="1159" xr:uid="{00000000-0005-0000-0000-0000A55E0000}"/>
    <cellStyle name="40% - Accent6 4 3 2 4 3" xfId="17280" xr:uid="{00000000-0005-0000-0000-0000A65E0000}"/>
    <cellStyle name="40% - Accent6 4 3 2 5" xfId="20613" xr:uid="{00000000-0005-0000-0000-0000A75E0000}"/>
    <cellStyle name="40% - Accent6 4 3 2 5 2" xfId="23905" xr:uid="{00000000-0005-0000-0000-0000A85E0000}"/>
    <cellStyle name="40% - Accent6 4 3 2 6" xfId="22075" xr:uid="{00000000-0005-0000-0000-0000A95E0000}"/>
    <cellStyle name="40% - Accent6 4 3 3" xfId="27961" xr:uid="{00000000-0005-0000-0000-0000AA5E0000}"/>
    <cellStyle name="40% - Accent6 4 3 3 2" xfId="14800" xr:uid="{00000000-0005-0000-0000-0000AB5E0000}"/>
    <cellStyle name="40% - Accent6 4 3 3 2 2" xfId="14802" xr:uid="{00000000-0005-0000-0000-0000AC5E0000}"/>
    <cellStyle name="40% - Accent6 4 3 3 2 2 2" xfId="32735" xr:uid="{00000000-0005-0000-0000-0000AD5E0000}"/>
    <cellStyle name="40% - Accent6 4 3 3 2 2 2 2" xfId="27114" xr:uid="{00000000-0005-0000-0000-0000AE5E0000}"/>
    <cellStyle name="40% - Accent6 4 3 3 2 2 3" xfId="19820" xr:uid="{00000000-0005-0000-0000-0000AF5E0000}"/>
    <cellStyle name="40% - Accent6 4 3 3 2 3" xfId="14816" xr:uid="{00000000-0005-0000-0000-0000B05E0000}"/>
    <cellStyle name="40% - Accent6 4 3 3 2 3 2" xfId="26899" xr:uid="{00000000-0005-0000-0000-0000B15E0000}"/>
    <cellStyle name="40% - Accent6 4 3 3 2 4" xfId="13784" xr:uid="{00000000-0005-0000-0000-0000B25E0000}"/>
    <cellStyle name="40% - Accent6 4 3 3 3" xfId="14825" xr:uid="{00000000-0005-0000-0000-0000B35E0000}"/>
    <cellStyle name="40% - Accent6 4 3 3 3 2" xfId="15009" xr:uid="{00000000-0005-0000-0000-0000B45E0000}"/>
    <cellStyle name="40% - Accent6 4 3 3 3 2 2" xfId="2378" xr:uid="{00000000-0005-0000-0000-0000B55E0000}"/>
    <cellStyle name="40% - Accent6 4 3 3 3 3" xfId="14838" xr:uid="{00000000-0005-0000-0000-0000B65E0000}"/>
    <cellStyle name="40% - Accent6 4 3 3 4" xfId="14846" xr:uid="{00000000-0005-0000-0000-0000B75E0000}"/>
    <cellStyle name="40% - Accent6 4 3 3 4 2" xfId="15020" xr:uid="{00000000-0005-0000-0000-0000B85E0000}"/>
    <cellStyle name="40% - Accent6 4 3 3 5" xfId="14857" xr:uid="{00000000-0005-0000-0000-0000B95E0000}"/>
    <cellStyle name="40% - Accent6 4 3 4" xfId="14915" xr:uid="{00000000-0005-0000-0000-0000BA5E0000}"/>
    <cellStyle name="40% - Accent6 4 3 4 2" xfId="5392" xr:uid="{00000000-0005-0000-0000-0000BB5E0000}"/>
    <cellStyle name="40% - Accent6 4 3 4 2 2" xfId="9957" xr:uid="{00000000-0005-0000-0000-0000BC5E0000}"/>
    <cellStyle name="40% - Accent6 4 3 4 2 2 2" xfId="6034" xr:uid="{00000000-0005-0000-0000-0000BD5E0000}"/>
    <cellStyle name="40% - Accent6 4 3 4 2 3" xfId="3744" xr:uid="{00000000-0005-0000-0000-0000BE5E0000}"/>
    <cellStyle name="40% - Accent6 4 3 4 3" xfId="14886" xr:uid="{00000000-0005-0000-0000-0000BF5E0000}"/>
    <cellStyle name="40% - Accent6 4 3 4 3 2" xfId="15028" xr:uid="{00000000-0005-0000-0000-0000C05E0000}"/>
    <cellStyle name="40% - Accent6 4 3 4 4" xfId="1532" xr:uid="{00000000-0005-0000-0000-0000C15E0000}"/>
    <cellStyle name="40% - Accent6 4 3 5" xfId="14232" xr:uid="{00000000-0005-0000-0000-0000C25E0000}"/>
    <cellStyle name="40% - Accent6 4 3 5 2" xfId="14907" xr:uid="{00000000-0005-0000-0000-0000C35E0000}"/>
    <cellStyle name="40% - Accent6 4 3 5 2 2" xfId="293" xr:uid="{00000000-0005-0000-0000-0000C45E0000}"/>
    <cellStyle name="40% - Accent6 4 3 5 3" xfId="27350" xr:uid="{00000000-0005-0000-0000-0000C55E0000}"/>
    <cellStyle name="40% - Accent6 4 3 6" xfId="26902" xr:uid="{00000000-0005-0000-0000-0000C65E0000}"/>
    <cellStyle name="40% - Accent6 4 3 6 2" xfId="26816" xr:uid="{00000000-0005-0000-0000-0000C75E0000}"/>
    <cellStyle name="40% - Accent6 4 3 7" xfId="14673" xr:uid="{00000000-0005-0000-0000-0000C85E0000}"/>
    <cellStyle name="40% - Accent6 4 4" xfId="16591" xr:uid="{00000000-0005-0000-0000-0000C95E0000}"/>
    <cellStyle name="40% - Accent6 4 4 2" xfId="26906" xr:uid="{00000000-0005-0000-0000-0000CA5E0000}"/>
    <cellStyle name="40% - Accent6 4 4 2 2" xfId="27278" xr:uid="{00000000-0005-0000-0000-0000CB5E0000}"/>
    <cellStyle name="40% - Accent6 4 4 2 2 2" xfId="26909" xr:uid="{00000000-0005-0000-0000-0000CC5E0000}"/>
    <cellStyle name="40% - Accent6 4 4 2 2 2 2" xfId="25261" xr:uid="{00000000-0005-0000-0000-0000CD5E0000}"/>
    <cellStyle name="40% - Accent6 4 4 2 2 2 2 2" xfId="7389" xr:uid="{00000000-0005-0000-0000-0000CE5E0000}"/>
    <cellStyle name="40% - Accent6 4 4 2 2 2 3" xfId="24240" xr:uid="{00000000-0005-0000-0000-0000CF5E0000}"/>
    <cellStyle name="40% - Accent6 4 4 2 2 3" xfId="22864" xr:uid="{00000000-0005-0000-0000-0000D05E0000}"/>
    <cellStyle name="40% - Accent6 4 4 2 2 3 2" xfId="24253" xr:uid="{00000000-0005-0000-0000-0000D15E0000}"/>
    <cellStyle name="40% - Accent6 4 4 2 2 4" xfId="197" xr:uid="{00000000-0005-0000-0000-0000D25E0000}"/>
    <cellStyle name="40% - Accent6 4 4 2 3" xfId="20652" xr:uid="{00000000-0005-0000-0000-0000D35E0000}"/>
    <cellStyle name="40% - Accent6 4 4 2 3 2" xfId="29146" xr:uid="{00000000-0005-0000-0000-0000D45E0000}"/>
    <cellStyle name="40% - Accent6 4 4 2 3 2 2" xfId="5164" xr:uid="{00000000-0005-0000-0000-0000D55E0000}"/>
    <cellStyle name="40% - Accent6 4 4 2 3 3" xfId="17744" xr:uid="{00000000-0005-0000-0000-0000D65E0000}"/>
    <cellStyle name="40% - Accent6 4 4 2 4" xfId="19502" xr:uid="{00000000-0005-0000-0000-0000D75E0000}"/>
    <cellStyle name="40% - Accent6 4 4 2 4 2" xfId="17770" xr:uid="{00000000-0005-0000-0000-0000D85E0000}"/>
    <cellStyle name="40% - Accent6 4 4 2 5" xfId="20662" xr:uid="{00000000-0005-0000-0000-0000D95E0000}"/>
    <cellStyle name="40% - Accent6 4 4 3" xfId="32823" xr:uid="{00000000-0005-0000-0000-0000DA5E0000}"/>
    <cellStyle name="40% - Accent6 4 4 3 2" xfId="14932" xr:uid="{00000000-0005-0000-0000-0000DB5E0000}"/>
    <cellStyle name="40% - Accent6 4 4 3 2 2" xfId="14936" xr:uid="{00000000-0005-0000-0000-0000DC5E0000}"/>
    <cellStyle name="40% - Accent6 4 4 3 2 2 2" xfId="26199" xr:uid="{00000000-0005-0000-0000-0000DD5E0000}"/>
    <cellStyle name="40% - Accent6 4 4 3 2 3" xfId="14944" xr:uid="{00000000-0005-0000-0000-0000DE5E0000}"/>
    <cellStyle name="40% - Accent6 4 4 3 3" xfId="14951" xr:uid="{00000000-0005-0000-0000-0000DF5E0000}"/>
    <cellStyle name="40% - Accent6 4 4 3 3 2" xfId="14957" xr:uid="{00000000-0005-0000-0000-0000E05E0000}"/>
    <cellStyle name="40% - Accent6 4 4 3 4" xfId="15432" xr:uid="{00000000-0005-0000-0000-0000E15E0000}"/>
    <cellStyle name="40% - Accent6 4 4 4" xfId="9911" xr:uid="{00000000-0005-0000-0000-0000E25E0000}"/>
    <cellStyle name="40% - Accent6 4 4 4 2" xfId="10636" xr:uid="{00000000-0005-0000-0000-0000E35E0000}"/>
    <cellStyle name="40% - Accent6 4 4 4 2 2" xfId="14978" xr:uid="{00000000-0005-0000-0000-0000E45E0000}"/>
    <cellStyle name="40% - Accent6 4 4 4 3" xfId="14986" xr:uid="{00000000-0005-0000-0000-0000E55E0000}"/>
    <cellStyle name="40% - Accent6 4 4 5" xfId="29299" xr:uid="{00000000-0005-0000-0000-0000E65E0000}"/>
    <cellStyle name="40% - Accent6 4 4 5 2" xfId="1698" xr:uid="{00000000-0005-0000-0000-0000E75E0000}"/>
    <cellStyle name="40% - Accent6 4 4 6" xfId="26919" xr:uid="{00000000-0005-0000-0000-0000E85E0000}"/>
    <cellStyle name="40% - Accent6 4 5" xfId="30272" xr:uid="{00000000-0005-0000-0000-0000E95E0000}"/>
    <cellStyle name="40% - Accent6 4 5 2" xfId="27269" xr:uid="{00000000-0005-0000-0000-0000EA5E0000}"/>
    <cellStyle name="40% - Accent6 4 5 2 2" xfId="31309" xr:uid="{00000000-0005-0000-0000-0000EB5E0000}"/>
    <cellStyle name="40% - Accent6 4 5 2 2 2" xfId="26921" xr:uid="{00000000-0005-0000-0000-0000EC5E0000}"/>
    <cellStyle name="40% - Accent6 4 5 2 2 2 2" xfId="26923" xr:uid="{00000000-0005-0000-0000-0000ED5E0000}"/>
    <cellStyle name="40% - Accent6 4 5 2 2 3" xfId="26283" xr:uid="{00000000-0005-0000-0000-0000EE5E0000}"/>
    <cellStyle name="40% - Accent6 4 5 2 3" xfId="20696" xr:uid="{00000000-0005-0000-0000-0000EF5E0000}"/>
    <cellStyle name="40% - Accent6 4 5 2 3 2" xfId="22275" xr:uid="{00000000-0005-0000-0000-0000F05E0000}"/>
    <cellStyle name="40% - Accent6 4 5 2 4" xfId="20703" xr:uid="{00000000-0005-0000-0000-0000F15E0000}"/>
    <cellStyle name="40% - Accent6 4 5 3" xfId="25077" xr:uid="{00000000-0005-0000-0000-0000F25E0000}"/>
    <cellStyle name="40% - Accent6 4 5 3 2" xfId="5196" xr:uid="{00000000-0005-0000-0000-0000F35E0000}"/>
    <cellStyle name="40% - Accent6 4 5 3 2 2" xfId="17379" xr:uid="{00000000-0005-0000-0000-0000F45E0000}"/>
    <cellStyle name="40% - Accent6 4 5 3 3" xfId="874" xr:uid="{00000000-0005-0000-0000-0000F55E0000}"/>
    <cellStyle name="40% - Accent6 4 5 4" xfId="18274" xr:uid="{00000000-0005-0000-0000-0000F65E0000}"/>
    <cellStyle name="40% - Accent6 4 5 4 2" xfId="646" xr:uid="{00000000-0005-0000-0000-0000F75E0000}"/>
    <cellStyle name="40% - Accent6 4 5 5" xfId="18277" xr:uid="{00000000-0005-0000-0000-0000F85E0000}"/>
    <cellStyle name="40% - Accent6 4 6" xfId="26556" xr:uid="{00000000-0005-0000-0000-0000F95E0000}"/>
    <cellStyle name="40% - Accent6 4 6 2" xfId="26930" xr:uid="{00000000-0005-0000-0000-0000FA5E0000}"/>
    <cellStyle name="40% - Accent6 4 6 2 2" xfId="12848" xr:uid="{00000000-0005-0000-0000-0000FB5E0000}"/>
    <cellStyle name="40% - Accent6 4 6 2 2 2" xfId="6757" xr:uid="{00000000-0005-0000-0000-0000FC5E0000}"/>
    <cellStyle name="40% - Accent6 4 6 2 3" xfId="12854" xr:uid="{00000000-0005-0000-0000-0000FD5E0000}"/>
    <cellStyle name="40% - Accent6 4 6 3" xfId="26934" xr:uid="{00000000-0005-0000-0000-0000FE5E0000}"/>
    <cellStyle name="40% - Accent6 4 6 3 2" xfId="12864" xr:uid="{00000000-0005-0000-0000-0000FF5E0000}"/>
    <cellStyle name="40% - Accent6 4 6 4" xfId="18283" xr:uid="{00000000-0005-0000-0000-0000005F0000}"/>
    <cellStyle name="40% - Accent6 4 7" xfId="26936" xr:uid="{00000000-0005-0000-0000-0000015F0000}"/>
    <cellStyle name="40% - Accent6 4 7 2" xfId="26939" xr:uid="{00000000-0005-0000-0000-0000025F0000}"/>
    <cellStyle name="40% - Accent6 4 7 2 2" xfId="12872" xr:uid="{00000000-0005-0000-0000-0000035F0000}"/>
    <cellStyle name="40% - Accent6 4 7 3" xfId="26942" xr:uid="{00000000-0005-0000-0000-0000045F0000}"/>
    <cellStyle name="40% - Accent6 4 8" xfId="26945" xr:uid="{00000000-0005-0000-0000-0000055F0000}"/>
    <cellStyle name="40% - Accent6 4 8 2" xfId="26947" xr:uid="{00000000-0005-0000-0000-0000065F0000}"/>
    <cellStyle name="40% - Accent6 4 9" xfId="26950" xr:uid="{00000000-0005-0000-0000-0000075F0000}"/>
    <cellStyle name="40% - Accent6 5" xfId="24614" xr:uid="{00000000-0005-0000-0000-0000085F0000}"/>
    <cellStyle name="40% - Accent6 5 2" xfId="24620" xr:uid="{00000000-0005-0000-0000-0000095F0000}"/>
    <cellStyle name="40% - Accent6 5 2 2" xfId="24622" xr:uid="{00000000-0005-0000-0000-00000A5F0000}"/>
    <cellStyle name="40% - Accent6 5 2 2 2" xfId="27914" xr:uid="{00000000-0005-0000-0000-00000B5F0000}"/>
    <cellStyle name="40% - Accent6 5 2 2 2 2" xfId="23696" xr:uid="{00000000-0005-0000-0000-00000C5F0000}"/>
    <cellStyle name="40% - Accent6 5 2 2 2 2 2" xfId="15356" xr:uid="{00000000-0005-0000-0000-00000D5F0000}"/>
    <cellStyle name="40% - Accent6 5 2 2 2 2 2 2" xfId="1641" xr:uid="{00000000-0005-0000-0000-00000E5F0000}"/>
    <cellStyle name="40% - Accent6 5 2 2 2 2 2 2 2" xfId="32961" xr:uid="{00000000-0005-0000-0000-00000F5F0000}"/>
    <cellStyle name="40% - Accent6 5 2 2 2 2 2 3" xfId="630" xr:uid="{00000000-0005-0000-0000-0000105F0000}"/>
    <cellStyle name="40% - Accent6 5 2 2 2 2 3" xfId="29378" xr:uid="{00000000-0005-0000-0000-0000115F0000}"/>
    <cellStyle name="40% - Accent6 5 2 2 2 2 3 2" xfId="1243" xr:uid="{00000000-0005-0000-0000-0000125F0000}"/>
    <cellStyle name="40% - Accent6 5 2 2 2 2 4" xfId="24102" xr:uid="{00000000-0005-0000-0000-0000135F0000}"/>
    <cellStyle name="40% - Accent6 5 2 2 2 3" xfId="23702" xr:uid="{00000000-0005-0000-0000-0000145F0000}"/>
    <cellStyle name="40% - Accent6 5 2 2 2 3 2" xfId="15373" xr:uid="{00000000-0005-0000-0000-0000155F0000}"/>
    <cellStyle name="40% - Accent6 5 2 2 2 3 2 2" xfId="3391" xr:uid="{00000000-0005-0000-0000-0000165F0000}"/>
    <cellStyle name="40% - Accent6 5 2 2 2 3 3" xfId="30540" xr:uid="{00000000-0005-0000-0000-0000175F0000}"/>
    <cellStyle name="40% - Accent6 5 2 2 2 4" xfId="13363" xr:uid="{00000000-0005-0000-0000-0000185F0000}"/>
    <cellStyle name="40% - Accent6 5 2 2 2 4 2" xfId="9995" xr:uid="{00000000-0005-0000-0000-0000195F0000}"/>
    <cellStyle name="40% - Accent6 5 2 2 2 5" xfId="17692" xr:uid="{00000000-0005-0000-0000-00001A5F0000}"/>
    <cellStyle name="40% - Accent6 5 2 2 3" xfId="33957" xr:uid="{00000000-0005-0000-0000-00001B5F0000}"/>
    <cellStyle name="40% - Accent6 5 2 2 3 2" xfId="27919" xr:uid="{00000000-0005-0000-0000-00001C5F0000}"/>
    <cellStyle name="40% - Accent6 5 2 2 3 2 2" xfId="379" xr:uid="{00000000-0005-0000-0000-00001D5F0000}"/>
    <cellStyle name="40% - Accent6 5 2 2 3 2 2 2" xfId="4538" xr:uid="{00000000-0005-0000-0000-00001E5F0000}"/>
    <cellStyle name="40% - Accent6 5 2 2 3 2 3" xfId="5134" xr:uid="{00000000-0005-0000-0000-00001F5F0000}"/>
    <cellStyle name="40% - Accent6 5 2 2 3 3" xfId="15306" xr:uid="{00000000-0005-0000-0000-0000205F0000}"/>
    <cellStyle name="40% - Accent6 5 2 2 3 3 2" xfId="5043" xr:uid="{00000000-0005-0000-0000-0000215F0000}"/>
    <cellStyle name="40% - Accent6 5 2 2 3 4" xfId="14974" xr:uid="{00000000-0005-0000-0000-0000225F0000}"/>
    <cellStyle name="40% - Accent6 5 2 2 4" xfId="20758" xr:uid="{00000000-0005-0000-0000-0000235F0000}"/>
    <cellStyle name="40% - Accent6 5 2 2 4 2" xfId="27928" xr:uid="{00000000-0005-0000-0000-0000245F0000}"/>
    <cellStyle name="40% - Accent6 5 2 2 4 2 2" xfId="3969" xr:uid="{00000000-0005-0000-0000-0000255F0000}"/>
    <cellStyle name="40% - Accent6 5 2 2 4 3" xfId="15334" xr:uid="{00000000-0005-0000-0000-0000265F0000}"/>
    <cellStyle name="40% - Accent6 5 2 2 5" xfId="782" xr:uid="{00000000-0005-0000-0000-0000275F0000}"/>
    <cellStyle name="40% - Accent6 5 2 2 5 2" xfId="5180" xr:uid="{00000000-0005-0000-0000-0000285F0000}"/>
    <cellStyle name="40% - Accent6 5 2 2 6" xfId="20767" xr:uid="{00000000-0005-0000-0000-0000295F0000}"/>
    <cellStyle name="40% - Accent6 5 2 3" xfId="9373" xr:uid="{00000000-0005-0000-0000-00002A5F0000}"/>
    <cellStyle name="40% - Accent6 5 2 3 2" xfId="13057" xr:uid="{00000000-0005-0000-0000-00002B5F0000}"/>
    <cellStyle name="40% - Accent6 5 2 3 2 2" xfId="13870" xr:uid="{00000000-0005-0000-0000-00002C5F0000}"/>
    <cellStyle name="40% - Accent6 5 2 3 2 2 2" xfId="27930" xr:uid="{00000000-0005-0000-0000-00002D5F0000}"/>
    <cellStyle name="40% - Accent6 5 2 3 2 2 2 2" xfId="6066" xr:uid="{00000000-0005-0000-0000-00002E5F0000}"/>
    <cellStyle name="40% - Accent6 5 2 3 2 2 3" xfId="15909" xr:uid="{00000000-0005-0000-0000-00002F5F0000}"/>
    <cellStyle name="40% - Accent6 5 2 3 2 3" xfId="28845" xr:uid="{00000000-0005-0000-0000-0000305F0000}"/>
    <cellStyle name="40% - Accent6 5 2 3 2 3 2" xfId="5192" xr:uid="{00000000-0005-0000-0000-0000315F0000}"/>
    <cellStyle name="40% - Accent6 5 2 3 2 4" xfId="13394" xr:uid="{00000000-0005-0000-0000-0000325F0000}"/>
    <cellStyle name="40% - Accent6 5 2 3 3" xfId="20781" xr:uid="{00000000-0005-0000-0000-0000335F0000}"/>
    <cellStyle name="40% - Accent6 5 2 3 3 2" xfId="30312" xr:uid="{00000000-0005-0000-0000-0000345F0000}"/>
    <cellStyle name="40% - Accent6 5 2 3 3 2 2" xfId="2109" xr:uid="{00000000-0005-0000-0000-0000355F0000}"/>
    <cellStyle name="40% - Accent6 5 2 3 3 3" xfId="15959" xr:uid="{00000000-0005-0000-0000-0000365F0000}"/>
    <cellStyle name="40% - Accent6 5 2 3 4" xfId="20792" xr:uid="{00000000-0005-0000-0000-0000375F0000}"/>
    <cellStyle name="40% - Accent6 5 2 3 4 2" xfId="31800" xr:uid="{00000000-0005-0000-0000-0000385F0000}"/>
    <cellStyle name="40% - Accent6 5 2 3 5" xfId="20800" xr:uid="{00000000-0005-0000-0000-0000395F0000}"/>
    <cellStyle name="40% - Accent6 5 2 4" xfId="14923" xr:uid="{00000000-0005-0000-0000-00003A5F0000}"/>
    <cellStyle name="40% - Accent6 5 2 4 2" xfId="7023" xr:uid="{00000000-0005-0000-0000-00003B5F0000}"/>
    <cellStyle name="40% - Accent6 5 2 4 2 2" xfId="27936" xr:uid="{00000000-0005-0000-0000-00003C5F0000}"/>
    <cellStyle name="40% - Accent6 5 2 4 2 2 2" xfId="16265" xr:uid="{00000000-0005-0000-0000-00003D5F0000}"/>
    <cellStyle name="40% - Accent6 5 2 4 2 3" xfId="3858" xr:uid="{00000000-0005-0000-0000-00003E5F0000}"/>
    <cellStyle name="40% - Accent6 5 2 4 3" xfId="20808" xr:uid="{00000000-0005-0000-0000-00003F5F0000}"/>
    <cellStyle name="40% - Accent6 5 2 4 3 2" xfId="16291" xr:uid="{00000000-0005-0000-0000-0000405F0000}"/>
    <cellStyle name="40% - Accent6 5 2 4 4" xfId="827" xr:uid="{00000000-0005-0000-0000-0000415F0000}"/>
    <cellStyle name="40% - Accent6 5 2 5" xfId="3932" xr:uid="{00000000-0005-0000-0000-0000425F0000}"/>
    <cellStyle name="40% - Accent6 5 2 5 2" xfId="10206" xr:uid="{00000000-0005-0000-0000-0000435F0000}"/>
    <cellStyle name="40% - Accent6 5 2 5 2 2" xfId="16409" xr:uid="{00000000-0005-0000-0000-0000445F0000}"/>
    <cellStyle name="40% - Accent6 5 2 5 3" xfId="20814" xr:uid="{00000000-0005-0000-0000-0000455F0000}"/>
    <cellStyle name="40% - Accent6 5 2 6" xfId="32670" xr:uid="{00000000-0005-0000-0000-0000465F0000}"/>
    <cellStyle name="40% - Accent6 5 2 6 2" xfId="32071" xr:uid="{00000000-0005-0000-0000-0000475F0000}"/>
    <cellStyle name="40% - Accent6 5 2 7" xfId="15904" xr:uid="{00000000-0005-0000-0000-0000485F0000}"/>
    <cellStyle name="40% - Accent6 5 3" xfId="24625" xr:uid="{00000000-0005-0000-0000-0000495F0000}"/>
    <cellStyle name="40% - Accent6 5 3 2" xfId="26951" xr:uid="{00000000-0005-0000-0000-00004A5F0000}"/>
    <cellStyle name="40% - Accent6 5 3 2 2" xfId="13210" xr:uid="{00000000-0005-0000-0000-00004B5F0000}"/>
    <cellStyle name="40% - Accent6 5 3 2 2 2" xfId="9257" xr:uid="{00000000-0005-0000-0000-00004C5F0000}"/>
    <cellStyle name="40% - Accent6 5 3 2 2 2 2" xfId="17307" xr:uid="{00000000-0005-0000-0000-00004D5F0000}"/>
    <cellStyle name="40% - Accent6 5 3 2 2 2 2 2" xfId="11955" xr:uid="{00000000-0005-0000-0000-00004E5F0000}"/>
    <cellStyle name="40% - Accent6 5 3 2 2 2 3" xfId="17312" xr:uid="{00000000-0005-0000-0000-00004F5F0000}"/>
    <cellStyle name="40% - Accent6 5 3 2 2 3" xfId="27943" xr:uid="{00000000-0005-0000-0000-0000505F0000}"/>
    <cellStyle name="40% - Accent6 5 3 2 2 3 2" xfId="17320" xr:uid="{00000000-0005-0000-0000-0000515F0000}"/>
    <cellStyle name="40% - Accent6 5 3 2 2 4" xfId="26441" xr:uid="{00000000-0005-0000-0000-0000525F0000}"/>
    <cellStyle name="40% - Accent6 5 3 2 3" xfId="20831" xr:uid="{00000000-0005-0000-0000-0000535F0000}"/>
    <cellStyle name="40% - Accent6 5 3 2 3 2" xfId="29958" xr:uid="{00000000-0005-0000-0000-0000545F0000}"/>
    <cellStyle name="40% - Accent6 5 3 2 3 2 2" xfId="58" xr:uid="{00000000-0005-0000-0000-0000555F0000}"/>
    <cellStyle name="40% - Accent6 5 3 2 3 3" xfId="27208" xr:uid="{00000000-0005-0000-0000-0000565F0000}"/>
    <cellStyle name="40% - Accent6 5 3 2 4" xfId="20840" xr:uid="{00000000-0005-0000-0000-0000575F0000}"/>
    <cellStyle name="40% - Accent6 5 3 2 4 2" xfId="17455" xr:uid="{00000000-0005-0000-0000-0000585F0000}"/>
    <cellStyle name="40% - Accent6 5 3 2 5" xfId="15119" xr:uid="{00000000-0005-0000-0000-0000595F0000}"/>
    <cellStyle name="40% - Accent6 5 3 3" xfId="29856" xr:uid="{00000000-0005-0000-0000-00005A5F0000}"/>
    <cellStyle name="40% - Accent6 5 3 3 2" xfId="15054" xr:uid="{00000000-0005-0000-0000-00005B5F0000}"/>
    <cellStyle name="40% - Accent6 5 3 3 2 2" xfId="28938" xr:uid="{00000000-0005-0000-0000-00005C5F0000}"/>
    <cellStyle name="40% - Accent6 5 3 3 2 2 2" xfId="17794" xr:uid="{00000000-0005-0000-0000-00005D5F0000}"/>
    <cellStyle name="40% - Accent6 5 3 3 2 3" xfId="15066" xr:uid="{00000000-0005-0000-0000-00005E5F0000}"/>
    <cellStyle name="40% - Accent6 5 3 3 3" xfId="15071" xr:uid="{00000000-0005-0000-0000-00005F5F0000}"/>
    <cellStyle name="40% - Accent6 5 3 3 3 2" xfId="15190" xr:uid="{00000000-0005-0000-0000-0000605F0000}"/>
    <cellStyle name="40% - Accent6 5 3 3 4" xfId="15078" xr:uid="{00000000-0005-0000-0000-0000615F0000}"/>
    <cellStyle name="40% - Accent6 5 3 4" xfId="3937" xr:uid="{00000000-0005-0000-0000-0000625F0000}"/>
    <cellStyle name="40% - Accent6 5 3 4 2" xfId="26309" xr:uid="{00000000-0005-0000-0000-0000635F0000}"/>
    <cellStyle name="40% - Accent6 5 3 4 2 2" xfId="15097" xr:uid="{00000000-0005-0000-0000-0000645F0000}"/>
    <cellStyle name="40% - Accent6 5 3 4 3" xfId="15104" xr:uid="{00000000-0005-0000-0000-0000655F0000}"/>
    <cellStyle name="40% - Accent6 5 3 5" xfId="26954" xr:uid="{00000000-0005-0000-0000-0000665F0000}"/>
    <cellStyle name="40% - Accent6 5 3 5 2" xfId="15112" xr:uid="{00000000-0005-0000-0000-0000675F0000}"/>
    <cellStyle name="40% - Accent6 5 3 6" xfId="29709" xr:uid="{00000000-0005-0000-0000-0000685F0000}"/>
    <cellStyle name="40% - Accent6 5 4" xfId="26955" xr:uid="{00000000-0005-0000-0000-0000695F0000}"/>
    <cellStyle name="40% - Accent6 5 4 2" xfId="24706" xr:uid="{00000000-0005-0000-0000-00006A5F0000}"/>
    <cellStyle name="40% - Accent6 5 4 2 2" xfId="26322" xr:uid="{00000000-0005-0000-0000-00006B5F0000}"/>
    <cellStyle name="40% - Accent6 5 4 2 2 2" xfId="26404" xr:uid="{00000000-0005-0000-0000-00006C5F0000}"/>
    <cellStyle name="40% - Accent6 5 4 2 2 2 2" xfId="13579" xr:uid="{00000000-0005-0000-0000-00006D5F0000}"/>
    <cellStyle name="40% - Accent6 5 4 2 2 3" xfId="19218" xr:uid="{00000000-0005-0000-0000-00006E5F0000}"/>
    <cellStyle name="40% - Accent6 5 4 2 3" xfId="20868" xr:uid="{00000000-0005-0000-0000-00006F5F0000}"/>
    <cellStyle name="40% - Accent6 5 4 2 3 2" xfId="19273" xr:uid="{00000000-0005-0000-0000-0000705F0000}"/>
    <cellStyle name="40% - Accent6 5 4 2 4" xfId="20769" xr:uid="{00000000-0005-0000-0000-0000715F0000}"/>
    <cellStyle name="40% - Accent6 5 4 3" xfId="22552" xr:uid="{00000000-0005-0000-0000-0000725F0000}"/>
    <cellStyle name="40% - Accent6 5 4 3 2" xfId="26345" xr:uid="{00000000-0005-0000-0000-0000735F0000}"/>
    <cellStyle name="40% - Accent6 5 4 3 2 2" xfId="15148" xr:uid="{00000000-0005-0000-0000-0000745F0000}"/>
    <cellStyle name="40% - Accent6 5 4 3 3" xfId="15157" xr:uid="{00000000-0005-0000-0000-0000755F0000}"/>
    <cellStyle name="40% - Accent6 5 4 4" xfId="20289" xr:uid="{00000000-0005-0000-0000-0000765F0000}"/>
    <cellStyle name="40% - Accent6 5 4 4 2" xfId="15169" xr:uid="{00000000-0005-0000-0000-0000775F0000}"/>
    <cellStyle name="40% - Accent6 5 4 5" xfId="26958" xr:uid="{00000000-0005-0000-0000-0000785F0000}"/>
    <cellStyle name="40% - Accent6 5 5" xfId="26959" xr:uid="{00000000-0005-0000-0000-0000795F0000}"/>
    <cellStyle name="40% - Accent6 5 5 2" xfId="24722" xr:uid="{00000000-0005-0000-0000-00007A5F0000}"/>
    <cellStyle name="40% - Accent6 5 5 2 2" xfId="26960" xr:uid="{00000000-0005-0000-0000-00007B5F0000}"/>
    <cellStyle name="40% - Accent6 5 5 2 2 2" xfId="22755" xr:uid="{00000000-0005-0000-0000-00007C5F0000}"/>
    <cellStyle name="40% - Accent6 5 5 2 3" xfId="20888" xr:uid="{00000000-0005-0000-0000-00007D5F0000}"/>
    <cellStyle name="40% - Accent6 5 5 3" xfId="26962" xr:uid="{00000000-0005-0000-0000-00007E5F0000}"/>
    <cellStyle name="40% - Accent6 5 5 3 2" xfId="5247" xr:uid="{00000000-0005-0000-0000-00007F5F0000}"/>
    <cellStyle name="40% - Accent6 5 5 4" xfId="18292" xr:uid="{00000000-0005-0000-0000-0000805F0000}"/>
    <cellStyle name="40% - Accent6 5 6" xfId="3249" xr:uid="{00000000-0005-0000-0000-0000815F0000}"/>
    <cellStyle name="40% - Accent6 5 6 2" xfId="27518" xr:uid="{00000000-0005-0000-0000-0000825F0000}"/>
    <cellStyle name="40% - Accent6 5 6 2 2" xfId="12892" xr:uid="{00000000-0005-0000-0000-0000835F0000}"/>
    <cellStyle name="40% - Accent6 5 6 3" xfId="33837" xr:uid="{00000000-0005-0000-0000-0000845F0000}"/>
    <cellStyle name="40% - Accent6 5 7" xfId="26964" xr:uid="{00000000-0005-0000-0000-0000855F0000}"/>
    <cellStyle name="40% - Accent6 5 7 2" xfId="28009" xr:uid="{00000000-0005-0000-0000-0000865F0000}"/>
    <cellStyle name="40% - Accent6 5 8" xfId="28011" xr:uid="{00000000-0005-0000-0000-0000875F0000}"/>
    <cellStyle name="40% - Accent6 6" xfId="26965" xr:uid="{00000000-0005-0000-0000-0000885F0000}"/>
    <cellStyle name="40% - Accent6 6 2" xfId="19805" xr:uid="{00000000-0005-0000-0000-0000895F0000}"/>
    <cellStyle name="40% - Accent6 6 2 2" xfId="27688" xr:uid="{00000000-0005-0000-0000-00008A5F0000}"/>
    <cellStyle name="40% - Accent6 6 2 2 2" xfId="23942" xr:uid="{00000000-0005-0000-0000-00008B5F0000}"/>
    <cellStyle name="40% - Accent6 6 2 2 2 2" xfId="24133" xr:uid="{00000000-0005-0000-0000-00008C5F0000}"/>
    <cellStyle name="40% - Accent6 6 2 2 2 2 2" xfId="24265" xr:uid="{00000000-0005-0000-0000-00008D5F0000}"/>
    <cellStyle name="40% - Accent6 6 2 2 2 2 2 2" xfId="15705" xr:uid="{00000000-0005-0000-0000-00008E5F0000}"/>
    <cellStyle name="40% - Accent6 6 2 2 2 2 3" xfId="26975" xr:uid="{00000000-0005-0000-0000-00008F5F0000}"/>
    <cellStyle name="40% - Accent6 6 2 2 2 3" xfId="26980" xr:uid="{00000000-0005-0000-0000-0000905F0000}"/>
    <cellStyle name="40% - Accent6 6 2 2 2 3 2" xfId="28259" xr:uid="{00000000-0005-0000-0000-0000915F0000}"/>
    <cellStyle name="40% - Accent6 6 2 2 2 4" xfId="26987" xr:uid="{00000000-0005-0000-0000-0000925F0000}"/>
    <cellStyle name="40% - Accent6 6 2 2 3" xfId="19817" xr:uid="{00000000-0005-0000-0000-0000935F0000}"/>
    <cellStyle name="40% - Accent6 6 2 2 3 2" xfId="22817" xr:uid="{00000000-0005-0000-0000-0000945F0000}"/>
    <cellStyle name="40% - Accent6 6 2 2 3 2 2" xfId="1477" xr:uid="{00000000-0005-0000-0000-0000955F0000}"/>
    <cellStyle name="40% - Accent6 6 2 2 3 3" xfId="19386" xr:uid="{00000000-0005-0000-0000-0000965F0000}"/>
    <cellStyle name="40% - Accent6 6 2 2 4" xfId="20975" xr:uid="{00000000-0005-0000-0000-0000975F0000}"/>
    <cellStyle name="40% - Accent6 6 2 2 4 2" xfId="26581" xr:uid="{00000000-0005-0000-0000-0000985F0000}"/>
    <cellStyle name="40% - Accent6 6 2 2 5" xfId="19837" xr:uid="{00000000-0005-0000-0000-0000995F0000}"/>
    <cellStyle name="40% - Accent6 6 2 3" xfId="24678" xr:uid="{00000000-0005-0000-0000-00009A5F0000}"/>
    <cellStyle name="40% - Accent6 6 2 3 2" xfId="26991" xr:uid="{00000000-0005-0000-0000-00009B5F0000}"/>
    <cellStyle name="40% - Accent6 6 2 3 2 2" xfId="23311" xr:uid="{00000000-0005-0000-0000-00009C5F0000}"/>
    <cellStyle name="40% - Accent6 6 2 3 2 2 2" xfId="26997" xr:uid="{00000000-0005-0000-0000-00009D5F0000}"/>
    <cellStyle name="40% - Accent6 6 2 3 2 3" xfId="26561" xr:uid="{00000000-0005-0000-0000-00009E5F0000}"/>
    <cellStyle name="40% - Accent6 6 2 3 3" xfId="19856" xr:uid="{00000000-0005-0000-0000-00009F5F0000}"/>
    <cellStyle name="40% - Accent6 6 2 3 3 2" xfId="26599" xr:uid="{00000000-0005-0000-0000-0000A05F0000}"/>
    <cellStyle name="40% - Accent6 6 2 3 4" xfId="19640" xr:uid="{00000000-0005-0000-0000-0000A15F0000}"/>
    <cellStyle name="40% - Accent6 6 2 4" xfId="12554" xr:uid="{00000000-0005-0000-0000-0000A25F0000}"/>
    <cellStyle name="40% - Accent6 6 2 4 2" xfId="26413" xr:uid="{00000000-0005-0000-0000-0000A35F0000}"/>
    <cellStyle name="40% - Accent6 6 2 4 2 2" xfId="27007" xr:uid="{00000000-0005-0000-0000-0000A45F0000}"/>
    <cellStyle name="40% - Accent6 6 2 4 3" xfId="20994" xr:uid="{00000000-0005-0000-0000-0000A55F0000}"/>
    <cellStyle name="40% - Accent6 6 2 5" xfId="27012" xr:uid="{00000000-0005-0000-0000-0000A65F0000}"/>
    <cellStyle name="40% - Accent6 6 2 5 2" xfId="26734" xr:uid="{00000000-0005-0000-0000-0000A75F0000}"/>
    <cellStyle name="40% - Accent6 6 2 6" xfId="27018" xr:uid="{00000000-0005-0000-0000-0000A85F0000}"/>
    <cellStyle name="40% - Accent6 6 3" xfId="11544" xr:uid="{00000000-0005-0000-0000-0000A95F0000}"/>
    <cellStyle name="40% - Accent6 6 3 2" xfId="27026" xr:uid="{00000000-0005-0000-0000-0000AA5F0000}"/>
    <cellStyle name="40% - Accent6 6 3 2 2" xfId="19870" xr:uid="{00000000-0005-0000-0000-0000AB5F0000}"/>
    <cellStyle name="40% - Accent6 6 3 2 2 2" xfId="27034" xr:uid="{00000000-0005-0000-0000-0000AC5F0000}"/>
    <cellStyle name="40% - Accent6 6 3 2 2 2 2" xfId="29389" xr:uid="{00000000-0005-0000-0000-0000AD5F0000}"/>
    <cellStyle name="40% - Accent6 6 3 2 2 3" xfId="22303" xr:uid="{00000000-0005-0000-0000-0000AE5F0000}"/>
    <cellStyle name="40% - Accent6 6 3 2 3" xfId="21007" xr:uid="{00000000-0005-0000-0000-0000AF5F0000}"/>
    <cellStyle name="40% - Accent6 6 3 2 3 2" xfId="21626" xr:uid="{00000000-0005-0000-0000-0000B05F0000}"/>
    <cellStyle name="40% - Accent6 6 3 2 4" xfId="21022" xr:uid="{00000000-0005-0000-0000-0000B15F0000}"/>
    <cellStyle name="40% - Accent6 6 3 3" xfId="19889" xr:uid="{00000000-0005-0000-0000-0000B25F0000}"/>
    <cellStyle name="40% - Accent6 6 3 3 2" xfId="24590" xr:uid="{00000000-0005-0000-0000-0000B35F0000}"/>
    <cellStyle name="40% - Accent6 6 3 3 2 2" xfId="22935" xr:uid="{00000000-0005-0000-0000-0000B45F0000}"/>
    <cellStyle name="40% - Accent6 6 3 3 3" xfId="27455" xr:uid="{00000000-0005-0000-0000-0000B55F0000}"/>
    <cellStyle name="40% - Accent6 6 3 4" xfId="27039" xr:uid="{00000000-0005-0000-0000-0000B65F0000}"/>
    <cellStyle name="40% - Accent6 6 3 4 2" xfId="30144" xr:uid="{00000000-0005-0000-0000-0000B75F0000}"/>
    <cellStyle name="40% - Accent6 6 3 5" xfId="27046" xr:uid="{00000000-0005-0000-0000-0000B85F0000}"/>
    <cellStyle name="40% - Accent6 6 4" xfId="27049" xr:uid="{00000000-0005-0000-0000-0000B95F0000}"/>
    <cellStyle name="40% - Accent6 6 4 2" xfId="24730" xr:uid="{00000000-0005-0000-0000-0000BA5F0000}"/>
    <cellStyle name="40% - Accent6 6 4 2 2" xfId="26049" xr:uid="{00000000-0005-0000-0000-0000BB5F0000}"/>
    <cellStyle name="40% - Accent6 6 4 2 2 2" xfId="27065" xr:uid="{00000000-0005-0000-0000-0000BC5F0000}"/>
    <cellStyle name="40% - Accent6 6 4 2 3" xfId="24605" xr:uid="{00000000-0005-0000-0000-0000BD5F0000}"/>
    <cellStyle name="40% - Accent6 6 4 3" xfId="23887" xr:uid="{00000000-0005-0000-0000-0000BE5F0000}"/>
    <cellStyle name="40% - Accent6 6 4 3 2" xfId="22282" xr:uid="{00000000-0005-0000-0000-0000BF5F0000}"/>
    <cellStyle name="40% - Accent6 6 4 4" xfId="23678" xr:uid="{00000000-0005-0000-0000-0000C05F0000}"/>
    <cellStyle name="40% - Accent6 6 5" xfId="27070" xr:uid="{00000000-0005-0000-0000-0000C15F0000}"/>
    <cellStyle name="40% - Accent6 6 5 2" xfId="27073" xr:uid="{00000000-0005-0000-0000-0000C25F0000}"/>
    <cellStyle name="40% - Accent6 6 5 2 2" xfId="26066" xr:uid="{00000000-0005-0000-0000-0000C35F0000}"/>
    <cellStyle name="40% - Accent6 6 5 3" xfId="26794" xr:uid="{00000000-0005-0000-0000-0000C45F0000}"/>
    <cellStyle name="40% - Accent6 6 6" xfId="27080" xr:uid="{00000000-0005-0000-0000-0000C55F0000}"/>
    <cellStyle name="40% - Accent6 6 6 2" xfId="26612" xr:uid="{00000000-0005-0000-0000-0000C65F0000}"/>
    <cellStyle name="40% - Accent6 6 7" xfId="27089" xr:uid="{00000000-0005-0000-0000-0000C75F0000}"/>
    <cellStyle name="40% - Accent6 7" xfId="20904" xr:uid="{00000000-0005-0000-0000-0000C85F0000}"/>
    <cellStyle name="40% - Accent6 7 2" xfId="19910" xr:uid="{00000000-0005-0000-0000-0000C95F0000}"/>
    <cellStyle name="40% - Accent6 7 2 2" xfId="21955" xr:uid="{00000000-0005-0000-0000-0000CA5F0000}"/>
    <cellStyle name="40% - Accent6 7 2 2 2" xfId="27529" xr:uid="{00000000-0005-0000-0000-0000CB5F0000}"/>
    <cellStyle name="40% - Accent6 7 2 2 2 2" xfId="19918" xr:uid="{00000000-0005-0000-0000-0000CC5F0000}"/>
    <cellStyle name="40% - Accent6 7 2 2 2 2 2" xfId="27091" xr:uid="{00000000-0005-0000-0000-0000CD5F0000}"/>
    <cellStyle name="40% - Accent6 7 2 2 2 3" xfId="6253" xr:uid="{00000000-0005-0000-0000-0000CE5F0000}"/>
    <cellStyle name="40% - Accent6 7 2 2 3" xfId="19928" xr:uid="{00000000-0005-0000-0000-0000CF5F0000}"/>
    <cellStyle name="40% - Accent6 7 2 2 3 2" xfId="26645" xr:uid="{00000000-0005-0000-0000-0000D05F0000}"/>
    <cellStyle name="40% - Accent6 7 2 2 4" xfId="21079" xr:uid="{00000000-0005-0000-0000-0000D15F0000}"/>
    <cellStyle name="40% - Accent6 7 2 3" xfId="19938" xr:uid="{00000000-0005-0000-0000-0000D25F0000}"/>
    <cellStyle name="40% - Accent6 7 2 3 2" xfId="20172" xr:uid="{00000000-0005-0000-0000-0000D35F0000}"/>
    <cellStyle name="40% - Accent6 7 2 3 2 2" xfId="27274" xr:uid="{00000000-0005-0000-0000-0000D45F0000}"/>
    <cellStyle name="40% - Accent6 7 2 3 3" xfId="21085" xr:uid="{00000000-0005-0000-0000-0000D55F0000}"/>
    <cellStyle name="40% - Accent6 7 2 4" xfId="19946" xr:uid="{00000000-0005-0000-0000-0000D65F0000}"/>
    <cellStyle name="40% - Accent6 7 2 4 2" xfId="27099" xr:uid="{00000000-0005-0000-0000-0000D75F0000}"/>
    <cellStyle name="40% - Accent6 7 2 5" xfId="21319" xr:uid="{00000000-0005-0000-0000-0000D85F0000}"/>
    <cellStyle name="40% - Accent6 7 3" xfId="19949" xr:uid="{00000000-0005-0000-0000-0000D95F0000}"/>
    <cellStyle name="40% - Accent6 7 3 2" xfId="19950" xr:uid="{00000000-0005-0000-0000-0000DA5F0000}"/>
    <cellStyle name="40% - Accent6 7 3 2 2" xfId="27104" xr:uid="{00000000-0005-0000-0000-0000DB5F0000}"/>
    <cellStyle name="40% - Accent6 7 3 2 2 2" xfId="27110" xr:uid="{00000000-0005-0000-0000-0000DC5F0000}"/>
    <cellStyle name="40% - Accent6 7 3 2 3" xfId="21098" xr:uid="{00000000-0005-0000-0000-0000DD5F0000}"/>
    <cellStyle name="40% - Accent6 7 3 3" xfId="19955" xr:uid="{00000000-0005-0000-0000-0000DE5F0000}"/>
    <cellStyle name="40% - Accent6 7 3 3 2" xfId="15316" xr:uid="{00000000-0005-0000-0000-0000DF5F0000}"/>
    <cellStyle name="40% - Accent6 7 3 4" xfId="19959" xr:uid="{00000000-0005-0000-0000-0000E05F0000}"/>
    <cellStyle name="40% - Accent6 7 4" xfId="19960" xr:uid="{00000000-0005-0000-0000-0000E15F0000}"/>
    <cellStyle name="40% - Accent6 7 4 2" xfId="19962" xr:uid="{00000000-0005-0000-0000-0000E25F0000}"/>
    <cellStyle name="40% - Accent6 7 4 2 2" xfId="26086" xr:uid="{00000000-0005-0000-0000-0000E35F0000}"/>
    <cellStyle name="40% - Accent6 7 4 3" xfId="26904" xr:uid="{00000000-0005-0000-0000-0000E45F0000}"/>
    <cellStyle name="40% - Accent6 7 5" xfId="15164" xr:uid="{00000000-0005-0000-0000-0000E55F0000}"/>
    <cellStyle name="40% - Accent6 7 5 2" xfId="19971" xr:uid="{00000000-0005-0000-0000-0000E65F0000}"/>
    <cellStyle name="40% - Accent6 7 6" xfId="22152" xr:uid="{00000000-0005-0000-0000-0000E75F0000}"/>
    <cellStyle name="40% - Accent6 8" xfId="26169" xr:uid="{00000000-0005-0000-0000-0000E85F0000}"/>
    <cellStyle name="40% - Accent6 8 2" xfId="19973" xr:uid="{00000000-0005-0000-0000-0000E95F0000}"/>
    <cellStyle name="40% - Accent6 8 2 2" xfId="19978" xr:uid="{00000000-0005-0000-0000-0000EA5F0000}"/>
    <cellStyle name="40% - Accent6 8 2 2 2" xfId="27125" xr:uid="{00000000-0005-0000-0000-0000EB5F0000}"/>
    <cellStyle name="40% - Accent6 8 2 2 2 2" xfId="27129" xr:uid="{00000000-0005-0000-0000-0000EC5F0000}"/>
    <cellStyle name="40% - Accent6 8 2 2 3" xfId="19988" xr:uid="{00000000-0005-0000-0000-0000ED5F0000}"/>
    <cellStyle name="40% - Accent6 8 2 3" xfId="20012" xr:uid="{00000000-0005-0000-0000-0000EE5F0000}"/>
    <cellStyle name="40% - Accent6 8 2 3 2" xfId="5666" xr:uid="{00000000-0005-0000-0000-0000EF5F0000}"/>
    <cellStyle name="40% - Accent6 8 2 4" xfId="21326" xr:uid="{00000000-0005-0000-0000-0000F05F0000}"/>
    <cellStyle name="40% - Accent6 8 3" xfId="20020" xr:uid="{00000000-0005-0000-0000-0000F15F0000}"/>
    <cellStyle name="40% - Accent6 8 3 2" xfId="20021" xr:uid="{00000000-0005-0000-0000-0000F25F0000}"/>
    <cellStyle name="40% - Accent6 8 3 2 2" xfId="28386" xr:uid="{00000000-0005-0000-0000-0000F35F0000}"/>
    <cellStyle name="40% - Accent6 8 3 3" xfId="25721" xr:uid="{00000000-0005-0000-0000-0000F45F0000}"/>
    <cellStyle name="40% - Accent6 8 4" xfId="18482" xr:uid="{00000000-0005-0000-0000-0000F55F0000}"/>
    <cellStyle name="40% - Accent6 8 4 2" xfId="30139" xr:uid="{00000000-0005-0000-0000-0000F65F0000}"/>
    <cellStyle name="40% - Accent6 8 5" xfId="15175" xr:uid="{00000000-0005-0000-0000-0000F75F0000}"/>
    <cellStyle name="40% - Accent6 9" xfId="20048" xr:uid="{00000000-0005-0000-0000-0000F85F0000}"/>
    <cellStyle name="40% - Accent6 9 2" xfId="20049" xr:uid="{00000000-0005-0000-0000-0000F95F0000}"/>
    <cellStyle name="40% - Accent6 9 2 2" xfId="19990" xr:uid="{00000000-0005-0000-0000-0000FA5F0000}"/>
    <cellStyle name="40% - Accent6 9 2 2 2" xfId="20058" xr:uid="{00000000-0005-0000-0000-0000FB5F0000}"/>
    <cellStyle name="40% - Accent6 9 2 3" xfId="23724" xr:uid="{00000000-0005-0000-0000-0000FC5F0000}"/>
    <cellStyle name="40% - Accent6 9 3" xfId="19759" xr:uid="{00000000-0005-0000-0000-0000FD5F0000}"/>
    <cellStyle name="40% - Accent6 9 3 2" xfId="24052" xr:uid="{00000000-0005-0000-0000-0000FE5F0000}"/>
    <cellStyle name="40% - Accent6 9 4" xfId="18490" xr:uid="{00000000-0005-0000-0000-0000FF5F0000}"/>
    <cellStyle name="60% - Accent1 2" xfId="9816" xr:uid="{00000000-0005-0000-0000-000000600000}"/>
    <cellStyle name="60% - Accent1 3" xfId="14491" xr:uid="{00000000-0005-0000-0000-000001600000}"/>
    <cellStyle name="60% - Accent2 2" xfId="84" xr:uid="{00000000-0005-0000-0000-000002600000}"/>
    <cellStyle name="60% - Accent2 3" xfId="11680" xr:uid="{00000000-0005-0000-0000-000003600000}"/>
    <cellStyle name="60% - Accent3 2" xfId="28656" xr:uid="{00000000-0005-0000-0000-000004600000}"/>
    <cellStyle name="60% - Accent3 3" xfId="28679" xr:uid="{00000000-0005-0000-0000-000005600000}"/>
    <cellStyle name="60% - Accent4 2" xfId="28698" xr:uid="{00000000-0005-0000-0000-000006600000}"/>
    <cellStyle name="60% - Accent4 3" xfId="28707" xr:uid="{00000000-0005-0000-0000-000007600000}"/>
    <cellStyle name="60% - Accent5 2" xfId="554" xr:uid="{00000000-0005-0000-0000-000008600000}"/>
    <cellStyle name="60% - Accent5 3" xfId="8131" xr:uid="{00000000-0005-0000-0000-000009600000}"/>
    <cellStyle name="60% - Accent6 2" xfId="13308" xr:uid="{00000000-0005-0000-0000-00000A600000}"/>
    <cellStyle name="60% - Accent6 3" xfId="26229" xr:uid="{00000000-0005-0000-0000-00000B600000}"/>
    <cellStyle name="Accent1 2" xfId="31319" xr:uid="{00000000-0005-0000-0000-00000C600000}"/>
    <cellStyle name="Accent2 2" xfId="10802" xr:uid="{00000000-0005-0000-0000-00000D600000}"/>
    <cellStyle name="Accent3 2" xfId="11054" xr:uid="{00000000-0005-0000-0000-00000E600000}"/>
    <cellStyle name="Accent4 2" xfId="22746" xr:uid="{00000000-0005-0000-0000-00000F600000}"/>
    <cellStyle name="Accent5 2" xfId="18222" xr:uid="{00000000-0005-0000-0000-000010600000}"/>
    <cellStyle name="Accent6 2" xfId="22833" xr:uid="{00000000-0005-0000-0000-000011600000}"/>
    <cellStyle name="Bad 2" xfId="27886" xr:uid="{00000000-0005-0000-0000-000012600000}"/>
    <cellStyle name="Calculation 2" xfId="10200" xr:uid="{00000000-0005-0000-0000-000013600000}"/>
    <cellStyle name="Check Cell 2" xfId="28104" xr:uid="{00000000-0005-0000-0000-000014600000}"/>
    <cellStyle name="Comma 2" xfId="13194" xr:uid="{00000000-0005-0000-0000-000015600000}"/>
    <cellStyle name="Comma 3" xfId="20777" xr:uid="{00000000-0005-0000-0000-000016600000}"/>
    <cellStyle name="Comma 4" xfId="20795" xr:uid="{00000000-0005-0000-0000-000017600000}"/>
    <cellStyle name="Comma 42" xfId="34044" xr:uid="{422BC8AA-BCC3-4F0C-AA49-EF19C91130A3}"/>
    <cellStyle name="Comma 5" xfId="20804" xr:uid="{00000000-0005-0000-0000-000018600000}"/>
    <cellStyle name="Comma 6" xfId="33912" xr:uid="{00000000-0005-0000-0000-000019600000}"/>
    <cellStyle name="Comma 7 2" xfId="34039" xr:uid="{383D709D-E859-4438-A072-D916D9B257BF}"/>
    <cellStyle name="Excel Built-in Normal" xfId="26537" xr:uid="{00000000-0005-0000-0000-00001A600000}"/>
    <cellStyle name="Excel Built-in Normal 2" xfId="30009" xr:uid="{00000000-0005-0000-0000-00001B600000}"/>
    <cellStyle name="Explanatory Text 2" xfId="11424" xr:uid="{00000000-0005-0000-0000-00001C600000}"/>
    <cellStyle name="Good 2" xfId="7967" xr:uid="{00000000-0005-0000-0000-00001D600000}"/>
    <cellStyle name="Heading 1 2" xfId="27946" xr:uid="{00000000-0005-0000-0000-00001E600000}"/>
    <cellStyle name="Heading 2 2" xfId="27948" xr:uid="{00000000-0005-0000-0000-00001F600000}"/>
    <cellStyle name="Heading 3 2" xfId="29982" xr:uid="{00000000-0005-0000-0000-000020600000}"/>
    <cellStyle name="Heading 4 2" xfId="3107" xr:uid="{00000000-0005-0000-0000-000021600000}"/>
    <cellStyle name="Input 2" xfId="22624" xr:uid="{00000000-0005-0000-0000-000022600000}"/>
    <cellStyle name="Linked Cell 2" xfId="7874" xr:uid="{00000000-0005-0000-0000-000023600000}"/>
    <cellStyle name="Neutral 2" xfId="18023" xr:uid="{00000000-0005-0000-0000-000024600000}"/>
    <cellStyle name="Neutral 3" xfId="26167" xr:uid="{00000000-0005-0000-0000-000025600000}"/>
    <cellStyle name="Normal" xfId="0" builtinId="0"/>
    <cellStyle name="Normal 10" xfId="17313" xr:uid="{00000000-0005-0000-0000-000027600000}"/>
    <cellStyle name="Normal 10 2" xfId="17039" xr:uid="{00000000-0005-0000-0000-000028600000}"/>
    <cellStyle name="Normal 11" xfId="11205" xr:uid="{00000000-0005-0000-0000-000029600000}"/>
    <cellStyle name="Normal 11 2" xfId="30021" xr:uid="{00000000-0005-0000-0000-00002A600000}"/>
    <cellStyle name="Normal 11 2 2" xfId="14480" xr:uid="{00000000-0005-0000-0000-00002B600000}"/>
    <cellStyle name="Normal 11 2 2 2" xfId="33647" xr:uid="{00000000-0005-0000-0000-00002C600000}"/>
    <cellStyle name="Normal 11 2 2 2 2" xfId="2182" xr:uid="{00000000-0005-0000-0000-00002D600000}"/>
    <cellStyle name="Normal 11 2 2 2 2 2" xfId="24841" xr:uid="{00000000-0005-0000-0000-00002E600000}"/>
    <cellStyle name="Normal 11 2 2 2 2 2 2" xfId="27139" xr:uid="{00000000-0005-0000-0000-00002F600000}"/>
    <cellStyle name="Normal 11 2 2 2 2 2 2 2" xfId="19133" xr:uid="{00000000-0005-0000-0000-000030600000}"/>
    <cellStyle name="Normal 11 2 2 2 2 2 3" xfId="27144" xr:uid="{00000000-0005-0000-0000-000031600000}"/>
    <cellStyle name="Normal 11 2 2 2 2 3" xfId="24850" xr:uid="{00000000-0005-0000-0000-000032600000}"/>
    <cellStyle name="Normal 11 2 2 2 2 3 2" xfId="27147" xr:uid="{00000000-0005-0000-0000-000033600000}"/>
    <cellStyle name="Normal 11 2 2 2 2 4" xfId="26886" xr:uid="{00000000-0005-0000-0000-000034600000}"/>
    <cellStyle name="Normal 11 2 2 2 3" xfId="18882" xr:uid="{00000000-0005-0000-0000-000035600000}"/>
    <cellStyle name="Normal 11 2 2 2 3 2" xfId="18887" xr:uid="{00000000-0005-0000-0000-000036600000}"/>
    <cellStyle name="Normal 11 2 2 2 3 2 2" xfId="14712" xr:uid="{00000000-0005-0000-0000-000037600000}"/>
    <cellStyle name="Normal 11 2 2 2 3 3" xfId="18902" xr:uid="{00000000-0005-0000-0000-000038600000}"/>
    <cellStyle name="Normal 11 2 2 2 4" xfId="12989" xr:uid="{00000000-0005-0000-0000-000039600000}"/>
    <cellStyle name="Normal 11 2 2 2 4 2" xfId="24042" xr:uid="{00000000-0005-0000-0000-00003A600000}"/>
    <cellStyle name="Normal 11 2 2 2 5" xfId="19162" xr:uid="{00000000-0005-0000-0000-00003B600000}"/>
    <cellStyle name="Normal 11 2 2 3" xfId="9767" xr:uid="{00000000-0005-0000-0000-00003C600000}"/>
    <cellStyle name="Normal 11 2 2 3 2" xfId="27149" xr:uid="{00000000-0005-0000-0000-00003D600000}"/>
    <cellStyle name="Normal 11 2 2 3 2 2" xfId="24184" xr:uid="{00000000-0005-0000-0000-00003E600000}"/>
    <cellStyle name="Normal 11 2 2 3 2 2 2" xfId="17563" xr:uid="{00000000-0005-0000-0000-00003F600000}"/>
    <cellStyle name="Normal 11 2 2 3 2 3" xfId="8753" xr:uid="{00000000-0005-0000-0000-000040600000}"/>
    <cellStyle name="Normal 11 2 2 3 3" xfId="18920" xr:uid="{00000000-0005-0000-0000-000041600000}"/>
    <cellStyle name="Normal 11 2 2 3 3 2" xfId="24071" xr:uid="{00000000-0005-0000-0000-000042600000}"/>
    <cellStyle name="Normal 11 2 2 3 4" xfId="22602" xr:uid="{00000000-0005-0000-0000-000043600000}"/>
    <cellStyle name="Normal 11 2 2 4" xfId="25092" xr:uid="{00000000-0005-0000-0000-000044600000}"/>
    <cellStyle name="Normal 11 2 2 4 2" xfId="26697" xr:uid="{00000000-0005-0000-0000-000045600000}"/>
    <cellStyle name="Normal 11 2 2 4 2 2" xfId="26456" xr:uid="{00000000-0005-0000-0000-000046600000}"/>
    <cellStyle name="Normal 11 2 2 4 3" xfId="18936" xr:uid="{00000000-0005-0000-0000-000047600000}"/>
    <cellStyle name="Normal 11 2 2 5" xfId="26805" xr:uid="{00000000-0005-0000-0000-000048600000}"/>
    <cellStyle name="Normal 11 2 2 5 2" xfId="14829" xr:uid="{00000000-0005-0000-0000-000049600000}"/>
    <cellStyle name="Normal 11 2 2 6" xfId="11759" xr:uid="{00000000-0005-0000-0000-00004A600000}"/>
    <cellStyle name="Normal 11 2 3" xfId="947" xr:uid="{00000000-0005-0000-0000-00004B600000}"/>
    <cellStyle name="Normal 11 2 3 2" xfId="33306" xr:uid="{00000000-0005-0000-0000-00004C600000}"/>
    <cellStyle name="Normal 11 2 3 2 2" xfId="27151" xr:uid="{00000000-0005-0000-0000-00004D600000}"/>
    <cellStyle name="Normal 11 2 3 2 2 2" xfId="10086" xr:uid="{00000000-0005-0000-0000-00004E600000}"/>
    <cellStyle name="Normal 11 2 3 2 2 2 2" xfId="27157" xr:uid="{00000000-0005-0000-0000-00004F600000}"/>
    <cellStyle name="Normal 11 2 3 2 2 3" xfId="27162" xr:uid="{00000000-0005-0000-0000-000050600000}"/>
    <cellStyle name="Normal 11 2 3 2 3" xfId="19118" xr:uid="{00000000-0005-0000-0000-000051600000}"/>
    <cellStyle name="Normal 11 2 3 2 3 2" xfId="1689" xr:uid="{00000000-0005-0000-0000-000052600000}"/>
    <cellStyle name="Normal 11 2 3 2 4" xfId="22803" xr:uid="{00000000-0005-0000-0000-000053600000}"/>
    <cellStyle name="Normal 11 2 3 3" xfId="30732" xr:uid="{00000000-0005-0000-0000-000054600000}"/>
    <cellStyle name="Normal 11 2 3 3 2" xfId="27874" xr:uid="{00000000-0005-0000-0000-000055600000}"/>
    <cellStyle name="Normal 11 2 3 3 2 2" xfId="24493" xr:uid="{00000000-0005-0000-0000-000056600000}"/>
    <cellStyle name="Normal 11 2 3 3 3" xfId="19868" xr:uid="{00000000-0005-0000-0000-000057600000}"/>
    <cellStyle name="Normal 11 2 3 4" xfId="30332" xr:uid="{00000000-0005-0000-0000-000058600000}"/>
    <cellStyle name="Normal 11 2 3 4 2" xfId="20311" xr:uid="{00000000-0005-0000-0000-000059600000}"/>
    <cellStyle name="Normal 11 2 3 5" xfId="29533" xr:uid="{00000000-0005-0000-0000-00005A600000}"/>
    <cellStyle name="Normal 11 2 4" xfId="31974" xr:uid="{00000000-0005-0000-0000-00005B600000}"/>
    <cellStyle name="Normal 11 2 4 2" xfId="17458" xr:uid="{00000000-0005-0000-0000-00005C600000}"/>
    <cellStyle name="Normal 11 2 4 2 2" xfId="6418" xr:uid="{00000000-0005-0000-0000-00005D600000}"/>
    <cellStyle name="Normal 11 2 4 2 2 2" xfId="6425" xr:uid="{00000000-0005-0000-0000-00005E600000}"/>
    <cellStyle name="Normal 11 2 4 2 3" xfId="6429" xr:uid="{00000000-0005-0000-0000-00005F600000}"/>
    <cellStyle name="Normal 11 2 4 3" xfId="17461" xr:uid="{00000000-0005-0000-0000-000060600000}"/>
    <cellStyle name="Normal 11 2 4 3 2" xfId="24946" xr:uid="{00000000-0005-0000-0000-000061600000}"/>
    <cellStyle name="Normal 11 2 4 4" xfId="5695" xr:uid="{00000000-0005-0000-0000-000062600000}"/>
    <cellStyle name="Normal 11 2 5" xfId="27167" xr:uid="{00000000-0005-0000-0000-000063600000}"/>
    <cellStyle name="Normal 11 2 5 2" xfId="17883" xr:uid="{00000000-0005-0000-0000-000064600000}"/>
    <cellStyle name="Normal 11 2 5 2 2" xfId="4860" xr:uid="{00000000-0005-0000-0000-000065600000}"/>
    <cellStyle name="Normal 11 2 5 3" xfId="6076" xr:uid="{00000000-0005-0000-0000-000066600000}"/>
    <cellStyle name="Normal 11 2 6" xfId="14038" xr:uid="{00000000-0005-0000-0000-000067600000}"/>
    <cellStyle name="Normal 11 2 6 2" xfId="18240" xr:uid="{00000000-0005-0000-0000-000068600000}"/>
    <cellStyle name="Normal 11 2 7" xfId="11326" xr:uid="{00000000-0005-0000-0000-000069600000}"/>
    <cellStyle name="Normal 11 2 8" xfId="10398" xr:uid="{00000000-0005-0000-0000-00006A600000}"/>
    <cellStyle name="Normal 11 3" xfId="33682" xr:uid="{00000000-0005-0000-0000-00006B600000}"/>
    <cellStyle name="Normal 11 3 2" xfId="27169" xr:uid="{00000000-0005-0000-0000-00006C600000}"/>
    <cellStyle name="Normal 11 3 2 2" xfId="27170" xr:uid="{00000000-0005-0000-0000-00006D600000}"/>
    <cellStyle name="Normal 11 3 2 2 2" xfId="27431" xr:uid="{00000000-0005-0000-0000-00006E600000}"/>
    <cellStyle name="Normal 11 3 2 2 2 2" xfId="24862" xr:uid="{00000000-0005-0000-0000-00006F600000}"/>
    <cellStyle name="Normal 11 3 2 2 2 2 2" xfId="27173" xr:uid="{00000000-0005-0000-0000-000070600000}"/>
    <cellStyle name="Normal 11 3 2 2 2 3" xfId="27726" xr:uid="{00000000-0005-0000-0000-000071600000}"/>
    <cellStyle name="Normal 11 3 2 2 3" xfId="19550" xr:uid="{00000000-0005-0000-0000-000072600000}"/>
    <cellStyle name="Normal 11 3 2 2 3 2" xfId="22625" xr:uid="{00000000-0005-0000-0000-000073600000}"/>
    <cellStyle name="Normal 11 3 2 2 4" xfId="19554" xr:uid="{00000000-0005-0000-0000-000074600000}"/>
    <cellStyle name="Normal 11 3 2 3" xfId="25099" xr:uid="{00000000-0005-0000-0000-000075600000}"/>
    <cellStyle name="Normal 11 3 2 3 2" xfId="27179" xr:uid="{00000000-0005-0000-0000-000076600000}"/>
    <cellStyle name="Normal 11 3 2 3 2 2" xfId="27183" xr:uid="{00000000-0005-0000-0000-000077600000}"/>
    <cellStyle name="Normal 11 3 2 3 3" xfId="19579" xr:uid="{00000000-0005-0000-0000-000078600000}"/>
    <cellStyle name="Normal 11 3 2 4" xfId="28243" xr:uid="{00000000-0005-0000-0000-000079600000}"/>
    <cellStyle name="Normal 11 3 2 4 2" xfId="9754" xr:uid="{00000000-0005-0000-0000-00007A600000}"/>
    <cellStyle name="Normal 11 3 2 5" xfId="29076" xr:uid="{00000000-0005-0000-0000-00007B600000}"/>
    <cellStyle name="Normal 11 3 3" xfId="31030" xr:uid="{00000000-0005-0000-0000-00007C600000}"/>
    <cellStyle name="Normal 11 3 3 2" xfId="28640" xr:uid="{00000000-0005-0000-0000-00007D600000}"/>
    <cellStyle name="Normal 11 3 3 2 2" xfId="27190" xr:uid="{00000000-0005-0000-0000-00007E600000}"/>
    <cellStyle name="Normal 11 3 3 2 2 2" xfId="16420" xr:uid="{00000000-0005-0000-0000-00007F600000}"/>
    <cellStyle name="Normal 11 3 3 2 3" xfId="19674" xr:uid="{00000000-0005-0000-0000-000080600000}"/>
    <cellStyle name="Normal 11 3 3 3" xfId="32000" xr:uid="{00000000-0005-0000-0000-000081600000}"/>
    <cellStyle name="Normal 11 3 3 3 2" xfId="29611" xr:uid="{00000000-0005-0000-0000-000082600000}"/>
    <cellStyle name="Normal 11 3 3 4" xfId="32004" xr:uid="{00000000-0005-0000-0000-000083600000}"/>
    <cellStyle name="Normal 11 3 4" xfId="27194" xr:uid="{00000000-0005-0000-0000-000084600000}"/>
    <cellStyle name="Normal 11 3 4 2" xfId="20690" xr:uid="{00000000-0005-0000-0000-000085600000}"/>
    <cellStyle name="Normal 11 3 4 2 2" xfId="6543" xr:uid="{00000000-0005-0000-0000-000086600000}"/>
    <cellStyle name="Normal 11 3 4 3" xfId="19316" xr:uid="{00000000-0005-0000-0000-000087600000}"/>
    <cellStyle name="Normal 11 3 5" xfId="25821" xr:uid="{00000000-0005-0000-0000-000088600000}"/>
    <cellStyle name="Normal 11 3 5 2" xfId="19787" xr:uid="{00000000-0005-0000-0000-000089600000}"/>
    <cellStyle name="Normal 11 3 6" xfId="18857" xr:uid="{00000000-0005-0000-0000-00008A600000}"/>
    <cellStyle name="Normal 11 4" xfId="30286" xr:uid="{00000000-0005-0000-0000-00008B600000}"/>
    <cellStyle name="Normal 11 4 2" xfId="32545" xr:uid="{00000000-0005-0000-0000-00008C600000}"/>
    <cellStyle name="Normal 11 4 2 2" xfId="24188" xr:uid="{00000000-0005-0000-0000-00008D600000}"/>
    <cellStyle name="Normal 11 4 2 2 2" xfId="6031" xr:uid="{00000000-0005-0000-0000-00008E600000}"/>
    <cellStyle name="Normal 11 4 2 2 2 2" xfId="28460" xr:uid="{00000000-0005-0000-0000-00008F600000}"/>
    <cellStyle name="Normal 11 4 2 2 3" xfId="19898" xr:uid="{00000000-0005-0000-0000-000090600000}"/>
    <cellStyle name="Normal 11 4 2 3" xfId="6667" xr:uid="{00000000-0005-0000-0000-000091600000}"/>
    <cellStyle name="Normal 11 4 2 3 2" xfId="27514" xr:uid="{00000000-0005-0000-0000-000092600000}"/>
    <cellStyle name="Normal 11 4 2 4" xfId="28468" xr:uid="{00000000-0005-0000-0000-000093600000}"/>
    <cellStyle name="Normal 11 4 3" xfId="713" xr:uid="{00000000-0005-0000-0000-000094600000}"/>
    <cellStyle name="Normal 11 4 3 2" xfId="6693" xr:uid="{00000000-0005-0000-0000-000095600000}"/>
    <cellStyle name="Normal 11 4 3 2 2" xfId="33412" xr:uid="{00000000-0005-0000-0000-000096600000}"/>
    <cellStyle name="Normal 11 4 3 3" xfId="31652" xr:uid="{00000000-0005-0000-0000-000097600000}"/>
    <cellStyle name="Normal 11 4 4" xfId="14179" xr:uid="{00000000-0005-0000-0000-000098600000}"/>
    <cellStyle name="Normal 11 4 4 2" xfId="19489" xr:uid="{00000000-0005-0000-0000-000099600000}"/>
    <cellStyle name="Normal 11 4 5" xfId="18859" xr:uid="{00000000-0005-0000-0000-00009A600000}"/>
    <cellStyle name="Normal 11 5" xfId="32330" xr:uid="{00000000-0005-0000-0000-00009B600000}"/>
    <cellStyle name="Normal 11 5 2" xfId="20078" xr:uid="{00000000-0005-0000-0000-00009C600000}"/>
    <cellStyle name="Normal 11 5 2 2" xfId="24292" xr:uid="{00000000-0005-0000-0000-00009D600000}"/>
    <cellStyle name="Normal 11 5 2 2 2" xfId="18382" xr:uid="{00000000-0005-0000-0000-00009E600000}"/>
    <cellStyle name="Normal 11 5 2 3" xfId="16954" xr:uid="{00000000-0005-0000-0000-00009F600000}"/>
    <cellStyle name="Normal 11 5 3" xfId="14192" xr:uid="{00000000-0005-0000-0000-0000A0600000}"/>
    <cellStyle name="Normal 11 5 3 2" xfId="24629" xr:uid="{00000000-0005-0000-0000-0000A1600000}"/>
    <cellStyle name="Normal 11 5 4" xfId="7955" xr:uid="{00000000-0005-0000-0000-0000A2600000}"/>
    <cellStyle name="Normal 11 6" xfId="13036" xr:uid="{00000000-0005-0000-0000-0000A3600000}"/>
    <cellStyle name="Normal 11 6 2" xfId="14196" xr:uid="{00000000-0005-0000-0000-0000A4600000}"/>
    <cellStyle name="Normal 11 6 2 2" xfId="24405" xr:uid="{00000000-0005-0000-0000-0000A5600000}"/>
    <cellStyle name="Normal 11 6 3" xfId="1731" xr:uid="{00000000-0005-0000-0000-0000A6600000}"/>
    <cellStyle name="Normal 11 7" xfId="11016" xr:uid="{00000000-0005-0000-0000-0000A7600000}"/>
    <cellStyle name="Normal 11 7 2" xfId="5116" xr:uid="{00000000-0005-0000-0000-0000A8600000}"/>
    <cellStyle name="Normal 11 8" xfId="10140" xr:uid="{00000000-0005-0000-0000-0000A9600000}"/>
    <cellStyle name="Normal 11 9" xfId="27199" xr:uid="{00000000-0005-0000-0000-0000AA600000}"/>
    <cellStyle name="Normal 12" xfId="11713" xr:uid="{00000000-0005-0000-0000-0000AB600000}"/>
    <cellStyle name="Normal 13" xfId="28010" xr:uid="{00000000-0005-0000-0000-0000AC600000}"/>
    <cellStyle name="Normal 13 2" xfId="1143" xr:uid="{00000000-0005-0000-0000-0000AD600000}"/>
    <cellStyle name="Normal 13 2 2" xfId="20881" xr:uid="{00000000-0005-0000-0000-0000AE600000}"/>
    <cellStyle name="Normal 13 2 2 2" xfId="29631" xr:uid="{00000000-0005-0000-0000-0000AF600000}"/>
    <cellStyle name="Normal 13 2 2 2 2" xfId="29744" xr:uid="{00000000-0005-0000-0000-0000B0600000}"/>
    <cellStyle name="Normal 13 2 2 2 2 2" xfId="24674" xr:uid="{00000000-0005-0000-0000-0000B1600000}"/>
    <cellStyle name="Normal 13 2 2 2 2 2 2" xfId="20928" xr:uid="{00000000-0005-0000-0000-0000B2600000}"/>
    <cellStyle name="Normal 13 2 2 2 2 3" xfId="27202" xr:uid="{00000000-0005-0000-0000-0000B3600000}"/>
    <cellStyle name="Normal 13 2 2 2 3" xfId="23782" xr:uid="{00000000-0005-0000-0000-0000B4600000}"/>
    <cellStyle name="Normal 13 2 2 2 3 2" xfId="19732" xr:uid="{00000000-0005-0000-0000-0000B5600000}"/>
    <cellStyle name="Normal 13 2 2 2 4" xfId="23821" xr:uid="{00000000-0005-0000-0000-0000B6600000}"/>
    <cellStyle name="Normal 13 2 2 3" xfId="3717" xr:uid="{00000000-0005-0000-0000-0000B7600000}"/>
    <cellStyle name="Normal 13 2 2 3 2" xfId="27206" xr:uid="{00000000-0005-0000-0000-0000B8600000}"/>
    <cellStyle name="Normal 13 2 2 3 2 2" xfId="19933" xr:uid="{00000000-0005-0000-0000-0000B9600000}"/>
    <cellStyle name="Normal 13 2 2 3 3" xfId="8768" xr:uid="{00000000-0005-0000-0000-0000BA600000}"/>
    <cellStyle name="Normal 13 2 2 4" xfId="19431" xr:uid="{00000000-0005-0000-0000-0000BB600000}"/>
    <cellStyle name="Normal 13 2 2 4 2" xfId="26259" xr:uid="{00000000-0005-0000-0000-0000BC600000}"/>
    <cellStyle name="Normal 13 2 2 5" xfId="29479" xr:uid="{00000000-0005-0000-0000-0000BD600000}"/>
    <cellStyle name="Normal 13 2 3" xfId="27061" xr:uid="{00000000-0005-0000-0000-0000BE600000}"/>
    <cellStyle name="Normal 13 2 3 2" xfId="29754" xr:uid="{00000000-0005-0000-0000-0000BF600000}"/>
    <cellStyle name="Normal 13 2 3 2 2" xfId="26266" xr:uid="{00000000-0005-0000-0000-0000C0600000}"/>
    <cellStyle name="Normal 13 2 3 2 2 2" xfId="13107" xr:uid="{00000000-0005-0000-0000-0000C1600000}"/>
    <cellStyle name="Normal 13 2 3 2 3" xfId="19828" xr:uid="{00000000-0005-0000-0000-0000C2600000}"/>
    <cellStyle name="Normal 13 2 3 3" xfId="27352" xr:uid="{00000000-0005-0000-0000-0000C3600000}"/>
    <cellStyle name="Normal 13 2 3 3 2" xfId="28992" xr:uid="{00000000-0005-0000-0000-0000C4600000}"/>
    <cellStyle name="Normal 13 2 3 4" xfId="21604" xr:uid="{00000000-0005-0000-0000-0000C5600000}"/>
    <cellStyle name="Normal 13 2 4" xfId="26106" xr:uid="{00000000-0005-0000-0000-0000C6600000}"/>
    <cellStyle name="Normal 13 2 4 2" xfId="27211" xr:uid="{00000000-0005-0000-0000-0000C7600000}"/>
    <cellStyle name="Normal 13 2 4 2 2" xfId="1546" xr:uid="{00000000-0005-0000-0000-0000C8600000}"/>
    <cellStyle name="Normal 13 2 4 3" xfId="27212" xr:uid="{00000000-0005-0000-0000-0000C9600000}"/>
    <cellStyle name="Normal 13 2 5" xfId="26114" xr:uid="{00000000-0005-0000-0000-0000CA600000}"/>
    <cellStyle name="Normal 13 2 5 2" xfId="27213" xr:uid="{00000000-0005-0000-0000-0000CB600000}"/>
    <cellStyle name="Normal 13 2 6" xfId="11353" xr:uid="{00000000-0005-0000-0000-0000CC600000}"/>
    <cellStyle name="Normal 13 3" xfId="1023" xr:uid="{00000000-0005-0000-0000-0000CD600000}"/>
    <cellStyle name="Normal 13 3 2" xfId="20836" xr:uid="{00000000-0005-0000-0000-0000CE600000}"/>
    <cellStyle name="Normal 13 3 2 2" xfId="30028" xr:uid="{00000000-0005-0000-0000-0000CF600000}"/>
    <cellStyle name="Normal 13 3 2 2 2" xfId="31806" xr:uid="{00000000-0005-0000-0000-0000D0600000}"/>
    <cellStyle name="Normal 13 3 2 2 2 2" xfId="11393" xr:uid="{00000000-0005-0000-0000-0000D1600000}"/>
    <cellStyle name="Normal 13 3 2 2 3" xfId="24815" xr:uid="{00000000-0005-0000-0000-0000D2600000}"/>
    <cellStyle name="Normal 13 3 2 3" xfId="30044" xr:uid="{00000000-0005-0000-0000-0000D3600000}"/>
    <cellStyle name="Normal 13 3 2 3 2" xfId="30049" xr:uid="{00000000-0005-0000-0000-0000D4600000}"/>
    <cellStyle name="Normal 13 3 2 4" xfId="30054" xr:uid="{00000000-0005-0000-0000-0000D5600000}"/>
    <cellStyle name="Normal 13 3 3" xfId="27219" xr:uid="{00000000-0005-0000-0000-0000D6600000}"/>
    <cellStyle name="Normal 13 3 3 2" xfId="30094" xr:uid="{00000000-0005-0000-0000-0000D7600000}"/>
    <cellStyle name="Normal 13 3 3 2 2" xfId="17968" xr:uid="{00000000-0005-0000-0000-0000D8600000}"/>
    <cellStyle name="Normal 13 3 3 3" xfId="31012" xr:uid="{00000000-0005-0000-0000-0000D9600000}"/>
    <cellStyle name="Normal 13 3 4" xfId="26333" xr:uid="{00000000-0005-0000-0000-0000DA600000}"/>
    <cellStyle name="Normal 13 3 4 2" xfId="27221" xr:uid="{00000000-0005-0000-0000-0000DB600000}"/>
    <cellStyle name="Normal 13 3 5" xfId="26122" xr:uid="{00000000-0005-0000-0000-0000DC600000}"/>
    <cellStyle name="Normal 13 4" xfId="26233" xr:uid="{00000000-0005-0000-0000-0000DD600000}"/>
    <cellStyle name="Normal 13 4 2" xfId="6886" xr:uid="{00000000-0005-0000-0000-0000DE600000}"/>
    <cellStyle name="Normal 13 4 2 2" xfId="30188" xr:uid="{00000000-0005-0000-0000-0000DF600000}"/>
    <cellStyle name="Normal 13 4 2 2 2" xfId="30190" xr:uid="{00000000-0005-0000-0000-0000E0600000}"/>
    <cellStyle name="Normal 13 4 2 3" xfId="9519" xr:uid="{00000000-0005-0000-0000-0000E1600000}"/>
    <cellStyle name="Normal 13 4 3" xfId="27223" xr:uid="{00000000-0005-0000-0000-0000E2600000}"/>
    <cellStyle name="Normal 13 4 3 2" xfId="29988" xr:uid="{00000000-0005-0000-0000-0000E3600000}"/>
    <cellStyle name="Normal 13 4 4" xfId="29814" xr:uid="{00000000-0005-0000-0000-0000E4600000}"/>
    <cellStyle name="Normal 13 5" xfId="16026" xr:uid="{00000000-0005-0000-0000-0000E5600000}"/>
    <cellStyle name="Normal 13 5 2" xfId="33101" xr:uid="{00000000-0005-0000-0000-0000E6600000}"/>
    <cellStyle name="Normal 13 5 2 2" xfId="22611" xr:uid="{00000000-0005-0000-0000-0000E7600000}"/>
    <cellStyle name="Normal 13 5 3" xfId="22792" xr:uid="{00000000-0005-0000-0000-0000E8600000}"/>
    <cellStyle name="Normal 13 6" xfId="24144" xr:uid="{00000000-0005-0000-0000-0000E9600000}"/>
    <cellStyle name="Normal 13 6 2" xfId="27224" xr:uid="{00000000-0005-0000-0000-0000EA600000}"/>
    <cellStyle name="Normal 13 7" xfId="22815" xr:uid="{00000000-0005-0000-0000-0000EB600000}"/>
    <cellStyle name="Normal 14" xfId="31883" xr:uid="{00000000-0005-0000-0000-0000EC600000}"/>
    <cellStyle name="Normal 15" xfId="31645" xr:uid="{00000000-0005-0000-0000-0000ED600000}"/>
    <cellStyle name="Normal 15 2" xfId="23038" xr:uid="{00000000-0005-0000-0000-0000EE600000}"/>
    <cellStyle name="Normal 15 2 2" xfId="27233" xr:uid="{00000000-0005-0000-0000-0000EF600000}"/>
    <cellStyle name="Normal 15 2 2 2" xfId="281" xr:uid="{00000000-0005-0000-0000-0000F0600000}"/>
    <cellStyle name="Normal 15 2 2 2 2" xfId="27557" xr:uid="{00000000-0005-0000-0000-0000F1600000}"/>
    <cellStyle name="Normal 15 2 2 2 2 2" xfId="27239" xr:uid="{00000000-0005-0000-0000-0000F2600000}"/>
    <cellStyle name="Normal 15 2 2 2 3" xfId="14053" xr:uid="{00000000-0005-0000-0000-0000F3600000}"/>
    <cellStyle name="Normal 15 2 2 3" xfId="8501" xr:uid="{00000000-0005-0000-0000-0000F4600000}"/>
    <cellStyle name="Normal 15 2 2 3 2" xfId="3620" xr:uid="{00000000-0005-0000-0000-0000F5600000}"/>
    <cellStyle name="Normal 15 2 2 4" xfId="31369" xr:uid="{00000000-0005-0000-0000-0000F6600000}"/>
    <cellStyle name="Normal 15 2 3" xfId="27242" xr:uid="{00000000-0005-0000-0000-0000F7600000}"/>
    <cellStyle name="Normal 15 2 3 2" xfId="26914" xr:uid="{00000000-0005-0000-0000-0000F8600000}"/>
    <cellStyle name="Normal 15 2 3 2 2" xfId="27545" xr:uid="{00000000-0005-0000-0000-0000F9600000}"/>
    <cellStyle name="Normal 15 2 3 3" xfId="26766" xr:uid="{00000000-0005-0000-0000-0000FA600000}"/>
    <cellStyle name="Normal 15 2 4" xfId="26135" xr:uid="{00000000-0005-0000-0000-0000FB600000}"/>
    <cellStyle name="Normal 15 2 4 2" xfId="26772" xr:uid="{00000000-0005-0000-0000-0000FC600000}"/>
    <cellStyle name="Normal 15 2 5" xfId="27252" xr:uid="{00000000-0005-0000-0000-0000FD600000}"/>
    <cellStyle name="Normal 15 3" xfId="27260" xr:uid="{00000000-0005-0000-0000-0000FE600000}"/>
    <cellStyle name="Normal 15 3 2" xfId="27281" xr:uid="{00000000-0005-0000-0000-0000FF600000}"/>
    <cellStyle name="Normal 15 3 2 2" xfId="33341" xr:uid="{00000000-0005-0000-0000-000000610000}"/>
    <cellStyle name="Normal 15 3 2 2 2" xfId="16653" xr:uid="{00000000-0005-0000-0000-000001610000}"/>
    <cellStyle name="Normal 15 3 2 3" xfId="31380" xr:uid="{00000000-0005-0000-0000-000002610000}"/>
    <cellStyle name="Normal 15 3 3" xfId="27765" xr:uid="{00000000-0005-0000-0000-000003610000}"/>
    <cellStyle name="Normal 15 3 3 2" xfId="19392" xr:uid="{00000000-0005-0000-0000-000004610000}"/>
    <cellStyle name="Normal 15 3 4" xfId="27284" xr:uid="{00000000-0005-0000-0000-000005610000}"/>
    <cellStyle name="Normal 15 4" xfId="27286" xr:uid="{00000000-0005-0000-0000-000006610000}"/>
    <cellStyle name="Normal 15 4 2" xfId="27288" xr:uid="{00000000-0005-0000-0000-000007610000}"/>
    <cellStyle name="Normal 15 4 2 2" xfId="15420" xr:uid="{00000000-0005-0000-0000-000008610000}"/>
    <cellStyle name="Normal 15 4 3" xfId="27290" xr:uid="{00000000-0005-0000-0000-000009610000}"/>
    <cellStyle name="Normal 15 5" xfId="16054" xr:uid="{00000000-0005-0000-0000-00000A610000}"/>
    <cellStyle name="Normal 15 5 2" xfId="33616" xr:uid="{00000000-0005-0000-0000-00000B610000}"/>
    <cellStyle name="Normal 15 6" xfId="27295" xr:uid="{00000000-0005-0000-0000-00000C610000}"/>
    <cellStyle name="Normal 16" xfId="32584" xr:uid="{00000000-0005-0000-0000-00000D610000}"/>
    <cellStyle name="Normal 17" xfId="30105" xr:uid="{00000000-0005-0000-0000-00000E610000}"/>
    <cellStyle name="Normal 17 2" xfId="28365" xr:uid="{00000000-0005-0000-0000-00000F610000}"/>
    <cellStyle name="Normal 17 2 2" xfId="25624" xr:uid="{00000000-0005-0000-0000-000010610000}"/>
    <cellStyle name="Normal 17 2 2 2" xfId="22765" xr:uid="{00000000-0005-0000-0000-000011610000}"/>
    <cellStyle name="Normal 17 2 2 2 2" xfId="1066" xr:uid="{00000000-0005-0000-0000-000012610000}"/>
    <cellStyle name="Normal 17 2 2 3" xfId="27451" xr:uid="{00000000-0005-0000-0000-000013610000}"/>
    <cellStyle name="Normal 17 2 3" xfId="22779" xr:uid="{00000000-0005-0000-0000-000014610000}"/>
    <cellStyle name="Normal 17 2 3 2" xfId="22510" xr:uid="{00000000-0005-0000-0000-000015610000}"/>
    <cellStyle name="Normal 17 2 4" xfId="27896" xr:uid="{00000000-0005-0000-0000-000016610000}"/>
    <cellStyle name="Normal 17 3" xfId="20245" xr:uid="{00000000-0005-0000-0000-000017610000}"/>
    <cellStyle name="Normal 17 3 2" xfId="1246" xr:uid="{00000000-0005-0000-0000-000018610000}"/>
    <cellStyle name="Normal 17 3 2 2" xfId="5181" xr:uid="{00000000-0005-0000-0000-000019610000}"/>
    <cellStyle name="Normal 17 3 3" xfId="20763" xr:uid="{00000000-0005-0000-0000-00001A610000}"/>
    <cellStyle name="Normal 17 4" xfId="28785" xr:uid="{00000000-0005-0000-0000-00001B610000}"/>
    <cellStyle name="Normal 17 4 2" xfId="20802" xr:uid="{00000000-0005-0000-0000-00001C610000}"/>
    <cellStyle name="Normal 17 5" xfId="27308" xr:uid="{00000000-0005-0000-0000-00001D610000}"/>
    <cellStyle name="Normal 18" xfId="3011" xr:uid="{00000000-0005-0000-0000-00001E610000}"/>
    <cellStyle name="Normal 19" xfId="22924" xr:uid="{00000000-0005-0000-0000-00001F610000}"/>
    <cellStyle name="Normal 19 2" xfId="27973" xr:uid="{00000000-0005-0000-0000-000020610000}"/>
    <cellStyle name="Normal 19 2 2" xfId="13474" xr:uid="{00000000-0005-0000-0000-000021610000}"/>
    <cellStyle name="Normal 19 2 2 2" xfId="21114" xr:uid="{00000000-0005-0000-0000-000022610000}"/>
    <cellStyle name="Normal 19 2 3" xfId="9808" xr:uid="{00000000-0005-0000-0000-000023610000}"/>
    <cellStyle name="Normal 19 3" xfId="25546" xr:uid="{00000000-0005-0000-0000-000024610000}"/>
    <cellStyle name="Normal 19 3 2" xfId="13490" xr:uid="{00000000-0005-0000-0000-000025610000}"/>
    <cellStyle name="Normal 19 4" xfId="27652" xr:uid="{00000000-0005-0000-0000-000026610000}"/>
    <cellStyle name="Normal 2" xfId="27312" xr:uid="{00000000-0005-0000-0000-000027610000}"/>
    <cellStyle name="Normal 2 2" xfId="27313" xr:uid="{00000000-0005-0000-0000-000028610000}"/>
    <cellStyle name="Normal 2 2 2" xfId="27314" xr:uid="{00000000-0005-0000-0000-000029610000}"/>
    <cellStyle name="Normal 2 3" xfId="16860" xr:uid="{00000000-0005-0000-0000-00002A610000}"/>
    <cellStyle name="Normal 2 3 2" xfId="16863" xr:uid="{00000000-0005-0000-0000-00002B610000}"/>
    <cellStyle name="Normal 2 4" xfId="20827" xr:uid="{00000000-0005-0000-0000-00002C610000}"/>
    <cellStyle name="Normal 20" xfId="31646" xr:uid="{00000000-0005-0000-0000-00002D610000}"/>
    <cellStyle name="Normal 20 2" xfId="23039" xr:uid="{00000000-0005-0000-0000-00002E610000}"/>
    <cellStyle name="Normal 20 2 2" xfId="27234" xr:uid="{00000000-0005-0000-0000-00002F610000}"/>
    <cellStyle name="Normal 20 3" xfId="27261" xr:uid="{00000000-0005-0000-0000-000030610000}"/>
    <cellStyle name="Normal 21" xfId="32585" xr:uid="{00000000-0005-0000-0000-000031610000}"/>
    <cellStyle name="Normal 21 2" xfId="21493" xr:uid="{00000000-0005-0000-0000-000032610000}"/>
    <cellStyle name="Normal 22" xfId="30106" xr:uid="{00000000-0005-0000-0000-000033610000}"/>
    <cellStyle name="Normal 23" xfId="3012" xr:uid="{00000000-0005-0000-0000-000034610000}"/>
    <cellStyle name="Normal 24" xfId="22923" xr:uid="{00000000-0005-0000-0000-000035610000}"/>
    <cellStyle name="Normal 25" xfId="22928" xr:uid="{00000000-0005-0000-0000-000036610000}"/>
    <cellStyle name="Normal 26" xfId="2" xr:uid="{00000000-0005-0000-0000-000037610000}"/>
    <cellStyle name="Normal 26 2" xfId="34037" xr:uid="{00000000-0005-0000-0000-000038610000}"/>
    <cellStyle name="Normal 26 41" xfId="34040" xr:uid="{7EA3DC0E-20A8-4617-B356-752F4D23D5A2}"/>
    <cellStyle name="Normal 27" xfId="34038" xr:uid="{5D4C5613-AD7C-4E7C-82F6-91CF0053BE08}"/>
    <cellStyle name="Normal 3" xfId="27318" xr:uid="{00000000-0005-0000-0000-000039610000}"/>
    <cellStyle name="Normal 3 10" xfId="8470" xr:uid="{00000000-0005-0000-0000-00003A610000}"/>
    <cellStyle name="Normal 3 10 2" xfId="21537" xr:uid="{00000000-0005-0000-0000-00003B610000}"/>
    <cellStyle name="Normal 3 10 2 2" xfId="10575" xr:uid="{00000000-0005-0000-0000-00003C610000}"/>
    <cellStyle name="Normal 3 10 2 2 2" xfId="27324" xr:uid="{00000000-0005-0000-0000-00003D610000}"/>
    <cellStyle name="Normal 3 10 2 3" xfId="28620" xr:uid="{00000000-0005-0000-0000-00003E610000}"/>
    <cellStyle name="Normal 3 10 2 3 2" xfId="5872" xr:uid="{00000000-0005-0000-0000-00003F610000}"/>
    <cellStyle name="Normal 3 10 2 4" xfId="11992" xr:uid="{00000000-0005-0000-0000-000040610000}"/>
    <cellStyle name="Normal 3 10 2 4 2" xfId="5887" xr:uid="{00000000-0005-0000-0000-000041610000}"/>
    <cellStyle name="Normal 3 10 2 5" xfId="11893" xr:uid="{00000000-0005-0000-0000-000042610000}"/>
    <cellStyle name="Normal 3 10 2 5 2" xfId="7295" xr:uid="{00000000-0005-0000-0000-000043610000}"/>
    <cellStyle name="Normal 3 10 2 6" xfId="11996" xr:uid="{00000000-0005-0000-0000-000044610000}"/>
    <cellStyle name="Normal 3 10 2 6 2" xfId="3626" xr:uid="{00000000-0005-0000-0000-000045610000}"/>
    <cellStyle name="Normal 3 10 2 7" xfId="19886" xr:uid="{00000000-0005-0000-0000-000046610000}"/>
    <cellStyle name="Normal 3 10 3" xfId="27985" xr:uid="{00000000-0005-0000-0000-000047610000}"/>
    <cellStyle name="Normal 3 10 3 2" xfId="16880" xr:uid="{00000000-0005-0000-0000-000048610000}"/>
    <cellStyle name="Normal 3 10 4" xfId="24284" xr:uid="{00000000-0005-0000-0000-000049610000}"/>
    <cellStyle name="Normal 3 10 4 2" xfId="14741" xr:uid="{00000000-0005-0000-0000-00004A610000}"/>
    <cellStyle name="Normal 3 10 5" xfId="27325" xr:uid="{00000000-0005-0000-0000-00004B610000}"/>
    <cellStyle name="Normal 3 10 5 2" xfId="27328" xr:uid="{00000000-0005-0000-0000-00004C610000}"/>
    <cellStyle name="Normal 3 10 6" xfId="28463" xr:uid="{00000000-0005-0000-0000-00004D610000}"/>
    <cellStyle name="Normal 3 10 6 2" xfId="11357" xr:uid="{00000000-0005-0000-0000-00004E610000}"/>
    <cellStyle name="Normal 3 10 7" xfId="22758" xr:uid="{00000000-0005-0000-0000-00004F610000}"/>
    <cellStyle name="Normal 3 10 7 2" xfId="11588" xr:uid="{00000000-0005-0000-0000-000050610000}"/>
    <cellStyle name="Normal 3 10 8" xfId="26319" xr:uid="{00000000-0005-0000-0000-000051610000}"/>
    <cellStyle name="Normal 3 11" xfId="1779" xr:uid="{00000000-0005-0000-0000-000052610000}"/>
    <cellStyle name="Normal 3 11 2" xfId="27331" xr:uid="{00000000-0005-0000-0000-000053610000}"/>
    <cellStyle name="Normal 3 11 2 2" xfId="22641" xr:uid="{00000000-0005-0000-0000-000054610000}"/>
    <cellStyle name="Normal 3 11 2 2 2" xfId="27335" xr:uid="{00000000-0005-0000-0000-000055610000}"/>
    <cellStyle name="Normal 3 11 2 3" xfId="31549" xr:uid="{00000000-0005-0000-0000-000056610000}"/>
    <cellStyle name="Normal 3 11 2 3 2" xfId="4696" xr:uid="{00000000-0005-0000-0000-000057610000}"/>
    <cellStyle name="Normal 3 11 2 4" xfId="11687" xr:uid="{00000000-0005-0000-0000-000058610000}"/>
    <cellStyle name="Normal 3 11 2 4 2" xfId="7385" xr:uid="{00000000-0005-0000-0000-000059610000}"/>
    <cellStyle name="Normal 3 11 2 5" xfId="29816" xr:uid="{00000000-0005-0000-0000-00005A610000}"/>
    <cellStyle name="Normal 3 11 2 5 2" xfId="3850" xr:uid="{00000000-0005-0000-0000-00005B610000}"/>
    <cellStyle name="Normal 3 11 2 6" xfId="17697" xr:uid="{00000000-0005-0000-0000-00005C610000}"/>
    <cellStyle name="Normal 3 11 2 6 2" xfId="27337" xr:uid="{00000000-0005-0000-0000-00005D610000}"/>
    <cellStyle name="Normal 3 11 2 7" xfId="27339" xr:uid="{00000000-0005-0000-0000-00005E610000}"/>
    <cellStyle name="Normal 3 11 3" xfId="27340" xr:uid="{00000000-0005-0000-0000-00005F610000}"/>
    <cellStyle name="Normal 3 11 3 2" xfId="1268" xr:uid="{00000000-0005-0000-0000-000060610000}"/>
    <cellStyle name="Normal 3 11 4" xfId="27341" xr:uid="{00000000-0005-0000-0000-000061610000}"/>
    <cellStyle name="Normal 3 11 4 2" xfId="27346" xr:uid="{00000000-0005-0000-0000-000062610000}"/>
    <cellStyle name="Normal 3 11 5" xfId="29579" xr:uid="{00000000-0005-0000-0000-000063610000}"/>
    <cellStyle name="Normal 3 11 5 2" xfId="27347" xr:uid="{00000000-0005-0000-0000-000064610000}"/>
    <cellStyle name="Normal 3 11 6" xfId="22762" xr:uid="{00000000-0005-0000-0000-000065610000}"/>
    <cellStyle name="Normal 3 11 6 2" xfId="11988" xr:uid="{00000000-0005-0000-0000-000066610000}"/>
    <cellStyle name="Normal 3 11 7" xfId="28597" xr:uid="{00000000-0005-0000-0000-000067610000}"/>
    <cellStyle name="Normal 3 11 7 2" xfId="12120" xr:uid="{00000000-0005-0000-0000-000068610000}"/>
    <cellStyle name="Normal 3 11 8" xfId="1491" xr:uid="{00000000-0005-0000-0000-000069610000}"/>
    <cellStyle name="Normal 3 12" xfId="27351" xr:uid="{00000000-0005-0000-0000-00006A610000}"/>
    <cellStyle name="Normal 3 12 2" xfId="33293" xr:uid="{00000000-0005-0000-0000-00006B610000}"/>
    <cellStyle name="Normal 3 12 2 2" xfId="26376" xr:uid="{00000000-0005-0000-0000-00006C610000}"/>
    <cellStyle name="Normal 3 12 2 2 2" xfId="28324" xr:uid="{00000000-0005-0000-0000-00006D610000}"/>
    <cellStyle name="Normal 3 12 2 3" xfId="11275" xr:uid="{00000000-0005-0000-0000-00006E610000}"/>
    <cellStyle name="Normal 3 12 2 3 2" xfId="7436" xr:uid="{00000000-0005-0000-0000-00006F610000}"/>
    <cellStyle name="Normal 3 12 2 4" xfId="29334" xr:uid="{00000000-0005-0000-0000-000070610000}"/>
    <cellStyle name="Normal 3 12 2 4 2" xfId="4975" xr:uid="{00000000-0005-0000-0000-000071610000}"/>
    <cellStyle name="Normal 3 12 2 5" xfId="27355" xr:uid="{00000000-0005-0000-0000-000072610000}"/>
    <cellStyle name="Normal 3 12 2 5 2" xfId="695" xr:uid="{00000000-0005-0000-0000-000073610000}"/>
    <cellStyle name="Normal 3 12 2 6" xfId="27356" xr:uid="{00000000-0005-0000-0000-000074610000}"/>
    <cellStyle name="Normal 3 12 2 6 2" xfId="1976" xr:uid="{00000000-0005-0000-0000-000075610000}"/>
    <cellStyle name="Normal 3 12 2 7" xfId="27357" xr:uid="{00000000-0005-0000-0000-000076610000}"/>
    <cellStyle name="Normal 3 12 3" xfId="27359" xr:uid="{00000000-0005-0000-0000-000077610000}"/>
    <cellStyle name="Normal 3 12 3 2" xfId="27379" xr:uid="{00000000-0005-0000-0000-000078610000}"/>
    <cellStyle name="Normal 3 12 4" xfId="9899" xr:uid="{00000000-0005-0000-0000-000079610000}"/>
    <cellStyle name="Normal 3 12 4 2" xfId="29572" xr:uid="{00000000-0005-0000-0000-00007A610000}"/>
    <cellStyle name="Normal 3 12 5" xfId="33510" xr:uid="{00000000-0005-0000-0000-00007B610000}"/>
    <cellStyle name="Normal 3 12 5 2" xfId="21639" xr:uid="{00000000-0005-0000-0000-00007C610000}"/>
    <cellStyle name="Normal 3 12 6" xfId="30602" xr:uid="{00000000-0005-0000-0000-00007D610000}"/>
    <cellStyle name="Normal 3 12 6 2" xfId="12277" xr:uid="{00000000-0005-0000-0000-00007E610000}"/>
    <cellStyle name="Normal 3 12 7" xfId="5442" xr:uid="{00000000-0005-0000-0000-00007F610000}"/>
    <cellStyle name="Normal 3 12 7 2" xfId="10583" xr:uid="{00000000-0005-0000-0000-000080610000}"/>
    <cellStyle name="Normal 3 12 8" xfId="27380" xr:uid="{00000000-0005-0000-0000-000081610000}"/>
    <cellStyle name="Normal 3 13" xfId="33905" xr:uid="{00000000-0005-0000-0000-000082610000}"/>
    <cellStyle name="Normal 3 13 2" xfId="27381" xr:uid="{00000000-0005-0000-0000-000083610000}"/>
    <cellStyle name="Normal 3 13 2 2" xfId="26452" xr:uid="{00000000-0005-0000-0000-000084610000}"/>
    <cellStyle name="Normal 3 13 2 2 2" xfId="29225" xr:uid="{00000000-0005-0000-0000-000085610000}"/>
    <cellStyle name="Normal 3 13 2 3" xfId="11290" xr:uid="{00000000-0005-0000-0000-000086610000}"/>
    <cellStyle name="Normal 3 13 2 3 2" xfId="5112" xr:uid="{00000000-0005-0000-0000-000087610000}"/>
    <cellStyle name="Normal 3 13 2 4" xfId="27382" xr:uid="{00000000-0005-0000-0000-000088610000}"/>
    <cellStyle name="Normal 3 13 2 4 2" xfId="32278" xr:uid="{00000000-0005-0000-0000-000089610000}"/>
    <cellStyle name="Normal 3 13 2 5" xfId="27181" xr:uid="{00000000-0005-0000-0000-00008A610000}"/>
    <cellStyle name="Normal 3 13 2 5 2" xfId="31613" xr:uid="{00000000-0005-0000-0000-00008B610000}"/>
    <cellStyle name="Normal 3 13 2 6" xfId="19577" xr:uid="{00000000-0005-0000-0000-00008C610000}"/>
    <cellStyle name="Normal 3 13 2 6 2" xfId="23098" xr:uid="{00000000-0005-0000-0000-00008D610000}"/>
    <cellStyle name="Normal 3 13 2 7" xfId="19583" xr:uid="{00000000-0005-0000-0000-00008E610000}"/>
    <cellStyle name="Normal 3 13 3" xfId="9739" xr:uid="{00000000-0005-0000-0000-00008F610000}"/>
    <cellStyle name="Normal 3 13 3 2" xfId="8018" xr:uid="{00000000-0005-0000-0000-000090610000}"/>
    <cellStyle name="Normal 3 13 4" xfId="9906" xr:uid="{00000000-0005-0000-0000-000091610000}"/>
    <cellStyle name="Normal 3 13 4 2" xfId="9758" xr:uid="{00000000-0005-0000-0000-000092610000}"/>
    <cellStyle name="Normal 3 13 5" xfId="25451" xr:uid="{00000000-0005-0000-0000-000093610000}"/>
    <cellStyle name="Normal 3 13 5 2" xfId="29255" xr:uid="{00000000-0005-0000-0000-000094610000}"/>
    <cellStyle name="Normal 3 13 6" xfId="22500" xr:uid="{00000000-0005-0000-0000-000095610000}"/>
    <cellStyle name="Normal 3 13 6 2" xfId="12405" xr:uid="{00000000-0005-0000-0000-000096610000}"/>
    <cellStyle name="Normal 3 13 7" xfId="8910" xr:uid="{00000000-0005-0000-0000-000097610000}"/>
    <cellStyle name="Normal 3 13 7 2" xfId="12437" xr:uid="{00000000-0005-0000-0000-000098610000}"/>
    <cellStyle name="Normal 3 13 8" xfId="27386" xr:uid="{00000000-0005-0000-0000-000099610000}"/>
    <cellStyle name="Normal 3 13 9" xfId="27388" xr:uid="{00000000-0005-0000-0000-00009A610000}"/>
    <cellStyle name="Normal 3 14" xfId="5146" xr:uid="{00000000-0005-0000-0000-00009B610000}"/>
    <cellStyle name="Normal 3 14 2" xfId="26675" xr:uid="{00000000-0005-0000-0000-00009C610000}"/>
    <cellStyle name="Normal 3 14 2 2" xfId="89" xr:uid="{00000000-0005-0000-0000-00009D610000}"/>
    <cellStyle name="Normal 3 14 3" xfId="1605" xr:uid="{00000000-0005-0000-0000-00009E610000}"/>
    <cellStyle name="Normal 3 14 3 2" xfId="28942" xr:uid="{00000000-0005-0000-0000-00009F610000}"/>
    <cellStyle name="Normal 3 14 4" xfId="1820" xr:uid="{00000000-0005-0000-0000-0000A0610000}"/>
    <cellStyle name="Normal 3 14 4 2" xfId="9773" xr:uid="{00000000-0005-0000-0000-0000A1610000}"/>
    <cellStyle name="Normal 3 14 5" xfId="1837" xr:uid="{00000000-0005-0000-0000-0000A2610000}"/>
    <cellStyle name="Normal 3 14 5 2" xfId="11764" xr:uid="{00000000-0005-0000-0000-0000A3610000}"/>
    <cellStyle name="Normal 3 14 6" xfId="16071" xr:uid="{00000000-0005-0000-0000-0000A4610000}"/>
    <cellStyle name="Normal 3 14 6 2" xfId="12471" xr:uid="{00000000-0005-0000-0000-0000A5610000}"/>
    <cellStyle name="Normal 3 14 7" xfId="27397" xr:uid="{00000000-0005-0000-0000-0000A6610000}"/>
    <cellStyle name="Normal 3 15" xfId="26679" xr:uid="{00000000-0005-0000-0000-0000A7610000}"/>
    <cellStyle name="Normal 3 15 2" xfId="2488" xr:uid="{00000000-0005-0000-0000-0000A8610000}"/>
    <cellStyle name="Normal 3 15 2 2" xfId="2494" xr:uid="{00000000-0005-0000-0000-0000A9610000}"/>
    <cellStyle name="Normal 3 15 3" xfId="1410" xr:uid="{00000000-0005-0000-0000-0000AA610000}"/>
    <cellStyle name="Normal 3 15 3 2" xfId="32009" xr:uid="{00000000-0005-0000-0000-0000AB610000}"/>
    <cellStyle name="Normal 3 15 4" xfId="1423" xr:uid="{00000000-0005-0000-0000-0000AC610000}"/>
    <cellStyle name="Normal 3 15 4 2" xfId="6276" xr:uid="{00000000-0005-0000-0000-0000AD610000}"/>
    <cellStyle name="Normal 3 15 5" xfId="12351" xr:uid="{00000000-0005-0000-0000-0000AE610000}"/>
    <cellStyle name="Normal 3 15 5 2" xfId="21740" xr:uid="{00000000-0005-0000-0000-0000AF610000}"/>
    <cellStyle name="Normal 3 15 6" xfId="996" xr:uid="{00000000-0005-0000-0000-0000B0610000}"/>
    <cellStyle name="Normal 3 15 6 2" xfId="12513" xr:uid="{00000000-0005-0000-0000-0000B1610000}"/>
    <cellStyle name="Normal 3 15 7" xfId="2602" xr:uid="{00000000-0005-0000-0000-0000B2610000}"/>
    <cellStyle name="Normal 3 16" xfId="26682" xr:uid="{00000000-0005-0000-0000-0000B3610000}"/>
    <cellStyle name="Normal 3 16 2" xfId="2689" xr:uid="{00000000-0005-0000-0000-0000B4610000}"/>
    <cellStyle name="Normal 3 16 2 2" xfId="2149" xr:uid="{00000000-0005-0000-0000-0000B5610000}"/>
    <cellStyle name="Normal 3 16 3" xfId="1438" xr:uid="{00000000-0005-0000-0000-0000B6610000}"/>
    <cellStyle name="Normal 3 16 3 2" xfId="30375" xr:uid="{00000000-0005-0000-0000-0000B7610000}"/>
    <cellStyle name="Normal 3 16 4" xfId="30381" xr:uid="{00000000-0005-0000-0000-0000B8610000}"/>
    <cellStyle name="Normal 3 16 4 2" xfId="221" xr:uid="{00000000-0005-0000-0000-0000B9610000}"/>
    <cellStyle name="Normal 3 16 5" xfId="1041" xr:uid="{00000000-0005-0000-0000-0000BA610000}"/>
    <cellStyle name="Normal 3 16 5 2" xfId="6654" xr:uid="{00000000-0005-0000-0000-0000BB610000}"/>
    <cellStyle name="Normal 3 16 6" xfId="1044" xr:uid="{00000000-0005-0000-0000-0000BC610000}"/>
    <cellStyle name="Normal 3 16 6 2" xfId="6848" xr:uid="{00000000-0005-0000-0000-0000BD610000}"/>
    <cellStyle name="Normal 3 16 7" xfId="15989" xr:uid="{00000000-0005-0000-0000-0000BE610000}"/>
    <cellStyle name="Normal 3 17" xfId="21214" xr:uid="{00000000-0005-0000-0000-0000BF610000}"/>
    <cellStyle name="Normal 3 17 2" xfId="2789" xr:uid="{00000000-0005-0000-0000-0000C0610000}"/>
    <cellStyle name="Normal 3 18" xfId="27958" xr:uid="{00000000-0005-0000-0000-0000C1610000}"/>
    <cellStyle name="Normal 3 18 2" xfId="2844" xr:uid="{00000000-0005-0000-0000-0000C2610000}"/>
    <cellStyle name="Normal 3 19" xfId="26478" xr:uid="{00000000-0005-0000-0000-0000C3610000}"/>
    <cellStyle name="Normal 3 19 2" xfId="2863" xr:uid="{00000000-0005-0000-0000-0000C4610000}"/>
    <cellStyle name="Normal 3 2" xfId="27402" xr:uid="{00000000-0005-0000-0000-0000C5610000}"/>
    <cellStyle name="Normal 3 2 10" xfId="26820" xr:uid="{00000000-0005-0000-0000-0000C6610000}"/>
    <cellStyle name="Normal 3 2 10 2" xfId="27406" xr:uid="{00000000-0005-0000-0000-0000C7610000}"/>
    <cellStyle name="Normal 3 2 10 2 2" xfId="29643" xr:uid="{00000000-0005-0000-0000-0000C8610000}"/>
    <cellStyle name="Normal 3 2 10 2 2 2" xfId="27415" xr:uid="{00000000-0005-0000-0000-0000C9610000}"/>
    <cellStyle name="Normal 3 2 10 2 3" xfId="14144" xr:uid="{00000000-0005-0000-0000-0000CA610000}"/>
    <cellStyle name="Normal 3 2 10 2 3 2" xfId="15548" xr:uid="{00000000-0005-0000-0000-0000CB610000}"/>
    <cellStyle name="Normal 3 2 10 2 4" xfId="21755" xr:uid="{00000000-0005-0000-0000-0000CC610000}"/>
    <cellStyle name="Normal 3 2 10 2 4 2" xfId="17423" xr:uid="{00000000-0005-0000-0000-0000CD610000}"/>
    <cellStyle name="Normal 3 2 10 2 5" xfId="15566" xr:uid="{00000000-0005-0000-0000-0000CE610000}"/>
    <cellStyle name="Normal 3 2 10 2 5 2" xfId="17852" xr:uid="{00000000-0005-0000-0000-0000CF610000}"/>
    <cellStyle name="Normal 3 2 10 2 6" xfId="15985" xr:uid="{00000000-0005-0000-0000-0000D0610000}"/>
    <cellStyle name="Normal 3 2 10 2 6 2" xfId="28262" xr:uid="{00000000-0005-0000-0000-0000D1610000}"/>
    <cellStyle name="Normal 3 2 10 2 7" xfId="14765" xr:uid="{00000000-0005-0000-0000-0000D2610000}"/>
    <cellStyle name="Normal 3 2 10 3" xfId="26602" xr:uid="{00000000-0005-0000-0000-0000D3610000}"/>
    <cellStyle name="Normal 3 2 10 3 2" xfId="18725" xr:uid="{00000000-0005-0000-0000-0000D4610000}"/>
    <cellStyle name="Normal 3 2 10 4" xfId="22901" xr:uid="{00000000-0005-0000-0000-0000D5610000}"/>
    <cellStyle name="Normal 3 2 10 4 2" xfId="21859" xr:uid="{00000000-0005-0000-0000-0000D6610000}"/>
    <cellStyle name="Normal 3 2 10 5" xfId="26419" xr:uid="{00000000-0005-0000-0000-0000D7610000}"/>
    <cellStyle name="Normal 3 2 10 5 2" xfId="5370" xr:uid="{00000000-0005-0000-0000-0000D8610000}"/>
    <cellStyle name="Normal 3 2 10 6" xfId="21053" xr:uid="{00000000-0005-0000-0000-0000D9610000}"/>
    <cellStyle name="Normal 3 2 10 6 2" xfId="31023" xr:uid="{00000000-0005-0000-0000-0000DA610000}"/>
    <cellStyle name="Normal 3 2 10 7" xfId="27423" xr:uid="{00000000-0005-0000-0000-0000DB610000}"/>
    <cellStyle name="Normal 3 2 10 7 2" xfId="28994" xr:uid="{00000000-0005-0000-0000-0000DC610000}"/>
    <cellStyle name="Normal 3 2 10 8" xfId="27432" xr:uid="{00000000-0005-0000-0000-0000DD610000}"/>
    <cellStyle name="Normal 3 2 11" xfId="8241" xr:uid="{00000000-0005-0000-0000-0000DE610000}"/>
    <cellStyle name="Normal 3 2 11 2" xfId="27442" xr:uid="{00000000-0005-0000-0000-0000DF610000}"/>
    <cellStyle name="Normal 3 2 11 2 2" xfId="27454" xr:uid="{00000000-0005-0000-0000-0000E0610000}"/>
    <cellStyle name="Normal 3 2 11 3" xfId="27498" xr:uid="{00000000-0005-0000-0000-0000E1610000}"/>
    <cellStyle name="Normal 3 2 11 3 2" xfId="22652" xr:uid="{00000000-0005-0000-0000-0000E2610000}"/>
    <cellStyle name="Normal 3 2 11 4" xfId="31356" xr:uid="{00000000-0005-0000-0000-0000E3610000}"/>
    <cellStyle name="Normal 3 2 11 4 2" xfId="3325" xr:uid="{00000000-0005-0000-0000-0000E4610000}"/>
    <cellStyle name="Normal 3 2 11 5" xfId="27458" xr:uid="{00000000-0005-0000-0000-0000E5610000}"/>
    <cellStyle name="Normal 3 2 11 5 2" xfId="27468" xr:uid="{00000000-0005-0000-0000-0000E6610000}"/>
    <cellStyle name="Normal 3 2 11 6" xfId="27476" xr:uid="{00000000-0005-0000-0000-0000E7610000}"/>
    <cellStyle name="Normal 3 2 11 6 2" xfId="8980" xr:uid="{00000000-0005-0000-0000-0000E8610000}"/>
    <cellStyle name="Normal 3 2 11 7" xfId="27480" xr:uid="{00000000-0005-0000-0000-0000E9610000}"/>
    <cellStyle name="Normal 3 2 12" xfId="14029" xr:uid="{00000000-0005-0000-0000-0000EA610000}"/>
    <cellStyle name="Normal 3 2 12 2" xfId="32734" xr:uid="{00000000-0005-0000-0000-0000EB610000}"/>
    <cellStyle name="Normal 3 2 12 2 2" xfId="26725" xr:uid="{00000000-0005-0000-0000-0000EC610000}"/>
    <cellStyle name="Normal 3 2 12 3" xfId="27485" xr:uid="{00000000-0005-0000-0000-0000ED610000}"/>
    <cellStyle name="Normal 3 2 12 3 2" xfId="16405" xr:uid="{00000000-0005-0000-0000-0000EE610000}"/>
    <cellStyle name="Normal 3 2 12 4" xfId="24465" xr:uid="{00000000-0005-0000-0000-0000EF610000}"/>
    <cellStyle name="Normal 3 2 12 4 2" xfId="25000" xr:uid="{00000000-0005-0000-0000-0000F0610000}"/>
    <cellStyle name="Normal 3 2 12 5" xfId="27939" xr:uid="{00000000-0005-0000-0000-0000F1610000}"/>
    <cellStyle name="Normal 3 2 12 5 2" xfId="25006" xr:uid="{00000000-0005-0000-0000-0000F2610000}"/>
    <cellStyle name="Normal 3 2 12 6" xfId="5326" xr:uid="{00000000-0005-0000-0000-0000F3610000}"/>
    <cellStyle name="Normal 3 2 12 6 2" xfId="26763" xr:uid="{00000000-0005-0000-0000-0000F4610000}"/>
    <cellStyle name="Normal 3 2 12 7" xfId="21725" xr:uid="{00000000-0005-0000-0000-0000F5610000}"/>
    <cellStyle name="Normal 3 2 13" xfId="14030" xr:uid="{00000000-0005-0000-0000-0000F6610000}"/>
    <cellStyle name="Normal 3 2 13 2" xfId="3403" xr:uid="{00000000-0005-0000-0000-0000F7610000}"/>
    <cellStyle name="Normal 3 2 14" xfId="28915" xr:uid="{00000000-0005-0000-0000-0000F8610000}"/>
    <cellStyle name="Normal 3 2 14 2" xfId="8048" xr:uid="{00000000-0005-0000-0000-0000F9610000}"/>
    <cellStyle name="Normal 3 2 15" xfId="26857" xr:uid="{00000000-0005-0000-0000-0000FA610000}"/>
    <cellStyle name="Normal 3 2 15 2" xfId="8051" xr:uid="{00000000-0005-0000-0000-0000FB610000}"/>
    <cellStyle name="Normal 3 2 16" xfId="29131" xr:uid="{00000000-0005-0000-0000-0000FC610000}"/>
    <cellStyle name="Normal 3 2 16 2" xfId="4325" xr:uid="{00000000-0005-0000-0000-0000FD610000}"/>
    <cellStyle name="Normal 3 2 17" xfId="20127" xr:uid="{00000000-0005-0000-0000-0000FE610000}"/>
    <cellStyle name="Normal 3 2 17 2" xfId="27447" xr:uid="{00000000-0005-0000-0000-0000FF610000}"/>
    <cellStyle name="Normal 3 2 18" xfId="9461" xr:uid="{00000000-0005-0000-0000-000000620000}"/>
    <cellStyle name="Normal 3 2 2" xfId="26152" xr:uid="{00000000-0005-0000-0000-000001620000}"/>
    <cellStyle name="Normal 3 2 2 10" xfId="27289" xr:uid="{00000000-0005-0000-0000-000002620000}"/>
    <cellStyle name="Normal 3 2 2 2" xfId="16962" xr:uid="{00000000-0005-0000-0000-000003620000}"/>
    <cellStyle name="Normal 3 2 2 2 2" xfId="22870" xr:uid="{00000000-0005-0000-0000-000004620000}"/>
    <cellStyle name="Normal 3 2 2 2 2 2" xfId="22877" xr:uid="{00000000-0005-0000-0000-000005620000}"/>
    <cellStyle name="Normal 3 2 2 2 2 2 2" xfId="140" xr:uid="{00000000-0005-0000-0000-000006620000}"/>
    <cellStyle name="Normal 3 2 2 2 2 2 2 2" xfId="28690" xr:uid="{00000000-0005-0000-0000-000007620000}"/>
    <cellStyle name="Normal 3 2 2 2 2 2 2 2 2" xfId="22879" xr:uid="{00000000-0005-0000-0000-000008620000}"/>
    <cellStyle name="Normal 3 2 2 2 2 2 2 2 2 2" xfId="31470" xr:uid="{00000000-0005-0000-0000-000009620000}"/>
    <cellStyle name="Normal 3 2 2 2 2 2 2 2 2 2 2" xfId="32986" xr:uid="{00000000-0005-0000-0000-00000A620000}"/>
    <cellStyle name="Normal 3 2 2 2 2 2 2 2 2 2 2 2" xfId="5118" xr:uid="{00000000-0005-0000-0000-00000B620000}"/>
    <cellStyle name="Normal 3 2 2 2 2 2 2 2 2 2 3" xfId="21914" xr:uid="{00000000-0005-0000-0000-00000C620000}"/>
    <cellStyle name="Normal 3 2 2 2 2 2 2 2 2 3" xfId="26741" xr:uid="{00000000-0005-0000-0000-00000D620000}"/>
    <cellStyle name="Normal 3 2 2 2 2 2 2 2 2 3 2" xfId="26438" xr:uid="{00000000-0005-0000-0000-00000E620000}"/>
    <cellStyle name="Normal 3 2 2 2 2 2 2 2 2 4" xfId="30758" xr:uid="{00000000-0005-0000-0000-00000F620000}"/>
    <cellStyle name="Normal 3 2 2 2 2 2 2 2 3" xfId="3530" xr:uid="{00000000-0005-0000-0000-000010620000}"/>
    <cellStyle name="Normal 3 2 2 2 2 2 2 2 3 2" xfId="26746" xr:uid="{00000000-0005-0000-0000-000011620000}"/>
    <cellStyle name="Normal 3 2 2 2 2 2 2 2 3 2 2" xfId="26474" xr:uid="{00000000-0005-0000-0000-000012620000}"/>
    <cellStyle name="Normal 3 2 2 2 2 2 2 2 3 3" xfId="26548" xr:uid="{00000000-0005-0000-0000-000013620000}"/>
    <cellStyle name="Normal 3 2 2 2 2 2 2 2 4" xfId="19893" xr:uid="{00000000-0005-0000-0000-000014620000}"/>
    <cellStyle name="Normal 3 2 2 2 2 2 2 2 4 2" xfId="27491" xr:uid="{00000000-0005-0000-0000-000015620000}"/>
    <cellStyle name="Normal 3 2 2 2 2 2 2 2 5" xfId="21295" xr:uid="{00000000-0005-0000-0000-000016620000}"/>
    <cellStyle name="Normal 3 2 2 2 2 2 2 3" xfId="23277" xr:uid="{00000000-0005-0000-0000-000017620000}"/>
    <cellStyle name="Normal 3 2 2 2 2 2 2 3 2" xfId="22880" xr:uid="{00000000-0005-0000-0000-000018620000}"/>
    <cellStyle name="Normal 3 2 2 2 2 2 2 3 2 2" xfId="3607" xr:uid="{00000000-0005-0000-0000-000019620000}"/>
    <cellStyle name="Normal 3 2 2 2 2 2 2 3 2 2 2" xfId="26193" xr:uid="{00000000-0005-0000-0000-00001A620000}"/>
    <cellStyle name="Normal 3 2 2 2 2 2 2 3 2 3" xfId="3698" xr:uid="{00000000-0005-0000-0000-00001B620000}"/>
    <cellStyle name="Normal 3 2 2 2 2 2 2 3 3" xfId="22883" xr:uid="{00000000-0005-0000-0000-00001C620000}"/>
    <cellStyle name="Normal 3 2 2 2 2 2 2 3 3 2" xfId="16781" xr:uid="{00000000-0005-0000-0000-00001D620000}"/>
    <cellStyle name="Normal 3 2 2 2 2 2 2 3 4" xfId="25158" xr:uid="{00000000-0005-0000-0000-00001E620000}"/>
    <cellStyle name="Normal 3 2 2 2 2 2 2 4" xfId="22889" xr:uid="{00000000-0005-0000-0000-00001F620000}"/>
    <cellStyle name="Normal 3 2 2 2 2 2 2 4 2" xfId="22893" xr:uid="{00000000-0005-0000-0000-000020620000}"/>
    <cellStyle name="Normal 3 2 2 2 2 2 2 4 2 2" xfId="495" xr:uid="{00000000-0005-0000-0000-000021620000}"/>
    <cellStyle name="Normal 3 2 2 2 2 2 2 4 3" xfId="27496" xr:uid="{00000000-0005-0000-0000-000022620000}"/>
    <cellStyle name="Normal 3 2 2 2 2 2 2 5" xfId="22899" xr:uid="{00000000-0005-0000-0000-000023620000}"/>
    <cellStyle name="Normal 3 2 2 2 2 2 2 5 2" xfId="27501" xr:uid="{00000000-0005-0000-0000-000024620000}"/>
    <cellStyle name="Normal 3 2 2 2 2 2 2 6" xfId="27504" xr:uid="{00000000-0005-0000-0000-000025620000}"/>
    <cellStyle name="Normal 3 2 2 2 2 2 3" xfId="33290" xr:uid="{00000000-0005-0000-0000-000026620000}"/>
    <cellStyle name="Normal 3 2 2 2 2 2 3 2" xfId="21196" xr:uid="{00000000-0005-0000-0000-000027620000}"/>
    <cellStyle name="Normal 3 2 2 2 2 2 3 2 2" xfId="22903" xr:uid="{00000000-0005-0000-0000-000028620000}"/>
    <cellStyle name="Normal 3 2 2 2 2 2 3 2 2 2" xfId="594" xr:uid="{00000000-0005-0000-0000-000029620000}"/>
    <cellStyle name="Normal 3 2 2 2 2 2 3 2 2 2 2" xfId="27472" xr:uid="{00000000-0005-0000-0000-00002A620000}"/>
    <cellStyle name="Normal 3 2 2 2 2 2 3 2 2 3" xfId="42" xr:uid="{00000000-0005-0000-0000-00002B620000}"/>
    <cellStyle name="Normal 3 2 2 2 2 2 3 2 3" xfId="22911" xr:uid="{00000000-0005-0000-0000-00002C620000}"/>
    <cellStyle name="Normal 3 2 2 2 2 2 3 2 3 2" xfId="11521" xr:uid="{00000000-0005-0000-0000-00002D620000}"/>
    <cellStyle name="Normal 3 2 2 2 2 2 3 2 4" xfId="25167" xr:uid="{00000000-0005-0000-0000-00002E620000}"/>
    <cellStyle name="Normal 3 2 2 2 2 2 3 3" xfId="21204" xr:uid="{00000000-0005-0000-0000-00002F620000}"/>
    <cellStyle name="Normal 3 2 2 2 2 2 3 3 2" xfId="31250" xr:uid="{00000000-0005-0000-0000-000030620000}"/>
    <cellStyle name="Normal 3 2 2 2 2 2 3 3 2 2" xfId="1920" xr:uid="{00000000-0005-0000-0000-000031620000}"/>
    <cellStyle name="Normal 3 2 2 2 2 2 3 3 3" xfId="26870" xr:uid="{00000000-0005-0000-0000-000032620000}"/>
    <cellStyle name="Normal 3 2 2 2 2 2 3 4" xfId="21681" xr:uid="{00000000-0005-0000-0000-000033620000}"/>
    <cellStyle name="Normal 3 2 2 2 2 2 3 4 2" xfId="30999" xr:uid="{00000000-0005-0000-0000-000034620000}"/>
    <cellStyle name="Normal 3 2 2 2 2 2 3 5" xfId="21216" xr:uid="{00000000-0005-0000-0000-000035620000}"/>
    <cellStyle name="Normal 3 2 2 2 2 2 4" xfId="31118" xr:uid="{00000000-0005-0000-0000-000036620000}"/>
    <cellStyle name="Normal 3 2 2 2 2 2 4 2" xfId="21218" xr:uid="{00000000-0005-0000-0000-000037620000}"/>
    <cellStyle name="Normal 3 2 2 2 2 2 4 2 2" xfId="33309" xr:uid="{00000000-0005-0000-0000-000038620000}"/>
    <cellStyle name="Normal 3 2 2 2 2 2 4 2 2 2" xfId="1461" xr:uid="{00000000-0005-0000-0000-000039620000}"/>
    <cellStyle name="Normal 3 2 2 2 2 2 4 2 3" xfId="19398" xr:uid="{00000000-0005-0000-0000-00003A620000}"/>
    <cellStyle name="Normal 3 2 2 2 2 2 4 3" xfId="21232" xr:uid="{00000000-0005-0000-0000-00003B620000}"/>
    <cellStyle name="Normal 3 2 2 2 2 2 4 3 2" xfId="21181" xr:uid="{00000000-0005-0000-0000-00003C620000}"/>
    <cellStyle name="Normal 3 2 2 2 2 2 4 4" xfId="22858" xr:uid="{00000000-0005-0000-0000-00003D620000}"/>
    <cellStyle name="Normal 3 2 2 2 2 2 5" xfId="26003" xr:uid="{00000000-0005-0000-0000-00003E620000}"/>
    <cellStyle name="Normal 3 2 2 2 2 2 5 2" xfId="21239" xr:uid="{00000000-0005-0000-0000-00003F620000}"/>
    <cellStyle name="Normal 3 2 2 2 2 2 5 2 2" xfId="27506" xr:uid="{00000000-0005-0000-0000-000040620000}"/>
    <cellStyle name="Normal 3 2 2 2 2 2 5 3" xfId="21247" xr:uid="{00000000-0005-0000-0000-000041620000}"/>
    <cellStyle name="Normal 3 2 2 2 2 2 6" xfId="21250" xr:uid="{00000000-0005-0000-0000-000042620000}"/>
    <cellStyle name="Normal 3 2 2 2 2 2 6 2" xfId="21252" xr:uid="{00000000-0005-0000-0000-000043620000}"/>
    <cellStyle name="Normal 3 2 2 2 2 2 7" xfId="21254" xr:uid="{00000000-0005-0000-0000-000044620000}"/>
    <cellStyle name="Normal 3 2 2 2 2 3" xfId="2705" xr:uid="{00000000-0005-0000-0000-000045620000}"/>
    <cellStyle name="Normal 3 2 2 2 2 3 2" xfId="28716" xr:uid="{00000000-0005-0000-0000-000046620000}"/>
    <cellStyle name="Normal 3 2 2 2 2 3 2 2" xfId="22914" xr:uid="{00000000-0005-0000-0000-000047620000}"/>
    <cellStyle name="Normal 3 2 2 2 2 3 2 2 2" xfId="22925" xr:uid="{00000000-0005-0000-0000-000048620000}"/>
    <cellStyle name="Normal 3 2 2 2 2 3 2 2 2 2" xfId="25497" xr:uid="{00000000-0005-0000-0000-000049620000}"/>
    <cellStyle name="Normal 3 2 2 2 2 3 2 2 2 2 2" xfId="11924" xr:uid="{00000000-0005-0000-0000-00004A620000}"/>
    <cellStyle name="Normal 3 2 2 2 2 3 2 2 2 3" xfId="11448" xr:uid="{00000000-0005-0000-0000-00004B620000}"/>
    <cellStyle name="Normal 3 2 2 2 2 3 2 2 3" xfId="22930" xr:uid="{00000000-0005-0000-0000-00004C620000}"/>
    <cellStyle name="Normal 3 2 2 2 2 3 2 2 3 2" xfId="25511" xr:uid="{00000000-0005-0000-0000-00004D620000}"/>
    <cellStyle name="Normal 3 2 2 2 2 3 2 2 4" xfId="21440" xr:uid="{00000000-0005-0000-0000-00004E620000}"/>
    <cellStyle name="Normal 3 2 2 2 2 3 2 3" xfId="22934" xr:uid="{00000000-0005-0000-0000-00004F620000}"/>
    <cellStyle name="Normal 3 2 2 2 2 3 2 3 2" xfId="22942" xr:uid="{00000000-0005-0000-0000-000050620000}"/>
    <cellStyle name="Normal 3 2 2 2 2 3 2 3 2 2" xfId="7764" xr:uid="{00000000-0005-0000-0000-000051620000}"/>
    <cellStyle name="Normal 3 2 2 2 2 3 2 3 3" xfId="26101" xr:uid="{00000000-0005-0000-0000-000052620000}"/>
    <cellStyle name="Normal 3 2 2 2 2 3 2 4" xfId="23051" xr:uid="{00000000-0005-0000-0000-000053620000}"/>
    <cellStyle name="Normal 3 2 2 2 2 3 2 4 2" xfId="26140" xr:uid="{00000000-0005-0000-0000-000054620000}"/>
    <cellStyle name="Normal 3 2 2 2 2 3 2 5" xfId="27095" xr:uid="{00000000-0005-0000-0000-000055620000}"/>
    <cellStyle name="Normal 3 2 2 2 2 3 3" xfId="2724" xr:uid="{00000000-0005-0000-0000-000056620000}"/>
    <cellStyle name="Normal 3 2 2 2 2 3 3 2" xfId="21265" xr:uid="{00000000-0005-0000-0000-000057620000}"/>
    <cellStyle name="Normal 3 2 2 2 2 3 3 2 2" xfId="22757" xr:uid="{00000000-0005-0000-0000-000058620000}"/>
    <cellStyle name="Normal 3 2 2 2 2 3 3 2 2 2" xfId="208" xr:uid="{00000000-0005-0000-0000-000059620000}"/>
    <cellStyle name="Normal 3 2 2 2 2 3 3 2 3" xfId="26318" xr:uid="{00000000-0005-0000-0000-00005A620000}"/>
    <cellStyle name="Normal 3 2 2 2 2 3 3 3" xfId="21270" xr:uid="{00000000-0005-0000-0000-00005B620000}"/>
    <cellStyle name="Normal 3 2 2 2 2 3 3 3 2" xfId="28598" xr:uid="{00000000-0005-0000-0000-00005C620000}"/>
    <cellStyle name="Normal 3 2 2 2 2 3 3 4" xfId="21845" xr:uid="{00000000-0005-0000-0000-00005D620000}"/>
    <cellStyle name="Normal 3 2 2 2 2 3 4" xfId="1520" xr:uid="{00000000-0005-0000-0000-00005E620000}"/>
    <cellStyle name="Normal 3 2 2 2 2 3 4 2" xfId="15657" xr:uid="{00000000-0005-0000-0000-00005F620000}"/>
    <cellStyle name="Normal 3 2 2 2 2 3 4 2 2" xfId="15661" xr:uid="{00000000-0005-0000-0000-000060620000}"/>
    <cellStyle name="Normal 3 2 2 2 2 3 4 3" xfId="15668" xr:uid="{00000000-0005-0000-0000-000061620000}"/>
    <cellStyle name="Normal 3 2 2 2 2 3 5" xfId="21273" xr:uid="{00000000-0005-0000-0000-000062620000}"/>
    <cellStyle name="Normal 3 2 2 2 2 3 5 2" xfId="15697" xr:uid="{00000000-0005-0000-0000-000063620000}"/>
    <cellStyle name="Normal 3 2 2 2 2 3 6" xfId="21275" xr:uid="{00000000-0005-0000-0000-000064620000}"/>
    <cellStyle name="Normal 3 2 2 2 2 4" xfId="2730" xr:uid="{00000000-0005-0000-0000-000065620000}"/>
    <cellStyle name="Normal 3 2 2 2 2 4 2" xfId="2742" xr:uid="{00000000-0005-0000-0000-000066620000}"/>
    <cellStyle name="Normal 3 2 2 2 2 4 2 2" xfId="18502" xr:uid="{00000000-0005-0000-0000-000067620000}"/>
    <cellStyle name="Normal 3 2 2 2 2 4 2 2 2" xfId="22951" xr:uid="{00000000-0005-0000-0000-000068620000}"/>
    <cellStyle name="Normal 3 2 2 2 2 4 2 2 2 2" xfId="19424" xr:uid="{00000000-0005-0000-0000-000069620000}"/>
    <cellStyle name="Normal 3 2 2 2 2 4 2 2 3" xfId="26657" xr:uid="{00000000-0005-0000-0000-00006A620000}"/>
    <cellStyle name="Normal 3 2 2 2 2 4 2 3" xfId="18505" xr:uid="{00000000-0005-0000-0000-00006B620000}"/>
    <cellStyle name="Normal 3 2 2 2 2 4 2 3 2" xfId="18251" xr:uid="{00000000-0005-0000-0000-00006C620000}"/>
    <cellStyle name="Normal 3 2 2 2 2 4 2 4" xfId="25909" xr:uid="{00000000-0005-0000-0000-00006D620000}"/>
    <cellStyle name="Normal 3 2 2 2 2 4 3" xfId="21279" xr:uid="{00000000-0005-0000-0000-00006E620000}"/>
    <cellStyle name="Normal 3 2 2 2 2 4 3 2" xfId="28309" xr:uid="{00000000-0005-0000-0000-00006F620000}"/>
    <cellStyle name="Normal 3 2 2 2 2 4 3 2 2" xfId="14426" xr:uid="{00000000-0005-0000-0000-000070620000}"/>
    <cellStyle name="Normal 3 2 2 2 2 4 3 3" xfId="21292" xr:uid="{00000000-0005-0000-0000-000071620000}"/>
    <cellStyle name="Normal 3 2 2 2 2 4 4" xfId="21301" xr:uid="{00000000-0005-0000-0000-000072620000}"/>
    <cellStyle name="Normal 3 2 2 2 2 4 4 2" xfId="15752" xr:uid="{00000000-0005-0000-0000-000073620000}"/>
    <cellStyle name="Normal 3 2 2 2 2 4 5" xfId="21307" xr:uid="{00000000-0005-0000-0000-000074620000}"/>
    <cellStyle name="Normal 3 2 2 2 2 5" xfId="2746" xr:uid="{00000000-0005-0000-0000-000075620000}"/>
    <cellStyle name="Normal 3 2 2 2 2 5 2" xfId="22956" xr:uid="{00000000-0005-0000-0000-000076620000}"/>
    <cellStyle name="Normal 3 2 2 2 2 5 2 2" xfId="18536" xr:uid="{00000000-0005-0000-0000-000077620000}"/>
    <cellStyle name="Normal 3 2 2 2 2 5 2 2 2" xfId="20586" xr:uid="{00000000-0005-0000-0000-000078620000}"/>
    <cellStyle name="Normal 3 2 2 2 2 5 2 3" xfId="26912" xr:uid="{00000000-0005-0000-0000-000079620000}"/>
    <cellStyle name="Normal 3 2 2 2 2 5 3" xfId="10414" xr:uid="{00000000-0005-0000-0000-00007A620000}"/>
    <cellStyle name="Normal 3 2 2 2 2 5 3 2" xfId="21312" xr:uid="{00000000-0005-0000-0000-00007B620000}"/>
    <cellStyle name="Normal 3 2 2 2 2 5 4" xfId="13375" xr:uid="{00000000-0005-0000-0000-00007C620000}"/>
    <cellStyle name="Normal 3 2 2 2 2 6" xfId="10473" xr:uid="{00000000-0005-0000-0000-00007D620000}"/>
    <cellStyle name="Normal 3 2 2 2 2 6 2" xfId="22962" xr:uid="{00000000-0005-0000-0000-00007E620000}"/>
    <cellStyle name="Normal 3 2 2 2 2 6 2 2" xfId="31666" xr:uid="{00000000-0005-0000-0000-00007F620000}"/>
    <cellStyle name="Normal 3 2 2 2 2 6 3" xfId="25651" xr:uid="{00000000-0005-0000-0000-000080620000}"/>
    <cellStyle name="Normal 3 2 2 2 2 7" xfId="4473" xr:uid="{00000000-0005-0000-0000-000081620000}"/>
    <cellStyle name="Normal 3 2 2 2 2 7 2" xfId="25661" xr:uid="{00000000-0005-0000-0000-000082620000}"/>
    <cellStyle name="Normal 3 2 2 2 2 8" xfId="4479" xr:uid="{00000000-0005-0000-0000-000083620000}"/>
    <cellStyle name="Normal 3 2 2 2 3" xfId="20176" xr:uid="{00000000-0005-0000-0000-000084620000}"/>
    <cellStyle name="Normal 3 2 2 2 3 2" xfId="22968" xr:uid="{00000000-0005-0000-0000-000085620000}"/>
    <cellStyle name="Normal 3 2 2 2 3 2 2" xfId="9698" xr:uid="{00000000-0005-0000-0000-000086620000}"/>
    <cellStyle name="Normal 3 2 2 2 3 2 2 2" xfId="22974" xr:uid="{00000000-0005-0000-0000-000087620000}"/>
    <cellStyle name="Normal 3 2 2 2 3 2 2 2 2" xfId="148" xr:uid="{00000000-0005-0000-0000-000088620000}"/>
    <cellStyle name="Normal 3 2 2 2 3 2 2 2 2 2" xfId="6036" xr:uid="{00000000-0005-0000-0000-000089620000}"/>
    <cellStyle name="Normal 3 2 2 2 3 2 2 2 2 2 2" xfId="27523" xr:uid="{00000000-0005-0000-0000-00008A620000}"/>
    <cellStyle name="Normal 3 2 2 2 3 2 2 2 2 3" xfId="29213" xr:uid="{00000000-0005-0000-0000-00008B620000}"/>
    <cellStyle name="Normal 3 2 2 2 3 2 2 2 3" xfId="22979" xr:uid="{00000000-0005-0000-0000-00008C620000}"/>
    <cellStyle name="Normal 3 2 2 2 3 2 2 2 3 2" xfId="27536" xr:uid="{00000000-0005-0000-0000-00008D620000}"/>
    <cellStyle name="Normal 3 2 2 2 3 2 2 2 4" xfId="23210" xr:uid="{00000000-0005-0000-0000-00008E620000}"/>
    <cellStyle name="Normal 3 2 2 2 3 2 2 3" xfId="22983" xr:uid="{00000000-0005-0000-0000-00008F620000}"/>
    <cellStyle name="Normal 3 2 2 2 3 2 2 3 2" xfId="22992" xr:uid="{00000000-0005-0000-0000-000090620000}"/>
    <cellStyle name="Normal 3 2 2 2 3 2 2 3 2 2" xfId="17435" xr:uid="{00000000-0005-0000-0000-000091620000}"/>
    <cellStyle name="Normal 3 2 2 2 3 2 2 3 3" xfId="27025" xr:uid="{00000000-0005-0000-0000-000092620000}"/>
    <cellStyle name="Normal 3 2 2 2 3 2 2 4" xfId="22315" xr:uid="{00000000-0005-0000-0000-000093620000}"/>
    <cellStyle name="Normal 3 2 2 2 3 2 2 4 2" xfId="19926" xr:uid="{00000000-0005-0000-0000-000094620000}"/>
    <cellStyle name="Normal 3 2 2 2 3 2 2 5" xfId="27550" xr:uid="{00000000-0005-0000-0000-000095620000}"/>
    <cellStyle name="Normal 3 2 2 2 3 2 3" xfId="21352" xr:uid="{00000000-0005-0000-0000-000096620000}"/>
    <cellStyle name="Normal 3 2 2 2 3 2 3 2" xfId="21358" xr:uid="{00000000-0005-0000-0000-000097620000}"/>
    <cellStyle name="Normal 3 2 2 2 3 2 3 2 2" xfId="27969" xr:uid="{00000000-0005-0000-0000-000098620000}"/>
    <cellStyle name="Normal 3 2 2 2 3 2 3 2 2 2" xfId="1792" xr:uid="{00000000-0005-0000-0000-000099620000}"/>
    <cellStyle name="Normal 3 2 2 2 3 2 3 2 3" xfId="26882" xr:uid="{00000000-0005-0000-0000-00009A620000}"/>
    <cellStyle name="Normal 3 2 2 2 3 2 3 3" xfId="21370" xr:uid="{00000000-0005-0000-0000-00009B620000}"/>
    <cellStyle name="Normal 3 2 2 2 3 2 3 3 2" xfId="27556" xr:uid="{00000000-0005-0000-0000-00009C620000}"/>
    <cellStyle name="Normal 3 2 2 2 3 2 3 4" xfId="5104" xr:uid="{00000000-0005-0000-0000-00009D620000}"/>
    <cellStyle name="Normal 3 2 2 2 3 2 4" xfId="21374" xr:uid="{00000000-0005-0000-0000-00009E620000}"/>
    <cellStyle name="Normal 3 2 2 2 3 2 4 2" xfId="21378" xr:uid="{00000000-0005-0000-0000-00009F620000}"/>
    <cellStyle name="Normal 3 2 2 2 3 2 4 2 2" xfId="27846" xr:uid="{00000000-0005-0000-0000-0000A0620000}"/>
    <cellStyle name="Normal 3 2 2 2 3 2 4 3" xfId="21388" xr:uid="{00000000-0005-0000-0000-0000A1620000}"/>
    <cellStyle name="Normal 3 2 2 2 3 2 5" xfId="21391" xr:uid="{00000000-0005-0000-0000-0000A2620000}"/>
    <cellStyle name="Normal 3 2 2 2 3 2 5 2" xfId="21399" xr:uid="{00000000-0005-0000-0000-0000A3620000}"/>
    <cellStyle name="Normal 3 2 2 2 3 2 6" xfId="21400" xr:uid="{00000000-0005-0000-0000-0000A4620000}"/>
    <cellStyle name="Normal 3 2 2 2 3 3" xfId="2762" xr:uid="{00000000-0005-0000-0000-0000A5620000}"/>
    <cellStyle name="Normal 3 2 2 2 3 3 2" xfId="2765" xr:uid="{00000000-0005-0000-0000-0000A6620000}"/>
    <cellStyle name="Normal 3 2 2 2 3 3 2 2" xfId="22999" xr:uid="{00000000-0005-0000-0000-0000A7620000}"/>
    <cellStyle name="Normal 3 2 2 2 3 3 2 2 2" xfId="23005" xr:uid="{00000000-0005-0000-0000-0000A8620000}"/>
    <cellStyle name="Normal 3 2 2 2 3 3 2 2 2 2" xfId="27559" xr:uid="{00000000-0005-0000-0000-0000A9620000}"/>
    <cellStyle name="Normal 3 2 2 2 3 3 2 2 3" xfId="18995" xr:uid="{00000000-0005-0000-0000-0000AA620000}"/>
    <cellStyle name="Normal 3 2 2 2 3 3 2 3" xfId="23008" xr:uid="{00000000-0005-0000-0000-0000AB620000}"/>
    <cellStyle name="Normal 3 2 2 2 3 3 2 3 2" xfId="27569" xr:uid="{00000000-0005-0000-0000-0000AC620000}"/>
    <cellStyle name="Normal 3 2 2 2 3 3 2 4" xfId="17449" xr:uid="{00000000-0005-0000-0000-0000AD620000}"/>
    <cellStyle name="Normal 3 2 2 2 3 3 3" xfId="18244" xr:uid="{00000000-0005-0000-0000-0000AE620000}"/>
    <cellStyle name="Normal 3 2 2 2 3 3 3 2" xfId="21408" xr:uid="{00000000-0005-0000-0000-0000AF620000}"/>
    <cellStyle name="Normal 3 2 2 2 3 3 3 2 2" xfId="27879" xr:uid="{00000000-0005-0000-0000-0000B0620000}"/>
    <cellStyle name="Normal 3 2 2 2 3 3 3 3" xfId="21416" xr:uid="{00000000-0005-0000-0000-0000B1620000}"/>
    <cellStyle name="Normal 3 2 2 2 3 3 4" xfId="21420" xr:uid="{00000000-0005-0000-0000-0000B2620000}"/>
    <cellStyle name="Normal 3 2 2 2 3 3 4 2" xfId="15829" xr:uid="{00000000-0005-0000-0000-0000B3620000}"/>
    <cellStyle name="Normal 3 2 2 2 3 3 5" xfId="21425" xr:uid="{00000000-0005-0000-0000-0000B4620000}"/>
    <cellStyle name="Normal 3 2 2 2 3 4" xfId="2775" xr:uid="{00000000-0005-0000-0000-0000B5620000}"/>
    <cellStyle name="Normal 3 2 2 2 3 4 2" xfId="17553" xr:uid="{00000000-0005-0000-0000-0000B6620000}"/>
    <cellStyle name="Normal 3 2 2 2 3 4 2 2" xfId="18576" xr:uid="{00000000-0005-0000-0000-0000B7620000}"/>
    <cellStyle name="Normal 3 2 2 2 3 4 2 2 2" xfId="27573" xr:uid="{00000000-0005-0000-0000-0000B8620000}"/>
    <cellStyle name="Normal 3 2 2 2 3 4 2 3" xfId="27580" xr:uid="{00000000-0005-0000-0000-0000B9620000}"/>
    <cellStyle name="Normal 3 2 2 2 3 4 3" xfId="21433" xr:uid="{00000000-0005-0000-0000-0000BA620000}"/>
    <cellStyle name="Normal 3 2 2 2 3 4 3 2" xfId="21436" xr:uid="{00000000-0005-0000-0000-0000BB620000}"/>
    <cellStyle name="Normal 3 2 2 2 3 4 4" xfId="20198" xr:uid="{00000000-0005-0000-0000-0000BC620000}"/>
    <cellStyle name="Normal 3 2 2 2 3 5" xfId="23010" xr:uid="{00000000-0005-0000-0000-0000BD620000}"/>
    <cellStyle name="Normal 3 2 2 2 3 5 2" xfId="23016" xr:uid="{00000000-0005-0000-0000-0000BE620000}"/>
    <cellStyle name="Normal 3 2 2 2 3 5 2 2" xfId="27591" xr:uid="{00000000-0005-0000-0000-0000BF620000}"/>
    <cellStyle name="Normal 3 2 2 2 3 5 3" xfId="25671" xr:uid="{00000000-0005-0000-0000-0000C0620000}"/>
    <cellStyle name="Normal 3 2 2 2 3 6" xfId="23020" xr:uid="{00000000-0005-0000-0000-0000C1620000}"/>
    <cellStyle name="Normal 3 2 2 2 3 6 2" xfId="25636" xr:uid="{00000000-0005-0000-0000-0000C2620000}"/>
    <cellStyle name="Normal 3 2 2 2 3 7" xfId="3528" xr:uid="{00000000-0005-0000-0000-0000C3620000}"/>
    <cellStyle name="Normal 3 2 2 2 4" xfId="23027" xr:uid="{00000000-0005-0000-0000-0000C4620000}"/>
    <cellStyle name="Normal 3 2 2 2 4 2" xfId="21323" xr:uid="{00000000-0005-0000-0000-0000C5620000}"/>
    <cellStyle name="Normal 3 2 2 2 4 2 2" xfId="30403" xr:uid="{00000000-0005-0000-0000-0000C6620000}"/>
    <cellStyle name="Normal 3 2 2 2 4 2 2 2" xfId="16139" xr:uid="{00000000-0005-0000-0000-0000C7620000}"/>
    <cellStyle name="Normal 3 2 2 2 4 2 2 2 2" xfId="23298" xr:uid="{00000000-0005-0000-0000-0000C8620000}"/>
    <cellStyle name="Normal 3 2 2 2 4 2 2 2 2 2" xfId="18195" xr:uid="{00000000-0005-0000-0000-0000C9620000}"/>
    <cellStyle name="Normal 3 2 2 2 4 2 2 2 3" xfId="27595" xr:uid="{00000000-0005-0000-0000-0000CA620000}"/>
    <cellStyle name="Normal 3 2 2 2 4 2 2 3" xfId="23034" xr:uid="{00000000-0005-0000-0000-0000CB620000}"/>
    <cellStyle name="Normal 3 2 2 2 4 2 2 3 2" xfId="27232" xr:uid="{00000000-0005-0000-0000-0000CC620000}"/>
    <cellStyle name="Normal 3 2 2 2 4 2 2 4" xfId="27257" xr:uid="{00000000-0005-0000-0000-0000CD620000}"/>
    <cellStyle name="Normal 3 2 2 2 4 2 3" xfId="21472" xr:uid="{00000000-0005-0000-0000-0000CE620000}"/>
    <cellStyle name="Normal 3 2 2 2 4 2 3 2" xfId="21480" xr:uid="{00000000-0005-0000-0000-0000CF620000}"/>
    <cellStyle name="Normal 3 2 2 2 4 2 3 2 2" xfId="26706" xr:uid="{00000000-0005-0000-0000-0000D0620000}"/>
    <cellStyle name="Normal 3 2 2 2 4 2 3 3" xfId="21491" xr:uid="{00000000-0005-0000-0000-0000D1620000}"/>
    <cellStyle name="Normal 3 2 2 2 4 2 4" xfId="21502" xr:uid="{00000000-0005-0000-0000-0000D2620000}"/>
    <cellStyle name="Normal 3 2 2 2 4 2 4 2" xfId="21508" xr:uid="{00000000-0005-0000-0000-0000D3620000}"/>
    <cellStyle name="Normal 3 2 2 2 4 2 5" xfId="18984" xr:uid="{00000000-0005-0000-0000-0000D4620000}"/>
    <cellStyle name="Normal 3 2 2 2 4 3" xfId="2782" xr:uid="{00000000-0005-0000-0000-0000D5620000}"/>
    <cellStyle name="Normal 3 2 2 2 4 3 2" xfId="17559" xr:uid="{00000000-0005-0000-0000-0000D6620000}"/>
    <cellStyle name="Normal 3 2 2 2 4 3 2 2" xfId="23044" xr:uid="{00000000-0005-0000-0000-0000D7620000}"/>
    <cellStyle name="Normal 3 2 2 2 4 3 2 2 2" xfId="27601" xr:uid="{00000000-0005-0000-0000-0000D8620000}"/>
    <cellStyle name="Normal 3 2 2 2 4 3 2 3" xfId="27605" xr:uid="{00000000-0005-0000-0000-0000D9620000}"/>
    <cellStyle name="Normal 3 2 2 2 4 3 3" xfId="21517" xr:uid="{00000000-0005-0000-0000-0000DA620000}"/>
    <cellStyle name="Normal 3 2 2 2 4 3 3 2" xfId="21524" xr:uid="{00000000-0005-0000-0000-0000DB620000}"/>
    <cellStyle name="Normal 3 2 2 2 4 3 4" xfId="21527" xr:uid="{00000000-0005-0000-0000-0000DC620000}"/>
    <cellStyle name="Normal 3 2 2 2 4 4" xfId="14094" xr:uid="{00000000-0005-0000-0000-0000DD620000}"/>
    <cellStyle name="Normal 3 2 2 2 4 4 2" xfId="23048" xr:uid="{00000000-0005-0000-0000-0000DE620000}"/>
    <cellStyle name="Normal 3 2 2 2 4 4 2 2" xfId="26108" xr:uid="{00000000-0005-0000-0000-0000DF620000}"/>
    <cellStyle name="Normal 3 2 2 2 4 4 3" xfId="21536" xr:uid="{00000000-0005-0000-0000-0000E0620000}"/>
    <cellStyle name="Normal 3 2 2 2 4 5" xfId="6683" xr:uid="{00000000-0005-0000-0000-0000E1620000}"/>
    <cellStyle name="Normal 3 2 2 2 4 5 2" xfId="27613" xr:uid="{00000000-0005-0000-0000-0000E2620000}"/>
    <cellStyle name="Normal 3 2 2 2 4 6" xfId="29393" xr:uid="{00000000-0005-0000-0000-0000E3620000}"/>
    <cellStyle name="Normal 3 2 2 2 5" xfId="26754" xr:uid="{00000000-0005-0000-0000-0000E4620000}"/>
    <cellStyle name="Normal 3 2 2 2 5 2" xfId="23053" xr:uid="{00000000-0005-0000-0000-0000E5620000}"/>
    <cellStyle name="Normal 3 2 2 2 5 2 2" xfId="23056" xr:uid="{00000000-0005-0000-0000-0000E6620000}"/>
    <cellStyle name="Normal 3 2 2 2 5 2 2 2" xfId="13817" xr:uid="{00000000-0005-0000-0000-0000E7620000}"/>
    <cellStyle name="Normal 3 2 2 2 5 2 2 2 2" xfId="27617" xr:uid="{00000000-0005-0000-0000-0000E8620000}"/>
    <cellStyle name="Normal 3 2 2 2 5 2 2 3" xfId="27620" xr:uid="{00000000-0005-0000-0000-0000E9620000}"/>
    <cellStyle name="Normal 3 2 2 2 5 2 3" xfId="23414" xr:uid="{00000000-0005-0000-0000-0000EA620000}"/>
    <cellStyle name="Normal 3 2 2 2 5 2 3 2" xfId="21544" xr:uid="{00000000-0005-0000-0000-0000EB620000}"/>
    <cellStyle name="Normal 3 2 2 2 5 2 4" xfId="21548" xr:uid="{00000000-0005-0000-0000-0000EC620000}"/>
    <cellStyle name="Normal 3 2 2 2 5 3" xfId="20090" xr:uid="{00000000-0005-0000-0000-0000ED620000}"/>
    <cellStyle name="Normal 3 2 2 2 5 3 2" xfId="19224" xr:uid="{00000000-0005-0000-0000-0000EE620000}"/>
    <cellStyle name="Normal 3 2 2 2 5 3 2 2" xfId="27521" xr:uid="{00000000-0005-0000-0000-0000EF620000}"/>
    <cellStyle name="Normal 3 2 2 2 5 3 3" xfId="21554" xr:uid="{00000000-0005-0000-0000-0000F0620000}"/>
    <cellStyle name="Normal 3 2 2 2 5 4" xfId="14099" xr:uid="{00000000-0005-0000-0000-0000F1620000}"/>
    <cellStyle name="Normal 3 2 2 2 5 4 2" xfId="23863" xr:uid="{00000000-0005-0000-0000-0000F2620000}"/>
    <cellStyle name="Normal 3 2 2 2 5 5" xfId="25355" xr:uid="{00000000-0005-0000-0000-0000F3620000}"/>
    <cellStyle name="Normal 3 2 2 2 6" xfId="23059" xr:uid="{00000000-0005-0000-0000-0000F4620000}"/>
    <cellStyle name="Normal 3 2 2 2 6 2" xfId="23062" xr:uid="{00000000-0005-0000-0000-0000F5620000}"/>
    <cellStyle name="Normal 3 2 2 2 6 2 2" xfId="23069" xr:uid="{00000000-0005-0000-0000-0000F6620000}"/>
    <cellStyle name="Normal 3 2 2 2 6 2 2 2" xfId="10260" xr:uid="{00000000-0005-0000-0000-0000F7620000}"/>
    <cellStyle name="Normal 3 2 2 2 6 2 3" xfId="21572" xr:uid="{00000000-0005-0000-0000-0000F8620000}"/>
    <cellStyle name="Normal 3 2 2 2 6 3" xfId="23077" xr:uid="{00000000-0005-0000-0000-0000F9620000}"/>
    <cellStyle name="Normal 3 2 2 2 6 3 2" xfId="27216" xr:uid="{00000000-0005-0000-0000-0000FA620000}"/>
    <cellStyle name="Normal 3 2 2 2 6 4" xfId="17032" xr:uid="{00000000-0005-0000-0000-0000FB620000}"/>
    <cellStyle name="Normal 3 2 2 2 7" xfId="23080" xr:uid="{00000000-0005-0000-0000-0000FC620000}"/>
    <cellStyle name="Normal 3 2 2 2 7 2" xfId="23083" xr:uid="{00000000-0005-0000-0000-0000FD620000}"/>
    <cellStyle name="Normal 3 2 2 2 7 2 2" xfId="27639" xr:uid="{00000000-0005-0000-0000-0000FE620000}"/>
    <cellStyle name="Normal 3 2 2 2 7 3" xfId="29826" xr:uid="{00000000-0005-0000-0000-0000FF620000}"/>
    <cellStyle name="Normal 3 2 2 2 8" xfId="23087" xr:uid="{00000000-0005-0000-0000-000000630000}"/>
    <cellStyle name="Normal 3 2 2 2 8 2" xfId="25332" xr:uid="{00000000-0005-0000-0000-000001630000}"/>
    <cellStyle name="Normal 3 2 2 2 9" xfId="15743" xr:uid="{00000000-0005-0000-0000-000002630000}"/>
    <cellStyle name="Normal 3 2 2 3" xfId="24823" xr:uid="{00000000-0005-0000-0000-000003630000}"/>
    <cellStyle name="Normal 3 2 2 3 2" xfId="23090" xr:uid="{00000000-0005-0000-0000-000004630000}"/>
    <cellStyle name="Normal 3 2 2 3 2 2" xfId="23095" xr:uid="{00000000-0005-0000-0000-000005630000}"/>
    <cellStyle name="Normal 3 2 2 3 2 2 2" xfId="10131" xr:uid="{00000000-0005-0000-0000-000006630000}"/>
    <cellStyle name="Normal 3 2 2 3 2 2 2 2" xfId="23109" xr:uid="{00000000-0005-0000-0000-000007630000}"/>
    <cellStyle name="Normal 3 2 2 3 2 2 2 2 2" xfId="23111" xr:uid="{00000000-0005-0000-0000-000008630000}"/>
    <cellStyle name="Normal 3 2 2 3 2 2 2 2 2 2" xfId="28725" xr:uid="{00000000-0005-0000-0000-000009630000}"/>
    <cellStyle name="Normal 3 2 2 3 2 2 2 2 2 2 2" xfId="27642" xr:uid="{00000000-0005-0000-0000-00000A630000}"/>
    <cellStyle name="Normal 3 2 2 3 2 2 2 2 2 3" xfId="27528" xr:uid="{00000000-0005-0000-0000-00000B630000}"/>
    <cellStyle name="Normal 3 2 2 3 2 2 2 2 3" xfId="23113" xr:uid="{00000000-0005-0000-0000-00000C630000}"/>
    <cellStyle name="Normal 3 2 2 3 2 2 2 2 3 2" xfId="1296" xr:uid="{00000000-0005-0000-0000-00000D630000}"/>
    <cellStyle name="Normal 3 2 2 3 2 2 2 2 4" xfId="22367" xr:uid="{00000000-0005-0000-0000-00000E630000}"/>
    <cellStyle name="Normal 3 2 2 3 2 2 2 3" xfId="23752" xr:uid="{00000000-0005-0000-0000-00000F630000}"/>
    <cellStyle name="Normal 3 2 2 3 2 2 2 3 2" xfId="23119" xr:uid="{00000000-0005-0000-0000-000010630000}"/>
    <cellStyle name="Normal 3 2 2 3 2 2 2 3 2 2" xfId="29614" xr:uid="{00000000-0005-0000-0000-000011630000}"/>
    <cellStyle name="Normal 3 2 2 3 2 2 2 3 3" xfId="23324" xr:uid="{00000000-0005-0000-0000-000012630000}"/>
    <cellStyle name="Normal 3 2 2 3 2 2 2 4" xfId="22402" xr:uid="{00000000-0005-0000-0000-000013630000}"/>
    <cellStyle name="Normal 3 2 2 3 2 2 2 4 2" xfId="29257" xr:uid="{00000000-0005-0000-0000-000014630000}"/>
    <cellStyle name="Normal 3 2 2 3 2 2 2 5" xfId="29258" xr:uid="{00000000-0005-0000-0000-000015630000}"/>
    <cellStyle name="Normal 3 2 2 3 2 2 3" xfId="24200" xr:uid="{00000000-0005-0000-0000-000016630000}"/>
    <cellStyle name="Normal 3 2 2 3 2 2 3 2" xfId="19415" xr:uid="{00000000-0005-0000-0000-000017630000}"/>
    <cellStyle name="Normal 3 2 2 3 2 2 3 2 2" xfId="23125" xr:uid="{00000000-0005-0000-0000-000018630000}"/>
    <cellStyle name="Normal 3 2 2 3 2 2 3 2 2 2" xfId="3521" xr:uid="{00000000-0005-0000-0000-000019630000}"/>
    <cellStyle name="Normal 3 2 2 3 2 2 3 2 3" xfId="26894" xr:uid="{00000000-0005-0000-0000-00001A630000}"/>
    <cellStyle name="Normal 3 2 2 3 2 2 3 3" xfId="21564" xr:uid="{00000000-0005-0000-0000-00001B630000}"/>
    <cellStyle name="Normal 3 2 2 3 2 2 3 3 2" xfId="32333" xr:uid="{00000000-0005-0000-0000-00001C630000}"/>
    <cellStyle name="Normal 3 2 2 3 2 2 3 4" xfId="21598" xr:uid="{00000000-0005-0000-0000-00001D630000}"/>
    <cellStyle name="Normal 3 2 2 3 2 2 4" xfId="22442" xr:uid="{00000000-0005-0000-0000-00001E630000}"/>
    <cellStyle name="Normal 3 2 2 3 2 2 4 2" xfId="19441" xr:uid="{00000000-0005-0000-0000-00001F630000}"/>
    <cellStyle name="Normal 3 2 2 3 2 2 4 2 2" xfId="28217" xr:uid="{00000000-0005-0000-0000-000020630000}"/>
    <cellStyle name="Normal 3 2 2 3 2 2 4 3" xfId="21607" xr:uid="{00000000-0005-0000-0000-000021630000}"/>
    <cellStyle name="Normal 3 2 2 3 2 2 5" xfId="21613" xr:uid="{00000000-0005-0000-0000-000022630000}"/>
    <cellStyle name="Normal 3 2 2 3 2 2 5 2" xfId="18092" xr:uid="{00000000-0005-0000-0000-000023630000}"/>
    <cellStyle name="Normal 3 2 2 3 2 2 6" xfId="21622" xr:uid="{00000000-0005-0000-0000-000024630000}"/>
    <cellStyle name="Normal 3 2 2 3 2 3" xfId="22507" xr:uid="{00000000-0005-0000-0000-000025630000}"/>
    <cellStyle name="Normal 3 2 2 3 2 3 2" xfId="18625" xr:uid="{00000000-0005-0000-0000-000026630000}"/>
    <cellStyle name="Normal 3 2 2 3 2 3 2 2" xfId="23128" xr:uid="{00000000-0005-0000-0000-000027630000}"/>
    <cellStyle name="Normal 3 2 2 3 2 3 2 2 2" xfId="23134" xr:uid="{00000000-0005-0000-0000-000028630000}"/>
    <cellStyle name="Normal 3 2 2 3 2 3 2 2 2 2" xfId="21530" xr:uid="{00000000-0005-0000-0000-000029630000}"/>
    <cellStyle name="Normal 3 2 2 3 2 3 2 2 3" xfId="11270" xr:uid="{00000000-0005-0000-0000-00002A630000}"/>
    <cellStyle name="Normal 3 2 2 3 2 3 2 3" xfId="25452" xr:uid="{00000000-0005-0000-0000-00002B630000}"/>
    <cellStyle name="Normal 3 2 2 3 2 3 2 3 2" xfId="25699" xr:uid="{00000000-0005-0000-0000-00002C630000}"/>
    <cellStyle name="Normal 3 2 2 3 2 3 2 4" xfId="26867" xr:uid="{00000000-0005-0000-0000-00002D630000}"/>
    <cellStyle name="Normal 3 2 2 3 2 3 3" xfId="24118" xr:uid="{00000000-0005-0000-0000-00002E630000}"/>
    <cellStyle name="Normal 3 2 2 3 2 3 3 2" xfId="24125" xr:uid="{00000000-0005-0000-0000-00002F630000}"/>
    <cellStyle name="Normal 3 2 2 3 2 3 3 2 2" xfId="28238" xr:uid="{00000000-0005-0000-0000-000030630000}"/>
    <cellStyle name="Normal 3 2 2 3 2 3 3 3" xfId="27420" xr:uid="{00000000-0005-0000-0000-000031630000}"/>
    <cellStyle name="Normal 3 2 2 3 2 3 4" xfId="21635" xr:uid="{00000000-0005-0000-0000-000032630000}"/>
    <cellStyle name="Normal 3 2 2 3 2 3 4 2" xfId="16153" xr:uid="{00000000-0005-0000-0000-000033630000}"/>
    <cellStyle name="Normal 3 2 2 3 2 3 5" xfId="21644" xr:uid="{00000000-0005-0000-0000-000034630000}"/>
    <cellStyle name="Normal 3 2 2 3 2 4" xfId="8729" xr:uid="{00000000-0005-0000-0000-000035630000}"/>
    <cellStyle name="Normal 3 2 2 3 2 4 2" xfId="23150" xr:uid="{00000000-0005-0000-0000-000036630000}"/>
    <cellStyle name="Normal 3 2 2 3 2 4 2 2" xfId="18692" xr:uid="{00000000-0005-0000-0000-000037630000}"/>
    <cellStyle name="Normal 3 2 2 3 2 4 2 2 2" xfId="27654" xr:uid="{00000000-0005-0000-0000-000038630000}"/>
    <cellStyle name="Normal 3 2 2 3 2 4 2 3" xfId="28814" xr:uid="{00000000-0005-0000-0000-000039630000}"/>
    <cellStyle name="Normal 3 2 2 3 2 4 3" xfId="21652" xr:uid="{00000000-0005-0000-0000-00003A630000}"/>
    <cellStyle name="Normal 3 2 2 3 2 4 3 2" xfId="21659" xr:uid="{00000000-0005-0000-0000-00003B630000}"/>
    <cellStyle name="Normal 3 2 2 3 2 4 4" xfId="21666" xr:uid="{00000000-0005-0000-0000-00003C630000}"/>
    <cellStyle name="Normal 3 2 2 3 2 5" xfId="655" xr:uid="{00000000-0005-0000-0000-00003D630000}"/>
    <cellStyle name="Normal 3 2 2 3 2 5 2" xfId="23154" xr:uid="{00000000-0005-0000-0000-00003E630000}"/>
    <cellStyle name="Normal 3 2 2 3 2 5 2 2" xfId="11833" xr:uid="{00000000-0005-0000-0000-00003F630000}"/>
    <cellStyle name="Normal 3 2 2 3 2 5 3" xfId="25701" xr:uid="{00000000-0005-0000-0000-000040630000}"/>
    <cellStyle name="Normal 3 2 2 3 2 6" xfId="16155" xr:uid="{00000000-0005-0000-0000-000041630000}"/>
    <cellStyle name="Normal 3 2 2 3 2 6 2" xfId="27658" xr:uid="{00000000-0005-0000-0000-000042630000}"/>
    <cellStyle name="Normal 3 2 2 3 2 7" xfId="2469" xr:uid="{00000000-0005-0000-0000-000043630000}"/>
    <cellStyle name="Normal 3 2 2 3 3" xfId="14199" xr:uid="{00000000-0005-0000-0000-000044630000}"/>
    <cellStyle name="Normal 3 2 2 3 3 2" xfId="23157" xr:uid="{00000000-0005-0000-0000-000045630000}"/>
    <cellStyle name="Normal 3 2 2 3 3 2 2" xfId="23163" xr:uid="{00000000-0005-0000-0000-000046630000}"/>
    <cellStyle name="Normal 3 2 2 3 3 2 2 2" xfId="24751" xr:uid="{00000000-0005-0000-0000-000047630000}"/>
    <cellStyle name="Normal 3 2 2 3 3 2 2 2 2" xfId="23171" xr:uid="{00000000-0005-0000-0000-000048630000}"/>
    <cellStyle name="Normal 3 2 2 3 3 2 2 2 2 2" xfId="27660" xr:uid="{00000000-0005-0000-0000-000049630000}"/>
    <cellStyle name="Normal 3 2 2 3 3 2 2 2 3" xfId="27663" xr:uid="{00000000-0005-0000-0000-00004A630000}"/>
    <cellStyle name="Normal 3 2 2 3 3 2 2 3" xfId="23174" xr:uid="{00000000-0005-0000-0000-00004B630000}"/>
    <cellStyle name="Normal 3 2 2 3 3 2 2 3 2" xfId="27668" xr:uid="{00000000-0005-0000-0000-00004C630000}"/>
    <cellStyle name="Normal 3 2 2 3 3 2 2 4" xfId="27671" xr:uid="{00000000-0005-0000-0000-00004D630000}"/>
    <cellStyle name="Normal 3 2 2 3 3 2 3" xfId="21695" xr:uid="{00000000-0005-0000-0000-00004E630000}"/>
    <cellStyle name="Normal 3 2 2 3 3 2 3 2" xfId="19515" xr:uid="{00000000-0005-0000-0000-00004F630000}"/>
    <cellStyle name="Normal 3 2 2 3 3 2 3 2 2" xfId="28369" xr:uid="{00000000-0005-0000-0000-000050630000}"/>
    <cellStyle name="Normal 3 2 2 3 3 2 3 3" xfId="21698" xr:uid="{00000000-0005-0000-0000-000051630000}"/>
    <cellStyle name="Normal 3 2 2 3 3 2 4" xfId="23990" xr:uid="{00000000-0005-0000-0000-000052630000}"/>
    <cellStyle name="Normal 3 2 2 3 3 2 4 2" xfId="26143" xr:uid="{00000000-0005-0000-0000-000053630000}"/>
    <cellStyle name="Normal 3 2 2 3 3 2 5" xfId="21703" xr:uid="{00000000-0005-0000-0000-000054630000}"/>
    <cellStyle name="Normal 3 2 2 3 3 3" xfId="31456" xr:uid="{00000000-0005-0000-0000-000055630000}"/>
    <cellStyle name="Normal 3 2 2 3 3 3 2" xfId="32041" xr:uid="{00000000-0005-0000-0000-000056630000}"/>
    <cellStyle name="Normal 3 2 2 3 3 3 2 2" xfId="557" xr:uid="{00000000-0005-0000-0000-000057630000}"/>
    <cellStyle name="Normal 3 2 2 3 3 3 2 2 2" xfId="27676" xr:uid="{00000000-0005-0000-0000-000058630000}"/>
    <cellStyle name="Normal 3 2 2 3 3 3 2 3" xfId="2224" xr:uid="{00000000-0005-0000-0000-000059630000}"/>
    <cellStyle name="Normal 3 2 2 3 3 3 3" xfId="28776" xr:uid="{00000000-0005-0000-0000-00005A630000}"/>
    <cellStyle name="Normal 3 2 2 3 3 3 3 2" xfId="758" xr:uid="{00000000-0005-0000-0000-00005B630000}"/>
    <cellStyle name="Normal 3 2 2 3 3 3 4" xfId="21710" xr:uid="{00000000-0005-0000-0000-00005C630000}"/>
    <cellStyle name="Normal 3 2 2 3 3 4" xfId="32810" xr:uid="{00000000-0005-0000-0000-00005D630000}"/>
    <cellStyle name="Normal 3 2 2 3 3 4 2" xfId="23177" xr:uid="{00000000-0005-0000-0000-00005E630000}"/>
    <cellStyle name="Normal 3 2 2 3 3 4 2 2" xfId="505" xr:uid="{00000000-0005-0000-0000-00005F630000}"/>
    <cellStyle name="Normal 3 2 2 3 3 4 3" xfId="21717" xr:uid="{00000000-0005-0000-0000-000060630000}"/>
    <cellStyle name="Normal 3 2 2 3 3 5" xfId="32763" xr:uid="{00000000-0005-0000-0000-000061630000}"/>
    <cellStyle name="Normal 3 2 2 3 3 5 2" xfId="24901" xr:uid="{00000000-0005-0000-0000-000062630000}"/>
    <cellStyle name="Normal 3 2 2 3 3 6" xfId="25170" xr:uid="{00000000-0005-0000-0000-000063630000}"/>
    <cellStyle name="Normal 3 2 2 3 4" xfId="18878" xr:uid="{00000000-0005-0000-0000-000064630000}"/>
    <cellStyle name="Normal 3 2 2 3 4 2" xfId="29369" xr:uid="{00000000-0005-0000-0000-000065630000}"/>
    <cellStyle name="Normal 3 2 2 3 4 2 2" xfId="23187" xr:uid="{00000000-0005-0000-0000-000066630000}"/>
    <cellStyle name="Normal 3 2 2 3 4 2 2 2" xfId="23196" xr:uid="{00000000-0005-0000-0000-000067630000}"/>
    <cellStyle name="Normal 3 2 2 3 4 2 2 2 2" xfId="28664" xr:uid="{00000000-0005-0000-0000-000068630000}"/>
    <cellStyle name="Normal 3 2 2 3 4 2 2 3" xfId="27702" xr:uid="{00000000-0005-0000-0000-000069630000}"/>
    <cellStyle name="Normal 3 2 2 3 4 2 3" xfId="5345" xr:uid="{00000000-0005-0000-0000-00006A630000}"/>
    <cellStyle name="Normal 3 2 2 3 4 2 3 2" xfId="21737" xr:uid="{00000000-0005-0000-0000-00006B630000}"/>
    <cellStyle name="Normal 3 2 2 3 4 2 4" xfId="21743" xr:uid="{00000000-0005-0000-0000-00006C630000}"/>
    <cellStyle name="Normal 3 2 2 3 4 3" xfId="23317" xr:uid="{00000000-0005-0000-0000-00006D630000}"/>
    <cellStyle name="Normal 3 2 2 3 4 3 2" xfId="28490" xr:uid="{00000000-0005-0000-0000-00006E630000}"/>
    <cellStyle name="Normal 3 2 2 3 4 3 2 2" xfId="2540" xr:uid="{00000000-0005-0000-0000-00006F630000}"/>
    <cellStyle name="Normal 3 2 2 3 4 3 3" xfId="17817" xr:uid="{00000000-0005-0000-0000-000070630000}"/>
    <cellStyle name="Normal 3 2 2 3 4 4" xfId="29973" xr:uid="{00000000-0005-0000-0000-000071630000}"/>
    <cellStyle name="Normal 3 2 2 3 4 4 2" xfId="25686" xr:uid="{00000000-0005-0000-0000-000072630000}"/>
    <cellStyle name="Normal 3 2 2 3 4 5" xfId="15345" xr:uid="{00000000-0005-0000-0000-000073630000}"/>
    <cellStyle name="Normal 3 2 2 3 5" xfId="11386" xr:uid="{00000000-0005-0000-0000-000074630000}"/>
    <cellStyle name="Normal 3 2 2 3 5 2" xfId="27511" xr:uid="{00000000-0005-0000-0000-000075630000}"/>
    <cellStyle name="Normal 3 2 2 3 5 2 2" xfId="23205" xr:uid="{00000000-0005-0000-0000-000076630000}"/>
    <cellStyle name="Normal 3 2 2 3 5 2 2 2" xfId="16869" xr:uid="{00000000-0005-0000-0000-000077630000}"/>
    <cellStyle name="Normal 3 2 2 3 5 2 3" xfId="26776" xr:uid="{00000000-0005-0000-0000-000078630000}"/>
    <cellStyle name="Normal 3 2 2 3 5 3" xfId="14567" xr:uid="{00000000-0005-0000-0000-000079630000}"/>
    <cellStyle name="Normal 3 2 2 3 5 3 2" xfId="25731" xr:uid="{00000000-0005-0000-0000-00007A630000}"/>
    <cellStyle name="Normal 3 2 2 3 5 4" xfId="27678" xr:uid="{00000000-0005-0000-0000-00007B630000}"/>
    <cellStyle name="Normal 3 2 2 3 6" xfId="23213" xr:uid="{00000000-0005-0000-0000-00007C630000}"/>
    <cellStyle name="Normal 3 2 2 3 6 2" xfId="14583" xr:uid="{00000000-0005-0000-0000-00007D630000}"/>
    <cellStyle name="Normal 3 2 2 3 6 2 2" xfId="25752" xr:uid="{00000000-0005-0000-0000-00007E630000}"/>
    <cellStyle name="Normal 3 2 2 3 6 3" xfId="27685" xr:uid="{00000000-0005-0000-0000-00007F630000}"/>
    <cellStyle name="Normal 3 2 2 3 7" xfId="23221" xr:uid="{00000000-0005-0000-0000-000080630000}"/>
    <cellStyle name="Normal 3 2 2 3 7 2" xfId="27699" xr:uid="{00000000-0005-0000-0000-000081630000}"/>
    <cellStyle name="Normal 3 2 2 3 8" xfId="27366" xr:uid="{00000000-0005-0000-0000-000082630000}"/>
    <cellStyle name="Normal 3 2 2 4" xfId="1229" xr:uid="{00000000-0005-0000-0000-000083630000}"/>
    <cellStyle name="Normal 3 2 2 4 2" xfId="23233" xr:uid="{00000000-0005-0000-0000-000084630000}"/>
    <cellStyle name="Normal 3 2 2 4 2 2" xfId="23238" xr:uid="{00000000-0005-0000-0000-000085630000}"/>
    <cellStyle name="Normal 3 2 2 4 2 2 2" xfId="14640" xr:uid="{00000000-0005-0000-0000-000086630000}"/>
    <cellStyle name="Normal 3 2 2 4 2 2 2 2" xfId="6342" xr:uid="{00000000-0005-0000-0000-000087630000}"/>
    <cellStyle name="Normal 3 2 2 4 2 2 2 2 2" xfId="1356" xr:uid="{00000000-0005-0000-0000-000088630000}"/>
    <cellStyle name="Normal 3 2 2 4 2 2 2 2 2 2" xfId="27703" xr:uid="{00000000-0005-0000-0000-000089630000}"/>
    <cellStyle name="Normal 3 2 2 4 2 2 2 2 3" xfId="8855" xr:uid="{00000000-0005-0000-0000-00008A630000}"/>
    <cellStyle name="Normal 3 2 2 4 2 2 2 3" xfId="12594" xr:uid="{00000000-0005-0000-0000-00008B630000}"/>
    <cellStyle name="Normal 3 2 2 4 2 2 2 3 2" xfId="4611" xr:uid="{00000000-0005-0000-0000-00008C630000}"/>
    <cellStyle name="Normal 3 2 2 4 2 2 2 4" xfId="12602" xr:uid="{00000000-0005-0000-0000-00008D630000}"/>
    <cellStyle name="Normal 3 2 2 4 2 2 3" xfId="20344" xr:uid="{00000000-0005-0000-0000-00008E630000}"/>
    <cellStyle name="Normal 3 2 2 4 2 2 3 2" xfId="2572" xr:uid="{00000000-0005-0000-0000-00008F630000}"/>
    <cellStyle name="Normal 3 2 2 4 2 2 3 2 2" xfId="2575" xr:uid="{00000000-0005-0000-0000-000090630000}"/>
    <cellStyle name="Normal 3 2 2 4 2 2 3 3" xfId="6315" xr:uid="{00000000-0005-0000-0000-000091630000}"/>
    <cellStyle name="Normal 3 2 2 4 2 2 4" xfId="21773" xr:uid="{00000000-0005-0000-0000-000092630000}"/>
    <cellStyle name="Normal 3 2 2 4 2 2 4 2" xfId="989" xr:uid="{00000000-0005-0000-0000-000093630000}"/>
    <cellStyle name="Normal 3 2 2 4 2 2 5" xfId="21775" xr:uid="{00000000-0005-0000-0000-000094630000}"/>
    <cellStyle name="Normal 3 2 2 4 2 3" xfId="8736" xr:uid="{00000000-0005-0000-0000-000095630000}"/>
    <cellStyle name="Normal 3 2 2 4 2 3 2" xfId="19283" xr:uid="{00000000-0005-0000-0000-000096630000}"/>
    <cellStyle name="Normal 3 2 2 4 2 3 2 2" xfId="115" xr:uid="{00000000-0005-0000-0000-000097630000}"/>
    <cellStyle name="Normal 3 2 2 4 2 3 2 2 2" xfId="23253" xr:uid="{00000000-0005-0000-0000-000098630000}"/>
    <cellStyle name="Normal 3 2 2 4 2 3 2 3" xfId="8389" xr:uid="{00000000-0005-0000-0000-000099630000}"/>
    <cellStyle name="Normal 3 2 2 4 2 3 3" xfId="21782" xr:uid="{00000000-0005-0000-0000-00009A630000}"/>
    <cellStyle name="Normal 3 2 2 4 2 3 3 2" xfId="1032" xr:uid="{00000000-0005-0000-0000-00009B630000}"/>
    <cellStyle name="Normal 3 2 2 4 2 3 4" xfId="21786" xr:uid="{00000000-0005-0000-0000-00009C630000}"/>
    <cellStyle name="Normal 3 2 2 4 2 4" xfId="8742" xr:uid="{00000000-0005-0000-0000-00009D630000}"/>
    <cellStyle name="Normal 3 2 2 4 2 4 2" xfId="23240" xr:uid="{00000000-0005-0000-0000-00009E630000}"/>
    <cellStyle name="Normal 3 2 2 4 2 4 2 2" xfId="232" xr:uid="{00000000-0005-0000-0000-00009F630000}"/>
    <cellStyle name="Normal 3 2 2 4 2 4 3" xfId="21788" xr:uid="{00000000-0005-0000-0000-0000A0630000}"/>
    <cellStyle name="Normal 3 2 2 4 2 5" xfId="18562" xr:uid="{00000000-0005-0000-0000-0000A1630000}"/>
    <cellStyle name="Normal 3 2 2 4 2 5 2" xfId="22249" xr:uid="{00000000-0005-0000-0000-0000A2630000}"/>
    <cellStyle name="Normal 3 2 2 4 2 6" xfId="14062" xr:uid="{00000000-0005-0000-0000-0000A3630000}"/>
    <cellStyle name="Normal 3 2 2 4 3" xfId="3798" xr:uid="{00000000-0005-0000-0000-0000A4630000}"/>
    <cellStyle name="Normal 3 2 2 4 3 2" xfId="23248" xr:uid="{00000000-0005-0000-0000-0000A5630000}"/>
    <cellStyle name="Normal 3 2 2 4 3 2 2" xfId="32060" xr:uid="{00000000-0005-0000-0000-0000A6630000}"/>
    <cellStyle name="Normal 3 2 2 4 3 2 2 2" xfId="10069" xr:uid="{00000000-0005-0000-0000-0000A7630000}"/>
    <cellStyle name="Normal 3 2 2 4 3 2 2 2 2" xfId="10074" xr:uid="{00000000-0005-0000-0000-0000A8630000}"/>
    <cellStyle name="Normal 3 2 2 4 3 2 2 3" xfId="12641" xr:uid="{00000000-0005-0000-0000-0000A9630000}"/>
    <cellStyle name="Normal 3 2 2 4 3 2 3" xfId="20005" xr:uid="{00000000-0005-0000-0000-0000AA630000}"/>
    <cellStyle name="Normal 3 2 2 4 3 2 3 2" xfId="16585" xr:uid="{00000000-0005-0000-0000-0000AB630000}"/>
    <cellStyle name="Normal 3 2 2 4 3 2 4" xfId="23999" xr:uid="{00000000-0005-0000-0000-0000AC630000}"/>
    <cellStyle name="Normal 3 2 2 4 3 3" xfId="8746" xr:uid="{00000000-0005-0000-0000-0000AD630000}"/>
    <cellStyle name="Normal 3 2 2 4 3 3 2" xfId="23249" xr:uid="{00000000-0005-0000-0000-0000AE630000}"/>
    <cellStyle name="Normal 3 2 2 4 3 3 2 2" xfId="10444" xr:uid="{00000000-0005-0000-0000-0000AF630000}"/>
    <cellStyle name="Normal 3 2 2 4 3 3 3" xfId="21802" xr:uid="{00000000-0005-0000-0000-0000B0630000}"/>
    <cellStyle name="Normal 3 2 2 4 3 4" xfId="29235" xr:uid="{00000000-0005-0000-0000-0000B1630000}"/>
    <cellStyle name="Normal 3 2 2 4 3 4 2" xfId="27704" xr:uid="{00000000-0005-0000-0000-0000B2630000}"/>
    <cellStyle name="Normal 3 2 2 4 3 5" xfId="27705" xr:uid="{00000000-0005-0000-0000-0000B3630000}"/>
    <cellStyle name="Normal 3 2 2 4 4" xfId="11391" xr:uid="{00000000-0005-0000-0000-0000B4630000}"/>
    <cellStyle name="Normal 3 2 2 4 4 2" xfId="23260" xr:uid="{00000000-0005-0000-0000-0000B5630000}"/>
    <cellStyle name="Normal 3 2 2 4 4 2 2" xfId="23263" xr:uid="{00000000-0005-0000-0000-0000B6630000}"/>
    <cellStyle name="Normal 3 2 2 4 4 2 2 2" xfId="11926" xr:uid="{00000000-0005-0000-0000-0000B7630000}"/>
    <cellStyle name="Normal 3 2 2 4 4 2 3" xfId="21818" xr:uid="{00000000-0005-0000-0000-0000B8630000}"/>
    <cellStyle name="Normal 3 2 2 4 4 3" xfId="3285" xr:uid="{00000000-0005-0000-0000-0000B9630000}"/>
    <cellStyle name="Normal 3 2 2 4 4 3 2" xfId="1917" xr:uid="{00000000-0005-0000-0000-0000BA630000}"/>
    <cellStyle name="Normal 3 2 2 4 4 4" xfId="27709" xr:uid="{00000000-0005-0000-0000-0000BB630000}"/>
    <cellStyle name="Normal 3 2 2 4 5" xfId="23272" xr:uid="{00000000-0005-0000-0000-0000BC630000}"/>
    <cellStyle name="Normal 3 2 2 4 5 2" xfId="23845" xr:uid="{00000000-0005-0000-0000-0000BD630000}"/>
    <cellStyle name="Normal 3 2 2 4 5 2 2" xfId="26785" xr:uid="{00000000-0005-0000-0000-0000BE630000}"/>
    <cellStyle name="Normal 3 2 2 4 5 3" xfId="27473" xr:uid="{00000000-0005-0000-0000-0000BF630000}"/>
    <cellStyle name="Normal 3 2 2 4 6" xfId="23283" xr:uid="{00000000-0005-0000-0000-0000C0630000}"/>
    <cellStyle name="Normal 3 2 2 4 6 2" xfId="27717" xr:uid="{00000000-0005-0000-0000-0000C1630000}"/>
    <cellStyle name="Normal 3 2 2 4 7" xfId="22218" xr:uid="{00000000-0005-0000-0000-0000C2630000}"/>
    <cellStyle name="Normal 3 2 2 5" xfId="19151" xr:uid="{00000000-0005-0000-0000-0000C3630000}"/>
    <cellStyle name="Normal 3 2 2 5 2" xfId="23287" xr:uid="{00000000-0005-0000-0000-0000C4630000}"/>
    <cellStyle name="Normal 3 2 2 5 2 2" xfId="22766" xr:uid="{00000000-0005-0000-0000-0000C5630000}"/>
    <cellStyle name="Normal 3 2 2 5 2 2 2" xfId="17359" xr:uid="{00000000-0005-0000-0000-0000C6630000}"/>
    <cellStyle name="Normal 3 2 2 5 2 2 2 2" xfId="23290" xr:uid="{00000000-0005-0000-0000-0000C7630000}"/>
    <cellStyle name="Normal 3 2 2 5 2 2 2 2 2" xfId="33601" xr:uid="{00000000-0005-0000-0000-0000C8630000}"/>
    <cellStyle name="Normal 3 2 2 5 2 2 2 3" xfId="27720" xr:uid="{00000000-0005-0000-0000-0000C9630000}"/>
    <cellStyle name="Normal 3 2 2 5 2 2 3" xfId="21834" xr:uid="{00000000-0005-0000-0000-0000CA630000}"/>
    <cellStyle name="Normal 3 2 2 5 2 2 3 2" xfId="21837" xr:uid="{00000000-0005-0000-0000-0000CB630000}"/>
    <cellStyle name="Normal 3 2 2 5 2 2 4" xfId="21841" xr:uid="{00000000-0005-0000-0000-0000CC630000}"/>
    <cellStyle name="Normal 3 2 2 5 2 3" xfId="8695" xr:uid="{00000000-0005-0000-0000-0000CD630000}"/>
    <cellStyle name="Normal 3 2 2 5 2 3 2" xfId="28572" xr:uid="{00000000-0005-0000-0000-0000CE630000}"/>
    <cellStyle name="Normal 3 2 2 5 2 3 2 2" xfId="27732" xr:uid="{00000000-0005-0000-0000-0000CF630000}"/>
    <cellStyle name="Normal 3 2 2 5 2 3 3" xfId="21849" xr:uid="{00000000-0005-0000-0000-0000D0630000}"/>
    <cellStyle name="Normal 3 2 2 5 2 4" xfId="28575" xr:uid="{00000000-0005-0000-0000-0000D1630000}"/>
    <cellStyle name="Normal 3 2 2 5 2 4 2" xfId="33402" xr:uid="{00000000-0005-0000-0000-0000D2630000}"/>
    <cellStyle name="Normal 3 2 2 5 2 5" xfId="27734" xr:uid="{00000000-0005-0000-0000-0000D3630000}"/>
    <cellStyle name="Normal 3 2 2 5 3" xfId="19189" xr:uid="{00000000-0005-0000-0000-0000D4630000}"/>
    <cellStyle name="Normal 3 2 2 5 3 2" xfId="23291" xr:uid="{00000000-0005-0000-0000-0000D5630000}"/>
    <cellStyle name="Normal 3 2 2 5 3 2 2" xfId="27163" xr:uid="{00000000-0005-0000-0000-0000D6630000}"/>
    <cellStyle name="Normal 3 2 2 5 3 2 2 2" xfId="14033" xr:uid="{00000000-0005-0000-0000-0000D7630000}"/>
    <cellStyle name="Normal 3 2 2 5 3 2 3" xfId="22176" xr:uid="{00000000-0005-0000-0000-0000D8630000}"/>
    <cellStyle name="Normal 3 2 2 5 3 3" xfId="19689" xr:uid="{00000000-0005-0000-0000-0000D9630000}"/>
    <cellStyle name="Normal 3 2 2 5 3 3 2" xfId="33193" xr:uid="{00000000-0005-0000-0000-0000DA630000}"/>
    <cellStyle name="Normal 3 2 2 5 3 4" xfId="28972" xr:uid="{00000000-0005-0000-0000-0000DB630000}"/>
    <cellStyle name="Normal 3 2 2 5 4" xfId="19207" xr:uid="{00000000-0005-0000-0000-0000DC630000}"/>
    <cellStyle name="Normal 3 2 2 5 4 2" xfId="23292" xr:uid="{00000000-0005-0000-0000-0000DD630000}"/>
    <cellStyle name="Normal 3 2 2 5 4 2 2" xfId="25856" xr:uid="{00000000-0005-0000-0000-0000DE630000}"/>
    <cellStyle name="Normal 3 2 2 5 4 3" xfId="27736" xr:uid="{00000000-0005-0000-0000-0000DF630000}"/>
    <cellStyle name="Normal 3 2 2 5 5" xfId="14633" xr:uid="{00000000-0005-0000-0000-0000E0630000}"/>
    <cellStyle name="Normal 3 2 2 5 5 2" xfId="25130" xr:uid="{00000000-0005-0000-0000-0000E1630000}"/>
    <cellStyle name="Normal 3 2 2 5 6" xfId="14638" xr:uid="{00000000-0005-0000-0000-0000E2630000}"/>
    <cellStyle name="Normal 3 2 2 6" xfId="23294" xr:uid="{00000000-0005-0000-0000-0000E3630000}"/>
    <cellStyle name="Normal 3 2 2 6 2" xfId="32698" xr:uid="{00000000-0005-0000-0000-0000E4630000}"/>
    <cellStyle name="Normal 3 2 2 6 2 2" xfId="31606" xr:uid="{00000000-0005-0000-0000-0000E5630000}"/>
    <cellStyle name="Normal 3 2 2 6 2 2 2" xfId="7006" xr:uid="{00000000-0005-0000-0000-0000E6630000}"/>
    <cellStyle name="Normal 3 2 2 6 2 2 2 2" xfId="5792" xr:uid="{00000000-0005-0000-0000-0000E7630000}"/>
    <cellStyle name="Normal 3 2 2 6 2 2 3" xfId="7753" xr:uid="{00000000-0005-0000-0000-0000E8630000}"/>
    <cellStyle name="Normal 3 2 2 6 2 3" xfId="17850" xr:uid="{00000000-0005-0000-0000-0000E9630000}"/>
    <cellStyle name="Normal 3 2 2 6 2 3 2" xfId="33364" xr:uid="{00000000-0005-0000-0000-0000EA630000}"/>
    <cellStyle name="Normal 3 2 2 6 2 4" xfId="28985" xr:uid="{00000000-0005-0000-0000-0000EB630000}"/>
    <cellStyle name="Normal 3 2 2 6 3" xfId="31564" xr:uid="{00000000-0005-0000-0000-0000EC630000}"/>
    <cellStyle name="Normal 3 2 2 6 3 2" xfId="22117" xr:uid="{00000000-0005-0000-0000-0000ED630000}"/>
    <cellStyle name="Normal 3 2 2 6 3 2 2" xfId="15091" xr:uid="{00000000-0005-0000-0000-0000EE630000}"/>
    <cellStyle name="Normal 3 2 2 6 3 3" xfId="30576" xr:uid="{00000000-0005-0000-0000-0000EF630000}"/>
    <cellStyle name="Normal 3 2 2 6 4" xfId="3225" xr:uid="{00000000-0005-0000-0000-0000F0630000}"/>
    <cellStyle name="Normal 3 2 2 6 4 2" xfId="27263" xr:uid="{00000000-0005-0000-0000-0000F1630000}"/>
    <cellStyle name="Normal 3 2 2 6 5" xfId="11368" xr:uid="{00000000-0005-0000-0000-0000F2630000}"/>
    <cellStyle name="Normal 3 2 2 7" xfId="17915" xr:uid="{00000000-0005-0000-0000-0000F3630000}"/>
    <cellStyle name="Normal 3 2 2 7 2" xfId="27746" xr:uid="{00000000-0005-0000-0000-0000F4630000}"/>
    <cellStyle name="Normal 3 2 2 7 2 2" xfId="27754" xr:uid="{00000000-0005-0000-0000-0000F5630000}"/>
    <cellStyle name="Normal 3 2 2 7 2 2 2" xfId="33249" xr:uid="{00000000-0005-0000-0000-0000F6630000}"/>
    <cellStyle name="Normal 3 2 2 7 2 3" xfId="15342" xr:uid="{00000000-0005-0000-0000-0000F7630000}"/>
    <cellStyle name="Normal 3 2 2 7 3" xfId="24359" xr:uid="{00000000-0005-0000-0000-0000F8630000}"/>
    <cellStyle name="Normal 3 2 2 7 3 2" xfId="27764" xr:uid="{00000000-0005-0000-0000-0000F9630000}"/>
    <cellStyle name="Normal 3 2 2 7 4" xfId="3236" xr:uid="{00000000-0005-0000-0000-0000FA630000}"/>
    <cellStyle name="Normal 3 2 2 8" xfId="17919" xr:uid="{00000000-0005-0000-0000-0000FB630000}"/>
    <cellStyle name="Normal 3 2 2 8 2" xfId="22560" xr:uid="{00000000-0005-0000-0000-0000FC630000}"/>
    <cellStyle name="Normal 3 2 2 8 2 2" xfId="5211" xr:uid="{00000000-0005-0000-0000-0000FD630000}"/>
    <cellStyle name="Normal 3 2 2 8 3" xfId="22567" xr:uid="{00000000-0005-0000-0000-0000FE630000}"/>
    <cellStyle name="Normal 3 2 2 9" xfId="22568" xr:uid="{00000000-0005-0000-0000-0000FF630000}"/>
    <cellStyle name="Normal 3 2 2 9 2" xfId="22580" xr:uid="{00000000-0005-0000-0000-000000640000}"/>
    <cellStyle name="Normal 3 2 3" xfId="1205" xr:uid="{00000000-0005-0000-0000-000001640000}"/>
    <cellStyle name="Normal 3 2 3 2" xfId="16978" xr:uid="{00000000-0005-0000-0000-000002640000}"/>
    <cellStyle name="Normal 3 2 3 2 2" xfId="25251" xr:uid="{00000000-0005-0000-0000-000003640000}"/>
    <cellStyle name="Normal 3 2 3 2 2 2" xfId="25254" xr:uid="{00000000-0005-0000-0000-000004640000}"/>
    <cellStyle name="Normal 3 2 3 2 2 2 2" xfId="6009" xr:uid="{00000000-0005-0000-0000-000005640000}"/>
    <cellStyle name="Normal 3 2 3 2 2 2 2 2" xfId="15501" xr:uid="{00000000-0005-0000-0000-000006640000}"/>
    <cellStyle name="Normal 3 2 3 2 2 2 2 2 2" xfId="25255" xr:uid="{00000000-0005-0000-0000-000007640000}"/>
    <cellStyle name="Normal 3 2 3 2 2 2 2 2 2 2" xfId="27767" xr:uid="{00000000-0005-0000-0000-000008640000}"/>
    <cellStyle name="Normal 3 2 3 2 2 2 2 2 2 2 2" xfId="27768" xr:uid="{00000000-0005-0000-0000-000009640000}"/>
    <cellStyle name="Normal 3 2 3 2 2 2 2 2 2 3" xfId="10520" xr:uid="{00000000-0005-0000-0000-00000A640000}"/>
    <cellStyle name="Normal 3 2 3 2 2 2 2 2 3" xfId="25258" xr:uid="{00000000-0005-0000-0000-00000B640000}"/>
    <cellStyle name="Normal 3 2 3 2 2 2 2 2 3 2" xfId="27771" xr:uid="{00000000-0005-0000-0000-00000C640000}"/>
    <cellStyle name="Normal 3 2 3 2 2 2 2 2 4" xfId="25259" xr:uid="{00000000-0005-0000-0000-00000D640000}"/>
    <cellStyle name="Normal 3 2 3 2 2 2 2 3" xfId="25266" xr:uid="{00000000-0005-0000-0000-00000E640000}"/>
    <cellStyle name="Normal 3 2 3 2 2 2 2 3 2" xfId="25272" xr:uid="{00000000-0005-0000-0000-00000F640000}"/>
    <cellStyle name="Normal 3 2 3 2 2 2 2 3 2 2" xfId="29464" xr:uid="{00000000-0005-0000-0000-000010640000}"/>
    <cellStyle name="Normal 3 2 3 2 2 2 2 3 3" xfId="25276" xr:uid="{00000000-0005-0000-0000-000011640000}"/>
    <cellStyle name="Normal 3 2 3 2 2 2 2 4" xfId="26542" xr:uid="{00000000-0005-0000-0000-000012640000}"/>
    <cellStyle name="Normal 3 2 3 2 2 2 2 4 2" xfId="25281" xr:uid="{00000000-0005-0000-0000-000013640000}"/>
    <cellStyle name="Normal 3 2 3 2 2 2 2 5" xfId="455" xr:uid="{00000000-0005-0000-0000-000014640000}"/>
    <cellStyle name="Normal 3 2 3 2 2 2 3" xfId="1019" xr:uid="{00000000-0005-0000-0000-000015640000}"/>
    <cellStyle name="Normal 3 2 3 2 2 2 3 2" xfId="22271" xr:uid="{00000000-0005-0000-0000-000016640000}"/>
    <cellStyle name="Normal 3 2 3 2 2 2 3 2 2" xfId="25282" xr:uid="{00000000-0005-0000-0000-000017640000}"/>
    <cellStyle name="Normal 3 2 3 2 2 2 3 2 2 2" xfId="28625" xr:uid="{00000000-0005-0000-0000-000018640000}"/>
    <cellStyle name="Normal 3 2 3 2 2 2 3 2 3" xfId="4539" xr:uid="{00000000-0005-0000-0000-000019640000}"/>
    <cellStyle name="Normal 3 2 3 2 2 2 3 3" xfId="22291" xr:uid="{00000000-0005-0000-0000-00001A640000}"/>
    <cellStyle name="Normal 3 2 3 2 2 2 3 3 2" xfId="25290" xr:uid="{00000000-0005-0000-0000-00001B640000}"/>
    <cellStyle name="Normal 3 2 3 2 2 2 3 4" xfId="3003" xr:uid="{00000000-0005-0000-0000-00001C640000}"/>
    <cellStyle name="Normal 3 2 3 2 2 2 4" xfId="22298" xr:uid="{00000000-0005-0000-0000-00001D640000}"/>
    <cellStyle name="Normal 3 2 3 2 2 2 4 2" xfId="22311" xr:uid="{00000000-0005-0000-0000-00001E640000}"/>
    <cellStyle name="Normal 3 2 3 2 2 2 4 2 2" xfId="4030" xr:uid="{00000000-0005-0000-0000-00001F640000}"/>
    <cellStyle name="Normal 3 2 3 2 2 2 4 3" xfId="22323" xr:uid="{00000000-0005-0000-0000-000020640000}"/>
    <cellStyle name="Normal 3 2 3 2 2 2 5" xfId="23610" xr:uid="{00000000-0005-0000-0000-000021640000}"/>
    <cellStyle name="Normal 3 2 3 2 2 2 5 2" xfId="10339" xr:uid="{00000000-0005-0000-0000-000022640000}"/>
    <cellStyle name="Normal 3 2 3 2 2 2 6" xfId="22327" xr:uid="{00000000-0005-0000-0000-000023640000}"/>
    <cellStyle name="Normal 3 2 3 2 2 3" xfId="2822" xr:uid="{00000000-0005-0000-0000-000024640000}"/>
    <cellStyle name="Normal 3 2 3 2 2 3 2" xfId="11410" xr:uid="{00000000-0005-0000-0000-000025640000}"/>
    <cellStyle name="Normal 3 2 3 2 2 3 2 2" xfId="25293" xr:uid="{00000000-0005-0000-0000-000026640000}"/>
    <cellStyle name="Normal 3 2 3 2 2 3 2 2 2" xfId="25298" xr:uid="{00000000-0005-0000-0000-000027640000}"/>
    <cellStyle name="Normal 3 2 3 2 2 3 2 2 2 2" xfId="8817" xr:uid="{00000000-0005-0000-0000-000028640000}"/>
    <cellStyle name="Normal 3 2 3 2 2 3 2 2 3" xfId="25301" xr:uid="{00000000-0005-0000-0000-000029640000}"/>
    <cellStyle name="Normal 3 2 3 2 2 3 2 3" xfId="25306" xr:uid="{00000000-0005-0000-0000-00002A640000}"/>
    <cellStyle name="Normal 3 2 3 2 2 3 2 3 2" xfId="9592" xr:uid="{00000000-0005-0000-0000-00002B640000}"/>
    <cellStyle name="Normal 3 2 3 2 2 3 2 4" xfId="26926" xr:uid="{00000000-0005-0000-0000-00002C640000}"/>
    <cellStyle name="Normal 3 2 3 2 2 3 3" xfId="23614" xr:uid="{00000000-0005-0000-0000-00002D640000}"/>
    <cellStyle name="Normal 3 2 3 2 2 3 3 2" xfId="22341" xr:uid="{00000000-0005-0000-0000-00002E640000}"/>
    <cellStyle name="Normal 3 2 3 2 2 3 3 2 2" xfId="31910" xr:uid="{00000000-0005-0000-0000-00002F640000}"/>
    <cellStyle name="Normal 3 2 3 2 2 3 3 3" xfId="26301" xr:uid="{00000000-0005-0000-0000-000030640000}"/>
    <cellStyle name="Normal 3 2 3 2 2 3 4" xfId="22347" xr:uid="{00000000-0005-0000-0000-000031640000}"/>
    <cellStyle name="Normal 3 2 3 2 2 3 4 2" xfId="17590" xr:uid="{00000000-0005-0000-0000-000032640000}"/>
    <cellStyle name="Normal 3 2 3 2 2 3 5" xfId="22350" xr:uid="{00000000-0005-0000-0000-000033640000}"/>
    <cellStyle name="Normal 3 2 3 2 2 4" xfId="3020" xr:uid="{00000000-0005-0000-0000-000034640000}"/>
    <cellStyle name="Normal 3 2 3 2 2 4 2" xfId="25314" xr:uid="{00000000-0005-0000-0000-000035640000}"/>
    <cellStyle name="Normal 3 2 3 2 2 4 2 2" xfId="18771" xr:uid="{00000000-0005-0000-0000-000036640000}"/>
    <cellStyle name="Normal 3 2 3 2 2 4 2 2 2" xfId="25320" xr:uid="{00000000-0005-0000-0000-000037640000}"/>
    <cellStyle name="Normal 3 2 3 2 2 4 2 3" xfId="25325" xr:uid="{00000000-0005-0000-0000-000038640000}"/>
    <cellStyle name="Normal 3 2 3 2 2 4 3" xfId="22360" xr:uid="{00000000-0005-0000-0000-000039640000}"/>
    <cellStyle name="Normal 3 2 3 2 2 4 3 2" xfId="22369" xr:uid="{00000000-0005-0000-0000-00003A640000}"/>
    <cellStyle name="Normal 3 2 3 2 2 4 4" xfId="22377" xr:uid="{00000000-0005-0000-0000-00003B640000}"/>
    <cellStyle name="Normal 3 2 3 2 2 5" xfId="25328" xr:uid="{00000000-0005-0000-0000-00003C640000}"/>
    <cellStyle name="Normal 3 2 3 2 2 5 2" xfId="25791" xr:uid="{00000000-0005-0000-0000-00003D640000}"/>
    <cellStyle name="Normal 3 2 3 2 2 5 2 2" xfId="25342" xr:uid="{00000000-0005-0000-0000-00003E640000}"/>
    <cellStyle name="Normal 3 2 3 2 2 5 3" xfId="25796" xr:uid="{00000000-0005-0000-0000-00003F640000}"/>
    <cellStyle name="Normal 3 2 3 2 2 6" xfId="25343" xr:uid="{00000000-0005-0000-0000-000040640000}"/>
    <cellStyle name="Normal 3 2 3 2 2 6 2" xfId="25346" xr:uid="{00000000-0005-0000-0000-000041640000}"/>
    <cellStyle name="Normal 3 2 3 2 2 7" xfId="20514" xr:uid="{00000000-0005-0000-0000-000042640000}"/>
    <cellStyle name="Normal 3 2 3 2 3" xfId="9951" xr:uid="{00000000-0005-0000-0000-000043640000}"/>
    <cellStyle name="Normal 3 2 3 2 3 2" xfId="25351" xr:uid="{00000000-0005-0000-0000-000044640000}"/>
    <cellStyle name="Normal 3 2 3 2 3 2 2" xfId="11587" xr:uid="{00000000-0005-0000-0000-000045640000}"/>
    <cellStyle name="Normal 3 2 3 2 3 2 2 2" xfId="25360" xr:uid="{00000000-0005-0000-0000-000046640000}"/>
    <cellStyle name="Normal 3 2 3 2 3 2 2 2 2" xfId="8119" xr:uid="{00000000-0005-0000-0000-000047640000}"/>
    <cellStyle name="Normal 3 2 3 2 3 2 2 2 2 2" xfId="27775" xr:uid="{00000000-0005-0000-0000-000048640000}"/>
    <cellStyle name="Normal 3 2 3 2 3 2 2 2 3" xfId="25362" xr:uid="{00000000-0005-0000-0000-000049640000}"/>
    <cellStyle name="Normal 3 2 3 2 3 2 2 3" xfId="25366" xr:uid="{00000000-0005-0000-0000-00004A640000}"/>
    <cellStyle name="Normal 3 2 3 2 3 2 2 3 2" xfId="9396" xr:uid="{00000000-0005-0000-0000-00004B640000}"/>
    <cellStyle name="Normal 3 2 3 2 3 2 2 4" xfId="25347" xr:uid="{00000000-0005-0000-0000-00004C640000}"/>
    <cellStyle name="Normal 3 2 3 2 3 2 3" xfId="22409" xr:uid="{00000000-0005-0000-0000-00004D640000}"/>
    <cellStyle name="Normal 3 2 3 2 3 2 3 2" xfId="22417" xr:uid="{00000000-0005-0000-0000-00004E640000}"/>
    <cellStyle name="Normal 3 2 3 2 3 2 3 2 2" xfId="1598" xr:uid="{00000000-0005-0000-0000-00004F640000}"/>
    <cellStyle name="Normal 3 2 3 2 3 2 3 3" xfId="27782" xr:uid="{00000000-0005-0000-0000-000050640000}"/>
    <cellStyle name="Normal 3 2 3 2 3 2 4" xfId="27813" xr:uid="{00000000-0005-0000-0000-000051640000}"/>
    <cellStyle name="Normal 3 2 3 2 3 2 4 2" xfId="22426" xr:uid="{00000000-0005-0000-0000-000052640000}"/>
    <cellStyle name="Normal 3 2 3 2 3 2 5" xfId="29340" xr:uid="{00000000-0005-0000-0000-000053640000}"/>
    <cellStyle name="Normal 3 2 3 2 3 3" xfId="29088" xr:uid="{00000000-0005-0000-0000-000054640000}"/>
    <cellStyle name="Normal 3 2 3 2 3 3 2" xfId="25036" xr:uid="{00000000-0005-0000-0000-000055640000}"/>
    <cellStyle name="Normal 3 2 3 2 3 3 2 2" xfId="25375" xr:uid="{00000000-0005-0000-0000-000056640000}"/>
    <cellStyle name="Normal 3 2 3 2 3 3 2 2 2" xfId="25382" xr:uid="{00000000-0005-0000-0000-000057640000}"/>
    <cellStyle name="Normal 3 2 3 2 3 3 2 3" xfId="25386" xr:uid="{00000000-0005-0000-0000-000058640000}"/>
    <cellStyle name="Normal 3 2 3 2 3 3 3" xfId="23628" xr:uid="{00000000-0005-0000-0000-000059640000}"/>
    <cellStyle name="Normal 3 2 3 2 3 3 3 2" xfId="22443" xr:uid="{00000000-0005-0000-0000-00005A640000}"/>
    <cellStyle name="Normal 3 2 3 2 3 3 4" xfId="15309" xr:uid="{00000000-0005-0000-0000-00005B640000}"/>
    <cellStyle name="Normal 3 2 3 2 3 4" xfId="25395" xr:uid="{00000000-0005-0000-0000-00005C640000}"/>
    <cellStyle name="Normal 3 2 3 2 3 4 2" xfId="25399" xr:uid="{00000000-0005-0000-0000-00005D640000}"/>
    <cellStyle name="Normal 3 2 3 2 3 4 2 2" xfId="25403" xr:uid="{00000000-0005-0000-0000-00005E640000}"/>
    <cellStyle name="Normal 3 2 3 2 3 4 3" xfId="28547" xr:uid="{00000000-0005-0000-0000-00005F640000}"/>
    <cellStyle name="Normal 3 2 3 2 3 5" xfId="25405" xr:uid="{00000000-0005-0000-0000-000060640000}"/>
    <cellStyle name="Normal 3 2 3 2 3 5 2" xfId="24314" xr:uid="{00000000-0005-0000-0000-000061640000}"/>
    <cellStyle name="Normal 3 2 3 2 3 6" xfId="28674" xr:uid="{00000000-0005-0000-0000-000062640000}"/>
    <cellStyle name="Normal 3 2 3 2 4" xfId="6439" xr:uid="{00000000-0005-0000-0000-000063640000}"/>
    <cellStyle name="Normal 3 2 3 2 4 2" xfId="25410" xr:uid="{00000000-0005-0000-0000-000064640000}"/>
    <cellStyle name="Normal 3 2 3 2 4 2 2" xfId="25412" xr:uid="{00000000-0005-0000-0000-000065640000}"/>
    <cellStyle name="Normal 3 2 3 2 4 2 2 2" xfId="25414" xr:uid="{00000000-0005-0000-0000-000066640000}"/>
    <cellStyle name="Normal 3 2 3 2 4 2 2 2 2" xfId="15792" xr:uid="{00000000-0005-0000-0000-000067640000}"/>
    <cellStyle name="Normal 3 2 3 2 4 2 2 3" xfId="25422" xr:uid="{00000000-0005-0000-0000-000068640000}"/>
    <cellStyle name="Normal 3 2 3 2 4 2 3" xfId="22479" xr:uid="{00000000-0005-0000-0000-000069640000}"/>
    <cellStyle name="Normal 3 2 3 2 4 2 3 2" xfId="22484" xr:uid="{00000000-0005-0000-0000-00006A640000}"/>
    <cellStyle name="Normal 3 2 3 2 4 2 4" xfId="23650" xr:uid="{00000000-0005-0000-0000-00006B640000}"/>
    <cellStyle name="Normal 3 2 3 2 4 3" xfId="29399" xr:uid="{00000000-0005-0000-0000-00006C640000}"/>
    <cellStyle name="Normal 3 2 3 2 4 3 2" xfId="25431" xr:uid="{00000000-0005-0000-0000-00006D640000}"/>
    <cellStyle name="Normal 3 2 3 2 4 3 2 2" xfId="5918" xr:uid="{00000000-0005-0000-0000-00006E640000}"/>
    <cellStyle name="Normal 3 2 3 2 4 3 3" xfId="27850" xr:uid="{00000000-0005-0000-0000-00006F640000}"/>
    <cellStyle name="Normal 3 2 3 2 4 4" xfId="27788" xr:uid="{00000000-0005-0000-0000-000070640000}"/>
    <cellStyle name="Normal 3 2 3 2 4 4 2" xfId="27795" xr:uid="{00000000-0005-0000-0000-000071640000}"/>
    <cellStyle name="Normal 3 2 3 2 4 5" xfId="25437" xr:uid="{00000000-0005-0000-0000-000072640000}"/>
    <cellStyle name="Normal 3 2 3 2 5" xfId="9858" xr:uid="{00000000-0005-0000-0000-000073640000}"/>
    <cellStyle name="Normal 3 2 3 2 5 2" xfId="25446" xr:uid="{00000000-0005-0000-0000-000074640000}"/>
    <cellStyle name="Normal 3 2 3 2 5 2 2" xfId="25089" xr:uid="{00000000-0005-0000-0000-000075640000}"/>
    <cellStyle name="Normal 3 2 3 2 5 2 2 2" xfId="25455" xr:uid="{00000000-0005-0000-0000-000076640000}"/>
    <cellStyle name="Normal 3 2 3 2 5 2 3" xfId="23661" xr:uid="{00000000-0005-0000-0000-000077640000}"/>
    <cellStyle name="Normal 3 2 3 2 5 3" xfId="25617" xr:uid="{00000000-0005-0000-0000-000078640000}"/>
    <cellStyle name="Normal 3 2 3 2 5 3 2" xfId="25464" xr:uid="{00000000-0005-0000-0000-000079640000}"/>
    <cellStyle name="Normal 3 2 3 2 5 4" xfId="10732" xr:uid="{00000000-0005-0000-0000-00007A640000}"/>
    <cellStyle name="Normal 3 2 3 2 6" xfId="24294" xr:uid="{00000000-0005-0000-0000-00007B640000}"/>
    <cellStyle name="Normal 3 2 3 2 6 2" xfId="16223" xr:uid="{00000000-0005-0000-0000-00007C640000}"/>
    <cellStyle name="Normal 3 2 3 2 6 2 2" xfId="16228" xr:uid="{00000000-0005-0000-0000-00007D640000}"/>
    <cellStyle name="Normal 3 2 3 2 6 3" xfId="16230" xr:uid="{00000000-0005-0000-0000-00007E640000}"/>
    <cellStyle name="Normal 3 2 3 2 7" xfId="25475" xr:uid="{00000000-0005-0000-0000-00007F640000}"/>
    <cellStyle name="Normal 3 2 3 2 7 2" xfId="16245" xr:uid="{00000000-0005-0000-0000-000080640000}"/>
    <cellStyle name="Normal 3 2 3 2 8" xfId="23500" xr:uid="{00000000-0005-0000-0000-000081640000}"/>
    <cellStyle name="Normal 3 2 3 3" xfId="19210" xr:uid="{00000000-0005-0000-0000-000082640000}"/>
    <cellStyle name="Normal 3 2 3 3 2" xfId="19324" xr:uid="{00000000-0005-0000-0000-000083640000}"/>
    <cellStyle name="Normal 3 2 3 3 2 2" xfId="22528" xr:uid="{00000000-0005-0000-0000-000084640000}"/>
    <cellStyle name="Normal 3 2 3 3 2 2 2" xfId="11824" xr:uid="{00000000-0005-0000-0000-000085640000}"/>
    <cellStyle name="Normal 3 2 3 3 2 2 2 2" xfId="25478" xr:uid="{00000000-0005-0000-0000-000086640000}"/>
    <cellStyle name="Normal 3 2 3 3 2 2 2 2 2" xfId="24933" xr:uid="{00000000-0005-0000-0000-000087640000}"/>
    <cellStyle name="Normal 3 2 3 3 2 2 2 2 2 2" xfId="27807" xr:uid="{00000000-0005-0000-0000-000088640000}"/>
    <cellStyle name="Normal 3 2 3 3 2 2 2 2 3" xfId="24947" xr:uid="{00000000-0005-0000-0000-000089640000}"/>
    <cellStyle name="Normal 3 2 3 3 2 2 2 3" xfId="25485" xr:uid="{00000000-0005-0000-0000-00008A640000}"/>
    <cellStyle name="Normal 3 2 3 3 2 2 2 3 2" xfId="24965" xr:uid="{00000000-0005-0000-0000-00008B640000}"/>
    <cellStyle name="Normal 3 2 3 3 2 2 2 4" xfId="25486" xr:uid="{00000000-0005-0000-0000-00008C640000}"/>
    <cellStyle name="Normal 3 2 3 3 2 2 3" xfId="22525" xr:uid="{00000000-0005-0000-0000-00008D640000}"/>
    <cellStyle name="Normal 3 2 3 3 2 2 3 2" xfId="27811" xr:uid="{00000000-0005-0000-0000-00008E640000}"/>
    <cellStyle name="Normal 3 2 3 3 2 2 3 2 2" xfId="25197" xr:uid="{00000000-0005-0000-0000-00008F640000}"/>
    <cellStyle name="Normal 3 2 3 3 2 2 3 3" xfId="22538" xr:uid="{00000000-0005-0000-0000-000090640000}"/>
    <cellStyle name="Normal 3 2 3 3 2 2 4" xfId="9584" xr:uid="{00000000-0005-0000-0000-000091640000}"/>
    <cellStyle name="Normal 3 2 3 3 2 2 4 2" xfId="27932" xr:uid="{00000000-0005-0000-0000-000092640000}"/>
    <cellStyle name="Normal 3 2 3 3 2 2 5" xfId="11878" xr:uid="{00000000-0005-0000-0000-000093640000}"/>
    <cellStyle name="Normal 3 2 3 3 2 3" xfId="22400" xr:uid="{00000000-0005-0000-0000-000094640000}"/>
    <cellStyle name="Normal 3 2 3 3 2 3 2" xfId="25491" xr:uid="{00000000-0005-0000-0000-000095640000}"/>
    <cellStyle name="Normal 3 2 3 3 2 3 2 2" xfId="25499" xr:uid="{00000000-0005-0000-0000-000096640000}"/>
    <cellStyle name="Normal 3 2 3 3 2 3 2 2 2" xfId="19339" xr:uid="{00000000-0005-0000-0000-000097640000}"/>
    <cellStyle name="Normal 3 2 3 3 2 3 2 3" xfId="25502" xr:uid="{00000000-0005-0000-0000-000098640000}"/>
    <cellStyle name="Normal 3 2 3 3 2 3 3" xfId="29110" xr:uid="{00000000-0005-0000-0000-000099640000}"/>
    <cellStyle name="Normal 3 2 3 3 2 3 3 2" xfId="22300" xr:uid="{00000000-0005-0000-0000-00009A640000}"/>
    <cellStyle name="Normal 3 2 3 3 2 3 4" xfId="9586" xr:uid="{00000000-0005-0000-0000-00009B640000}"/>
    <cellStyle name="Normal 3 2 3 3 2 4" xfId="27815" xr:uid="{00000000-0005-0000-0000-00009C640000}"/>
    <cellStyle name="Normal 3 2 3 3 2 4 2" xfId="25507" xr:uid="{00000000-0005-0000-0000-00009D640000}"/>
    <cellStyle name="Normal 3 2 3 3 2 4 2 2" xfId="19457" xr:uid="{00000000-0005-0000-0000-00009E640000}"/>
    <cellStyle name="Normal 3 2 3 3 2 4 3" xfId="657" xr:uid="{00000000-0005-0000-0000-00009F640000}"/>
    <cellStyle name="Normal 3 2 3 3 2 5" xfId="27819" xr:uid="{00000000-0005-0000-0000-0000A0640000}"/>
    <cellStyle name="Normal 3 2 3 3 2 5 2" xfId="25941" xr:uid="{00000000-0005-0000-0000-0000A1640000}"/>
    <cellStyle name="Normal 3 2 3 3 2 6" xfId="16220" xr:uid="{00000000-0005-0000-0000-0000A2640000}"/>
    <cellStyle name="Normal 3 2 3 3 3" xfId="19473" xr:uid="{00000000-0005-0000-0000-0000A3640000}"/>
    <cellStyle name="Normal 3 2 3 3 3 2" xfId="25517" xr:uid="{00000000-0005-0000-0000-0000A4640000}"/>
    <cellStyle name="Normal 3 2 3 3 3 2 2" xfId="25523" xr:uid="{00000000-0005-0000-0000-0000A5640000}"/>
    <cellStyle name="Normal 3 2 3 3 3 2 2 2" xfId="25527" xr:uid="{00000000-0005-0000-0000-0000A6640000}"/>
    <cellStyle name="Normal 3 2 3 3 3 2 2 2 2" xfId="27824" xr:uid="{00000000-0005-0000-0000-0000A7640000}"/>
    <cellStyle name="Normal 3 2 3 3 3 2 2 3" xfId="25532" xr:uid="{00000000-0005-0000-0000-0000A8640000}"/>
    <cellStyle name="Normal 3 2 3 3 3 2 3" xfId="22579" xr:uid="{00000000-0005-0000-0000-0000A9640000}"/>
    <cellStyle name="Normal 3 2 3 3 3 2 3 2" xfId="24269" xr:uid="{00000000-0005-0000-0000-0000AA640000}"/>
    <cellStyle name="Normal 3 2 3 3 3 2 4" xfId="9589" xr:uid="{00000000-0005-0000-0000-0000AB640000}"/>
    <cellStyle name="Normal 3 2 3 3 3 3" xfId="29105" xr:uid="{00000000-0005-0000-0000-0000AC640000}"/>
    <cellStyle name="Normal 3 2 3 3 3 3 2" xfId="30569" xr:uid="{00000000-0005-0000-0000-0000AD640000}"/>
    <cellStyle name="Normal 3 2 3 3 3 3 2 2" xfId="20346" xr:uid="{00000000-0005-0000-0000-0000AE640000}"/>
    <cellStyle name="Normal 3 2 3 3 3 3 3" xfId="28270" xr:uid="{00000000-0005-0000-0000-0000AF640000}"/>
    <cellStyle name="Normal 3 2 3 3 3 4" xfId="19296" xr:uid="{00000000-0005-0000-0000-0000B0640000}"/>
    <cellStyle name="Normal 3 2 3 3 3 4 2" xfId="25542" xr:uid="{00000000-0005-0000-0000-0000B1640000}"/>
    <cellStyle name="Normal 3 2 3 3 3 5" xfId="27828" xr:uid="{00000000-0005-0000-0000-0000B2640000}"/>
    <cellStyle name="Normal 3 2 3 3 4" xfId="19542" xr:uid="{00000000-0005-0000-0000-0000B3640000}"/>
    <cellStyle name="Normal 3 2 3 3 4 2" xfId="25557" xr:uid="{00000000-0005-0000-0000-0000B4640000}"/>
    <cellStyle name="Normal 3 2 3 3 4 2 2" xfId="25562" xr:uid="{00000000-0005-0000-0000-0000B5640000}"/>
    <cellStyle name="Normal 3 2 3 3 4 2 2 2" xfId="25566" xr:uid="{00000000-0005-0000-0000-0000B6640000}"/>
    <cellStyle name="Normal 3 2 3 3 4 2 3" xfId="22591" xr:uid="{00000000-0005-0000-0000-0000B7640000}"/>
    <cellStyle name="Normal 3 2 3 3 4 3" xfId="19558" xr:uid="{00000000-0005-0000-0000-0000B8640000}"/>
    <cellStyle name="Normal 3 2 3 3 4 3 2" xfId="25570" xr:uid="{00000000-0005-0000-0000-0000B9640000}"/>
    <cellStyle name="Normal 3 2 3 3 4 4" xfId="23583" xr:uid="{00000000-0005-0000-0000-0000BA640000}"/>
    <cellStyle name="Normal 3 2 3 3 5" xfId="6934" xr:uid="{00000000-0005-0000-0000-0000BB640000}"/>
    <cellStyle name="Normal 3 2 3 3 5 2" xfId="15276" xr:uid="{00000000-0005-0000-0000-0000BC640000}"/>
    <cellStyle name="Normal 3 2 3 3 5 2 2" xfId="24374" xr:uid="{00000000-0005-0000-0000-0000BD640000}"/>
    <cellStyle name="Normal 3 2 3 3 5 3" xfId="14661" xr:uid="{00000000-0005-0000-0000-0000BE640000}"/>
    <cellStyle name="Normal 3 2 3 3 6" xfId="14667" xr:uid="{00000000-0005-0000-0000-0000BF640000}"/>
    <cellStyle name="Normal 3 2 3 3 6 2" xfId="15295" xr:uid="{00000000-0005-0000-0000-0000C0640000}"/>
    <cellStyle name="Normal 3 2 3 3 7" xfId="6733" xr:uid="{00000000-0005-0000-0000-0000C1640000}"/>
    <cellStyle name="Normal 3 2 3 4" xfId="19592" xr:uid="{00000000-0005-0000-0000-0000C2640000}"/>
    <cellStyle name="Normal 3 2 3 4 2" xfId="26141" xr:uid="{00000000-0005-0000-0000-0000C3640000}"/>
    <cellStyle name="Normal 3 2 3 4 2 2" xfId="23700" xr:uid="{00000000-0005-0000-0000-0000C4640000}"/>
    <cellStyle name="Normal 3 2 3 4 2 2 2" xfId="27836" xr:uid="{00000000-0005-0000-0000-0000C5640000}"/>
    <cellStyle name="Normal 3 2 3 4 2 2 2 2" xfId="27838" xr:uid="{00000000-0005-0000-0000-0000C6640000}"/>
    <cellStyle name="Normal 3 2 3 4 2 2 2 2 2" xfId="25590" xr:uid="{00000000-0005-0000-0000-0000C7640000}"/>
    <cellStyle name="Normal 3 2 3 4 2 2 2 3" xfId="12909" xr:uid="{00000000-0005-0000-0000-0000C8640000}"/>
    <cellStyle name="Normal 3 2 3 4 2 2 3" xfId="7871" xr:uid="{00000000-0005-0000-0000-0000C9640000}"/>
    <cellStyle name="Normal 3 2 3 4 2 2 3 2" xfId="22619" xr:uid="{00000000-0005-0000-0000-0000CA640000}"/>
    <cellStyle name="Normal 3 2 3 4 2 2 4" xfId="9599" xr:uid="{00000000-0005-0000-0000-0000CB640000}"/>
    <cellStyle name="Normal 3 2 3 4 2 3" xfId="6713" xr:uid="{00000000-0005-0000-0000-0000CC640000}"/>
    <cellStyle name="Normal 3 2 3 4 2 3 2" xfId="20541" xr:uid="{00000000-0005-0000-0000-0000CD640000}"/>
    <cellStyle name="Normal 3 2 3 4 2 3 2 2" xfId="25594" xr:uid="{00000000-0005-0000-0000-0000CE640000}"/>
    <cellStyle name="Normal 3 2 3 4 2 3 3" xfId="20550" xr:uid="{00000000-0005-0000-0000-0000CF640000}"/>
    <cellStyle name="Normal 3 2 3 4 2 4" xfId="22946" xr:uid="{00000000-0005-0000-0000-0000D0640000}"/>
    <cellStyle name="Normal 3 2 3 4 2 4 2" xfId="20583" xr:uid="{00000000-0005-0000-0000-0000D1640000}"/>
    <cellStyle name="Normal 3 2 3 4 2 5" xfId="28928" xr:uid="{00000000-0005-0000-0000-0000D2640000}"/>
    <cellStyle name="Normal 3 2 3 4 3" xfId="2498" xr:uid="{00000000-0005-0000-0000-0000D3640000}"/>
    <cellStyle name="Normal 3 2 3 4 3 2" xfId="19730" xr:uid="{00000000-0005-0000-0000-0000D4640000}"/>
    <cellStyle name="Normal 3 2 3 4 3 2 2" xfId="25601" xr:uid="{00000000-0005-0000-0000-0000D5640000}"/>
    <cellStyle name="Normal 3 2 3 4 3 2 2 2" xfId="26362" xr:uid="{00000000-0005-0000-0000-0000D6640000}"/>
    <cellStyle name="Normal 3 2 3 4 3 2 3" xfId="23762" xr:uid="{00000000-0005-0000-0000-0000D7640000}"/>
    <cellStyle name="Normal 3 2 3 4 3 3" xfId="27856" xr:uid="{00000000-0005-0000-0000-0000D8640000}"/>
    <cellStyle name="Normal 3 2 3 4 3 3 2" xfId="20616" xr:uid="{00000000-0005-0000-0000-0000D9640000}"/>
    <cellStyle name="Normal 3 2 3 4 3 4" xfId="27862" xr:uid="{00000000-0005-0000-0000-0000DA640000}"/>
    <cellStyle name="Normal 3 2 3 4 4" xfId="27478" xr:uid="{00000000-0005-0000-0000-0000DB640000}"/>
    <cellStyle name="Normal 3 2 3 4 4 2" xfId="19679" xr:uid="{00000000-0005-0000-0000-0000DC640000}"/>
    <cellStyle name="Normal 3 2 3 4 4 2 2" xfId="25610" xr:uid="{00000000-0005-0000-0000-0000DD640000}"/>
    <cellStyle name="Normal 3 2 3 4 4 3" xfId="19683" xr:uid="{00000000-0005-0000-0000-0000DE640000}"/>
    <cellStyle name="Normal 3 2 3 4 5" xfId="15135" xr:uid="{00000000-0005-0000-0000-0000DF640000}"/>
    <cellStyle name="Normal 3 2 3 4 5 2" xfId="14696" xr:uid="{00000000-0005-0000-0000-0000E0640000}"/>
    <cellStyle name="Normal 3 2 3 4 6" xfId="14705" xr:uid="{00000000-0005-0000-0000-0000E1640000}"/>
    <cellStyle name="Normal 3 2 3 5" xfId="26154" xr:uid="{00000000-0005-0000-0000-0000E2640000}"/>
    <cellStyle name="Normal 3 2 3 5 2" xfId="19703" xr:uid="{00000000-0005-0000-0000-0000E3640000}"/>
    <cellStyle name="Normal 3 2 3 5 2 2" xfId="31411" xr:uid="{00000000-0005-0000-0000-0000E4640000}"/>
    <cellStyle name="Normal 3 2 3 5 2 2 2" xfId="25614" xr:uid="{00000000-0005-0000-0000-0000E5640000}"/>
    <cellStyle name="Normal 3 2 3 5 2 2 2 2" xfId="25615" xr:uid="{00000000-0005-0000-0000-0000E6640000}"/>
    <cellStyle name="Normal 3 2 3 5 2 2 3" xfId="22665" xr:uid="{00000000-0005-0000-0000-0000E7640000}"/>
    <cellStyle name="Normal 3 2 3 5 2 3" xfId="28061" xr:uid="{00000000-0005-0000-0000-0000E8640000}"/>
    <cellStyle name="Normal 3 2 3 5 2 3 2" xfId="20765" xr:uid="{00000000-0005-0000-0000-0000E9640000}"/>
    <cellStyle name="Normal 3 2 3 5 2 4" xfId="28594" xr:uid="{00000000-0005-0000-0000-0000EA640000}"/>
    <cellStyle name="Normal 3 2 3 5 3" xfId="19715" xr:uid="{00000000-0005-0000-0000-0000EB640000}"/>
    <cellStyle name="Normal 3 2 3 5 3 2" xfId="27884" xr:uid="{00000000-0005-0000-0000-0000EC640000}"/>
    <cellStyle name="Normal 3 2 3 5 3 2 2" xfId="25619" xr:uid="{00000000-0005-0000-0000-0000ED640000}"/>
    <cellStyle name="Normal 3 2 3 5 3 3" xfId="19301" xr:uid="{00000000-0005-0000-0000-0000EE640000}"/>
    <cellStyle name="Normal 3 2 3 5 4" xfId="19995" xr:uid="{00000000-0005-0000-0000-0000EF640000}"/>
    <cellStyle name="Normal 3 2 3 5 4 2" xfId="27898" xr:uid="{00000000-0005-0000-0000-0000F0640000}"/>
    <cellStyle name="Normal 3 2 3 5 5" xfId="15143" xr:uid="{00000000-0005-0000-0000-0000F1640000}"/>
    <cellStyle name="Normal 3 2 3 6" xfId="26157" xr:uid="{00000000-0005-0000-0000-0000F2640000}"/>
    <cellStyle name="Normal 3 2 3 6 2" xfId="8451" xr:uid="{00000000-0005-0000-0000-0000F3640000}"/>
    <cellStyle name="Normal 3 2 3 6 2 2" xfId="30338" xr:uid="{00000000-0005-0000-0000-0000F4640000}"/>
    <cellStyle name="Normal 3 2 3 6 2 2 2" xfId="25669" xr:uid="{00000000-0005-0000-0000-0000F5640000}"/>
    <cellStyle name="Normal 3 2 3 6 2 3" xfId="24632" xr:uid="{00000000-0005-0000-0000-0000F6640000}"/>
    <cellStyle name="Normal 3 2 3 6 3" xfId="2757" xr:uid="{00000000-0005-0000-0000-0000F7640000}"/>
    <cellStyle name="Normal 3 2 3 6 3 2" xfId="27623" xr:uid="{00000000-0005-0000-0000-0000F8640000}"/>
    <cellStyle name="Normal 3 2 3 6 4" xfId="26774" xr:uid="{00000000-0005-0000-0000-0000F9640000}"/>
    <cellStyle name="Normal 3 2 3 7" xfId="29534" xr:uid="{00000000-0005-0000-0000-0000FA640000}"/>
    <cellStyle name="Normal 3 2 3 7 2" xfId="24383" xr:uid="{00000000-0005-0000-0000-0000FB640000}"/>
    <cellStyle name="Normal 3 2 3 7 2 2" xfId="27910" xr:uid="{00000000-0005-0000-0000-0000FC640000}"/>
    <cellStyle name="Normal 3 2 3 7 3" xfId="27911" xr:uid="{00000000-0005-0000-0000-0000FD640000}"/>
    <cellStyle name="Normal 3 2 3 8" xfId="30347" xr:uid="{00000000-0005-0000-0000-0000FE640000}"/>
    <cellStyle name="Normal 3 2 3 8 2" xfId="28592" xr:uid="{00000000-0005-0000-0000-0000FF640000}"/>
    <cellStyle name="Normal 3 2 3 9" xfId="27912" xr:uid="{00000000-0005-0000-0000-000000650000}"/>
    <cellStyle name="Normal 3 2 4" xfId="1561" xr:uid="{00000000-0005-0000-0000-000001650000}"/>
    <cellStyle name="Normal 3 2 4 2" xfId="1231" xr:uid="{00000000-0005-0000-0000-000002650000}"/>
    <cellStyle name="Normal 3 2 4 2 2" xfId="3987" xr:uid="{00000000-0005-0000-0000-000003650000}"/>
    <cellStyle name="Normal 3 2 4 2 2 2" xfId="4002" xr:uid="{00000000-0005-0000-0000-000004650000}"/>
    <cellStyle name="Normal 3 2 4 2 2 2 2" xfId="27915" xr:uid="{00000000-0005-0000-0000-000005650000}"/>
    <cellStyle name="Normal 3 2 4 2 2 2 2 2" xfId="23693" xr:uid="{00000000-0005-0000-0000-000006650000}"/>
    <cellStyle name="Normal 3 2 4 2 2 2 2 2 2" xfId="26468" xr:uid="{00000000-0005-0000-0000-000007650000}"/>
    <cellStyle name="Normal 3 2 4 2 2 2 2 2 2 2" xfId="5966" xr:uid="{00000000-0005-0000-0000-000008650000}"/>
    <cellStyle name="Normal 3 2 4 2 2 2 2 2 3" xfId="29379" xr:uid="{00000000-0005-0000-0000-000009650000}"/>
    <cellStyle name="Normal 3 2 4 2 2 2 2 3" xfId="18824" xr:uid="{00000000-0005-0000-0000-00000A650000}"/>
    <cellStyle name="Normal 3 2 4 2 2 2 2 3 2" xfId="15370" xr:uid="{00000000-0005-0000-0000-00000B650000}"/>
    <cellStyle name="Normal 3 2 4 2 2 2 2 4" xfId="28341" xr:uid="{00000000-0005-0000-0000-00000C650000}"/>
    <cellStyle name="Normal 3 2 4 2 2 2 3" xfId="33958" xr:uid="{00000000-0005-0000-0000-00000D650000}"/>
    <cellStyle name="Normal 3 2 4 2 2 2 3 2" xfId="27920" xr:uid="{00000000-0005-0000-0000-00000E650000}"/>
    <cellStyle name="Normal 3 2 4 2 2 2 3 2 2" xfId="27922" xr:uid="{00000000-0005-0000-0000-00000F650000}"/>
    <cellStyle name="Normal 3 2 4 2 2 2 3 3" xfId="27926" xr:uid="{00000000-0005-0000-0000-000010650000}"/>
    <cellStyle name="Normal 3 2 4 2 2 2 4" xfId="20757" xr:uid="{00000000-0005-0000-0000-000011650000}"/>
    <cellStyle name="Normal 3 2 4 2 2 2 4 2" xfId="27929" xr:uid="{00000000-0005-0000-0000-000012650000}"/>
    <cellStyle name="Normal 3 2 4 2 2 2 5" xfId="32014" xr:uid="{00000000-0005-0000-0000-000013650000}"/>
    <cellStyle name="Normal 3 2 4 2 2 3" xfId="4021" xr:uid="{00000000-0005-0000-0000-000014650000}"/>
    <cellStyle name="Normal 3 2 4 2 2 3 2" xfId="27904" xr:uid="{00000000-0005-0000-0000-000015650000}"/>
    <cellStyle name="Normal 3 2 4 2 2 3 2 2" xfId="31259" xr:uid="{00000000-0005-0000-0000-000016650000}"/>
    <cellStyle name="Normal 3 2 4 2 2 3 2 2 2" xfId="27931" xr:uid="{00000000-0005-0000-0000-000017650000}"/>
    <cellStyle name="Normal 3 2 4 2 2 3 2 3" xfId="28846" xr:uid="{00000000-0005-0000-0000-000018650000}"/>
    <cellStyle name="Normal 3 2 4 2 2 3 3" xfId="1951" xr:uid="{00000000-0005-0000-0000-000019650000}"/>
    <cellStyle name="Normal 3 2 4 2 2 3 3 2" xfId="30313" xr:uid="{00000000-0005-0000-0000-00001A650000}"/>
    <cellStyle name="Normal 3 2 4 2 2 3 4" xfId="19700" xr:uid="{00000000-0005-0000-0000-00001B650000}"/>
    <cellStyle name="Normal 3 2 4 2 2 4" xfId="4023" xr:uid="{00000000-0005-0000-0000-00001C650000}"/>
    <cellStyle name="Normal 3 2 4 2 2 4 2" xfId="27934" xr:uid="{00000000-0005-0000-0000-00001D650000}"/>
    <cellStyle name="Normal 3 2 4 2 2 4 2 2" xfId="27937" xr:uid="{00000000-0005-0000-0000-00001E650000}"/>
    <cellStyle name="Normal 3 2 4 2 2 4 3" xfId="1705" xr:uid="{00000000-0005-0000-0000-00001F650000}"/>
    <cellStyle name="Normal 3 2 4 2 2 5" xfId="3898" xr:uid="{00000000-0005-0000-0000-000020650000}"/>
    <cellStyle name="Normal 3 2 4 2 2 5 2" xfId="525" xr:uid="{00000000-0005-0000-0000-000021650000}"/>
    <cellStyle name="Normal 3 2 4 2 2 6" xfId="3490" xr:uid="{00000000-0005-0000-0000-000022650000}"/>
    <cellStyle name="Normal 3 2 4 2 3" xfId="4025" xr:uid="{00000000-0005-0000-0000-000023650000}"/>
    <cellStyle name="Normal 3 2 4 2 3 2" xfId="4038" xr:uid="{00000000-0005-0000-0000-000024650000}"/>
    <cellStyle name="Normal 3 2 4 2 3 2 2" xfId="12950" xr:uid="{00000000-0005-0000-0000-000025650000}"/>
    <cellStyle name="Normal 3 2 4 2 3 2 2 2" xfId="29950" xr:uid="{00000000-0005-0000-0000-000026650000}"/>
    <cellStyle name="Normal 3 2 4 2 3 2 2 2 2" xfId="29951" xr:uid="{00000000-0005-0000-0000-000027650000}"/>
    <cellStyle name="Normal 3 2 4 2 3 2 2 3" xfId="27944" xr:uid="{00000000-0005-0000-0000-000028650000}"/>
    <cellStyle name="Normal 3 2 4 2 3 2 3" xfId="20830" xr:uid="{00000000-0005-0000-0000-000029650000}"/>
    <cellStyle name="Normal 3 2 4 2 3 2 3 2" xfId="29959" xr:uid="{00000000-0005-0000-0000-00002A650000}"/>
    <cellStyle name="Normal 3 2 4 2 3 2 4" xfId="23803" xr:uid="{00000000-0005-0000-0000-00002B650000}"/>
    <cellStyle name="Normal 3 2 4 2 3 3" xfId="4066" xr:uid="{00000000-0005-0000-0000-00002C650000}"/>
    <cellStyle name="Normal 3 2 4 2 3 3 2" xfId="26290" xr:uid="{00000000-0005-0000-0000-00002D650000}"/>
    <cellStyle name="Normal 3 2 4 2 3 3 2 2" xfId="28939" xr:uid="{00000000-0005-0000-0000-00002E650000}"/>
    <cellStyle name="Normal 3 2 4 2 3 3 3" xfId="1422" xr:uid="{00000000-0005-0000-0000-00002F650000}"/>
    <cellStyle name="Normal 3 2 4 2 3 4" xfId="4068" xr:uid="{00000000-0005-0000-0000-000030650000}"/>
    <cellStyle name="Normal 3 2 4 2 3 4 2" xfId="26312" xr:uid="{00000000-0005-0000-0000-000031650000}"/>
    <cellStyle name="Normal 3 2 4 2 3 5" xfId="1827" xr:uid="{00000000-0005-0000-0000-000032650000}"/>
    <cellStyle name="Normal 3 2 4 2 4" xfId="3093" xr:uid="{00000000-0005-0000-0000-000033650000}"/>
    <cellStyle name="Normal 3 2 4 2 4 2" xfId="6091" xr:uid="{00000000-0005-0000-0000-000034650000}"/>
    <cellStyle name="Normal 3 2 4 2 4 2 2" xfId="26324" xr:uid="{00000000-0005-0000-0000-000035650000}"/>
    <cellStyle name="Normal 3 2 4 2 4 2 2 2" xfId="29924" xr:uid="{00000000-0005-0000-0000-000036650000}"/>
    <cellStyle name="Normal 3 2 4 2 4 2 3" xfId="20866" xr:uid="{00000000-0005-0000-0000-000037650000}"/>
    <cellStyle name="Normal 3 2 4 2 4 3" xfId="20276" xr:uid="{00000000-0005-0000-0000-000038650000}"/>
    <cellStyle name="Normal 3 2 4 2 4 3 2" xfId="20279" xr:uid="{00000000-0005-0000-0000-000039650000}"/>
    <cellStyle name="Normal 3 2 4 2 4 4" xfId="20286" xr:uid="{00000000-0005-0000-0000-00003A650000}"/>
    <cellStyle name="Normal 3 2 4 2 5" xfId="8956" xr:uid="{00000000-0005-0000-0000-00003B650000}"/>
    <cellStyle name="Normal 3 2 4 2 5 2" xfId="24721" xr:uid="{00000000-0005-0000-0000-00003C650000}"/>
    <cellStyle name="Normal 3 2 4 2 5 2 2" xfId="26822" xr:uid="{00000000-0005-0000-0000-00003D650000}"/>
    <cellStyle name="Normal 3 2 4 2 5 3" xfId="18646" xr:uid="{00000000-0005-0000-0000-00003E650000}"/>
    <cellStyle name="Normal 3 2 4 2 6" xfId="12816" xr:uid="{00000000-0005-0000-0000-00003F650000}"/>
    <cellStyle name="Normal 3 2 4 2 6 2" xfId="16392" xr:uid="{00000000-0005-0000-0000-000040650000}"/>
    <cellStyle name="Normal 3 2 4 2 7" xfId="12824" xr:uid="{00000000-0005-0000-0000-000041650000}"/>
    <cellStyle name="Normal 3 2 4 3" xfId="6941" xr:uid="{00000000-0005-0000-0000-000042650000}"/>
    <cellStyle name="Normal 3 2 4 3 2" xfId="1682" xr:uid="{00000000-0005-0000-0000-000043650000}"/>
    <cellStyle name="Normal 3 2 4 3 2 2" xfId="4819" xr:uid="{00000000-0005-0000-0000-000044650000}"/>
    <cellStyle name="Normal 3 2 4 3 2 2 2" xfId="23940" xr:uid="{00000000-0005-0000-0000-000045650000}"/>
    <cellStyle name="Normal 3 2 4 3 2 2 2 2" xfId="24137" xr:uid="{00000000-0005-0000-0000-000046650000}"/>
    <cellStyle name="Normal 3 2 4 3 2 2 2 2 2" xfId="5265" xr:uid="{00000000-0005-0000-0000-000047650000}"/>
    <cellStyle name="Normal 3 2 4 3 2 2 2 3" xfId="26977" xr:uid="{00000000-0005-0000-0000-000048650000}"/>
    <cellStyle name="Normal 3 2 4 3 2 2 3" xfId="20947" xr:uid="{00000000-0005-0000-0000-000049650000}"/>
    <cellStyle name="Normal 3 2 4 3 2 2 3 2" xfId="22818" xr:uid="{00000000-0005-0000-0000-00004A650000}"/>
    <cellStyle name="Normal 3 2 4 3 2 2 4" xfId="20973" xr:uid="{00000000-0005-0000-0000-00004B650000}"/>
    <cellStyle name="Normal 3 2 4 3 2 3" xfId="5519" xr:uid="{00000000-0005-0000-0000-00004C650000}"/>
    <cellStyle name="Normal 3 2 4 3 2 3 2" xfId="26989" xr:uid="{00000000-0005-0000-0000-00004D650000}"/>
    <cellStyle name="Normal 3 2 4 3 2 3 2 2" xfId="26993" xr:uid="{00000000-0005-0000-0000-00004E650000}"/>
    <cellStyle name="Normal 3 2 4 3 2 3 3" xfId="480" xr:uid="{00000000-0005-0000-0000-00004F650000}"/>
    <cellStyle name="Normal 3 2 4 3 2 4" xfId="5521" xr:uid="{00000000-0005-0000-0000-000050650000}"/>
    <cellStyle name="Normal 3 2 4 3 2 4 2" xfId="26414" xr:uid="{00000000-0005-0000-0000-000051650000}"/>
    <cellStyle name="Normal 3 2 4 3 2 5" xfId="4103" xr:uid="{00000000-0005-0000-0000-000052650000}"/>
    <cellStyle name="Normal 3 2 4 3 3" xfId="35" xr:uid="{00000000-0005-0000-0000-000053650000}"/>
    <cellStyle name="Normal 3 2 4 3 3 2" xfId="2337" xr:uid="{00000000-0005-0000-0000-000054650000}"/>
    <cellStyle name="Normal 3 2 4 3 3 2 2" xfId="19872" xr:uid="{00000000-0005-0000-0000-000055650000}"/>
    <cellStyle name="Normal 3 2 4 3 3 2 2 2" xfId="27032" xr:uid="{00000000-0005-0000-0000-000056650000}"/>
    <cellStyle name="Normal 3 2 4 3 3 2 3" xfId="21005" xr:uid="{00000000-0005-0000-0000-000057650000}"/>
    <cellStyle name="Normal 3 2 4 3 3 3" xfId="7877" xr:uid="{00000000-0005-0000-0000-000058650000}"/>
    <cellStyle name="Normal 3 2 4 3 3 3 2" xfId="28742" xr:uid="{00000000-0005-0000-0000-000059650000}"/>
    <cellStyle name="Normal 3 2 4 3 3 4" xfId="4106" xr:uid="{00000000-0005-0000-0000-00005A650000}"/>
    <cellStyle name="Normal 3 2 4 3 4" xfId="5581" xr:uid="{00000000-0005-0000-0000-00005B650000}"/>
    <cellStyle name="Normal 3 2 4 3 4 2" xfId="4087" xr:uid="{00000000-0005-0000-0000-00005C650000}"/>
    <cellStyle name="Normal 3 2 4 3 4 2 2" xfId="26046" xr:uid="{00000000-0005-0000-0000-00005D650000}"/>
    <cellStyle name="Normal 3 2 4 3 4 3" xfId="20299" xr:uid="{00000000-0005-0000-0000-00005E650000}"/>
    <cellStyle name="Normal 3 2 4 3 5" xfId="14726" xr:uid="{00000000-0005-0000-0000-00005F650000}"/>
    <cellStyle name="Normal 3 2 4 3 5 2" xfId="7284" xr:uid="{00000000-0005-0000-0000-000060650000}"/>
    <cellStyle name="Normal 3 2 4 3 6" xfId="14734" xr:uid="{00000000-0005-0000-0000-000061650000}"/>
    <cellStyle name="Normal 3 2 4 4" xfId="8008" xr:uid="{00000000-0005-0000-0000-000062650000}"/>
    <cellStyle name="Normal 3 2 4 4 2" xfId="4108" xr:uid="{00000000-0005-0000-0000-000063650000}"/>
    <cellStyle name="Normal 3 2 4 4 2 2" xfId="3946" xr:uid="{00000000-0005-0000-0000-000064650000}"/>
    <cellStyle name="Normal 3 2 4 4 2 2 2" xfId="27956" xr:uid="{00000000-0005-0000-0000-000065650000}"/>
    <cellStyle name="Normal 3 2 4 4 2 2 2 2" xfId="19920" xr:uid="{00000000-0005-0000-0000-000066650000}"/>
    <cellStyle name="Normal 3 2 4 4 2 2 3" xfId="16862" xr:uid="{00000000-0005-0000-0000-000067650000}"/>
    <cellStyle name="Normal 3 2 4 4 2 3" xfId="5535" xr:uid="{00000000-0005-0000-0000-000068650000}"/>
    <cellStyle name="Normal 3 2 4 4 2 3 2" xfId="21209" xr:uid="{00000000-0005-0000-0000-000069650000}"/>
    <cellStyle name="Normal 3 2 4 4 2 4" xfId="4118" xr:uid="{00000000-0005-0000-0000-00006A650000}"/>
    <cellStyle name="Normal 3 2 4 4 3" xfId="2339" xr:uid="{00000000-0005-0000-0000-00006B650000}"/>
    <cellStyle name="Normal 3 2 4 4 3 2" xfId="4121" xr:uid="{00000000-0005-0000-0000-00006C650000}"/>
    <cellStyle name="Normal 3 2 4 4 3 2 2" xfId="27102" xr:uid="{00000000-0005-0000-0000-00006D650000}"/>
    <cellStyle name="Normal 3 2 4 4 3 3" xfId="4124" xr:uid="{00000000-0005-0000-0000-00006E650000}"/>
    <cellStyle name="Normal 3 2 4 4 4" xfId="4127" xr:uid="{00000000-0005-0000-0000-00006F650000}"/>
    <cellStyle name="Normal 3 2 4 4 4 2" xfId="4131" xr:uid="{00000000-0005-0000-0000-000070650000}"/>
    <cellStyle name="Normal 3 2 4 4 5" xfId="14743" xr:uid="{00000000-0005-0000-0000-000071650000}"/>
    <cellStyle name="Normal 3 2 4 5" xfId="48" xr:uid="{00000000-0005-0000-0000-000072650000}"/>
    <cellStyle name="Normal 3 2 4 5 2" xfId="4136" xr:uid="{00000000-0005-0000-0000-000073650000}"/>
    <cellStyle name="Normal 3 2 4 5 2 2" xfId="4138" xr:uid="{00000000-0005-0000-0000-000074650000}"/>
    <cellStyle name="Normal 3 2 4 5 2 2 2" xfId="16622" xr:uid="{00000000-0005-0000-0000-000075650000}"/>
    <cellStyle name="Normal 3 2 4 5 2 3" xfId="4142" xr:uid="{00000000-0005-0000-0000-000076650000}"/>
    <cellStyle name="Normal 3 2 4 5 3" xfId="4148" xr:uid="{00000000-0005-0000-0000-000077650000}"/>
    <cellStyle name="Normal 3 2 4 5 3 2" xfId="4153" xr:uid="{00000000-0005-0000-0000-000078650000}"/>
    <cellStyle name="Normal 3 2 4 5 4" xfId="1248" xr:uid="{00000000-0005-0000-0000-000079650000}"/>
    <cellStyle name="Normal 3 2 4 6" xfId="1923" xr:uid="{00000000-0005-0000-0000-00007A650000}"/>
    <cellStyle name="Normal 3 2 4 6 2" xfId="4157" xr:uid="{00000000-0005-0000-0000-00007B650000}"/>
    <cellStyle name="Normal 3 2 4 6 2 2" xfId="14623" xr:uid="{00000000-0005-0000-0000-00007C650000}"/>
    <cellStyle name="Normal 3 2 4 6 3" xfId="5252" xr:uid="{00000000-0005-0000-0000-00007D650000}"/>
    <cellStyle name="Normal 3 2 4 7" xfId="4165" xr:uid="{00000000-0005-0000-0000-00007E650000}"/>
    <cellStyle name="Normal 3 2 4 7 2" xfId="4172" xr:uid="{00000000-0005-0000-0000-00007F650000}"/>
    <cellStyle name="Normal 3 2 4 8" xfId="4175" xr:uid="{00000000-0005-0000-0000-000080650000}"/>
    <cellStyle name="Normal 3 2 5" xfId="2591" xr:uid="{00000000-0005-0000-0000-000081650000}"/>
    <cellStyle name="Normal 3 2 5 2" xfId="493" xr:uid="{00000000-0005-0000-0000-000082650000}"/>
    <cellStyle name="Normal 3 2 5 2 2" xfId="4181" xr:uid="{00000000-0005-0000-0000-000083650000}"/>
    <cellStyle name="Normal 3 2 5 2 2 2" xfId="2078" xr:uid="{00000000-0005-0000-0000-000084650000}"/>
    <cellStyle name="Normal 3 2 5 2 2 2 2" xfId="27960" xr:uid="{00000000-0005-0000-0000-000085650000}"/>
    <cellStyle name="Normal 3 2 5 2 2 2 2 2" xfId="27965" xr:uid="{00000000-0005-0000-0000-000086650000}"/>
    <cellStyle name="Normal 3 2 5 2 2 2 2 2 2" xfId="27967" xr:uid="{00000000-0005-0000-0000-000087650000}"/>
    <cellStyle name="Normal 3 2 5 2 2 2 2 3" xfId="27968" xr:uid="{00000000-0005-0000-0000-000088650000}"/>
    <cellStyle name="Normal 3 2 5 2 2 2 3" xfId="21356" xr:uid="{00000000-0005-0000-0000-000089650000}"/>
    <cellStyle name="Normal 3 2 5 2 2 2 3 2" xfId="27970" xr:uid="{00000000-0005-0000-0000-00008A650000}"/>
    <cellStyle name="Normal 3 2 5 2 2 2 4" xfId="21368" xr:uid="{00000000-0005-0000-0000-00008B650000}"/>
    <cellStyle name="Normal 3 2 5 2 2 3" xfId="6356" xr:uid="{00000000-0005-0000-0000-00008C650000}"/>
    <cellStyle name="Normal 3 2 5 2 2 3 2" xfId="1544" xr:uid="{00000000-0005-0000-0000-00008D650000}"/>
    <cellStyle name="Normal 3 2 5 2 2 3 2 2" xfId="27972" xr:uid="{00000000-0005-0000-0000-00008E650000}"/>
    <cellStyle name="Normal 3 2 5 2 2 3 3" xfId="21377" xr:uid="{00000000-0005-0000-0000-00008F650000}"/>
    <cellStyle name="Normal 3 2 5 2 2 4" xfId="20447" xr:uid="{00000000-0005-0000-0000-000090650000}"/>
    <cellStyle name="Normal 3 2 5 2 2 4 2" xfId="30795" xr:uid="{00000000-0005-0000-0000-000091650000}"/>
    <cellStyle name="Normal 3 2 5 2 2 5" xfId="4234" xr:uid="{00000000-0005-0000-0000-000092650000}"/>
    <cellStyle name="Normal 3 2 5 2 3" xfId="5870" xr:uid="{00000000-0005-0000-0000-000093650000}"/>
    <cellStyle name="Normal 3 2 5 2 3 2" xfId="25560" xr:uid="{00000000-0005-0000-0000-000094650000}"/>
    <cellStyle name="Normal 3 2 5 2 3 2 2" xfId="30130" xr:uid="{00000000-0005-0000-0000-000095650000}"/>
    <cellStyle name="Normal 3 2 5 2 3 2 2 2" xfId="30135" xr:uid="{00000000-0005-0000-0000-000096650000}"/>
    <cellStyle name="Normal 3 2 5 2 3 2 3" xfId="21406" xr:uid="{00000000-0005-0000-0000-000097650000}"/>
    <cellStyle name="Normal 3 2 5 2 3 3" xfId="20455" xr:uid="{00000000-0005-0000-0000-000098650000}"/>
    <cellStyle name="Normal 3 2 5 2 3 3 2" xfId="30154" xr:uid="{00000000-0005-0000-0000-000099650000}"/>
    <cellStyle name="Normal 3 2 5 2 3 4" xfId="4250" xr:uid="{00000000-0005-0000-0000-00009A650000}"/>
    <cellStyle name="Normal 3 2 5 2 4" xfId="5879" xr:uid="{00000000-0005-0000-0000-00009B650000}"/>
    <cellStyle name="Normal 3 2 5 2 4 2" xfId="20460" xr:uid="{00000000-0005-0000-0000-00009C650000}"/>
    <cellStyle name="Normal 3 2 5 2 4 2 2" xfId="27463" xr:uid="{00000000-0005-0000-0000-00009D650000}"/>
    <cellStyle name="Normal 3 2 5 2 4 3" xfId="22062" xr:uid="{00000000-0005-0000-0000-00009E650000}"/>
    <cellStyle name="Normal 3 2 5 2 5" xfId="16667" xr:uid="{00000000-0005-0000-0000-00009F650000}"/>
    <cellStyle name="Normal 3 2 5 2 5 2" xfId="26832" xr:uid="{00000000-0005-0000-0000-0000A0650000}"/>
    <cellStyle name="Normal 3 2 5 2 6" xfId="7208" xr:uid="{00000000-0005-0000-0000-0000A1650000}"/>
    <cellStyle name="Normal 3 2 5 2 6 2" xfId="1985" xr:uid="{00000000-0005-0000-0000-0000A2650000}"/>
    <cellStyle name="Normal 3 2 5 2 7" xfId="27117" xr:uid="{00000000-0005-0000-0000-0000A3650000}"/>
    <cellStyle name="Normal 3 2 5 3" xfId="73" xr:uid="{00000000-0005-0000-0000-0000A4650000}"/>
    <cellStyle name="Normal 3 2 5 3 2" xfId="4255" xr:uid="{00000000-0005-0000-0000-0000A5650000}"/>
    <cellStyle name="Normal 3 2 5 3 2 2" xfId="20473" xr:uid="{00000000-0005-0000-0000-0000A6650000}"/>
    <cellStyle name="Normal 3 2 5 3 2 2 2" xfId="26760" xr:uid="{00000000-0005-0000-0000-0000A7650000}"/>
    <cellStyle name="Normal 3 2 5 3 2 2 2 2" xfId="30337" xr:uid="{00000000-0005-0000-0000-0000A8650000}"/>
    <cellStyle name="Normal 3 2 5 3 2 2 3" xfId="21478" xr:uid="{00000000-0005-0000-0000-0000A9650000}"/>
    <cellStyle name="Normal 3 2 5 3 2 3" xfId="20476" xr:uid="{00000000-0005-0000-0000-0000AA650000}"/>
    <cellStyle name="Normal 3 2 5 3 2 3 2" xfId="33865" xr:uid="{00000000-0005-0000-0000-0000AB650000}"/>
    <cellStyle name="Normal 3 2 5 3 2 4" xfId="4272" xr:uid="{00000000-0005-0000-0000-0000AC650000}"/>
    <cellStyle name="Normal 3 2 5 3 3" xfId="5886" xr:uid="{00000000-0005-0000-0000-0000AD650000}"/>
    <cellStyle name="Normal 3 2 5 3 3 2" xfId="20481" xr:uid="{00000000-0005-0000-0000-0000AE650000}"/>
    <cellStyle name="Normal 3 2 5 3 3 2 2" xfId="30240" xr:uid="{00000000-0005-0000-0000-0000AF650000}"/>
    <cellStyle name="Normal 3 2 5 3 3 3" xfId="4287" xr:uid="{00000000-0005-0000-0000-0000B0650000}"/>
    <cellStyle name="Normal 3 2 5 3 4" xfId="7292" xr:uid="{00000000-0005-0000-0000-0000B1650000}"/>
    <cellStyle name="Normal 3 2 5 3 4 2" xfId="745" xr:uid="{00000000-0005-0000-0000-0000B2650000}"/>
    <cellStyle name="Normal 3 2 5 3 5" xfId="12836" xr:uid="{00000000-0005-0000-0000-0000B3650000}"/>
    <cellStyle name="Normal 3 2 5 4" xfId="8880" xr:uid="{00000000-0005-0000-0000-0000B4650000}"/>
    <cellStyle name="Normal 3 2 5 4 2" xfId="3790" xr:uid="{00000000-0005-0000-0000-0000B5650000}"/>
    <cellStyle name="Normal 3 2 5 4 2 2" xfId="20500" xr:uid="{00000000-0005-0000-0000-0000B6650000}"/>
    <cellStyle name="Normal 3 2 5 4 2 2 2" xfId="26713" xr:uid="{00000000-0005-0000-0000-0000B7650000}"/>
    <cellStyle name="Normal 3 2 5 4 2 3" xfId="4295" xr:uid="{00000000-0005-0000-0000-0000B8650000}"/>
    <cellStyle name="Normal 3 2 5 4 3" xfId="7294" xr:uid="{00000000-0005-0000-0000-0000B9650000}"/>
    <cellStyle name="Normal 3 2 5 4 3 2" xfId="3263" xr:uid="{00000000-0005-0000-0000-0000BA650000}"/>
    <cellStyle name="Normal 3 2 5 4 4" xfId="8691" xr:uid="{00000000-0005-0000-0000-0000BB650000}"/>
    <cellStyle name="Normal 3 2 5 5" xfId="4297" xr:uid="{00000000-0005-0000-0000-0000BC650000}"/>
    <cellStyle name="Normal 3 2 5 5 2" xfId="3803" xr:uid="{00000000-0005-0000-0000-0000BD650000}"/>
    <cellStyle name="Normal 3 2 5 5 2 2" xfId="22573" xr:uid="{00000000-0005-0000-0000-0000BE650000}"/>
    <cellStyle name="Normal 3 2 5 5 3" xfId="3625" xr:uid="{00000000-0005-0000-0000-0000BF650000}"/>
    <cellStyle name="Normal 3 2 5 6" xfId="4307" xr:uid="{00000000-0005-0000-0000-0000C0650000}"/>
    <cellStyle name="Normal 3 2 5 6 2" xfId="3810" xr:uid="{00000000-0005-0000-0000-0000C1650000}"/>
    <cellStyle name="Normal 3 2 5 7" xfId="4313" xr:uid="{00000000-0005-0000-0000-0000C2650000}"/>
    <cellStyle name="Normal 3 2 5 7 2" xfId="26837" xr:uid="{00000000-0005-0000-0000-0000C3650000}"/>
    <cellStyle name="Normal 3 2 5 8" xfId="3295" xr:uid="{00000000-0005-0000-0000-0000C4650000}"/>
    <cellStyle name="Normal 3 2 6" xfId="11359" xr:uid="{00000000-0005-0000-0000-0000C5650000}"/>
    <cellStyle name="Normal 3 2 6 2" xfId="7266" xr:uid="{00000000-0005-0000-0000-0000C6650000}"/>
    <cellStyle name="Normal 3 2 6 2 2" xfId="4319" xr:uid="{00000000-0005-0000-0000-0000C7650000}"/>
    <cellStyle name="Normal 3 2 6 2 2 2" xfId="20568" xr:uid="{00000000-0005-0000-0000-0000C8650000}"/>
    <cellStyle name="Normal 3 2 6 2 2 2 2" xfId="25987" xr:uid="{00000000-0005-0000-0000-0000C9650000}"/>
    <cellStyle name="Normal 3 2 6 2 2 2 2 2" xfId="28267" xr:uid="{00000000-0005-0000-0000-0000CA650000}"/>
    <cellStyle name="Normal 3 2 6 2 2 2 3" xfId="19512" xr:uid="{00000000-0005-0000-0000-0000CB650000}"/>
    <cellStyle name="Normal 3 2 6 2 2 3" xfId="20571" xr:uid="{00000000-0005-0000-0000-0000CC650000}"/>
    <cellStyle name="Normal 3 2 6 2 2 3 2" xfId="19518" xr:uid="{00000000-0005-0000-0000-0000CD650000}"/>
    <cellStyle name="Normal 3 2 6 2 2 4" xfId="10796" xr:uid="{00000000-0005-0000-0000-0000CE650000}"/>
    <cellStyle name="Normal 3 2 6 2 3" xfId="4344" xr:uid="{00000000-0005-0000-0000-0000CF650000}"/>
    <cellStyle name="Normal 3 2 6 2 3 2" xfId="20579" xr:uid="{00000000-0005-0000-0000-0000D0650000}"/>
    <cellStyle name="Normal 3 2 6 2 3 2 2" xfId="19530" xr:uid="{00000000-0005-0000-0000-0000D1650000}"/>
    <cellStyle name="Normal 3 2 6 2 3 3" xfId="4349" xr:uid="{00000000-0005-0000-0000-0000D2650000}"/>
    <cellStyle name="Normal 3 2 6 2 4" xfId="7314" xr:uid="{00000000-0005-0000-0000-0000D3650000}"/>
    <cellStyle name="Normal 3 2 6 2 4 2" xfId="1618" xr:uid="{00000000-0005-0000-0000-0000D4650000}"/>
    <cellStyle name="Normal 3 2 6 2 5" xfId="12844" xr:uid="{00000000-0005-0000-0000-0000D5650000}"/>
    <cellStyle name="Normal 3 2 6 2 5 2" xfId="27995" xr:uid="{00000000-0005-0000-0000-0000D6650000}"/>
    <cellStyle name="Normal 3 2 6 2 6" xfId="26901" xr:uid="{00000000-0005-0000-0000-0000D7650000}"/>
    <cellStyle name="Normal 3 2 6 2 6 2" xfId="8053" xr:uid="{00000000-0005-0000-0000-0000D8650000}"/>
    <cellStyle name="Normal 3 2 6 2 7" xfId="20223" xr:uid="{00000000-0005-0000-0000-0000D9650000}"/>
    <cellStyle name="Normal 3 2 6 3" xfId="26" xr:uid="{00000000-0005-0000-0000-0000DA650000}"/>
    <cellStyle name="Normal 3 2 6 3 2" xfId="7380" xr:uid="{00000000-0005-0000-0000-0000DB650000}"/>
    <cellStyle name="Normal 3 2 6 3 2 2" xfId="20587" xr:uid="{00000000-0005-0000-0000-0000DC650000}"/>
    <cellStyle name="Normal 3 2 6 3 2 2 2" xfId="19563" xr:uid="{00000000-0005-0000-0000-0000DD650000}"/>
    <cellStyle name="Normal 3 2 6 3 2 3" xfId="4372" xr:uid="{00000000-0005-0000-0000-0000DE650000}"/>
    <cellStyle name="Normal 3 2 6 3 3" xfId="7316" xr:uid="{00000000-0005-0000-0000-0000DF650000}"/>
    <cellStyle name="Normal 3 2 6 3 3 2" xfId="917" xr:uid="{00000000-0005-0000-0000-0000E0650000}"/>
    <cellStyle name="Normal 3 2 6 3 4" xfId="418" xr:uid="{00000000-0005-0000-0000-0000E1650000}"/>
    <cellStyle name="Normal 3 2 6 4" xfId="4388" xr:uid="{00000000-0005-0000-0000-0000E2650000}"/>
    <cellStyle name="Normal 3 2 6 4 2" xfId="3813" xr:uid="{00000000-0005-0000-0000-0000E3650000}"/>
    <cellStyle name="Normal 3 2 6 4 2 2" xfId="4391" xr:uid="{00000000-0005-0000-0000-0000E4650000}"/>
    <cellStyle name="Normal 3 2 6 4 3" xfId="132" xr:uid="{00000000-0005-0000-0000-0000E5650000}"/>
    <cellStyle name="Normal 3 2 6 5" xfId="4399" xr:uid="{00000000-0005-0000-0000-0000E6650000}"/>
    <cellStyle name="Normal 3 2 6 5 2" xfId="13114" xr:uid="{00000000-0005-0000-0000-0000E7650000}"/>
    <cellStyle name="Normal 3 2 6 6" xfId="4412" xr:uid="{00000000-0005-0000-0000-0000E8650000}"/>
    <cellStyle name="Normal 3 2 6 6 2" xfId="29324" xr:uid="{00000000-0005-0000-0000-0000E9650000}"/>
    <cellStyle name="Normal 3 2 6 7" xfId="26944" xr:uid="{00000000-0005-0000-0000-0000EA650000}"/>
    <cellStyle name="Normal 3 2 6 7 2" xfId="28002" xr:uid="{00000000-0005-0000-0000-0000EB650000}"/>
    <cellStyle name="Normal 3 2 6 8" xfId="19297" xr:uid="{00000000-0005-0000-0000-0000EC650000}"/>
    <cellStyle name="Normal 3 2 7" xfId="12558" xr:uid="{00000000-0005-0000-0000-0000ED650000}"/>
    <cellStyle name="Normal 3 2 7 2" xfId="79" xr:uid="{00000000-0005-0000-0000-0000EE650000}"/>
    <cellStyle name="Normal 3 2 7 2 2" xfId="4421" xr:uid="{00000000-0005-0000-0000-0000EF650000}"/>
    <cellStyle name="Normal 3 2 7 2 2 2" xfId="20628" xr:uid="{00000000-0005-0000-0000-0000F0650000}"/>
    <cellStyle name="Normal 3 2 7 2 2 2 2" xfId="28101" xr:uid="{00000000-0005-0000-0000-0000F1650000}"/>
    <cellStyle name="Normal 3 2 7 2 2 3" xfId="755" xr:uid="{00000000-0005-0000-0000-0000F2650000}"/>
    <cellStyle name="Normal 3 2 7 2 3" xfId="7326" xr:uid="{00000000-0005-0000-0000-0000F3650000}"/>
    <cellStyle name="Normal 3 2 7 2 3 2" xfId="4424" xr:uid="{00000000-0005-0000-0000-0000F4650000}"/>
    <cellStyle name="Normal 3 2 7 2 4" xfId="3685" xr:uid="{00000000-0005-0000-0000-0000F5650000}"/>
    <cellStyle name="Normal 3 2 7 2 4 2" xfId="28007" xr:uid="{00000000-0005-0000-0000-0000F6650000}"/>
    <cellStyle name="Normal 3 2 7 2 5" xfId="26953" xr:uid="{00000000-0005-0000-0000-0000F7650000}"/>
    <cellStyle name="Normal 3 2 7 2 5 2" xfId="21734" xr:uid="{00000000-0005-0000-0000-0000F8650000}"/>
    <cellStyle name="Normal 3 2 7 2 6" xfId="29712" xr:uid="{00000000-0005-0000-0000-0000F9650000}"/>
    <cellStyle name="Normal 3 2 7 2 6 2" xfId="8077" xr:uid="{00000000-0005-0000-0000-0000FA650000}"/>
    <cellStyle name="Normal 3 2 7 2 7" xfId="20509" xr:uid="{00000000-0005-0000-0000-0000FB650000}"/>
    <cellStyle name="Normal 3 2 7 3" xfId="1873" xr:uid="{00000000-0005-0000-0000-0000FC650000}"/>
    <cellStyle name="Normal 3 2 7 3 2" xfId="4436" xr:uid="{00000000-0005-0000-0000-0000FD650000}"/>
    <cellStyle name="Normal 3 2 7 3 2 2" xfId="4440" xr:uid="{00000000-0005-0000-0000-0000FE650000}"/>
    <cellStyle name="Normal 3 2 7 3 3" xfId="4442" xr:uid="{00000000-0005-0000-0000-0000FF650000}"/>
    <cellStyle name="Normal 3 2 7 4" xfId="9962" xr:uid="{00000000-0005-0000-0000-000000660000}"/>
    <cellStyle name="Normal 3 2 7 4 2" xfId="3835" xr:uid="{00000000-0005-0000-0000-000001660000}"/>
    <cellStyle name="Normal 3 2 7 5" xfId="9965" xr:uid="{00000000-0005-0000-0000-000002660000}"/>
    <cellStyle name="Normal 3 2 7 5 2" xfId="27517" xr:uid="{00000000-0005-0000-0000-000003660000}"/>
    <cellStyle name="Normal 3 2 7 6" xfId="26963" xr:uid="{00000000-0005-0000-0000-000004660000}"/>
    <cellStyle name="Normal 3 2 7 6 2" xfId="30354" xr:uid="{00000000-0005-0000-0000-000005660000}"/>
    <cellStyle name="Normal 3 2 7 7" xfId="28013" xr:uid="{00000000-0005-0000-0000-000006660000}"/>
    <cellStyle name="Normal 3 2 7 7 2" xfId="28014" xr:uid="{00000000-0005-0000-0000-000007660000}"/>
    <cellStyle name="Normal 3 2 7 8" xfId="28015" xr:uid="{00000000-0005-0000-0000-000008660000}"/>
    <cellStyle name="Normal 3 2 8" xfId="5509" xr:uid="{00000000-0005-0000-0000-000009660000}"/>
    <cellStyle name="Normal 3 2 8 2" xfId="4454" xr:uid="{00000000-0005-0000-0000-00000A660000}"/>
    <cellStyle name="Normal 3 2 8 2 2" xfId="4456" xr:uid="{00000000-0005-0000-0000-00000B660000}"/>
    <cellStyle name="Normal 3 2 8 2 2 2" xfId="4930" xr:uid="{00000000-0005-0000-0000-00000C660000}"/>
    <cellStyle name="Normal 3 2 8 2 3" xfId="4468" xr:uid="{00000000-0005-0000-0000-00000D660000}"/>
    <cellStyle name="Normal 3 2 8 2 3 2" xfId="391" xr:uid="{00000000-0005-0000-0000-00000E660000}"/>
    <cellStyle name="Normal 3 2 8 2 4" xfId="27037" xr:uid="{00000000-0005-0000-0000-00000F660000}"/>
    <cellStyle name="Normal 3 2 8 2 4 2" xfId="11187" xr:uid="{00000000-0005-0000-0000-000010660000}"/>
    <cellStyle name="Normal 3 2 8 2 5" xfId="27042" xr:uid="{00000000-0005-0000-0000-000011660000}"/>
    <cellStyle name="Normal 3 2 8 2 5 2" xfId="15471" xr:uid="{00000000-0005-0000-0000-000012660000}"/>
    <cellStyle name="Normal 3 2 8 2 6" xfId="28021" xr:uid="{00000000-0005-0000-0000-000013660000}"/>
    <cellStyle name="Normal 3 2 8 2 6 2" xfId="23675" xr:uid="{00000000-0005-0000-0000-000014660000}"/>
    <cellStyle name="Normal 3 2 8 2 7" xfId="16344" xr:uid="{00000000-0005-0000-0000-000015660000}"/>
    <cellStyle name="Normal 3 2 8 3" xfId="4471" xr:uid="{00000000-0005-0000-0000-000016660000}"/>
    <cellStyle name="Normal 3 2 8 3 2" xfId="10326" xr:uid="{00000000-0005-0000-0000-000017660000}"/>
    <cellStyle name="Normal 3 2 8 4" xfId="10156" xr:uid="{00000000-0005-0000-0000-000018660000}"/>
    <cellStyle name="Normal 3 2 8 4 2" xfId="27072" xr:uid="{00000000-0005-0000-0000-000019660000}"/>
    <cellStyle name="Normal 3 2 8 5" xfId="27078" xr:uid="{00000000-0005-0000-0000-00001A660000}"/>
    <cellStyle name="Normal 3 2 8 5 2" xfId="27081" xr:uid="{00000000-0005-0000-0000-00001B660000}"/>
    <cellStyle name="Normal 3 2 8 6" xfId="27087" xr:uid="{00000000-0005-0000-0000-00001C660000}"/>
    <cellStyle name="Normal 3 2 8 6 2" xfId="34026" xr:uid="{00000000-0005-0000-0000-00001D660000}"/>
    <cellStyle name="Normal 3 2 8 7" xfId="22457" xr:uid="{00000000-0005-0000-0000-00001E660000}"/>
    <cellStyle name="Normal 3 2 8 7 2" xfId="32636" xr:uid="{00000000-0005-0000-0000-00001F660000}"/>
    <cellStyle name="Normal 3 2 8 8" xfId="28025" xr:uid="{00000000-0005-0000-0000-000020660000}"/>
    <cellStyle name="Normal 3 2 9" xfId="8611" xr:uid="{00000000-0005-0000-0000-000021660000}"/>
    <cellStyle name="Normal 3 2 9 2" xfId="8617" xr:uid="{00000000-0005-0000-0000-000022660000}"/>
    <cellStyle name="Normal 3 2 9 2 2" xfId="12680" xr:uid="{00000000-0005-0000-0000-000023660000}"/>
    <cellStyle name="Normal 3 2 9 2 2 2" xfId="12263" xr:uid="{00000000-0005-0000-0000-000024660000}"/>
    <cellStyle name="Normal 3 2 9 2 3" xfId="10978" xr:uid="{00000000-0005-0000-0000-000025660000}"/>
    <cellStyle name="Normal 3 2 9 2 3 2" xfId="11533" xr:uid="{00000000-0005-0000-0000-000026660000}"/>
    <cellStyle name="Normal 3 2 9 2 4" xfId="11020" xr:uid="{00000000-0005-0000-0000-000027660000}"/>
    <cellStyle name="Normal 3 2 9 2 4 2" xfId="15540" xr:uid="{00000000-0005-0000-0000-000028660000}"/>
    <cellStyle name="Normal 3 2 9 2 5" xfId="30012" xr:uid="{00000000-0005-0000-0000-000029660000}"/>
    <cellStyle name="Normal 3 2 9 2 5 2" xfId="28029" xr:uid="{00000000-0005-0000-0000-00002A660000}"/>
    <cellStyle name="Normal 3 2 9 2 6" xfId="28033" xr:uid="{00000000-0005-0000-0000-00002B660000}"/>
    <cellStyle name="Normal 3 2 9 2 6 2" xfId="28038" xr:uid="{00000000-0005-0000-0000-00002C660000}"/>
    <cellStyle name="Normal 3 2 9 2 7" xfId="16363" xr:uid="{00000000-0005-0000-0000-00002D660000}"/>
    <cellStyle name="Normal 3 2 9 3" xfId="15901" xr:uid="{00000000-0005-0000-0000-00002E660000}"/>
    <cellStyle name="Normal 3 2 9 3 2" xfId="10843" xr:uid="{00000000-0005-0000-0000-00002F660000}"/>
    <cellStyle name="Normal 3 2 9 4" xfId="28039" xr:uid="{00000000-0005-0000-0000-000030660000}"/>
    <cellStyle name="Normal 3 2 9 4 2" xfId="18696" xr:uid="{00000000-0005-0000-0000-000031660000}"/>
    <cellStyle name="Normal 3 2 9 5" xfId="23964" xr:uid="{00000000-0005-0000-0000-000032660000}"/>
    <cellStyle name="Normal 3 2 9 5 2" xfId="20494" xr:uid="{00000000-0005-0000-0000-000033660000}"/>
    <cellStyle name="Normal 3 2 9 6" xfId="28040" xr:uid="{00000000-0005-0000-0000-000034660000}"/>
    <cellStyle name="Normal 3 2 9 6 2" xfId="28047" xr:uid="{00000000-0005-0000-0000-000035660000}"/>
    <cellStyle name="Normal 3 2 9 7" xfId="28054" xr:uid="{00000000-0005-0000-0000-000036660000}"/>
    <cellStyle name="Normal 3 2 9 7 2" xfId="28058" xr:uid="{00000000-0005-0000-0000-000037660000}"/>
    <cellStyle name="Normal 3 2 9 8" xfId="23453" xr:uid="{00000000-0005-0000-0000-000038660000}"/>
    <cellStyle name="Normal 3 20" xfId="26678" xr:uid="{00000000-0005-0000-0000-000039660000}"/>
    <cellStyle name="Normal 3 20 2" xfId="2489" xr:uid="{00000000-0005-0000-0000-00003A660000}"/>
    <cellStyle name="Normal 3 21" xfId="26681" xr:uid="{00000000-0005-0000-0000-00003B660000}"/>
    <cellStyle name="Normal 3 21 2" xfId="2690" xr:uid="{00000000-0005-0000-0000-00003C660000}"/>
    <cellStyle name="Normal 3 22" xfId="21215" xr:uid="{00000000-0005-0000-0000-00003D660000}"/>
    <cellStyle name="Normal 3 23" xfId="27957" xr:uid="{00000000-0005-0000-0000-00003E660000}"/>
    <cellStyle name="Normal 3 3" xfId="24802" xr:uid="{00000000-0005-0000-0000-00003F660000}"/>
    <cellStyle name="Normal 3 3 10" xfId="30974" xr:uid="{00000000-0005-0000-0000-000040660000}"/>
    <cellStyle name="Normal 3 3 2" xfId="28069" xr:uid="{00000000-0005-0000-0000-000041660000}"/>
    <cellStyle name="Normal 3 3 2 2" xfId="30410" xr:uid="{00000000-0005-0000-0000-000042660000}"/>
    <cellStyle name="Normal 3 3 2 2 2" xfId="22080" xr:uid="{00000000-0005-0000-0000-000043660000}"/>
    <cellStyle name="Normal 3 3 2 2 2 2" xfId="4443" xr:uid="{00000000-0005-0000-0000-000044660000}"/>
    <cellStyle name="Normal 3 3 2 2 2 2 2" xfId="29671" xr:uid="{00000000-0005-0000-0000-000045660000}"/>
    <cellStyle name="Normal 3 3 2 2 2 2 2 2" xfId="33428" xr:uid="{00000000-0005-0000-0000-000046660000}"/>
    <cellStyle name="Normal 3 3 2 2 2 2 2 2 2" xfId="13945" xr:uid="{00000000-0005-0000-0000-000047660000}"/>
    <cellStyle name="Normal 3 3 2 2 2 2 2 2 2 2" xfId="26621" xr:uid="{00000000-0005-0000-0000-000048660000}"/>
    <cellStyle name="Normal 3 3 2 2 2 2 2 2 2 2 2" xfId="18957" xr:uid="{00000000-0005-0000-0000-000049660000}"/>
    <cellStyle name="Normal 3 3 2 2 2 2 2 2 2 3" xfId="33857" xr:uid="{00000000-0005-0000-0000-00004A660000}"/>
    <cellStyle name="Normal 3 3 2 2 2 2 2 2 3" xfId="13955" xr:uid="{00000000-0005-0000-0000-00004B660000}"/>
    <cellStyle name="Normal 3 3 2 2 2 2 2 2 3 2" xfId="12051" xr:uid="{00000000-0005-0000-0000-00004C660000}"/>
    <cellStyle name="Normal 3 3 2 2 2 2 2 2 4" xfId="29640" xr:uid="{00000000-0005-0000-0000-00004D660000}"/>
    <cellStyle name="Normal 3 3 2 2 2 2 2 3" xfId="7354" xr:uid="{00000000-0005-0000-0000-00004E660000}"/>
    <cellStyle name="Normal 3 3 2 2 2 2 2 3 2" xfId="5772" xr:uid="{00000000-0005-0000-0000-00004F660000}"/>
    <cellStyle name="Normal 3 3 2 2 2 2 2 3 2 2" xfId="25496" xr:uid="{00000000-0005-0000-0000-000050660000}"/>
    <cellStyle name="Normal 3 3 2 2 2 2 2 3 3" xfId="28086" xr:uid="{00000000-0005-0000-0000-000051660000}"/>
    <cellStyle name="Normal 3 3 2 2 2 2 2 4" xfId="17118" xr:uid="{00000000-0005-0000-0000-000052660000}"/>
    <cellStyle name="Normal 3 3 2 2 2 2 2 4 2" xfId="31748" xr:uid="{00000000-0005-0000-0000-000053660000}"/>
    <cellStyle name="Normal 3 3 2 2 2 2 2 5" xfId="17123" xr:uid="{00000000-0005-0000-0000-000054660000}"/>
    <cellStyle name="Normal 3 3 2 2 2 2 3" xfId="33353" xr:uid="{00000000-0005-0000-0000-000055660000}"/>
    <cellStyle name="Normal 3 3 2 2 2 2 3 2" xfId="28095" xr:uid="{00000000-0005-0000-0000-000056660000}"/>
    <cellStyle name="Normal 3 3 2 2 2 2 3 2 2" xfId="13996" xr:uid="{00000000-0005-0000-0000-000057660000}"/>
    <cellStyle name="Normal 3 3 2 2 2 2 3 2 2 2" xfId="28096" xr:uid="{00000000-0005-0000-0000-000058660000}"/>
    <cellStyle name="Normal 3 3 2 2 2 2 3 2 3" xfId="28100" xr:uid="{00000000-0005-0000-0000-000059660000}"/>
    <cellStyle name="Normal 3 3 2 2 2 2 3 3" xfId="7358" xr:uid="{00000000-0005-0000-0000-00005A660000}"/>
    <cellStyle name="Normal 3 3 2 2 2 2 3 3 2" xfId="25338" xr:uid="{00000000-0005-0000-0000-00005B660000}"/>
    <cellStyle name="Normal 3 3 2 2 2 2 3 4" xfId="9491" xr:uid="{00000000-0005-0000-0000-00005C660000}"/>
    <cellStyle name="Normal 3 3 2 2 2 2 4" xfId="24035" xr:uid="{00000000-0005-0000-0000-00005D660000}"/>
    <cellStyle name="Normal 3 3 2 2 2 2 4 2" xfId="28111" xr:uid="{00000000-0005-0000-0000-00005E660000}"/>
    <cellStyle name="Normal 3 3 2 2 2 2 4 2 2" xfId="30773" xr:uid="{00000000-0005-0000-0000-00005F660000}"/>
    <cellStyle name="Normal 3 3 2 2 2 2 4 3" xfId="28114" xr:uid="{00000000-0005-0000-0000-000060660000}"/>
    <cellStyle name="Normal 3 3 2 2 2 2 5" xfId="23672" xr:uid="{00000000-0005-0000-0000-000061660000}"/>
    <cellStyle name="Normal 3 3 2 2 2 2 5 2" xfId="5267" xr:uid="{00000000-0005-0000-0000-000062660000}"/>
    <cellStyle name="Normal 3 3 2 2 2 2 6" xfId="23687" xr:uid="{00000000-0005-0000-0000-000063660000}"/>
    <cellStyle name="Normal 3 3 2 2 2 3" xfId="33325" xr:uid="{00000000-0005-0000-0000-000064660000}"/>
    <cellStyle name="Normal 3 3 2 2 2 3 2" xfId="33537" xr:uid="{00000000-0005-0000-0000-000065660000}"/>
    <cellStyle name="Normal 3 3 2 2 2 3 2 2" xfId="33867" xr:uid="{00000000-0005-0000-0000-000066660000}"/>
    <cellStyle name="Normal 3 3 2 2 2 3 2 2 2" xfId="14106" xr:uid="{00000000-0005-0000-0000-000067660000}"/>
    <cellStyle name="Normal 3 3 2 2 2 3 2 2 2 2" xfId="2731" xr:uid="{00000000-0005-0000-0000-000068660000}"/>
    <cellStyle name="Normal 3 3 2 2 2 3 2 2 3" xfId="16611" xr:uid="{00000000-0005-0000-0000-000069660000}"/>
    <cellStyle name="Normal 3 3 2 2 2 3 2 3" xfId="7369" xr:uid="{00000000-0005-0000-0000-00006A660000}"/>
    <cellStyle name="Normal 3 3 2 2 2 3 2 3 2" xfId="27298" xr:uid="{00000000-0005-0000-0000-00006B660000}"/>
    <cellStyle name="Normal 3 3 2 2 2 3 2 4" xfId="17139" xr:uid="{00000000-0005-0000-0000-00006C660000}"/>
    <cellStyle name="Normal 3 3 2 2 2 3 3" xfId="28119" xr:uid="{00000000-0005-0000-0000-00006D660000}"/>
    <cellStyle name="Normal 3 3 2 2 2 3 3 2" xfId="24507" xr:uid="{00000000-0005-0000-0000-00006E660000}"/>
    <cellStyle name="Normal 3 3 2 2 2 3 3 2 2" xfId="16960" xr:uid="{00000000-0005-0000-0000-00006F660000}"/>
    <cellStyle name="Normal 3 3 2 2 2 3 3 3" xfId="31639" xr:uid="{00000000-0005-0000-0000-000070660000}"/>
    <cellStyle name="Normal 3 3 2 2 2 3 4" xfId="28123" xr:uid="{00000000-0005-0000-0000-000071660000}"/>
    <cellStyle name="Normal 3 3 2 2 2 3 4 2" xfId="28124" xr:uid="{00000000-0005-0000-0000-000072660000}"/>
    <cellStyle name="Normal 3 3 2 2 2 3 5" xfId="9136" xr:uid="{00000000-0005-0000-0000-000073660000}"/>
    <cellStyle name="Normal 3 3 2 2 2 4" xfId="31314" xr:uid="{00000000-0005-0000-0000-000074660000}"/>
    <cellStyle name="Normal 3 3 2 2 2 4 2" xfId="28125" xr:uid="{00000000-0005-0000-0000-000075660000}"/>
    <cellStyle name="Normal 3 3 2 2 2 4 2 2" xfId="32720" xr:uid="{00000000-0005-0000-0000-000076660000}"/>
    <cellStyle name="Normal 3 3 2 2 2 4 2 2 2" xfId="26480" xr:uid="{00000000-0005-0000-0000-000077660000}"/>
    <cellStyle name="Normal 3 3 2 2 2 4 2 3" xfId="31751" xr:uid="{00000000-0005-0000-0000-000078660000}"/>
    <cellStyle name="Normal 3 3 2 2 2 4 3" xfId="24085" xr:uid="{00000000-0005-0000-0000-000079660000}"/>
    <cellStyle name="Normal 3 3 2 2 2 4 3 2" xfId="28126" xr:uid="{00000000-0005-0000-0000-00007A660000}"/>
    <cellStyle name="Normal 3 3 2 2 2 4 4" xfId="28129" xr:uid="{00000000-0005-0000-0000-00007B660000}"/>
    <cellStyle name="Normal 3 3 2 2 2 5" xfId="31510" xr:uid="{00000000-0005-0000-0000-00007C660000}"/>
    <cellStyle name="Normal 3 3 2 2 2 5 2" xfId="25924" xr:uid="{00000000-0005-0000-0000-00007D660000}"/>
    <cellStyle name="Normal 3 3 2 2 2 5 2 2" xfId="26190" xr:uid="{00000000-0005-0000-0000-00007E660000}"/>
    <cellStyle name="Normal 3 3 2 2 2 5 3" xfId="20313" xr:uid="{00000000-0005-0000-0000-00007F660000}"/>
    <cellStyle name="Normal 3 3 2 2 2 6" xfId="30516" xr:uid="{00000000-0005-0000-0000-000080660000}"/>
    <cellStyle name="Normal 3 3 2 2 2 6 2" xfId="22081" xr:uid="{00000000-0005-0000-0000-000081660000}"/>
    <cellStyle name="Normal 3 3 2 2 2 7" xfId="26137" xr:uid="{00000000-0005-0000-0000-000082660000}"/>
    <cellStyle name="Normal 3 3 2 2 3" xfId="19187" xr:uid="{00000000-0005-0000-0000-000083660000}"/>
    <cellStyle name="Normal 3 3 2 2 3 2" xfId="33476" xr:uid="{00000000-0005-0000-0000-000084660000}"/>
    <cellStyle name="Normal 3 3 2 2 3 2 2" xfId="33558" xr:uid="{00000000-0005-0000-0000-000085660000}"/>
    <cellStyle name="Normal 3 3 2 2 3 2 2 2" xfId="17488" xr:uid="{00000000-0005-0000-0000-000086660000}"/>
    <cellStyle name="Normal 3 3 2 2 3 2 2 2 2" xfId="5895" xr:uid="{00000000-0005-0000-0000-000087660000}"/>
    <cellStyle name="Normal 3 3 2 2 3 2 2 2 2 2" xfId="28133" xr:uid="{00000000-0005-0000-0000-000088660000}"/>
    <cellStyle name="Normal 3 3 2 2 3 2 2 2 3" xfId="5900" xr:uid="{00000000-0005-0000-0000-000089660000}"/>
    <cellStyle name="Normal 3 3 2 2 3 2 2 3" xfId="7404" xr:uid="{00000000-0005-0000-0000-00008A660000}"/>
    <cellStyle name="Normal 3 3 2 2 3 2 2 3 2" xfId="5909" xr:uid="{00000000-0005-0000-0000-00008B660000}"/>
    <cellStyle name="Normal 3 3 2 2 3 2 2 4" xfId="17159" xr:uid="{00000000-0005-0000-0000-00008C660000}"/>
    <cellStyle name="Normal 3 3 2 2 3 2 3" xfId="24128" xr:uid="{00000000-0005-0000-0000-00008D660000}"/>
    <cellStyle name="Normal 3 3 2 2 3 2 3 2" xfId="28141" xr:uid="{00000000-0005-0000-0000-00008E660000}"/>
    <cellStyle name="Normal 3 3 2 2 3 2 3 2 2" xfId="5920" xr:uid="{00000000-0005-0000-0000-00008F660000}"/>
    <cellStyle name="Normal 3 3 2 2 3 2 3 3" xfId="28142" xr:uid="{00000000-0005-0000-0000-000090660000}"/>
    <cellStyle name="Normal 3 3 2 2 3 2 4" xfId="28145" xr:uid="{00000000-0005-0000-0000-000091660000}"/>
    <cellStyle name="Normal 3 3 2 2 3 2 4 2" xfId="33533" xr:uid="{00000000-0005-0000-0000-000092660000}"/>
    <cellStyle name="Normal 3 3 2 2 3 2 5" xfId="21820" xr:uid="{00000000-0005-0000-0000-000093660000}"/>
    <cellStyle name="Normal 3 3 2 2 3 3" xfId="7687" xr:uid="{00000000-0005-0000-0000-000094660000}"/>
    <cellStyle name="Normal 3 3 2 2 3 3 2" xfId="28154" xr:uid="{00000000-0005-0000-0000-000095660000}"/>
    <cellStyle name="Normal 3 3 2 2 3 3 2 2" xfId="28158" xr:uid="{00000000-0005-0000-0000-000096660000}"/>
    <cellStyle name="Normal 3 3 2 2 3 3 2 2 2" xfId="5928" xr:uid="{00000000-0005-0000-0000-000097660000}"/>
    <cellStyle name="Normal 3 3 2 2 3 3 2 3" xfId="28161" xr:uid="{00000000-0005-0000-0000-000098660000}"/>
    <cellStyle name="Normal 3 3 2 2 3 3 3" xfId="29136" xr:uid="{00000000-0005-0000-0000-000099660000}"/>
    <cellStyle name="Normal 3 3 2 2 3 3 3 2" xfId="31434" xr:uid="{00000000-0005-0000-0000-00009A660000}"/>
    <cellStyle name="Normal 3 3 2 2 3 3 4" xfId="28167" xr:uid="{00000000-0005-0000-0000-00009B660000}"/>
    <cellStyle name="Normal 3 3 2 2 3 4" xfId="12673" xr:uid="{00000000-0005-0000-0000-00009C660000}"/>
    <cellStyle name="Normal 3 3 2 2 3 4 2" xfId="31727" xr:uid="{00000000-0005-0000-0000-00009D660000}"/>
    <cellStyle name="Normal 3 3 2 2 3 4 2 2" xfId="24660" xr:uid="{00000000-0005-0000-0000-00009E660000}"/>
    <cellStyle name="Normal 3 3 2 2 3 4 3" xfId="22383" xr:uid="{00000000-0005-0000-0000-00009F660000}"/>
    <cellStyle name="Normal 3 3 2 2 3 5" xfId="5758" xr:uid="{00000000-0005-0000-0000-0000A0660000}"/>
    <cellStyle name="Normal 3 3 2 2 3 5 2" xfId="29864" xr:uid="{00000000-0005-0000-0000-0000A1660000}"/>
    <cellStyle name="Normal 3 3 2 2 3 6" xfId="30787" xr:uid="{00000000-0005-0000-0000-0000A2660000}"/>
    <cellStyle name="Normal 3 3 2 2 4" xfId="12461" xr:uid="{00000000-0005-0000-0000-0000A3660000}"/>
    <cellStyle name="Normal 3 3 2 2 4 2" xfId="33303" xr:uid="{00000000-0005-0000-0000-0000A4660000}"/>
    <cellStyle name="Normal 3 3 2 2 4 2 2" xfId="33985" xr:uid="{00000000-0005-0000-0000-0000A5660000}"/>
    <cellStyle name="Normal 3 3 2 2 4 2 2 2" xfId="28173" xr:uid="{00000000-0005-0000-0000-0000A6660000}"/>
    <cellStyle name="Normal 3 3 2 2 4 2 2 2 2" xfId="1519" xr:uid="{00000000-0005-0000-0000-0000A7660000}"/>
    <cellStyle name="Normal 3 3 2 2 4 2 2 3" xfId="28179" xr:uid="{00000000-0005-0000-0000-0000A8660000}"/>
    <cellStyle name="Normal 3 3 2 2 4 2 3" xfId="28180" xr:uid="{00000000-0005-0000-0000-0000A9660000}"/>
    <cellStyle name="Normal 3 3 2 2 4 2 3 2" xfId="28183" xr:uid="{00000000-0005-0000-0000-0000AA660000}"/>
    <cellStyle name="Normal 3 3 2 2 4 2 4" xfId="24213" xr:uid="{00000000-0005-0000-0000-0000AB660000}"/>
    <cellStyle name="Normal 3 3 2 2 4 3" xfId="12687" xr:uid="{00000000-0005-0000-0000-0000AC660000}"/>
    <cellStyle name="Normal 3 3 2 2 4 3 2" xfId="31599" xr:uid="{00000000-0005-0000-0000-0000AD660000}"/>
    <cellStyle name="Normal 3 3 2 2 4 3 2 2" xfId="31601" xr:uid="{00000000-0005-0000-0000-0000AE660000}"/>
    <cellStyle name="Normal 3 3 2 2 4 3 3" xfId="31927" xr:uid="{00000000-0005-0000-0000-0000AF660000}"/>
    <cellStyle name="Normal 3 3 2 2 4 4" xfId="14122" xr:uid="{00000000-0005-0000-0000-0000B0660000}"/>
    <cellStyle name="Normal 3 3 2 2 4 4 2" xfId="22330" xr:uid="{00000000-0005-0000-0000-0000B1660000}"/>
    <cellStyle name="Normal 3 3 2 2 4 5" xfId="21141" xr:uid="{00000000-0005-0000-0000-0000B2660000}"/>
    <cellStyle name="Normal 3 3 2 2 5" xfId="27279" xr:uid="{00000000-0005-0000-0000-0000B3660000}"/>
    <cellStyle name="Normal 3 3 2 2 5 2" xfId="26910" xr:uid="{00000000-0005-0000-0000-0000B4660000}"/>
    <cellStyle name="Normal 3 3 2 2 5 2 2" xfId="25260" xr:uid="{00000000-0005-0000-0000-0000B5660000}"/>
    <cellStyle name="Normal 3 3 2 2 5 2 2 2" xfId="28188" xr:uid="{00000000-0005-0000-0000-0000B6660000}"/>
    <cellStyle name="Normal 3 3 2 2 5 2 3" xfId="24241" xr:uid="{00000000-0005-0000-0000-0000B7660000}"/>
    <cellStyle name="Normal 3 3 2 2 5 3" xfId="22865" xr:uid="{00000000-0005-0000-0000-0000B8660000}"/>
    <cellStyle name="Normal 3 3 2 2 5 3 2" xfId="24254" xr:uid="{00000000-0005-0000-0000-0000B9660000}"/>
    <cellStyle name="Normal 3 3 2 2 5 4" xfId="198" xr:uid="{00000000-0005-0000-0000-0000BA660000}"/>
    <cellStyle name="Normal 3 3 2 2 6" xfId="20651" xr:uid="{00000000-0005-0000-0000-0000BB660000}"/>
    <cellStyle name="Normal 3 3 2 2 6 2" xfId="29147" xr:uid="{00000000-0005-0000-0000-0000BC660000}"/>
    <cellStyle name="Normal 3 3 2 2 6 2 2" xfId="5165" xr:uid="{00000000-0005-0000-0000-0000BD660000}"/>
    <cellStyle name="Normal 3 3 2 2 6 3" xfId="17746" xr:uid="{00000000-0005-0000-0000-0000BE660000}"/>
    <cellStyle name="Normal 3 3 2 2 7" xfId="19503" xr:uid="{00000000-0005-0000-0000-0000BF660000}"/>
    <cellStyle name="Normal 3 3 2 2 7 2" xfId="17769" xr:uid="{00000000-0005-0000-0000-0000C0660000}"/>
    <cellStyle name="Normal 3 3 2 2 8" xfId="20660" xr:uid="{00000000-0005-0000-0000-0000C1660000}"/>
    <cellStyle name="Normal 3 3 2 3" xfId="33178" xr:uid="{00000000-0005-0000-0000-0000C2660000}"/>
    <cellStyle name="Normal 3 3 2 3 2" xfId="22084" xr:uid="{00000000-0005-0000-0000-0000C3660000}"/>
    <cellStyle name="Normal 3 3 2 3 2 2" xfId="22564" xr:uid="{00000000-0005-0000-0000-0000C4660000}"/>
    <cellStyle name="Normal 3 3 2 3 2 2 2" xfId="11338" xr:uid="{00000000-0005-0000-0000-0000C5660000}"/>
    <cellStyle name="Normal 3 3 2 3 2 2 2 2" xfId="11339" xr:uid="{00000000-0005-0000-0000-0000C6660000}"/>
    <cellStyle name="Normal 3 3 2 3 2 2 2 2 2" xfId="28190" xr:uid="{00000000-0005-0000-0000-0000C7660000}"/>
    <cellStyle name="Normal 3 3 2 3 2 2 2 2 2 2" xfId="21409" xr:uid="{00000000-0005-0000-0000-0000C8660000}"/>
    <cellStyle name="Normal 3 3 2 3 2 2 2 2 3" xfId="28193" xr:uid="{00000000-0005-0000-0000-0000C9660000}"/>
    <cellStyle name="Normal 3 3 2 3 2 2 2 3" xfId="5950" xr:uid="{00000000-0005-0000-0000-0000CA660000}"/>
    <cellStyle name="Normal 3 3 2 3 2 2 2 3 2" xfId="28195" xr:uid="{00000000-0005-0000-0000-0000CB660000}"/>
    <cellStyle name="Normal 3 3 2 3 2 2 2 4" xfId="3753" xr:uid="{00000000-0005-0000-0000-0000CC660000}"/>
    <cellStyle name="Normal 3 3 2 3 2 2 3" xfId="11344" xr:uid="{00000000-0005-0000-0000-0000CD660000}"/>
    <cellStyle name="Normal 3 3 2 3 2 2 3 2" xfId="4026" xr:uid="{00000000-0005-0000-0000-0000CE660000}"/>
    <cellStyle name="Normal 3 3 2 3 2 2 3 2 2" xfId="4039" xr:uid="{00000000-0005-0000-0000-0000CF660000}"/>
    <cellStyle name="Normal 3 3 2 3 2 2 3 3" xfId="3094" xr:uid="{00000000-0005-0000-0000-0000D0660000}"/>
    <cellStyle name="Normal 3 3 2 3 2 2 4" xfId="15896" xr:uid="{00000000-0005-0000-0000-0000D1660000}"/>
    <cellStyle name="Normal 3 3 2 3 2 2 4 2" xfId="36" xr:uid="{00000000-0005-0000-0000-0000D2660000}"/>
    <cellStyle name="Normal 3 3 2 3 2 2 5" xfId="9298" xr:uid="{00000000-0005-0000-0000-0000D3660000}"/>
    <cellStyle name="Normal 3 3 2 3 2 3" xfId="31656" xr:uid="{00000000-0005-0000-0000-0000D4660000}"/>
    <cellStyle name="Normal 3 3 2 3 2 3 2" xfId="11355" xr:uid="{00000000-0005-0000-0000-0000D5660000}"/>
    <cellStyle name="Normal 3 3 2 3 2 3 2 2" xfId="26719" xr:uid="{00000000-0005-0000-0000-0000D6660000}"/>
    <cellStyle name="Normal 3 3 2 3 2 3 2 2 2" xfId="26802" xr:uid="{00000000-0005-0000-0000-0000D7660000}"/>
    <cellStyle name="Normal 3 3 2 3 2 3 2 3" xfId="31276" xr:uid="{00000000-0005-0000-0000-0000D8660000}"/>
    <cellStyle name="Normal 3 3 2 3 2 3 3" xfId="30056" xr:uid="{00000000-0005-0000-0000-0000D9660000}"/>
    <cellStyle name="Normal 3 3 2 3 2 3 3 2" xfId="5871" xr:uid="{00000000-0005-0000-0000-0000DA660000}"/>
    <cellStyle name="Normal 3 3 2 3 2 3 4" xfId="9307" xr:uid="{00000000-0005-0000-0000-0000DB660000}"/>
    <cellStyle name="Normal 3 3 2 3 2 4" xfId="28198" xr:uid="{00000000-0005-0000-0000-0000DC660000}"/>
    <cellStyle name="Normal 3 3 2 3 2 4 2" xfId="31675" xr:uid="{00000000-0005-0000-0000-0000DD660000}"/>
    <cellStyle name="Normal 3 3 2 3 2 4 2 2" xfId="32117" xr:uid="{00000000-0005-0000-0000-0000DE660000}"/>
    <cellStyle name="Normal 3 3 2 3 2 4 3" xfId="20955" xr:uid="{00000000-0005-0000-0000-0000DF660000}"/>
    <cellStyle name="Normal 3 3 2 3 2 5" xfId="21865" xr:uid="{00000000-0005-0000-0000-0000E0660000}"/>
    <cellStyle name="Normal 3 3 2 3 2 5 2" xfId="27762" xr:uid="{00000000-0005-0000-0000-0000E1660000}"/>
    <cellStyle name="Normal 3 3 2 3 2 6" xfId="32599" xr:uid="{00000000-0005-0000-0000-0000E2660000}"/>
    <cellStyle name="Normal 3 3 2 3 3" xfId="32769" xr:uid="{00000000-0005-0000-0000-0000E3660000}"/>
    <cellStyle name="Normal 3 3 2 3 3 2" xfId="28200" xr:uid="{00000000-0005-0000-0000-0000E4660000}"/>
    <cellStyle name="Normal 3 3 2 3 3 2 2" xfId="11399" xr:uid="{00000000-0005-0000-0000-0000E5660000}"/>
    <cellStyle name="Normal 3 3 2 3 3 2 2 2" xfId="20414" xr:uid="{00000000-0005-0000-0000-0000E6660000}"/>
    <cellStyle name="Normal 3 3 2 3 3 2 2 2 2" xfId="30731" xr:uid="{00000000-0005-0000-0000-0000E7660000}"/>
    <cellStyle name="Normal 3 3 2 3 3 2 2 3" xfId="30739" xr:uid="{00000000-0005-0000-0000-0000E8660000}"/>
    <cellStyle name="Normal 3 3 2 3 3 2 3" xfId="24335" xr:uid="{00000000-0005-0000-0000-0000E9660000}"/>
    <cellStyle name="Normal 3 3 2 3 3 2 3 2" xfId="4555" xr:uid="{00000000-0005-0000-0000-0000EA660000}"/>
    <cellStyle name="Normal 3 3 2 3 3 2 4" xfId="9325" xr:uid="{00000000-0005-0000-0000-0000EB660000}"/>
    <cellStyle name="Normal 3 3 2 3 3 3" xfId="26887" xr:uid="{00000000-0005-0000-0000-0000EC660000}"/>
    <cellStyle name="Normal 3 3 2 3 3 3 2" xfId="32132" xr:uid="{00000000-0005-0000-0000-0000ED660000}"/>
    <cellStyle name="Normal 3 3 2 3 3 3 2 2" xfId="33801" xr:uid="{00000000-0005-0000-0000-0000EE660000}"/>
    <cellStyle name="Normal 3 3 2 3 3 3 3" xfId="30219" xr:uid="{00000000-0005-0000-0000-0000EF660000}"/>
    <cellStyle name="Normal 3 3 2 3 3 4" xfId="29785" xr:uid="{00000000-0005-0000-0000-0000F0660000}"/>
    <cellStyle name="Normal 3 3 2 3 3 4 2" xfId="33050" xr:uid="{00000000-0005-0000-0000-0000F1660000}"/>
    <cellStyle name="Normal 3 3 2 3 3 5" xfId="7752" xr:uid="{00000000-0005-0000-0000-0000F2660000}"/>
    <cellStyle name="Normal 3 3 2 3 4" xfId="29559" xr:uid="{00000000-0005-0000-0000-0000F3660000}"/>
    <cellStyle name="Normal 3 3 2 3 4 2" xfId="29051" xr:uid="{00000000-0005-0000-0000-0000F4660000}"/>
    <cellStyle name="Normal 3 3 2 3 4 2 2" xfId="26196" xr:uid="{00000000-0005-0000-0000-0000F5660000}"/>
    <cellStyle name="Normal 3 3 2 3 4 2 2 2" xfId="28202" xr:uid="{00000000-0005-0000-0000-0000F6660000}"/>
    <cellStyle name="Normal 3 3 2 3 4 2 3" xfId="26439" xr:uid="{00000000-0005-0000-0000-0000F7660000}"/>
    <cellStyle name="Normal 3 3 2 3 4 3" xfId="12689" xr:uid="{00000000-0005-0000-0000-0000F8660000}"/>
    <cellStyle name="Normal 3 3 2 3 4 3 2" xfId="31742" xr:uid="{00000000-0005-0000-0000-0000F9660000}"/>
    <cellStyle name="Normal 3 3 2 3 4 4" xfId="30613" xr:uid="{00000000-0005-0000-0000-0000FA660000}"/>
    <cellStyle name="Normal 3 3 2 3 5" xfId="14931" xr:uid="{00000000-0005-0000-0000-0000FB660000}"/>
    <cellStyle name="Normal 3 3 2 3 5 2" xfId="14935" xr:uid="{00000000-0005-0000-0000-0000FC660000}"/>
    <cellStyle name="Normal 3 3 2 3 5 2 2" xfId="26200" xr:uid="{00000000-0005-0000-0000-0000FD660000}"/>
    <cellStyle name="Normal 3 3 2 3 5 3" xfId="14945" xr:uid="{00000000-0005-0000-0000-0000FE660000}"/>
    <cellStyle name="Normal 3 3 2 3 6" xfId="14950" xr:uid="{00000000-0005-0000-0000-0000FF660000}"/>
    <cellStyle name="Normal 3 3 2 3 6 2" xfId="14958" xr:uid="{00000000-0005-0000-0000-000000670000}"/>
    <cellStyle name="Normal 3 3 2 3 7" xfId="15431" xr:uid="{00000000-0005-0000-0000-000001670000}"/>
    <cellStyle name="Normal 3 3 2 4" xfId="19229" xr:uid="{00000000-0005-0000-0000-000002670000}"/>
    <cellStyle name="Normal 3 3 2 4 2" xfId="32428" xr:uid="{00000000-0005-0000-0000-000003670000}"/>
    <cellStyle name="Normal 3 3 2 4 2 2" xfId="1303" xr:uid="{00000000-0005-0000-0000-000004670000}"/>
    <cellStyle name="Normal 3 3 2 4 2 2 2" xfId="15593" xr:uid="{00000000-0005-0000-0000-000005670000}"/>
    <cellStyle name="Normal 3 3 2 4 2 2 2 2" xfId="10906" xr:uid="{00000000-0005-0000-0000-000006670000}"/>
    <cellStyle name="Normal 3 3 2 4 2 2 2 2 2" xfId="25279" xr:uid="{00000000-0005-0000-0000-000007670000}"/>
    <cellStyle name="Normal 3 3 2 4 2 2 2 3" xfId="10659" xr:uid="{00000000-0005-0000-0000-000008670000}"/>
    <cellStyle name="Normal 3 3 2 4 2 2 3" xfId="7153" xr:uid="{00000000-0005-0000-0000-000009670000}"/>
    <cellStyle name="Normal 3 3 2 4 2 2 3 2" xfId="9654" xr:uid="{00000000-0005-0000-0000-00000A670000}"/>
    <cellStyle name="Normal 3 3 2 4 2 2 4" xfId="9356" xr:uid="{00000000-0005-0000-0000-00000B670000}"/>
    <cellStyle name="Normal 3 3 2 4 2 3" xfId="12997" xr:uid="{00000000-0005-0000-0000-00000C670000}"/>
    <cellStyle name="Normal 3 3 2 4 2 3 2" xfId="32325" xr:uid="{00000000-0005-0000-0000-00000D670000}"/>
    <cellStyle name="Normal 3 3 2 4 2 3 2 2" xfId="26925" xr:uid="{00000000-0005-0000-0000-00000E670000}"/>
    <cellStyle name="Normal 3 3 2 4 2 3 3" xfId="24419" xr:uid="{00000000-0005-0000-0000-00000F670000}"/>
    <cellStyle name="Normal 3 3 2 4 2 4" xfId="28207" xr:uid="{00000000-0005-0000-0000-000010670000}"/>
    <cellStyle name="Normal 3 3 2 4 2 4 2" xfId="32338" xr:uid="{00000000-0005-0000-0000-000011670000}"/>
    <cellStyle name="Normal 3 3 2 4 2 5" xfId="21511" xr:uid="{00000000-0005-0000-0000-000012670000}"/>
    <cellStyle name="Normal 3 3 2 4 3" xfId="28214" xr:uid="{00000000-0005-0000-0000-000013670000}"/>
    <cellStyle name="Normal 3 3 2 4 3 2" xfId="28216" xr:uid="{00000000-0005-0000-0000-000014670000}"/>
    <cellStyle name="Normal 3 3 2 4 3 2 2" xfId="25420" xr:uid="{00000000-0005-0000-0000-000015670000}"/>
    <cellStyle name="Normal 3 3 2 4 3 2 2 2" xfId="12514" xr:uid="{00000000-0005-0000-0000-000016670000}"/>
    <cellStyle name="Normal 3 3 2 4 3 2 3" xfId="24447" xr:uid="{00000000-0005-0000-0000-000017670000}"/>
    <cellStyle name="Normal 3 3 2 4 3 3" xfId="28888" xr:uid="{00000000-0005-0000-0000-000018670000}"/>
    <cellStyle name="Normal 3 3 2 4 3 3 2" xfId="32361" xr:uid="{00000000-0005-0000-0000-000019670000}"/>
    <cellStyle name="Normal 3 3 2 4 3 4" xfId="28218" xr:uid="{00000000-0005-0000-0000-00001A670000}"/>
    <cellStyle name="Normal 3 3 2 4 4" xfId="30033" xr:uid="{00000000-0005-0000-0000-00001B670000}"/>
    <cellStyle name="Normal 3 3 2 4 4 2" xfId="28220" xr:uid="{00000000-0005-0000-0000-00001C670000}"/>
    <cellStyle name="Normal 3 3 2 4 4 2 2" xfId="28044" xr:uid="{00000000-0005-0000-0000-00001D670000}"/>
    <cellStyle name="Normal 3 3 2 4 4 3" xfId="28228" xr:uid="{00000000-0005-0000-0000-00001E670000}"/>
    <cellStyle name="Normal 3 3 2 4 5" xfId="10635" xr:uid="{00000000-0005-0000-0000-00001F670000}"/>
    <cellStyle name="Normal 3 3 2 4 5 2" xfId="14979" xr:uid="{00000000-0005-0000-0000-000020670000}"/>
    <cellStyle name="Normal 3 3 2 4 6" xfId="14983" xr:uid="{00000000-0005-0000-0000-000021670000}"/>
    <cellStyle name="Normal 3 3 2 5" xfId="32780" xr:uid="{00000000-0005-0000-0000-000022670000}"/>
    <cellStyle name="Normal 3 3 2 5 2" xfId="28875" xr:uid="{00000000-0005-0000-0000-000023670000}"/>
    <cellStyle name="Normal 3 3 2 5 2 2" xfId="31614" xr:uid="{00000000-0005-0000-0000-000024670000}"/>
    <cellStyle name="Normal 3 3 2 5 2 2 2" xfId="28232" xr:uid="{00000000-0005-0000-0000-000025670000}"/>
    <cellStyle name="Normal 3 3 2 5 2 2 2 2" xfId="25487" xr:uid="{00000000-0005-0000-0000-000026670000}"/>
    <cellStyle name="Normal 3 3 2 5 2 2 3" xfId="24526" xr:uid="{00000000-0005-0000-0000-000027670000}"/>
    <cellStyle name="Normal 3 3 2 5 2 3" xfId="31814" xr:uid="{00000000-0005-0000-0000-000028670000}"/>
    <cellStyle name="Normal 3 3 2 5 2 3 2" xfId="24485" xr:uid="{00000000-0005-0000-0000-000029670000}"/>
    <cellStyle name="Normal 3 3 2 5 2 4" xfId="2342" xr:uid="{00000000-0005-0000-0000-00002A670000}"/>
    <cellStyle name="Normal 3 3 2 5 3" xfId="29287" xr:uid="{00000000-0005-0000-0000-00002B670000}"/>
    <cellStyle name="Normal 3 3 2 5 3 2" xfId="33487" xr:uid="{00000000-0005-0000-0000-00002C670000}"/>
    <cellStyle name="Normal 3 3 2 5 3 2 2" xfId="9314" xr:uid="{00000000-0005-0000-0000-00002D670000}"/>
    <cellStyle name="Normal 3 3 2 5 3 3" xfId="31830" xr:uid="{00000000-0005-0000-0000-00002E670000}"/>
    <cellStyle name="Normal 3 3 2 5 4" xfId="20845" xr:uid="{00000000-0005-0000-0000-00002F670000}"/>
    <cellStyle name="Normal 3 3 2 5 4 2" xfId="29141" xr:uid="{00000000-0005-0000-0000-000030670000}"/>
    <cellStyle name="Normal 3 3 2 5 5" xfId="1699" xr:uid="{00000000-0005-0000-0000-000031670000}"/>
    <cellStyle name="Normal 3 3 2 6" xfId="28250" xr:uid="{00000000-0005-0000-0000-000032670000}"/>
    <cellStyle name="Normal 3 3 2 6 2" xfId="31875" xr:uid="{00000000-0005-0000-0000-000033670000}"/>
    <cellStyle name="Normal 3 3 2 6 2 2" xfId="31990" xr:uid="{00000000-0005-0000-0000-000034670000}"/>
    <cellStyle name="Normal 3 3 2 6 2 2 2" xfId="28253" xr:uid="{00000000-0005-0000-0000-000035670000}"/>
    <cellStyle name="Normal 3 3 2 6 2 3" xfId="33506" xr:uid="{00000000-0005-0000-0000-000036670000}"/>
    <cellStyle name="Normal 3 3 2 6 3" xfId="31468" xr:uid="{00000000-0005-0000-0000-000037670000}"/>
    <cellStyle name="Normal 3 3 2 6 3 2" xfId="31471" xr:uid="{00000000-0005-0000-0000-000038670000}"/>
    <cellStyle name="Normal 3 3 2 6 4" xfId="22126" xr:uid="{00000000-0005-0000-0000-000039670000}"/>
    <cellStyle name="Normal 3 3 2 7" xfId="23533" xr:uid="{00000000-0005-0000-0000-00003A670000}"/>
    <cellStyle name="Normal 3 3 2 7 2" xfId="24455" xr:uid="{00000000-0005-0000-0000-00003B670000}"/>
    <cellStyle name="Normal 3 3 2 7 2 2" xfId="28263" xr:uid="{00000000-0005-0000-0000-00003C670000}"/>
    <cellStyle name="Normal 3 3 2 7 3" xfId="28266" xr:uid="{00000000-0005-0000-0000-00003D670000}"/>
    <cellStyle name="Normal 3 3 2 8" xfId="20057" xr:uid="{00000000-0005-0000-0000-00003E670000}"/>
    <cellStyle name="Normal 3 3 2 8 2" xfId="26029" xr:uid="{00000000-0005-0000-0000-00003F670000}"/>
    <cellStyle name="Normal 3 3 2 9" xfId="16920" xr:uid="{00000000-0005-0000-0000-000040670000}"/>
    <cellStyle name="Normal 3 3 3" xfId="30233" xr:uid="{00000000-0005-0000-0000-000041670000}"/>
    <cellStyle name="Normal 3 3 3 2" xfId="33656" xr:uid="{00000000-0005-0000-0000-000042670000}"/>
    <cellStyle name="Normal 3 3 3 2 2" xfId="19708" xr:uid="{00000000-0005-0000-0000-000043670000}"/>
    <cellStyle name="Normal 3 3 3 2 2 2" xfId="26891" xr:uid="{00000000-0005-0000-0000-000044670000}"/>
    <cellStyle name="Normal 3 3 3 2 2 2 2" xfId="28268" xr:uid="{00000000-0005-0000-0000-000045670000}"/>
    <cellStyle name="Normal 3 3 3 2 2 2 2 2" xfId="27440" xr:uid="{00000000-0005-0000-0000-000046670000}"/>
    <cellStyle name="Normal 3 3 3 2 2 2 2 2 2" xfId="27781" xr:uid="{00000000-0005-0000-0000-000047670000}"/>
    <cellStyle name="Normal 3 3 3 2 2 2 2 2 2 2" xfId="11673" xr:uid="{00000000-0005-0000-0000-000048670000}"/>
    <cellStyle name="Normal 3 3 3 2 2 2 2 2 3" xfId="10879" xr:uid="{00000000-0005-0000-0000-000049670000}"/>
    <cellStyle name="Normal 3 3 3 2 2 2 2 3" xfId="4191" xr:uid="{00000000-0005-0000-0000-00004A670000}"/>
    <cellStyle name="Normal 3 3 3 2 2 2 2 3 2" xfId="13547" xr:uid="{00000000-0005-0000-0000-00004B670000}"/>
    <cellStyle name="Normal 3 3 3 2 2 2 2 4" xfId="12414" xr:uid="{00000000-0005-0000-0000-00004C670000}"/>
    <cellStyle name="Normal 3 3 3 2 2 2 3" xfId="28273" xr:uid="{00000000-0005-0000-0000-00004D670000}"/>
    <cellStyle name="Normal 3 3 3 2 2 2 3 2" xfId="28281" xr:uid="{00000000-0005-0000-0000-00004E670000}"/>
    <cellStyle name="Normal 3 3 3 2 2 2 3 2 2" xfId="28286" xr:uid="{00000000-0005-0000-0000-00004F670000}"/>
    <cellStyle name="Normal 3 3 3 2 2 2 3 3" xfId="25719" xr:uid="{00000000-0005-0000-0000-000050670000}"/>
    <cellStyle name="Normal 3 3 3 2 2 2 4" xfId="26594" xr:uid="{00000000-0005-0000-0000-000051670000}"/>
    <cellStyle name="Normal 3 3 3 2 2 2 4 2" xfId="28294" xr:uid="{00000000-0005-0000-0000-000052670000}"/>
    <cellStyle name="Normal 3 3 3 2 2 2 5" xfId="28140" xr:uid="{00000000-0005-0000-0000-000053670000}"/>
    <cellStyle name="Normal 3 3 3 2 2 3" xfId="32645" xr:uid="{00000000-0005-0000-0000-000054670000}"/>
    <cellStyle name="Normal 3 3 3 2 2 3 2" xfId="23335" xr:uid="{00000000-0005-0000-0000-000055670000}"/>
    <cellStyle name="Normal 3 3 3 2 2 3 2 2" xfId="32392" xr:uid="{00000000-0005-0000-0000-000056670000}"/>
    <cellStyle name="Normal 3 3 3 2 2 3 2 2 2" xfId="29985" xr:uid="{00000000-0005-0000-0000-000057670000}"/>
    <cellStyle name="Normal 3 3 3 2 2 3 2 3" xfId="30030" xr:uid="{00000000-0005-0000-0000-000058670000}"/>
    <cellStyle name="Normal 3 3 3 2 2 3 3" xfId="30324" xr:uid="{00000000-0005-0000-0000-000059670000}"/>
    <cellStyle name="Normal 3 3 3 2 2 3 3 2" xfId="30086" xr:uid="{00000000-0005-0000-0000-00005A670000}"/>
    <cellStyle name="Normal 3 3 3 2 2 3 4" xfId="28301" xr:uid="{00000000-0005-0000-0000-00005B670000}"/>
    <cellStyle name="Normal 3 3 3 2 2 4" xfId="13250" xr:uid="{00000000-0005-0000-0000-00005C670000}"/>
    <cellStyle name="Normal 3 3 3 2 2 4 2" xfId="9672" xr:uid="{00000000-0005-0000-0000-00005D670000}"/>
    <cellStyle name="Normal 3 3 3 2 2 4 2 2" xfId="10623" xr:uid="{00000000-0005-0000-0000-00005E670000}"/>
    <cellStyle name="Normal 3 3 3 2 2 4 3" xfId="9675" xr:uid="{00000000-0005-0000-0000-00005F670000}"/>
    <cellStyle name="Normal 3 3 3 2 2 5" xfId="10651" xr:uid="{00000000-0005-0000-0000-000060670000}"/>
    <cellStyle name="Normal 3 3 3 2 2 5 2" xfId="25971" xr:uid="{00000000-0005-0000-0000-000061670000}"/>
    <cellStyle name="Normal 3 3 3 2 2 6" xfId="10670" xr:uid="{00000000-0005-0000-0000-000062670000}"/>
    <cellStyle name="Normal 3 3 3 2 3" xfId="22496" xr:uid="{00000000-0005-0000-0000-000063670000}"/>
    <cellStyle name="Normal 3 3 3 2 3 2" xfId="29960" xr:uid="{00000000-0005-0000-0000-000064670000}"/>
    <cellStyle name="Normal 3 3 3 2 3 2 2" xfId="21907" xr:uid="{00000000-0005-0000-0000-000065670000}"/>
    <cellStyle name="Normal 3 3 3 2 3 2 2 2" xfId="28302" xr:uid="{00000000-0005-0000-0000-000066670000}"/>
    <cellStyle name="Normal 3 3 3 2 3 2 2 2 2" xfId="24685" xr:uid="{00000000-0005-0000-0000-000067670000}"/>
    <cellStyle name="Normal 3 3 3 2 3 2 2 3" xfId="28316" xr:uid="{00000000-0005-0000-0000-000068670000}"/>
    <cellStyle name="Normal 3 3 3 2 3 2 3" xfId="28320" xr:uid="{00000000-0005-0000-0000-000069670000}"/>
    <cellStyle name="Normal 3 3 3 2 3 2 3 2" xfId="26112" xr:uid="{00000000-0005-0000-0000-00006A670000}"/>
    <cellStyle name="Normal 3 3 3 2 3 2 4" xfId="28321" xr:uid="{00000000-0005-0000-0000-00006B670000}"/>
    <cellStyle name="Normal 3 3 3 2 3 3" xfId="12787" xr:uid="{00000000-0005-0000-0000-00006C670000}"/>
    <cellStyle name="Normal 3 3 3 2 3 3 2" xfId="28836" xr:uid="{00000000-0005-0000-0000-00006D670000}"/>
    <cellStyle name="Normal 3 3 3 2 3 3 2 2" xfId="32818" xr:uid="{00000000-0005-0000-0000-00006E670000}"/>
    <cellStyle name="Normal 3 3 3 2 3 3 3" xfId="28328" xr:uid="{00000000-0005-0000-0000-00006F670000}"/>
    <cellStyle name="Normal 3 3 3 2 3 4" xfId="12789" xr:uid="{00000000-0005-0000-0000-000070670000}"/>
    <cellStyle name="Normal 3 3 3 2 3 4 2" xfId="9688" xr:uid="{00000000-0005-0000-0000-000071670000}"/>
    <cellStyle name="Normal 3 3 3 2 3 5" xfId="10781" xr:uid="{00000000-0005-0000-0000-000072670000}"/>
    <cellStyle name="Normal 3 3 3 2 4" xfId="31300" xr:uid="{00000000-0005-0000-0000-000073670000}"/>
    <cellStyle name="Normal 3 3 3 2 4 2" xfId="32907" xr:uid="{00000000-0005-0000-0000-000074670000}"/>
    <cellStyle name="Normal 3 3 3 2 4 2 2" xfId="29490" xr:uid="{00000000-0005-0000-0000-000075670000}"/>
    <cellStyle name="Normal 3 3 3 2 4 2 2 2" xfId="28331" xr:uid="{00000000-0005-0000-0000-000076670000}"/>
    <cellStyle name="Normal 3 3 3 2 4 2 3" xfId="28338" xr:uid="{00000000-0005-0000-0000-000077670000}"/>
    <cellStyle name="Normal 3 3 3 2 4 3" xfId="12797" xr:uid="{00000000-0005-0000-0000-000078670000}"/>
    <cellStyle name="Normal 3 3 3 2 4 3 2" xfId="33721" xr:uid="{00000000-0005-0000-0000-000079670000}"/>
    <cellStyle name="Normal 3 3 3 2 4 4" xfId="6237" xr:uid="{00000000-0005-0000-0000-00007A670000}"/>
    <cellStyle name="Normal 3 3 3 2 5" xfId="31308" xr:uid="{00000000-0005-0000-0000-00007B670000}"/>
    <cellStyle name="Normal 3 3 3 2 5 2" xfId="26920" xr:uid="{00000000-0005-0000-0000-00007C670000}"/>
    <cellStyle name="Normal 3 3 3 2 5 2 2" xfId="26922" xr:uid="{00000000-0005-0000-0000-00007D670000}"/>
    <cellStyle name="Normal 3 3 3 2 5 3" xfId="26282" xr:uid="{00000000-0005-0000-0000-00007E670000}"/>
    <cellStyle name="Normal 3 3 3 2 6" xfId="20695" xr:uid="{00000000-0005-0000-0000-00007F670000}"/>
    <cellStyle name="Normal 3 3 3 2 6 2" xfId="22274" xr:uid="{00000000-0005-0000-0000-000080670000}"/>
    <cellStyle name="Normal 3 3 3 2 7" xfId="20702" xr:uid="{00000000-0005-0000-0000-000081670000}"/>
    <cellStyle name="Normal 3 3 3 3" xfId="30387" xr:uid="{00000000-0005-0000-0000-000082670000}"/>
    <cellStyle name="Normal 3 3 3 3 2" xfId="22506" xr:uid="{00000000-0005-0000-0000-000083670000}"/>
    <cellStyle name="Normal 3 3 3 3 2 2" xfId="29574" xr:uid="{00000000-0005-0000-0000-000084670000}"/>
    <cellStyle name="Normal 3 3 3 3 2 2 2" xfId="5202" xr:uid="{00000000-0005-0000-0000-000085670000}"/>
    <cellStyle name="Normal 3 3 3 3 2 2 2 2" xfId="29515" xr:uid="{00000000-0005-0000-0000-000086670000}"/>
    <cellStyle name="Normal 3 3 3 3 2 2 2 2 2" xfId="28349" xr:uid="{00000000-0005-0000-0000-000087670000}"/>
    <cellStyle name="Normal 3 3 3 3 2 2 2 3" xfId="31917" xr:uid="{00000000-0005-0000-0000-000088670000}"/>
    <cellStyle name="Normal 3 3 3 3 2 2 3" xfId="33002" xr:uid="{00000000-0005-0000-0000-000089670000}"/>
    <cellStyle name="Normal 3 3 3 3 2 2 3 2" xfId="70" xr:uid="{00000000-0005-0000-0000-00008A670000}"/>
    <cellStyle name="Normal 3 3 3 3 2 2 4" xfId="9429" xr:uid="{00000000-0005-0000-0000-00008B670000}"/>
    <cellStyle name="Normal 3 3 3 3 2 3" xfId="30951" xr:uid="{00000000-0005-0000-0000-00008C670000}"/>
    <cellStyle name="Normal 3 3 3 3 2 3 2" xfId="33943" xr:uid="{00000000-0005-0000-0000-00008D670000}"/>
    <cellStyle name="Normal 3 3 3 3 2 3 2 2" xfId="28351" xr:uid="{00000000-0005-0000-0000-00008E670000}"/>
    <cellStyle name="Normal 3 3 3 3 2 3 3" xfId="32127" xr:uid="{00000000-0005-0000-0000-00008F670000}"/>
    <cellStyle name="Normal 3 3 3 3 2 4" xfId="12357" xr:uid="{00000000-0005-0000-0000-000090670000}"/>
    <cellStyle name="Normal 3 3 3 3 2 4 2" xfId="24192" xr:uid="{00000000-0005-0000-0000-000091670000}"/>
    <cellStyle name="Normal 3 3 3 3 2 5" xfId="21889" xr:uid="{00000000-0005-0000-0000-000092670000}"/>
    <cellStyle name="Normal 3 3 3 3 3" xfId="28355" xr:uid="{00000000-0005-0000-0000-000093670000}"/>
    <cellStyle name="Normal 3 3 3 3 3 2" xfId="29525" xr:uid="{00000000-0005-0000-0000-000094670000}"/>
    <cellStyle name="Normal 3 3 3 3 3 2 2" xfId="29527" xr:uid="{00000000-0005-0000-0000-000095670000}"/>
    <cellStyle name="Normal 3 3 3 3 3 2 2 2" xfId="28288" xr:uid="{00000000-0005-0000-0000-000096670000}"/>
    <cellStyle name="Normal 3 3 3 3 3 2 3" xfId="28357" xr:uid="{00000000-0005-0000-0000-000097670000}"/>
    <cellStyle name="Normal 3 3 3 3 3 3" xfId="12801" xr:uid="{00000000-0005-0000-0000-000098670000}"/>
    <cellStyle name="Normal 3 3 3 3 3 3 2" xfId="28361" xr:uid="{00000000-0005-0000-0000-000099670000}"/>
    <cellStyle name="Normal 3 3 3 3 3 4" xfId="12457" xr:uid="{00000000-0005-0000-0000-00009A670000}"/>
    <cellStyle name="Normal 3 3 3 3 4" xfId="9179" xr:uid="{00000000-0005-0000-0000-00009B670000}"/>
    <cellStyle name="Normal 3 3 3 3 4 2" xfId="18304" xr:uid="{00000000-0005-0000-0000-00009C670000}"/>
    <cellStyle name="Normal 3 3 3 3 4 2 2" xfId="4489" xr:uid="{00000000-0005-0000-0000-00009D670000}"/>
    <cellStyle name="Normal 3 3 3 3 4 3" xfId="33064" xr:uid="{00000000-0005-0000-0000-00009E670000}"/>
    <cellStyle name="Normal 3 3 3 3 5" xfId="5198" xr:uid="{00000000-0005-0000-0000-00009F670000}"/>
    <cellStyle name="Normal 3 3 3 3 5 2" xfId="17378" xr:uid="{00000000-0005-0000-0000-0000A0670000}"/>
    <cellStyle name="Normal 3 3 3 3 6" xfId="875" xr:uid="{00000000-0005-0000-0000-0000A1670000}"/>
    <cellStyle name="Normal 3 3 3 4" xfId="31034" xr:uid="{00000000-0005-0000-0000-0000A2670000}"/>
    <cellStyle name="Normal 3 3 3 4 2" xfId="24353" xr:uid="{00000000-0005-0000-0000-0000A3670000}"/>
    <cellStyle name="Normal 3 3 3 4 2 2" xfId="33743" xr:uid="{00000000-0005-0000-0000-0000A4670000}"/>
    <cellStyle name="Normal 3 3 3 4 2 2 2" xfId="5697" xr:uid="{00000000-0005-0000-0000-0000A5670000}"/>
    <cellStyle name="Normal 3 3 3 4 2 2 2 2" xfId="28340" xr:uid="{00000000-0005-0000-0000-0000A6670000}"/>
    <cellStyle name="Normal 3 3 3 4 2 2 3" xfId="28372" xr:uid="{00000000-0005-0000-0000-0000A7670000}"/>
    <cellStyle name="Normal 3 3 3 4 2 3" xfId="33965" xr:uid="{00000000-0005-0000-0000-0000A8670000}"/>
    <cellStyle name="Normal 3 3 3 4 2 3 2" xfId="9025" xr:uid="{00000000-0005-0000-0000-0000A9670000}"/>
    <cellStyle name="Normal 3 3 3 4 2 4" xfId="14433" xr:uid="{00000000-0005-0000-0000-0000AA670000}"/>
    <cellStyle name="Normal 3 3 3 4 3" xfId="27000" xr:uid="{00000000-0005-0000-0000-0000AB670000}"/>
    <cellStyle name="Normal 3 3 3 4 3 2" xfId="22718" xr:uid="{00000000-0005-0000-0000-0000AC670000}"/>
    <cellStyle name="Normal 3 3 3 4 3 2 2" xfId="28377" xr:uid="{00000000-0005-0000-0000-0000AD670000}"/>
    <cellStyle name="Normal 3 3 3 4 3 3" xfId="28380" xr:uid="{00000000-0005-0000-0000-0000AE670000}"/>
    <cellStyle name="Normal 3 3 3 4 4" xfId="1735" xr:uid="{00000000-0005-0000-0000-0000AF670000}"/>
    <cellStyle name="Normal 3 3 3 4 4 2" xfId="28385" xr:uid="{00000000-0005-0000-0000-0000B0670000}"/>
    <cellStyle name="Normal 3 3 3 4 5" xfId="647" xr:uid="{00000000-0005-0000-0000-0000B1670000}"/>
    <cellStyle name="Normal 3 3 3 5" xfId="32003" xr:uid="{00000000-0005-0000-0000-0000B2670000}"/>
    <cellStyle name="Normal 3 3 3 5 2" xfId="29150" xr:uid="{00000000-0005-0000-0000-0000B3670000}"/>
    <cellStyle name="Normal 3 3 3 5 2 2" xfId="29585" xr:uid="{00000000-0005-0000-0000-0000B4670000}"/>
    <cellStyle name="Normal 3 3 3 5 2 2 2" xfId="28393" xr:uid="{00000000-0005-0000-0000-0000B5670000}"/>
    <cellStyle name="Normal 3 3 3 5 2 3" xfId="32184" xr:uid="{00000000-0005-0000-0000-0000B6670000}"/>
    <cellStyle name="Normal 3 3 3 5 3" xfId="31252" xr:uid="{00000000-0005-0000-0000-0000B7670000}"/>
    <cellStyle name="Normal 3 3 3 5 3 2" xfId="25919" xr:uid="{00000000-0005-0000-0000-0000B8670000}"/>
    <cellStyle name="Normal 3 3 3 5 4" xfId="28147" xr:uid="{00000000-0005-0000-0000-0000B9670000}"/>
    <cellStyle name="Normal 3 3 3 6" xfId="32005" xr:uid="{00000000-0005-0000-0000-0000BA670000}"/>
    <cellStyle name="Normal 3 3 3 6 2" xfId="3027" xr:uid="{00000000-0005-0000-0000-0000BB670000}"/>
    <cellStyle name="Normal 3 3 3 6 2 2" xfId="27808" xr:uid="{00000000-0005-0000-0000-0000BC670000}"/>
    <cellStyle name="Normal 3 3 3 6 3" xfId="31473" xr:uid="{00000000-0005-0000-0000-0000BD670000}"/>
    <cellStyle name="Normal 3 3 3 7" xfId="30355" xr:uid="{00000000-0005-0000-0000-0000BE670000}"/>
    <cellStyle name="Normal 3 3 3 7 2" xfId="28398" xr:uid="{00000000-0005-0000-0000-0000BF670000}"/>
    <cellStyle name="Normal 3 3 3 8" xfId="28401" xr:uid="{00000000-0005-0000-0000-0000C0670000}"/>
    <cellStyle name="Normal 3 3 4" xfId="4498" xr:uid="{00000000-0005-0000-0000-0000C1670000}"/>
    <cellStyle name="Normal 3 3 4 2" xfId="1982" xr:uid="{00000000-0005-0000-0000-0000C2670000}"/>
    <cellStyle name="Normal 3 3 4 2 2" xfId="4502" xr:uid="{00000000-0005-0000-0000-0000C3670000}"/>
    <cellStyle name="Normal 3 3 4 2 2 2" xfId="7623" xr:uid="{00000000-0005-0000-0000-0000C4670000}"/>
    <cellStyle name="Normal 3 3 4 2 2 2 2" xfId="23323" xr:uid="{00000000-0005-0000-0000-0000C5670000}"/>
    <cellStyle name="Normal 3 3 4 2 2 2 2 2" xfId="29809" xr:uid="{00000000-0005-0000-0000-0000C6670000}"/>
    <cellStyle name="Normal 3 3 4 2 2 2 2 2 2" xfId="29817" xr:uid="{00000000-0005-0000-0000-0000C7670000}"/>
    <cellStyle name="Normal 3 3 4 2 2 2 2 3" xfId="33454" xr:uid="{00000000-0005-0000-0000-0000C8670000}"/>
    <cellStyle name="Normal 3 3 4 2 2 2 3" xfId="22105" xr:uid="{00000000-0005-0000-0000-0000C9670000}"/>
    <cellStyle name="Normal 3 3 4 2 2 2 3 2" xfId="33551" xr:uid="{00000000-0005-0000-0000-0000CA670000}"/>
    <cellStyle name="Normal 3 3 4 2 2 2 4" xfId="22108" xr:uid="{00000000-0005-0000-0000-0000CB670000}"/>
    <cellStyle name="Normal 3 3 4 2 2 3" xfId="4521" xr:uid="{00000000-0005-0000-0000-0000CC670000}"/>
    <cellStyle name="Normal 3 3 4 2 2 3 2" xfId="33351" xr:uid="{00000000-0005-0000-0000-0000CD670000}"/>
    <cellStyle name="Normal 3 3 4 2 2 3 2 2" xfId="33358" xr:uid="{00000000-0005-0000-0000-0000CE670000}"/>
    <cellStyle name="Normal 3 3 4 2 2 3 3" xfId="16987" xr:uid="{00000000-0005-0000-0000-0000CF670000}"/>
    <cellStyle name="Normal 3 3 4 2 2 4" xfId="5152" xr:uid="{00000000-0005-0000-0000-0000D0670000}"/>
    <cellStyle name="Normal 3 3 4 2 2 4 2" xfId="32674" xr:uid="{00000000-0005-0000-0000-0000D1670000}"/>
    <cellStyle name="Normal 3 3 4 2 2 5" xfId="4550" xr:uid="{00000000-0005-0000-0000-0000D2670000}"/>
    <cellStyle name="Normal 3 3 4 2 3" xfId="4556" xr:uid="{00000000-0005-0000-0000-0000D3670000}"/>
    <cellStyle name="Normal 3 3 4 2 3 2" xfId="4558" xr:uid="{00000000-0005-0000-0000-0000D4670000}"/>
    <cellStyle name="Normal 3 3 4 2 3 2 2" xfId="29605" xr:uid="{00000000-0005-0000-0000-0000D5670000}"/>
    <cellStyle name="Normal 3 3 4 2 3 2 2 2" xfId="24098" xr:uid="{00000000-0005-0000-0000-0000D6670000}"/>
    <cellStyle name="Normal 3 3 4 2 3 2 3" xfId="22135" xr:uid="{00000000-0005-0000-0000-0000D7670000}"/>
    <cellStyle name="Normal 3 3 4 2 3 3" xfId="12840" xr:uid="{00000000-0005-0000-0000-0000D8670000}"/>
    <cellStyle name="Normal 3 3 4 2 3 3 2" xfId="30802" xr:uid="{00000000-0005-0000-0000-0000D9670000}"/>
    <cellStyle name="Normal 3 3 4 2 3 4" xfId="4570" xr:uid="{00000000-0005-0000-0000-0000DA670000}"/>
    <cellStyle name="Normal 3 3 4 2 4" xfId="3121" xr:uid="{00000000-0005-0000-0000-0000DB670000}"/>
    <cellStyle name="Normal 3 3 4 2 4 2" xfId="7638" xr:uid="{00000000-0005-0000-0000-0000DC670000}"/>
    <cellStyle name="Normal 3 3 4 2 4 2 2" xfId="28405" xr:uid="{00000000-0005-0000-0000-0000DD670000}"/>
    <cellStyle name="Normal 3 3 4 2 4 3" xfId="12446" xr:uid="{00000000-0005-0000-0000-0000DE670000}"/>
    <cellStyle name="Normal 3 3 4 2 5" xfId="12851" xr:uid="{00000000-0005-0000-0000-0000DF670000}"/>
    <cellStyle name="Normal 3 3 4 2 5 2" xfId="6760" xr:uid="{00000000-0005-0000-0000-0000E0670000}"/>
    <cellStyle name="Normal 3 3 4 2 6" xfId="12853" xr:uid="{00000000-0005-0000-0000-0000E1670000}"/>
    <cellStyle name="Normal 3 3 4 3" xfId="2277" xr:uid="{00000000-0005-0000-0000-0000E2670000}"/>
    <cellStyle name="Normal 3 3 4 3 2" xfId="4600" xr:uid="{00000000-0005-0000-0000-0000E3670000}"/>
    <cellStyle name="Normal 3 3 4 3 2 2" xfId="7714" xr:uid="{00000000-0005-0000-0000-0000E4670000}"/>
    <cellStyle name="Normal 3 3 4 3 2 2 2" xfId="30398" xr:uid="{00000000-0005-0000-0000-0000E5670000}"/>
    <cellStyle name="Normal 3 3 4 3 2 2 2 2" xfId="30411" xr:uid="{00000000-0005-0000-0000-0000E6670000}"/>
    <cellStyle name="Normal 3 3 4 3 2 2 3" xfId="22179" xr:uid="{00000000-0005-0000-0000-0000E7670000}"/>
    <cellStyle name="Normal 3 3 4 3 2 3" xfId="10719" xr:uid="{00000000-0005-0000-0000-0000E8670000}"/>
    <cellStyle name="Normal 3 3 4 3 2 3 2" xfId="30438" xr:uid="{00000000-0005-0000-0000-0000E9670000}"/>
    <cellStyle name="Normal 3 3 4 3 2 4" xfId="4608" xr:uid="{00000000-0005-0000-0000-0000EA670000}"/>
    <cellStyle name="Normal 3 3 4 3 3" xfId="14997" xr:uid="{00000000-0005-0000-0000-0000EB670000}"/>
    <cellStyle name="Normal 3 3 4 3 3 2" xfId="7723" xr:uid="{00000000-0005-0000-0000-0000EC670000}"/>
    <cellStyle name="Normal 3 3 4 3 3 2 2" xfId="28407" xr:uid="{00000000-0005-0000-0000-0000ED670000}"/>
    <cellStyle name="Normal 3 3 4 3 3 3" xfId="4614" xr:uid="{00000000-0005-0000-0000-0000EE670000}"/>
    <cellStyle name="Normal 3 3 4 3 4" xfId="4617" xr:uid="{00000000-0005-0000-0000-0000EF670000}"/>
    <cellStyle name="Normal 3 3 4 3 4 2" xfId="2426" xr:uid="{00000000-0005-0000-0000-0000F0670000}"/>
    <cellStyle name="Normal 3 3 4 3 5" xfId="12867" xr:uid="{00000000-0005-0000-0000-0000F1670000}"/>
    <cellStyle name="Normal 3 3 4 4" xfId="12175" xr:uid="{00000000-0005-0000-0000-0000F2670000}"/>
    <cellStyle name="Normal 3 3 4 4 2" xfId="4621" xr:uid="{00000000-0005-0000-0000-0000F3670000}"/>
    <cellStyle name="Normal 3 3 4 4 2 2" xfId="8491" xr:uid="{00000000-0005-0000-0000-0000F4670000}"/>
    <cellStyle name="Normal 3 3 4 4 2 2 2" xfId="28680" xr:uid="{00000000-0005-0000-0000-0000F5670000}"/>
    <cellStyle name="Normal 3 3 4 4 2 3" xfId="4623" xr:uid="{00000000-0005-0000-0000-0000F6670000}"/>
    <cellStyle name="Normal 3 3 4 4 3" xfId="4625" xr:uid="{00000000-0005-0000-0000-0000F7670000}"/>
    <cellStyle name="Normal 3 3 4 4 3 2" xfId="4631" xr:uid="{00000000-0005-0000-0000-0000F8670000}"/>
    <cellStyle name="Normal 3 3 4 4 4" xfId="4634" xr:uid="{00000000-0005-0000-0000-0000F9670000}"/>
    <cellStyle name="Normal 3 3 4 5" xfId="4327" xr:uid="{00000000-0005-0000-0000-0000FA670000}"/>
    <cellStyle name="Normal 3 3 4 5 2" xfId="4639" xr:uid="{00000000-0005-0000-0000-0000FB670000}"/>
    <cellStyle name="Normal 3 3 4 5 2 2" xfId="4645" xr:uid="{00000000-0005-0000-0000-0000FC670000}"/>
    <cellStyle name="Normal 3 3 4 5 3" xfId="4648" xr:uid="{00000000-0005-0000-0000-0000FD670000}"/>
    <cellStyle name="Normal 3 3 4 6" xfId="4336" xr:uid="{00000000-0005-0000-0000-0000FE670000}"/>
    <cellStyle name="Normal 3 3 4 6 2" xfId="4654" xr:uid="{00000000-0005-0000-0000-0000FF670000}"/>
    <cellStyle name="Normal 3 3 4 7" xfId="4657" xr:uid="{00000000-0005-0000-0000-000000680000}"/>
    <cellStyle name="Normal 3 3 5" xfId="5472" xr:uid="{00000000-0005-0000-0000-000001680000}"/>
    <cellStyle name="Normal 3 3 5 2" xfId="580" xr:uid="{00000000-0005-0000-0000-000002680000}"/>
    <cellStyle name="Normal 3 3 5 2 2" xfId="4662" xr:uid="{00000000-0005-0000-0000-000003680000}"/>
    <cellStyle name="Normal 3 3 5 2 2 2" xfId="4677" xr:uid="{00000000-0005-0000-0000-000004680000}"/>
    <cellStyle name="Normal 3 3 5 2 2 2 2" xfId="8546" xr:uid="{00000000-0005-0000-0000-000005680000}"/>
    <cellStyle name="Normal 3 3 5 2 2 2 2 2" xfId="28408" xr:uid="{00000000-0005-0000-0000-000006680000}"/>
    <cellStyle name="Normal 3 3 5 2 2 2 3" xfId="22416" xr:uid="{00000000-0005-0000-0000-000007680000}"/>
    <cellStyle name="Normal 3 3 5 2 2 3" xfId="20720" xr:uid="{00000000-0005-0000-0000-000008680000}"/>
    <cellStyle name="Normal 3 3 5 2 2 3 2" xfId="33809" xr:uid="{00000000-0005-0000-0000-000009680000}"/>
    <cellStyle name="Normal 3 3 5 2 2 4" xfId="26375" xr:uid="{00000000-0005-0000-0000-00000A680000}"/>
    <cellStyle name="Normal 3 3 5 2 3" xfId="4695" xr:uid="{00000000-0005-0000-0000-00000B680000}"/>
    <cellStyle name="Normal 3 3 5 2 3 2" xfId="20726" xr:uid="{00000000-0005-0000-0000-00000C680000}"/>
    <cellStyle name="Normal 3 3 5 2 3 2 2" xfId="28409" xr:uid="{00000000-0005-0000-0000-00000D680000}"/>
    <cellStyle name="Normal 3 3 5 2 3 3" xfId="12387" xr:uid="{00000000-0005-0000-0000-00000E680000}"/>
    <cellStyle name="Normal 3 3 5 2 4" xfId="7374" xr:uid="{00000000-0005-0000-0000-00000F680000}"/>
    <cellStyle name="Normal 3 3 5 2 4 2" xfId="12393" xr:uid="{00000000-0005-0000-0000-000010680000}"/>
    <cellStyle name="Normal 3 3 5 2 5" xfId="12875" xr:uid="{00000000-0005-0000-0000-000011680000}"/>
    <cellStyle name="Normal 3 3 5 3" xfId="12180" xr:uid="{00000000-0005-0000-0000-000012680000}"/>
    <cellStyle name="Normal 3 3 5 3 2" xfId="4721" xr:uid="{00000000-0005-0000-0000-000013680000}"/>
    <cellStyle name="Normal 3 3 5 3 2 2" xfId="20739" xr:uid="{00000000-0005-0000-0000-000014680000}"/>
    <cellStyle name="Normal 3 3 5 3 2 2 2" xfId="28412" xr:uid="{00000000-0005-0000-0000-000015680000}"/>
    <cellStyle name="Normal 3 3 5 3 2 3" xfId="4727" xr:uid="{00000000-0005-0000-0000-000016680000}"/>
    <cellStyle name="Normal 3 3 5 3 3" xfId="7384" xr:uid="{00000000-0005-0000-0000-000017680000}"/>
    <cellStyle name="Normal 3 3 5 3 3 2" xfId="5594" xr:uid="{00000000-0005-0000-0000-000018680000}"/>
    <cellStyle name="Normal 3 3 5 3 4" xfId="4895" xr:uid="{00000000-0005-0000-0000-000019680000}"/>
    <cellStyle name="Normal 3 3 5 4" xfId="4347" xr:uid="{00000000-0005-0000-0000-00001A680000}"/>
    <cellStyle name="Normal 3 3 5 4 2" xfId="5962" xr:uid="{00000000-0005-0000-0000-00001B680000}"/>
    <cellStyle name="Normal 3 3 5 4 2 2" xfId="4744" xr:uid="{00000000-0005-0000-0000-00001C680000}"/>
    <cellStyle name="Normal 3 3 5 4 3" xfId="3849" xr:uid="{00000000-0005-0000-0000-00001D680000}"/>
    <cellStyle name="Normal 3 3 5 5" xfId="4352" xr:uid="{00000000-0005-0000-0000-00001E680000}"/>
    <cellStyle name="Normal 3 3 5 5 2" xfId="3862" xr:uid="{00000000-0005-0000-0000-00001F680000}"/>
    <cellStyle name="Normal 3 3 5 6" xfId="4748" xr:uid="{00000000-0005-0000-0000-000020680000}"/>
    <cellStyle name="Normal 3 3 6" xfId="11589" xr:uid="{00000000-0005-0000-0000-000021680000}"/>
    <cellStyle name="Normal 3 3 6 2" xfId="1886" xr:uid="{00000000-0005-0000-0000-000022680000}"/>
    <cellStyle name="Normal 3 3 6 2 2" xfId="4756" xr:uid="{00000000-0005-0000-0000-000023680000}"/>
    <cellStyle name="Normal 3 3 6 2 2 2" xfId="20786" xr:uid="{00000000-0005-0000-0000-000024680000}"/>
    <cellStyle name="Normal 3 3 6 2 2 2 2" xfId="33701" xr:uid="{00000000-0005-0000-0000-000025680000}"/>
    <cellStyle name="Normal 3 3 6 2 2 3" xfId="4761" xr:uid="{00000000-0005-0000-0000-000026680000}"/>
    <cellStyle name="Normal 3 3 6 2 3" xfId="4766" xr:uid="{00000000-0005-0000-0000-000027680000}"/>
    <cellStyle name="Normal 3 3 6 2 3 2" xfId="4770" xr:uid="{00000000-0005-0000-0000-000028680000}"/>
    <cellStyle name="Normal 3 3 6 2 4" xfId="4518" xr:uid="{00000000-0005-0000-0000-000029680000}"/>
    <cellStyle name="Normal 3 3 6 3" xfId="1069" xr:uid="{00000000-0005-0000-0000-00002A680000}"/>
    <cellStyle name="Normal 3 3 6 3 2" xfId="4778" xr:uid="{00000000-0005-0000-0000-00002B680000}"/>
    <cellStyle name="Normal 3 3 6 3 2 2" xfId="9146" xr:uid="{00000000-0005-0000-0000-00002C680000}"/>
    <cellStyle name="Normal 3 3 6 3 3" xfId="4783" xr:uid="{00000000-0005-0000-0000-00002D680000}"/>
    <cellStyle name="Normal 3 3 6 4" xfId="1621" xr:uid="{00000000-0005-0000-0000-00002E680000}"/>
    <cellStyle name="Normal 3 3 6 4 2" xfId="3867" xr:uid="{00000000-0005-0000-0000-00002F680000}"/>
    <cellStyle name="Normal 3 3 6 5" xfId="2241" xr:uid="{00000000-0005-0000-0000-000030680000}"/>
    <cellStyle name="Normal 3 3 7" xfId="18702" xr:uid="{00000000-0005-0000-0000-000031680000}"/>
    <cellStyle name="Normal 3 3 7 2" xfId="4792" xr:uid="{00000000-0005-0000-0000-000032680000}"/>
    <cellStyle name="Normal 3 3 7 2 2" xfId="8560" xr:uid="{00000000-0005-0000-0000-000033680000}"/>
    <cellStyle name="Normal 3 3 7 2 2 2" xfId="9543" xr:uid="{00000000-0005-0000-0000-000034680000}"/>
    <cellStyle name="Normal 3 3 7 2 3" xfId="4799" xr:uid="{00000000-0005-0000-0000-000035680000}"/>
    <cellStyle name="Normal 3 3 7 3" xfId="19034" xr:uid="{00000000-0005-0000-0000-000036680000}"/>
    <cellStyle name="Normal 3 3 7 3 2" xfId="4801" xr:uid="{00000000-0005-0000-0000-000037680000}"/>
    <cellStyle name="Normal 3 3 7 4" xfId="1645" xr:uid="{00000000-0005-0000-0000-000038680000}"/>
    <cellStyle name="Normal 3 3 8" xfId="5541" xr:uid="{00000000-0005-0000-0000-000039680000}"/>
    <cellStyle name="Normal 3 3 8 2" xfId="4809" xr:uid="{00000000-0005-0000-0000-00003A680000}"/>
    <cellStyle name="Normal 3 3 8 2 2" xfId="4811" xr:uid="{00000000-0005-0000-0000-00003B680000}"/>
    <cellStyle name="Normal 3 3 8 3" xfId="31395" xr:uid="{00000000-0005-0000-0000-00003C680000}"/>
    <cellStyle name="Normal 3 3 9" xfId="8631" xr:uid="{00000000-0005-0000-0000-00003D680000}"/>
    <cellStyle name="Normal 3 3 9 2" xfId="4816" xr:uid="{00000000-0005-0000-0000-00003E680000}"/>
    <cellStyle name="Normal 3 4" xfId="28416" xr:uid="{00000000-0005-0000-0000-00003F680000}"/>
    <cellStyle name="Normal 3 4 2" xfId="1457" xr:uid="{00000000-0005-0000-0000-000040680000}"/>
    <cellStyle name="Normal 3 4 2 2" xfId="23933" xr:uid="{00000000-0005-0000-0000-000041680000}"/>
    <cellStyle name="Normal 3 4 2 2 2" xfId="28418" xr:uid="{00000000-0005-0000-0000-000042680000}"/>
    <cellStyle name="Normal 3 4 2 2 2 2" xfId="28420" xr:uid="{00000000-0005-0000-0000-000043680000}"/>
    <cellStyle name="Normal 3 4 2 2 2 2 2" xfId="28422" xr:uid="{00000000-0005-0000-0000-000044680000}"/>
    <cellStyle name="Normal 3 4 2 2 2 2 2 2" xfId="30112" xr:uid="{00000000-0005-0000-0000-000045680000}"/>
    <cellStyle name="Normal 3 4 2 2 2 2 2 2 2" xfId="32885" xr:uid="{00000000-0005-0000-0000-000046680000}"/>
    <cellStyle name="Normal 3 4 2 2 2 2 2 2 2 2" xfId="29656" xr:uid="{00000000-0005-0000-0000-000047680000}"/>
    <cellStyle name="Normal 3 4 2 2 2 2 2 2 3" xfId="28425" xr:uid="{00000000-0005-0000-0000-000048680000}"/>
    <cellStyle name="Normal 3 4 2 2 2 2 2 3" xfId="8381" xr:uid="{00000000-0005-0000-0000-000049680000}"/>
    <cellStyle name="Normal 3 4 2 2 2 2 2 3 2" xfId="33708" xr:uid="{00000000-0005-0000-0000-00004A680000}"/>
    <cellStyle name="Normal 3 4 2 2 2 2 2 4" xfId="14015" xr:uid="{00000000-0005-0000-0000-00004B680000}"/>
    <cellStyle name="Normal 3 4 2 2 2 2 3" xfId="27905" xr:uid="{00000000-0005-0000-0000-00004C680000}"/>
    <cellStyle name="Normal 3 4 2 2 2 2 3 2" xfId="1853" xr:uid="{00000000-0005-0000-0000-00004D680000}"/>
    <cellStyle name="Normal 3 4 2 2 2 2 3 2 2" xfId="3110" xr:uid="{00000000-0005-0000-0000-00004E680000}"/>
    <cellStyle name="Normal 3 4 2 2 2 2 3 3" xfId="2826" xr:uid="{00000000-0005-0000-0000-00004F680000}"/>
    <cellStyle name="Normal 3 4 2 2 2 2 4" xfId="28428" xr:uid="{00000000-0005-0000-0000-000050680000}"/>
    <cellStyle name="Normal 3 4 2 2 2 2 4 2" xfId="3130" xr:uid="{00000000-0005-0000-0000-000051680000}"/>
    <cellStyle name="Normal 3 4 2 2 2 2 5" xfId="28431" xr:uid="{00000000-0005-0000-0000-000052680000}"/>
    <cellStyle name="Normal 3 4 2 2 2 3" xfId="32065" xr:uid="{00000000-0005-0000-0000-000053680000}"/>
    <cellStyle name="Normal 3 4 2 2 2 3 2" xfId="22902" xr:uid="{00000000-0005-0000-0000-000054680000}"/>
    <cellStyle name="Normal 3 4 2 2 2 3 2 2" xfId="21861" xr:uid="{00000000-0005-0000-0000-000055680000}"/>
    <cellStyle name="Normal 3 4 2 2 2 3 2 2 2" xfId="32802" xr:uid="{00000000-0005-0000-0000-000056680000}"/>
    <cellStyle name="Normal 3 4 2 2 2 3 2 3" xfId="28432" xr:uid="{00000000-0005-0000-0000-000057680000}"/>
    <cellStyle name="Normal 3 4 2 2 2 3 3" xfId="26418" xr:uid="{00000000-0005-0000-0000-000058680000}"/>
    <cellStyle name="Normal 3 4 2 2 2 3 3 2" xfId="5371" xr:uid="{00000000-0005-0000-0000-000059680000}"/>
    <cellStyle name="Normal 3 4 2 2 2 3 4" xfId="21054" xr:uid="{00000000-0005-0000-0000-00005A680000}"/>
    <cellStyle name="Normal 3 4 2 2 2 4" xfId="32842" xr:uid="{00000000-0005-0000-0000-00005B680000}"/>
    <cellStyle name="Normal 3 4 2 2 2 4 2" xfId="31355" xr:uid="{00000000-0005-0000-0000-00005C680000}"/>
    <cellStyle name="Normal 3 4 2 2 2 4 2 2" xfId="3326" xr:uid="{00000000-0005-0000-0000-00005D680000}"/>
    <cellStyle name="Normal 3 4 2 2 2 4 3" xfId="27460" xr:uid="{00000000-0005-0000-0000-00005E680000}"/>
    <cellStyle name="Normal 3 4 2 2 2 5" xfId="32854" xr:uid="{00000000-0005-0000-0000-00005F680000}"/>
    <cellStyle name="Normal 3 4 2 2 2 5 2" xfId="24464" xr:uid="{00000000-0005-0000-0000-000060680000}"/>
    <cellStyle name="Normal 3 4 2 2 2 6" xfId="27334" xr:uid="{00000000-0005-0000-0000-000061680000}"/>
    <cellStyle name="Normal 3 4 2 2 3" xfId="33335" xr:uid="{00000000-0005-0000-0000-000062680000}"/>
    <cellStyle name="Normal 3 4 2 2 3 2" xfId="31949" xr:uid="{00000000-0005-0000-0000-000063680000}"/>
    <cellStyle name="Normal 3 4 2 2 3 2 2" xfId="28435" xr:uid="{00000000-0005-0000-0000-000064680000}"/>
    <cellStyle name="Normal 3 4 2 2 3 2 2 2" xfId="28436" xr:uid="{00000000-0005-0000-0000-000065680000}"/>
    <cellStyle name="Normal 3 4 2 2 3 2 2 2 2" xfId="21506" xr:uid="{00000000-0005-0000-0000-000066680000}"/>
    <cellStyle name="Normal 3 4 2 2 3 2 2 3" xfId="28437" xr:uid="{00000000-0005-0000-0000-000067680000}"/>
    <cellStyle name="Normal 3 4 2 2 3 2 3" xfId="26291" xr:uid="{00000000-0005-0000-0000-000068680000}"/>
    <cellStyle name="Normal 3 4 2 2 3 2 3 2" xfId="1391" xr:uid="{00000000-0005-0000-0000-000069680000}"/>
    <cellStyle name="Normal 3 4 2 2 3 2 4" xfId="26297" xr:uid="{00000000-0005-0000-0000-00006A680000}"/>
    <cellStyle name="Normal 3 4 2 2 3 3" xfId="10603" xr:uid="{00000000-0005-0000-0000-00006B680000}"/>
    <cellStyle name="Normal 3 4 2 2 3 3 2" xfId="34016" xr:uid="{00000000-0005-0000-0000-00006C680000}"/>
    <cellStyle name="Normal 3 4 2 2 3 3 2 2" xfId="24566" xr:uid="{00000000-0005-0000-0000-00006D680000}"/>
    <cellStyle name="Normal 3 4 2 2 3 3 3" xfId="1848" xr:uid="{00000000-0005-0000-0000-00006E680000}"/>
    <cellStyle name="Normal 3 4 2 2 3 4" xfId="12948" xr:uid="{00000000-0005-0000-0000-00006F680000}"/>
    <cellStyle name="Normal 3 4 2 2 3 4 2" xfId="27895" xr:uid="{00000000-0005-0000-0000-000070680000}"/>
    <cellStyle name="Normal 3 4 2 2 3 5" xfId="33614" xr:uid="{00000000-0005-0000-0000-000071680000}"/>
    <cellStyle name="Normal 3 4 2 2 4" xfId="32785" xr:uid="{00000000-0005-0000-0000-000072680000}"/>
    <cellStyle name="Normal 3 4 2 2 4 2" xfId="28444" xr:uid="{00000000-0005-0000-0000-000073680000}"/>
    <cellStyle name="Normal 3 4 2 2 4 2 2" xfId="28445" xr:uid="{00000000-0005-0000-0000-000074680000}"/>
    <cellStyle name="Normal 3 4 2 2 4 2 2 2" xfId="28012" xr:uid="{00000000-0005-0000-0000-000075680000}"/>
    <cellStyle name="Normal 3 4 2 2 4 2 3" xfId="26346" xr:uid="{00000000-0005-0000-0000-000076680000}"/>
    <cellStyle name="Normal 3 4 2 2 4 3" xfId="12953" xr:uid="{00000000-0005-0000-0000-000077680000}"/>
    <cellStyle name="Normal 3 4 2 2 4 3 2" xfId="33377" xr:uid="{00000000-0005-0000-0000-000078680000}"/>
    <cellStyle name="Normal 3 4 2 2 4 4" xfId="22212" xr:uid="{00000000-0005-0000-0000-000079680000}"/>
    <cellStyle name="Normal 3 4 2 2 5" xfId="26321" xr:uid="{00000000-0005-0000-0000-00007A680000}"/>
    <cellStyle name="Normal 3 4 2 2 5 2" xfId="26405" xr:uid="{00000000-0005-0000-0000-00007B680000}"/>
    <cellStyle name="Normal 3 4 2 2 5 2 2" xfId="13580" xr:uid="{00000000-0005-0000-0000-00007C680000}"/>
    <cellStyle name="Normal 3 4 2 2 5 3" xfId="19219" xr:uid="{00000000-0005-0000-0000-00007D680000}"/>
    <cellStyle name="Normal 3 4 2 2 6" xfId="20867" xr:uid="{00000000-0005-0000-0000-00007E680000}"/>
    <cellStyle name="Normal 3 4 2 2 6 2" xfId="19272" xr:uid="{00000000-0005-0000-0000-00007F680000}"/>
    <cellStyle name="Normal 3 4 2 2 7" xfId="20770" xr:uid="{00000000-0005-0000-0000-000080680000}"/>
    <cellStyle name="Normal 3 4 2 3" xfId="23934" xr:uid="{00000000-0005-0000-0000-000081680000}"/>
    <cellStyle name="Normal 3 4 2 3 2" xfId="32805" xr:uid="{00000000-0005-0000-0000-000082680000}"/>
    <cellStyle name="Normal 3 4 2 3 2 2" xfId="33243" xr:uid="{00000000-0005-0000-0000-000083680000}"/>
    <cellStyle name="Normal 3 4 2 3 2 2 2" xfId="13000" xr:uid="{00000000-0005-0000-0000-000084680000}"/>
    <cellStyle name="Normal 3 4 2 3 2 2 2 2" xfId="13006" xr:uid="{00000000-0005-0000-0000-000085680000}"/>
    <cellStyle name="Normal 3 4 2 3 2 2 2 2 2" xfId="16272" xr:uid="{00000000-0005-0000-0000-000086680000}"/>
    <cellStyle name="Normal 3 4 2 3 2 2 2 3" xfId="29121" xr:uid="{00000000-0005-0000-0000-000087680000}"/>
    <cellStyle name="Normal 3 4 2 3 2 2 3" xfId="13301" xr:uid="{00000000-0005-0000-0000-000088680000}"/>
    <cellStyle name="Normal 3 4 2 3 2 2 3 2" xfId="19549" xr:uid="{00000000-0005-0000-0000-000089680000}"/>
    <cellStyle name="Normal 3 4 2 3 2 2 4" xfId="17790" xr:uid="{00000000-0005-0000-0000-00008A680000}"/>
    <cellStyle name="Normal 3 4 2 3 2 3" xfId="33853" xr:uid="{00000000-0005-0000-0000-00008B680000}"/>
    <cellStyle name="Normal 3 4 2 3 2 3 2" xfId="13017" xr:uid="{00000000-0005-0000-0000-00008C680000}"/>
    <cellStyle name="Normal 3 4 2 3 2 3 2 2" xfId="28446" xr:uid="{00000000-0005-0000-0000-00008D680000}"/>
    <cellStyle name="Normal 3 4 2 3 2 3 3" xfId="896" xr:uid="{00000000-0005-0000-0000-00008E680000}"/>
    <cellStyle name="Normal 3 4 2 3 2 4" xfId="32933" xr:uid="{00000000-0005-0000-0000-00008F680000}"/>
    <cellStyle name="Normal 3 4 2 3 2 4 2" xfId="30254" xr:uid="{00000000-0005-0000-0000-000090680000}"/>
    <cellStyle name="Normal 3 4 2 3 2 5" xfId="22673" xr:uid="{00000000-0005-0000-0000-000091680000}"/>
    <cellStyle name="Normal 3 4 2 3 3" xfId="27542" xr:uid="{00000000-0005-0000-0000-000092680000}"/>
    <cellStyle name="Normal 3 4 2 3 3 2" xfId="28452" xr:uid="{00000000-0005-0000-0000-000093680000}"/>
    <cellStyle name="Normal 3 4 2 3 3 2 2" xfId="9285" xr:uid="{00000000-0005-0000-0000-000094680000}"/>
    <cellStyle name="Normal 3 4 2 3 3 2 2 2" xfId="29821" xr:uid="{00000000-0005-0000-0000-000095680000}"/>
    <cellStyle name="Normal 3 4 2 3 3 2 3" xfId="145" xr:uid="{00000000-0005-0000-0000-000096680000}"/>
    <cellStyle name="Normal 3 4 2 3 3 3" xfId="29459" xr:uid="{00000000-0005-0000-0000-000097680000}"/>
    <cellStyle name="Normal 3 4 2 3 3 3 2" xfId="33088" xr:uid="{00000000-0005-0000-0000-000098680000}"/>
    <cellStyle name="Normal 3 4 2 3 3 4" xfId="32945" xr:uid="{00000000-0005-0000-0000-000099680000}"/>
    <cellStyle name="Normal 3 4 2 3 4" xfId="21340" xr:uid="{00000000-0005-0000-0000-00009A680000}"/>
    <cellStyle name="Normal 3 4 2 3 4 2" xfId="28453" xr:uid="{00000000-0005-0000-0000-00009B680000}"/>
    <cellStyle name="Normal 3 4 2 3 4 2 2" xfId="24693" xr:uid="{00000000-0005-0000-0000-00009C680000}"/>
    <cellStyle name="Normal 3 4 2 3 4 3" xfId="31039" xr:uid="{00000000-0005-0000-0000-00009D680000}"/>
    <cellStyle name="Normal 3 4 2 3 5" xfId="26344" xr:uid="{00000000-0005-0000-0000-00009E680000}"/>
    <cellStyle name="Normal 3 4 2 3 5 2" xfId="15149" xr:uid="{00000000-0005-0000-0000-00009F680000}"/>
    <cellStyle name="Normal 3 4 2 3 6" xfId="15156" xr:uid="{00000000-0005-0000-0000-0000A0680000}"/>
    <cellStyle name="Normal 3 4 2 4" xfId="23946" xr:uid="{00000000-0005-0000-0000-0000A1680000}"/>
    <cellStyle name="Normal 3 4 2 4 2" xfId="28455" xr:uid="{00000000-0005-0000-0000-0000A2680000}"/>
    <cellStyle name="Normal 3 4 2 4 2 2" xfId="20486" xr:uid="{00000000-0005-0000-0000-0000A3680000}"/>
    <cellStyle name="Normal 3 4 2 4 2 2 2" xfId="13202" xr:uid="{00000000-0005-0000-0000-0000A4680000}"/>
    <cellStyle name="Normal 3 4 2 4 2 2 2 2" xfId="29386" xr:uid="{00000000-0005-0000-0000-0000A5680000}"/>
    <cellStyle name="Normal 3 4 2 4 2 2 3" xfId="33062" xr:uid="{00000000-0005-0000-0000-0000A6680000}"/>
    <cellStyle name="Normal 3 4 2 4 2 3" xfId="33242" xr:uid="{00000000-0005-0000-0000-0000A7680000}"/>
    <cellStyle name="Normal 3 4 2 4 2 3 2" xfId="31935" xr:uid="{00000000-0005-0000-0000-0000A8680000}"/>
    <cellStyle name="Normal 3 4 2 4 2 4" xfId="28461" xr:uid="{00000000-0005-0000-0000-0000A9680000}"/>
    <cellStyle name="Normal 3 4 2 4 3" xfId="31587" xr:uid="{00000000-0005-0000-0000-0000AA680000}"/>
    <cellStyle name="Normal 3 4 2 4 3 2" xfId="28462" xr:uid="{00000000-0005-0000-0000-0000AB680000}"/>
    <cellStyle name="Normal 3 4 2 4 3 2 2" xfId="29891" xr:uid="{00000000-0005-0000-0000-0000AC680000}"/>
    <cellStyle name="Normal 3 4 2 4 3 3" xfId="31134" xr:uid="{00000000-0005-0000-0000-0000AD680000}"/>
    <cellStyle name="Normal 3 4 2 4 4" xfId="21396" xr:uid="{00000000-0005-0000-0000-0000AE680000}"/>
    <cellStyle name="Normal 3 4 2 4 4 2" xfId="20367" xr:uid="{00000000-0005-0000-0000-0000AF680000}"/>
    <cellStyle name="Normal 3 4 2 4 5" xfId="15168" xr:uid="{00000000-0005-0000-0000-0000B0680000}"/>
    <cellStyle name="Normal 3 4 2 5" xfId="7887" xr:uid="{00000000-0005-0000-0000-0000B1680000}"/>
    <cellStyle name="Normal 3 4 2 5 2" xfId="15179" xr:uid="{00000000-0005-0000-0000-0000B2680000}"/>
    <cellStyle name="Normal 3 4 2 5 2 2" xfId="33078" xr:uid="{00000000-0005-0000-0000-0000B3680000}"/>
    <cellStyle name="Normal 3 4 2 5 2 2 2" xfId="24033" xr:uid="{00000000-0005-0000-0000-0000B4680000}"/>
    <cellStyle name="Normal 3 4 2 5 2 3" xfId="30305" xr:uid="{00000000-0005-0000-0000-0000B5680000}"/>
    <cellStyle name="Normal 3 4 2 5 3" xfId="31066" xr:uid="{00000000-0005-0000-0000-0000B6680000}"/>
    <cellStyle name="Normal 3 4 2 5 3 2" xfId="30691" xr:uid="{00000000-0005-0000-0000-0000B7680000}"/>
    <cellStyle name="Normal 3 4 2 5 4" xfId="22182" xr:uid="{00000000-0005-0000-0000-0000B8680000}"/>
    <cellStyle name="Normal 3 4 2 6" xfId="28471" xr:uid="{00000000-0005-0000-0000-0000B9680000}"/>
    <cellStyle name="Normal 3 4 2 6 2" xfId="31583" xr:uid="{00000000-0005-0000-0000-0000BA680000}"/>
    <cellStyle name="Normal 3 4 2 6 2 2" xfId="28473" xr:uid="{00000000-0005-0000-0000-0000BB680000}"/>
    <cellStyle name="Normal 3 4 2 6 3" xfId="5465" xr:uid="{00000000-0005-0000-0000-0000BC680000}"/>
    <cellStyle name="Normal 3 4 2 7" xfId="28475" xr:uid="{00000000-0005-0000-0000-0000BD680000}"/>
    <cellStyle name="Normal 3 4 2 7 2" xfId="28477" xr:uid="{00000000-0005-0000-0000-0000BE680000}"/>
    <cellStyle name="Normal 3 4 2 8" xfId="19765" xr:uid="{00000000-0005-0000-0000-0000BF680000}"/>
    <cellStyle name="Normal 3 4 3" xfId="18223" xr:uid="{00000000-0005-0000-0000-0000C0680000}"/>
    <cellStyle name="Normal 3 4 3 2" xfId="18230" xr:uid="{00000000-0005-0000-0000-0000C1680000}"/>
    <cellStyle name="Normal 3 4 3 2 2" xfId="22799" xr:uid="{00000000-0005-0000-0000-0000C2680000}"/>
    <cellStyle name="Normal 3 4 3 2 2 2" xfId="30847" xr:uid="{00000000-0005-0000-0000-0000C3680000}"/>
    <cellStyle name="Normal 3 4 3 2 2 2 2" xfId="1254" xr:uid="{00000000-0005-0000-0000-0000C4680000}"/>
    <cellStyle name="Normal 3 4 3 2 2 2 2 2" xfId="26379" xr:uid="{00000000-0005-0000-0000-0000C5680000}"/>
    <cellStyle name="Normal 3 4 3 2 2 2 2 2 2" xfId="7928" xr:uid="{00000000-0005-0000-0000-0000C6680000}"/>
    <cellStyle name="Normal 3 4 3 2 2 2 2 3" xfId="26311" xr:uid="{00000000-0005-0000-0000-0000C7680000}"/>
    <cellStyle name="Normal 3 4 3 2 2 2 3" xfId="17049" xr:uid="{00000000-0005-0000-0000-0000C8680000}"/>
    <cellStyle name="Normal 3 4 3 2 2 2 3 2" xfId="29446" xr:uid="{00000000-0005-0000-0000-0000C9680000}"/>
    <cellStyle name="Normal 3 4 3 2 2 2 4" xfId="808" xr:uid="{00000000-0005-0000-0000-0000CA680000}"/>
    <cellStyle name="Normal 3 4 3 2 2 3" xfId="30865" xr:uid="{00000000-0005-0000-0000-0000CB680000}"/>
    <cellStyle name="Normal 3 4 3 2 2 3 2" xfId="30871" xr:uid="{00000000-0005-0000-0000-0000CC680000}"/>
    <cellStyle name="Normal 3 4 3 2 2 3 2 2" xfId="26454" xr:uid="{00000000-0005-0000-0000-0000CD680000}"/>
    <cellStyle name="Normal 3 4 3 2 2 3 3" xfId="17057" xr:uid="{00000000-0005-0000-0000-0000CE680000}"/>
    <cellStyle name="Normal 3 4 3 2 2 4" xfId="28480" xr:uid="{00000000-0005-0000-0000-0000CF680000}"/>
    <cellStyle name="Normal 3 4 3 2 2 4 2" xfId="26502" xr:uid="{00000000-0005-0000-0000-0000D0680000}"/>
    <cellStyle name="Normal 3 4 3 2 2 5" xfId="30883" xr:uid="{00000000-0005-0000-0000-0000D1680000}"/>
    <cellStyle name="Normal 3 4 3 2 3" xfId="27621" xr:uid="{00000000-0005-0000-0000-0000D2680000}"/>
    <cellStyle name="Normal 3 4 3 2 3 2" xfId="8494" xr:uid="{00000000-0005-0000-0000-0000D3680000}"/>
    <cellStyle name="Normal 3 4 3 2 3 2 2" xfId="1583" xr:uid="{00000000-0005-0000-0000-0000D4680000}"/>
    <cellStyle name="Normal 3 4 3 2 3 2 2 2" xfId="14422" xr:uid="{00000000-0005-0000-0000-0000D5680000}"/>
    <cellStyle name="Normal 3 4 3 2 3 2 3" xfId="14402" xr:uid="{00000000-0005-0000-0000-0000D6680000}"/>
    <cellStyle name="Normal 3 4 3 2 3 3" xfId="12972" xr:uid="{00000000-0005-0000-0000-0000D7680000}"/>
    <cellStyle name="Normal 3 4 3 2 3 3 2" xfId="2897" xr:uid="{00000000-0005-0000-0000-0000D8680000}"/>
    <cellStyle name="Normal 3 4 3 2 3 4" xfId="33604" xr:uid="{00000000-0005-0000-0000-0000D9680000}"/>
    <cellStyle name="Normal 3 4 3 2 4" xfId="28486" xr:uid="{00000000-0005-0000-0000-0000DA680000}"/>
    <cellStyle name="Normal 3 4 3 2 4 2" xfId="30900" xr:uid="{00000000-0005-0000-0000-0000DB680000}"/>
    <cellStyle name="Normal 3 4 3 2 4 2 2" xfId="14674" xr:uid="{00000000-0005-0000-0000-0000DC680000}"/>
    <cellStyle name="Normal 3 4 3 2 4 3" xfId="30906" xr:uid="{00000000-0005-0000-0000-0000DD680000}"/>
    <cellStyle name="Normal 3 4 3 2 5" xfId="26961" xr:uid="{00000000-0005-0000-0000-0000DE680000}"/>
    <cellStyle name="Normal 3 4 3 2 5 2" xfId="22756" xr:uid="{00000000-0005-0000-0000-0000DF680000}"/>
    <cellStyle name="Normal 3 4 3 2 6" xfId="20887" xr:uid="{00000000-0005-0000-0000-0000E0680000}"/>
    <cellStyle name="Normal 3 4 3 3" xfId="23963" xr:uid="{00000000-0005-0000-0000-0000E1680000}"/>
    <cellStyle name="Normal 3 4 3 3 2" xfId="28487" xr:uid="{00000000-0005-0000-0000-0000E2680000}"/>
    <cellStyle name="Normal 3 4 3 3 2 2" xfId="32202" xr:uid="{00000000-0005-0000-0000-0000E3680000}"/>
    <cellStyle name="Normal 3 4 3 3 2 2 2" xfId="1723" xr:uid="{00000000-0005-0000-0000-0000E4680000}"/>
    <cellStyle name="Normal 3 4 3 3 2 2 2 2" xfId="5154" xr:uid="{00000000-0005-0000-0000-0000E5680000}"/>
    <cellStyle name="Normal 3 4 3 3 2 2 3" xfId="33705" xr:uid="{00000000-0005-0000-0000-0000E6680000}"/>
    <cellStyle name="Normal 3 4 3 3 2 3" xfId="32022" xr:uid="{00000000-0005-0000-0000-0000E7680000}"/>
    <cellStyle name="Normal 3 4 3 3 2 3 2" xfId="32211" xr:uid="{00000000-0005-0000-0000-0000E8680000}"/>
    <cellStyle name="Normal 3 4 3 3 2 4" xfId="32032" xr:uid="{00000000-0005-0000-0000-0000E9680000}"/>
    <cellStyle name="Normal 3 4 3 3 3" xfId="32235" xr:uid="{00000000-0005-0000-0000-0000EA680000}"/>
    <cellStyle name="Normal 3 4 3 3 3 2" xfId="31001" xr:uid="{00000000-0005-0000-0000-0000EB680000}"/>
    <cellStyle name="Normal 3 4 3 3 3 2 2" xfId="31009" xr:uid="{00000000-0005-0000-0000-0000EC680000}"/>
    <cellStyle name="Normal 3 4 3 3 3 3" xfId="32249" xr:uid="{00000000-0005-0000-0000-0000ED680000}"/>
    <cellStyle name="Normal 3 4 3 3 4" xfId="1528" xr:uid="{00000000-0005-0000-0000-0000EE680000}"/>
    <cellStyle name="Normal 3 4 3 3 4 2" xfId="31031" xr:uid="{00000000-0005-0000-0000-0000EF680000}"/>
    <cellStyle name="Normal 3 4 3 3 5" xfId="5248" xr:uid="{00000000-0005-0000-0000-0000F0680000}"/>
    <cellStyle name="Normal 3 4 3 4" xfId="23967" xr:uid="{00000000-0005-0000-0000-0000F1680000}"/>
    <cellStyle name="Normal 3 4 3 4 2" xfId="29961" xr:uid="{00000000-0005-0000-0000-0000F2680000}"/>
    <cellStyle name="Normal 3 4 3 4 2 2" xfId="29540" xr:uid="{00000000-0005-0000-0000-0000F3680000}"/>
    <cellStyle name="Normal 3 4 3 4 2 2 2" xfId="33137" xr:uid="{00000000-0005-0000-0000-0000F4680000}"/>
    <cellStyle name="Normal 3 4 3 4 2 3" xfId="30954" xr:uid="{00000000-0005-0000-0000-0000F5680000}"/>
    <cellStyle name="Normal 3 4 3 4 3" xfId="28489" xr:uid="{00000000-0005-0000-0000-0000F6680000}"/>
    <cellStyle name="Normal 3 4 3 4 3 2" xfId="31688" xr:uid="{00000000-0005-0000-0000-0000F7680000}"/>
    <cellStyle name="Normal 3 4 3 4 4" xfId="27265" xr:uid="{00000000-0005-0000-0000-0000F8680000}"/>
    <cellStyle name="Normal 3 4 3 5" xfId="32275" xr:uid="{00000000-0005-0000-0000-0000F9680000}"/>
    <cellStyle name="Normal 3 4 3 5 2" xfId="10419" xr:uid="{00000000-0005-0000-0000-0000FA680000}"/>
    <cellStyle name="Normal 3 4 3 5 2 2" xfId="3177" xr:uid="{00000000-0005-0000-0000-0000FB680000}"/>
    <cellStyle name="Normal 3 4 3 5 3" xfId="7773" xr:uid="{00000000-0005-0000-0000-0000FC680000}"/>
    <cellStyle name="Normal 3 4 3 6" xfId="30371" xr:uid="{00000000-0005-0000-0000-0000FD680000}"/>
    <cellStyle name="Normal 3 4 3 6 2" xfId="10429" xr:uid="{00000000-0005-0000-0000-0000FE680000}"/>
    <cellStyle name="Normal 3 4 3 7" xfId="34027" xr:uid="{00000000-0005-0000-0000-0000FF680000}"/>
    <cellStyle name="Normal 3 4 4" xfId="18231" xr:uid="{00000000-0005-0000-0000-000000690000}"/>
    <cellStyle name="Normal 3 4 4 2" xfId="8914" xr:uid="{00000000-0005-0000-0000-000001690000}"/>
    <cellStyle name="Normal 3 4 4 2 2" xfId="4842" xr:uid="{00000000-0005-0000-0000-000002690000}"/>
    <cellStyle name="Normal 3 4 4 2 2 2" xfId="4852" xr:uid="{00000000-0005-0000-0000-000003690000}"/>
    <cellStyle name="Normal 3 4 4 2 2 2 2" xfId="29728" xr:uid="{00000000-0005-0000-0000-000004690000}"/>
    <cellStyle name="Normal 3 4 4 2 2 2 2 2" xfId="33403" xr:uid="{00000000-0005-0000-0000-000005690000}"/>
    <cellStyle name="Normal 3 4 4 2 2 2 3" xfId="28495" xr:uid="{00000000-0005-0000-0000-000006690000}"/>
    <cellStyle name="Normal 3 4 4 2 2 3" xfId="4864" xr:uid="{00000000-0005-0000-0000-000007690000}"/>
    <cellStyle name="Normal 3 4 4 2 2 3 2" xfId="33248" xr:uid="{00000000-0005-0000-0000-000008690000}"/>
    <cellStyle name="Normal 3 4 4 2 2 4" xfId="4829" xr:uid="{00000000-0005-0000-0000-000009690000}"/>
    <cellStyle name="Normal 3 4 4 2 3" xfId="2925" xr:uid="{00000000-0005-0000-0000-00000A690000}"/>
    <cellStyle name="Normal 3 4 4 2 3 2" xfId="13850" xr:uid="{00000000-0005-0000-0000-00000B690000}"/>
    <cellStyle name="Normal 3 4 4 2 3 2 2" xfId="33541" xr:uid="{00000000-0005-0000-0000-00000C690000}"/>
    <cellStyle name="Normal 3 4 4 2 3 3" xfId="9404" xr:uid="{00000000-0005-0000-0000-00000D690000}"/>
    <cellStyle name="Normal 3 4 4 2 4" xfId="2932" xr:uid="{00000000-0005-0000-0000-00000E690000}"/>
    <cellStyle name="Normal 3 4 4 2 4 2" xfId="13855" xr:uid="{00000000-0005-0000-0000-00000F690000}"/>
    <cellStyle name="Normal 3 4 4 2 5" xfId="12894" xr:uid="{00000000-0005-0000-0000-000010690000}"/>
    <cellStyle name="Normal 3 4 4 3" xfId="23976" xr:uid="{00000000-0005-0000-0000-000011690000}"/>
    <cellStyle name="Normal 3 4 4 3 2" xfId="3413" xr:uid="{00000000-0005-0000-0000-000012690000}"/>
    <cellStyle name="Normal 3 4 4 3 2 2" xfId="6382" xr:uid="{00000000-0005-0000-0000-000013690000}"/>
    <cellStyle name="Normal 3 4 4 3 2 2 2" xfId="27197" xr:uid="{00000000-0005-0000-0000-000014690000}"/>
    <cellStyle name="Normal 3 4 4 3 2 3" xfId="6391" xr:uid="{00000000-0005-0000-0000-000015690000}"/>
    <cellStyle name="Normal 3 4 4 3 3" xfId="2944" xr:uid="{00000000-0005-0000-0000-000016690000}"/>
    <cellStyle name="Normal 3 4 4 3 3 2" xfId="13866" xr:uid="{00000000-0005-0000-0000-000017690000}"/>
    <cellStyle name="Normal 3 4 4 3 4" xfId="5981" xr:uid="{00000000-0005-0000-0000-000018690000}"/>
    <cellStyle name="Normal 3 4 4 4" xfId="4359" xr:uid="{00000000-0005-0000-0000-000019690000}"/>
    <cellStyle name="Normal 3 4 4 4 2" xfId="3446" xr:uid="{00000000-0005-0000-0000-00001A690000}"/>
    <cellStyle name="Normal 3 4 4 4 2 2" xfId="6422" xr:uid="{00000000-0005-0000-0000-00001B690000}"/>
    <cellStyle name="Normal 3 4 4 4 3" xfId="4897" xr:uid="{00000000-0005-0000-0000-00001C690000}"/>
    <cellStyle name="Normal 3 4 4 5" xfId="4375" xr:uid="{00000000-0005-0000-0000-00001D690000}"/>
    <cellStyle name="Normal 3 4 4 5 2" xfId="10462" xr:uid="{00000000-0005-0000-0000-00001E690000}"/>
    <cellStyle name="Normal 3 4 4 6" xfId="4925" xr:uid="{00000000-0005-0000-0000-00001F690000}"/>
    <cellStyle name="Normal 3 4 5" xfId="6523" xr:uid="{00000000-0005-0000-0000-000020690000}"/>
    <cellStyle name="Normal 3 4 5 2" xfId="23980" xr:uid="{00000000-0005-0000-0000-000021690000}"/>
    <cellStyle name="Normal 3 4 5 2 2" xfId="5236" xr:uid="{00000000-0005-0000-0000-000022690000}"/>
    <cellStyle name="Normal 3 4 5 2 2 2" xfId="20733" xr:uid="{00000000-0005-0000-0000-000023690000}"/>
    <cellStyle name="Normal 3 4 5 2 2 2 2" xfId="2335" xr:uid="{00000000-0005-0000-0000-000024690000}"/>
    <cellStyle name="Normal 3 4 5 2 2 3" xfId="20745" xr:uid="{00000000-0005-0000-0000-000025690000}"/>
    <cellStyle name="Normal 3 4 5 2 3" xfId="7435" xr:uid="{00000000-0005-0000-0000-000026690000}"/>
    <cellStyle name="Normal 3 4 5 2 3 2" xfId="18868" xr:uid="{00000000-0005-0000-0000-000027690000}"/>
    <cellStyle name="Normal 3 4 5 2 4" xfId="8353" xr:uid="{00000000-0005-0000-0000-000028690000}"/>
    <cellStyle name="Normal 3 4 5 3" xfId="4952" xr:uid="{00000000-0005-0000-0000-000029690000}"/>
    <cellStyle name="Normal 3 4 5 3 2" xfId="4821" xr:uid="{00000000-0005-0000-0000-00002A690000}"/>
    <cellStyle name="Normal 3 4 5 3 2 2" xfId="6520" xr:uid="{00000000-0005-0000-0000-00002B690000}"/>
    <cellStyle name="Normal 3 4 5 3 3" xfId="4972" xr:uid="{00000000-0005-0000-0000-00002C690000}"/>
    <cellStyle name="Normal 3 4 5 4" xfId="6371" xr:uid="{00000000-0005-0000-0000-00002D690000}"/>
    <cellStyle name="Normal 3 4 5 4 2" xfId="4227" xr:uid="{00000000-0005-0000-0000-00002E690000}"/>
    <cellStyle name="Normal 3 4 5 5" xfId="4981" xr:uid="{00000000-0005-0000-0000-00002F690000}"/>
    <cellStyle name="Normal 3 4 6" xfId="7849" xr:uid="{00000000-0005-0000-0000-000030690000}"/>
    <cellStyle name="Normal 3 4 6 2" xfId="4993" xr:uid="{00000000-0005-0000-0000-000031690000}"/>
    <cellStyle name="Normal 3 4 6 2 2" xfId="3524" xr:uid="{00000000-0005-0000-0000-000032690000}"/>
    <cellStyle name="Normal 3 4 6 2 2 2" xfId="21335" xr:uid="{00000000-0005-0000-0000-000033690000}"/>
    <cellStyle name="Normal 3 4 6 2 3" xfId="7234" xr:uid="{00000000-0005-0000-0000-000034690000}"/>
    <cellStyle name="Normal 3 4 6 3" xfId="10170" xr:uid="{00000000-0005-0000-0000-000035690000}"/>
    <cellStyle name="Normal 3 4 6 3 2" xfId="4210" xr:uid="{00000000-0005-0000-0000-000036690000}"/>
    <cellStyle name="Normal 3 4 6 4" xfId="10175" xr:uid="{00000000-0005-0000-0000-000037690000}"/>
    <cellStyle name="Normal 3 4 7" xfId="18707" xr:uid="{00000000-0005-0000-0000-000038690000}"/>
    <cellStyle name="Normal 3 4 7 2" xfId="9875" xr:uid="{00000000-0005-0000-0000-000039690000}"/>
    <cellStyle name="Normal 3 4 7 2 2" xfId="5011" xr:uid="{00000000-0005-0000-0000-00003A690000}"/>
    <cellStyle name="Normal 3 4 7 3" xfId="10178" xr:uid="{00000000-0005-0000-0000-00003B690000}"/>
    <cellStyle name="Normal 3 4 8" xfId="1217" xr:uid="{00000000-0005-0000-0000-00003C690000}"/>
    <cellStyle name="Normal 3 4 8 2" xfId="4055" xr:uid="{00000000-0005-0000-0000-00003D690000}"/>
    <cellStyle name="Normal 3 4 9" xfId="5018" xr:uid="{00000000-0005-0000-0000-00003E690000}"/>
    <cellStyle name="Normal 3 5" xfId="8142" xr:uid="{00000000-0005-0000-0000-00003F690000}"/>
    <cellStyle name="Normal 3 5 2" xfId="8964" xr:uid="{00000000-0005-0000-0000-000040690000}"/>
    <cellStyle name="Normal 3 5 2 2" xfId="8663" xr:uid="{00000000-0005-0000-0000-000041690000}"/>
    <cellStyle name="Normal 3 5 2 2 2" xfId="33297" xr:uid="{00000000-0005-0000-0000-000042690000}"/>
    <cellStyle name="Normal 3 5 2 2 2 2" xfId="28497" xr:uid="{00000000-0005-0000-0000-000043690000}"/>
    <cellStyle name="Normal 3 5 2 2 2 2 2" xfId="22197" xr:uid="{00000000-0005-0000-0000-000044690000}"/>
    <cellStyle name="Normal 3 5 2 2 2 2 2 2" xfId="21428" xr:uid="{00000000-0005-0000-0000-000045690000}"/>
    <cellStyle name="Normal 3 5 2 2 2 2 2 2 2" xfId="21437" xr:uid="{00000000-0005-0000-0000-000046690000}"/>
    <cellStyle name="Normal 3 5 2 2 2 2 2 3" xfId="21442" xr:uid="{00000000-0005-0000-0000-000047690000}"/>
    <cellStyle name="Normal 3 5 2 2 2 2 3" xfId="28503" xr:uid="{00000000-0005-0000-0000-000048690000}"/>
    <cellStyle name="Normal 3 5 2 2 2 2 3 2" xfId="28507" xr:uid="{00000000-0005-0000-0000-000049690000}"/>
    <cellStyle name="Normal 3 5 2 2 2 2 4" xfId="22532" xr:uid="{00000000-0005-0000-0000-00004A690000}"/>
    <cellStyle name="Normal 3 5 2 2 2 3" xfId="29325" xr:uid="{00000000-0005-0000-0000-00004B690000}"/>
    <cellStyle name="Normal 3 5 2 2 2 3 2" xfId="31488" xr:uid="{00000000-0005-0000-0000-00004C690000}"/>
    <cellStyle name="Normal 3 5 2 2 2 3 2 2" xfId="21532" xr:uid="{00000000-0005-0000-0000-00004D690000}"/>
    <cellStyle name="Normal 3 5 2 2 2 3 3" xfId="22725" xr:uid="{00000000-0005-0000-0000-00004E690000}"/>
    <cellStyle name="Normal 3 5 2 2 2 4" xfId="30975" xr:uid="{00000000-0005-0000-0000-00004F690000}"/>
    <cellStyle name="Normal 3 5 2 2 2 4 2" xfId="27570" xr:uid="{00000000-0005-0000-0000-000050690000}"/>
    <cellStyle name="Normal 3 5 2 2 2 5" xfId="31311" xr:uid="{00000000-0005-0000-0000-000051690000}"/>
    <cellStyle name="Normal 3 5 2 2 3" xfId="7689" xr:uid="{00000000-0005-0000-0000-000052690000}"/>
    <cellStyle name="Normal 3 5 2 2 3 2" xfId="28515" xr:uid="{00000000-0005-0000-0000-000053690000}"/>
    <cellStyle name="Normal 3 5 2 2 3 2 2" xfId="27908" xr:uid="{00000000-0005-0000-0000-000054690000}"/>
    <cellStyle name="Normal 3 5 2 2 3 2 2 2" xfId="21714" xr:uid="{00000000-0005-0000-0000-000055690000}"/>
    <cellStyle name="Normal 3 5 2 2 3 2 3" xfId="21721" xr:uid="{00000000-0005-0000-0000-000056690000}"/>
    <cellStyle name="Normal 3 5 2 2 3 3" xfId="409" xr:uid="{00000000-0005-0000-0000-000057690000}"/>
    <cellStyle name="Normal 3 5 2 2 3 3 2" xfId="28528" xr:uid="{00000000-0005-0000-0000-000058690000}"/>
    <cellStyle name="Normal 3 5 2 2 3 4" xfId="28533" xr:uid="{00000000-0005-0000-0000-000059690000}"/>
    <cellStyle name="Normal 3 5 2 2 4" xfId="28965" xr:uid="{00000000-0005-0000-0000-00005A690000}"/>
    <cellStyle name="Normal 3 5 2 2 4 2" xfId="28537" xr:uid="{00000000-0005-0000-0000-00005B690000}"/>
    <cellStyle name="Normal 3 5 2 2 4 2 2" xfId="21804" xr:uid="{00000000-0005-0000-0000-00005C690000}"/>
    <cellStyle name="Normal 3 5 2 2 4 3" xfId="28541" xr:uid="{00000000-0005-0000-0000-00005D690000}"/>
    <cellStyle name="Normal 3 5 2 2 5" xfId="26047" xr:uid="{00000000-0005-0000-0000-00005E690000}"/>
    <cellStyle name="Normal 3 5 2 2 5 2" xfId="27063" xr:uid="{00000000-0005-0000-0000-00005F690000}"/>
    <cellStyle name="Normal 3 5 2 2 6" xfId="24604" xr:uid="{00000000-0005-0000-0000-000060690000}"/>
    <cellStyle name="Normal 3 5 2 3" xfId="8953" xr:uid="{00000000-0005-0000-0000-000061690000}"/>
    <cellStyle name="Normal 3 5 2 3 2" xfId="28544" xr:uid="{00000000-0005-0000-0000-000062690000}"/>
    <cellStyle name="Normal 3 5 2 3 2 2" xfId="15990" xr:uid="{00000000-0005-0000-0000-000063690000}"/>
    <cellStyle name="Normal 3 5 2 3 2 2 2" xfId="27189" xr:uid="{00000000-0005-0000-0000-000064690000}"/>
    <cellStyle name="Normal 3 5 2 3 2 2 2 2" xfId="28549" xr:uid="{00000000-0005-0000-0000-000065690000}"/>
    <cellStyle name="Normal 3 5 2 3 2 2 3" xfId="33170" xr:uid="{00000000-0005-0000-0000-000066690000}"/>
    <cellStyle name="Normal 3 5 2 3 2 3" xfId="30558" xr:uid="{00000000-0005-0000-0000-000067690000}"/>
    <cellStyle name="Normal 3 5 2 3 2 3 2" xfId="31891" xr:uid="{00000000-0005-0000-0000-000068690000}"/>
    <cellStyle name="Normal 3 5 2 3 2 4" xfId="33534" xr:uid="{00000000-0005-0000-0000-000069690000}"/>
    <cellStyle name="Normal 3 5 2 3 3" xfId="31647" xr:uid="{00000000-0005-0000-0000-00006A690000}"/>
    <cellStyle name="Normal 3 5 2 3 3 2" xfId="26534" xr:uid="{00000000-0005-0000-0000-00006B690000}"/>
    <cellStyle name="Normal 3 5 2 3 3 2 2" xfId="22587" xr:uid="{00000000-0005-0000-0000-00006C690000}"/>
    <cellStyle name="Normal 3 5 2 3 3 3" xfId="30686" xr:uid="{00000000-0005-0000-0000-00006D690000}"/>
    <cellStyle name="Normal 3 5 2 3 4" xfId="21684" xr:uid="{00000000-0005-0000-0000-00006E690000}"/>
    <cellStyle name="Normal 3 5 2 3 4 2" xfId="28558" xr:uid="{00000000-0005-0000-0000-00006F690000}"/>
    <cellStyle name="Normal 3 5 2 3 5" xfId="22281" xr:uid="{00000000-0005-0000-0000-000070690000}"/>
    <cellStyle name="Normal 3 5 2 4" xfId="1321" xr:uid="{00000000-0005-0000-0000-000071690000}"/>
    <cellStyle name="Normal 3 5 2 4 2" xfId="28560" xr:uid="{00000000-0005-0000-0000-000072690000}"/>
    <cellStyle name="Normal 3 5 2 4 2 2" xfId="28563" xr:uid="{00000000-0005-0000-0000-000073690000}"/>
    <cellStyle name="Normal 3 5 2 4 2 2 2" xfId="20851" xr:uid="{00000000-0005-0000-0000-000074690000}"/>
    <cellStyle name="Normal 3 5 2 4 2 3" xfId="19053" xr:uid="{00000000-0005-0000-0000-000075690000}"/>
    <cellStyle name="Normal 3 5 2 4 3" xfId="28565" xr:uid="{00000000-0005-0000-0000-000076690000}"/>
    <cellStyle name="Normal 3 5 2 4 3 2" xfId="26838" xr:uid="{00000000-0005-0000-0000-000077690000}"/>
    <cellStyle name="Normal 3 5 2 4 4" xfId="28577" xr:uid="{00000000-0005-0000-0000-000078690000}"/>
    <cellStyle name="Normal 3 5 2 5" xfId="28579" xr:uid="{00000000-0005-0000-0000-000079690000}"/>
    <cellStyle name="Normal 3 5 2 5 2" xfId="10986" xr:uid="{00000000-0005-0000-0000-00007A690000}"/>
    <cellStyle name="Normal 3 5 2 5 2 2" xfId="28580" xr:uid="{00000000-0005-0000-0000-00007B690000}"/>
    <cellStyle name="Normal 3 5 2 5 3" xfId="22904" xr:uid="{00000000-0005-0000-0000-00007C690000}"/>
    <cellStyle name="Normal 3 5 2 6" xfId="28583" xr:uid="{00000000-0005-0000-0000-00007D690000}"/>
    <cellStyle name="Normal 3 5 2 6 2" xfId="28585" xr:uid="{00000000-0005-0000-0000-00007E690000}"/>
    <cellStyle name="Normal 3 5 2 7" xfId="28588" xr:uid="{00000000-0005-0000-0000-00007F690000}"/>
    <cellStyle name="Normal 3 5 3" xfId="17972" xr:uid="{00000000-0005-0000-0000-000080690000}"/>
    <cellStyle name="Normal 3 5 3 2" xfId="24342" xr:uid="{00000000-0005-0000-0000-000081690000}"/>
    <cellStyle name="Normal 3 5 3 2 2" xfId="29600" xr:uid="{00000000-0005-0000-0000-000082690000}"/>
    <cellStyle name="Normal 3 5 3 2 2 2" xfId="29811" xr:uid="{00000000-0005-0000-0000-000083690000}"/>
    <cellStyle name="Normal 3 5 3 2 2 2 2" xfId="14984" xr:uid="{00000000-0005-0000-0000-000084690000}"/>
    <cellStyle name="Normal 3 5 3 2 2 2 2 2" xfId="24174" xr:uid="{00000000-0005-0000-0000-000085690000}"/>
    <cellStyle name="Normal 3 5 3 2 2 2 3" xfId="15437" xr:uid="{00000000-0005-0000-0000-000086690000}"/>
    <cellStyle name="Normal 3 5 3 2 2 3" xfId="33455" xr:uid="{00000000-0005-0000-0000-000087690000}"/>
    <cellStyle name="Normal 3 5 3 2 2 3 2" xfId="18755" xr:uid="{00000000-0005-0000-0000-000088690000}"/>
    <cellStyle name="Normal 3 5 3 2 2 4" xfId="29708" xr:uid="{00000000-0005-0000-0000-000089690000}"/>
    <cellStyle name="Normal 3 5 3 2 3" xfId="28498" xr:uid="{00000000-0005-0000-0000-00008A690000}"/>
    <cellStyle name="Normal 3 5 3 2 3 2" xfId="28396" xr:uid="{00000000-0005-0000-0000-00008B690000}"/>
    <cellStyle name="Normal 3 5 3 2 3 2 2" xfId="11082" xr:uid="{00000000-0005-0000-0000-00008C690000}"/>
    <cellStyle name="Normal 3 5 3 2 3 3" xfId="28603" xr:uid="{00000000-0005-0000-0000-00008D690000}"/>
    <cellStyle name="Normal 3 5 3 2 4" xfId="28509" xr:uid="{00000000-0005-0000-0000-00008E690000}"/>
    <cellStyle name="Normal 3 5 3 2 4 2" xfId="28609" xr:uid="{00000000-0005-0000-0000-00008F690000}"/>
    <cellStyle name="Normal 3 5 3 2 5" xfId="26067" xr:uid="{00000000-0005-0000-0000-000090690000}"/>
    <cellStyle name="Normal 3 5 3 3" xfId="1339" xr:uid="{00000000-0005-0000-0000-000091690000}"/>
    <cellStyle name="Normal 3 5 3 3 2" xfId="33825" xr:uid="{00000000-0005-0000-0000-000092690000}"/>
    <cellStyle name="Normal 3 5 3 3 2 2" xfId="33994" xr:uid="{00000000-0005-0000-0000-000093690000}"/>
    <cellStyle name="Normal 3 5 3 3 2 2 2" xfId="11090" xr:uid="{00000000-0005-0000-0000-000094690000}"/>
    <cellStyle name="Normal 3 5 3 3 2 3" xfId="32623" xr:uid="{00000000-0005-0000-0000-000095690000}"/>
    <cellStyle name="Normal 3 5 3 3 3" xfId="33828" xr:uid="{00000000-0005-0000-0000-000096690000}"/>
    <cellStyle name="Normal 3 5 3 3 3 2" xfId="28612" xr:uid="{00000000-0005-0000-0000-000097690000}"/>
    <cellStyle name="Normal 3 5 3 3 4" xfId="28622" xr:uid="{00000000-0005-0000-0000-000098690000}"/>
    <cellStyle name="Normal 3 5 3 4" xfId="33684" xr:uid="{00000000-0005-0000-0000-000099690000}"/>
    <cellStyle name="Normal 3 5 3 4 2" xfId="32675" xr:uid="{00000000-0005-0000-0000-00009A690000}"/>
    <cellStyle name="Normal 3 5 3 4 2 2" xfId="33653" xr:uid="{00000000-0005-0000-0000-00009B690000}"/>
    <cellStyle name="Normal 3 5 3 4 3" xfId="32688" xr:uid="{00000000-0005-0000-0000-00009C690000}"/>
    <cellStyle name="Normal 3 5 3 5" xfId="32326" xr:uid="{00000000-0005-0000-0000-00009D690000}"/>
    <cellStyle name="Normal 3 5 3 5 2" xfId="4789" xr:uid="{00000000-0005-0000-0000-00009E690000}"/>
    <cellStyle name="Normal 3 5 3 6" xfId="32336" xr:uid="{00000000-0005-0000-0000-00009F690000}"/>
    <cellStyle name="Normal 3 5 4" xfId="13512" xr:uid="{00000000-0005-0000-0000-0000A0690000}"/>
    <cellStyle name="Normal 3 5 4 2" xfId="3695" xr:uid="{00000000-0005-0000-0000-0000A1690000}"/>
    <cellStyle name="Normal 3 5 4 2 2" xfId="9400" xr:uid="{00000000-0005-0000-0000-0000A2690000}"/>
    <cellStyle name="Normal 3 5 4 2 2 2" xfId="5028" xr:uid="{00000000-0005-0000-0000-0000A3690000}"/>
    <cellStyle name="Normal 3 5 4 2 2 2 2" xfId="11135" xr:uid="{00000000-0005-0000-0000-0000A4690000}"/>
    <cellStyle name="Normal 3 5 4 2 2 3" xfId="5037" xr:uid="{00000000-0005-0000-0000-0000A5690000}"/>
    <cellStyle name="Normal 3 5 4 2 3" xfId="3139" xr:uid="{00000000-0005-0000-0000-0000A6690000}"/>
    <cellStyle name="Normal 3 5 4 2 3 2" xfId="13089" xr:uid="{00000000-0005-0000-0000-0000A7690000}"/>
    <cellStyle name="Normal 3 5 4 2 4" xfId="5047" xr:uid="{00000000-0005-0000-0000-0000A8690000}"/>
    <cellStyle name="Normal 3 5 4 3" xfId="2801" xr:uid="{00000000-0005-0000-0000-0000A9690000}"/>
    <cellStyle name="Normal 3 5 4 3 2" xfId="9415" xr:uid="{00000000-0005-0000-0000-0000AA690000}"/>
    <cellStyle name="Normal 3 5 4 3 2 2" xfId="3507" xr:uid="{00000000-0005-0000-0000-0000AB690000}"/>
    <cellStyle name="Normal 3 5 4 3 3" xfId="5058" xr:uid="{00000000-0005-0000-0000-0000AC690000}"/>
    <cellStyle name="Normal 3 5 4 4" xfId="4393" xr:uid="{00000000-0005-0000-0000-0000AD690000}"/>
    <cellStyle name="Normal 3 5 4 4 2" xfId="5072" xr:uid="{00000000-0005-0000-0000-0000AE690000}"/>
    <cellStyle name="Normal 3 5 4 5" xfId="5086" xr:uid="{00000000-0005-0000-0000-0000AF690000}"/>
    <cellStyle name="Normal 3 5 5" xfId="13521" xr:uid="{00000000-0005-0000-0000-0000B0690000}"/>
    <cellStyle name="Normal 3 5 5 2" xfId="4184" xr:uid="{00000000-0005-0000-0000-0000B1690000}"/>
    <cellStyle name="Normal 3 5 5 2 2" xfId="9422" xr:uid="{00000000-0005-0000-0000-0000B2690000}"/>
    <cellStyle name="Normal 3 5 5 2 2 2" xfId="22098" xr:uid="{00000000-0005-0000-0000-0000B3690000}"/>
    <cellStyle name="Normal 3 5 5 2 3" xfId="5110" xr:uid="{00000000-0005-0000-0000-0000B4690000}"/>
    <cellStyle name="Normal 3 5 5 3" xfId="4195" xr:uid="{00000000-0005-0000-0000-0000B5690000}"/>
    <cellStyle name="Normal 3 5 5 3 2" xfId="5120" xr:uid="{00000000-0005-0000-0000-0000B6690000}"/>
    <cellStyle name="Normal 3 5 5 4" xfId="3991" xr:uid="{00000000-0005-0000-0000-0000B7690000}"/>
    <cellStyle name="Normal 3 5 6" xfId="14300" xr:uid="{00000000-0005-0000-0000-0000B8690000}"/>
    <cellStyle name="Normal 3 5 6 2" xfId="12205" xr:uid="{00000000-0005-0000-0000-0000B9690000}"/>
    <cellStyle name="Normal 3 5 6 2 2" xfId="5140" xr:uid="{00000000-0005-0000-0000-0000BA690000}"/>
    <cellStyle name="Normal 3 5 6 3" xfId="10193" xr:uid="{00000000-0005-0000-0000-0000BB690000}"/>
    <cellStyle name="Normal 3 5 7" xfId="5436" xr:uid="{00000000-0005-0000-0000-0000BC690000}"/>
    <cellStyle name="Normal 3 5 7 2" xfId="3763" xr:uid="{00000000-0005-0000-0000-0000BD690000}"/>
    <cellStyle name="Normal 3 5 8" xfId="6792" xr:uid="{00000000-0005-0000-0000-0000BE690000}"/>
    <cellStyle name="Normal 3 6" xfId="19223" xr:uid="{00000000-0005-0000-0000-0000BF690000}"/>
    <cellStyle name="Normal 3 6 2" xfId="27519" xr:uid="{00000000-0005-0000-0000-0000C0690000}"/>
    <cellStyle name="Normal 3 6 2 2" xfId="23997" xr:uid="{00000000-0005-0000-0000-0000C1690000}"/>
    <cellStyle name="Normal 3 6 2 2 2" xfId="29177" xr:uid="{00000000-0005-0000-0000-0000C2690000}"/>
    <cellStyle name="Normal 3 6 2 2 2 2" xfId="27877" xr:uid="{00000000-0005-0000-0000-0000C3690000}"/>
    <cellStyle name="Normal 3 6 2 2 2 2 2" xfId="28631" xr:uid="{00000000-0005-0000-0000-0000C4690000}"/>
    <cellStyle name="Normal 3 6 2 2 2 2 2 2" xfId="10864" xr:uid="{00000000-0005-0000-0000-0000C5690000}"/>
    <cellStyle name="Normal 3 6 2 2 2 2 3" xfId="29000" xr:uid="{00000000-0005-0000-0000-0000C6690000}"/>
    <cellStyle name="Normal 3 6 2 2 2 3" xfId="16762" xr:uid="{00000000-0005-0000-0000-0000C7690000}"/>
    <cellStyle name="Normal 3 6 2 2 2 3 2" xfId="16764" xr:uid="{00000000-0005-0000-0000-0000C8690000}"/>
    <cellStyle name="Normal 3 6 2 2 2 4" xfId="16767" xr:uid="{00000000-0005-0000-0000-0000C9690000}"/>
    <cellStyle name="Normal 3 6 2 2 3" xfId="33033" xr:uid="{00000000-0005-0000-0000-0000CA690000}"/>
    <cellStyle name="Normal 3 6 2 2 3 2" xfId="28635" xr:uid="{00000000-0005-0000-0000-0000CB690000}"/>
    <cellStyle name="Normal 3 6 2 2 3 2 2" xfId="31138" xr:uid="{00000000-0005-0000-0000-0000CC690000}"/>
    <cellStyle name="Normal 3 6 2 2 3 3" xfId="27467" xr:uid="{00000000-0005-0000-0000-0000CD690000}"/>
    <cellStyle name="Normal 3 6 2 2 4" xfId="30645" xr:uid="{00000000-0005-0000-0000-0000CE690000}"/>
    <cellStyle name="Normal 3 6 2 2 4 2" xfId="20687" xr:uid="{00000000-0005-0000-0000-0000CF690000}"/>
    <cellStyle name="Normal 3 6 2 2 5" xfId="26085" xr:uid="{00000000-0005-0000-0000-0000D0690000}"/>
    <cellStyle name="Normal 3 6 2 3" xfId="1403" xr:uid="{00000000-0005-0000-0000-0000D1690000}"/>
    <cellStyle name="Normal 3 6 2 3 2" xfId="14285" xr:uid="{00000000-0005-0000-0000-0000D2690000}"/>
    <cellStyle name="Normal 3 6 2 3 2 2" xfId="28645" xr:uid="{00000000-0005-0000-0000-0000D3690000}"/>
    <cellStyle name="Normal 3 6 2 3 2 2 2" xfId="33922" xr:uid="{00000000-0005-0000-0000-0000D4690000}"/>
    <cellStyle name="Normal 3 6 2 3 2 3" xfId="16851" xr:uid="{00000000-0005-0000-0000-0000D5690000}"/>
    <cellStyle name="Normal 3 6 2 3 3" xfId="7196" xr:uid="{00000000-0005-0000-0000-0000D6690000}"/>
    <cellStyle name="Normal 3 6 2 3 3 2" xfId="15677" xr:uid="{00000000-0005-0000-0000-0000D7690000}"/>
    <cellStyle name="Normal 3 6 2 3 4" xfId="3432" xr:uid="{00000000-0005-0000-0000-0000D8690000}"/>
    <cellStyle name="Normal 3 6 2 4" xfId="27060" xr:uid="{00000000-0005-0000-0000-0000D9690000}"/>
    <cellStyle name="Normal 3 6 2 4 2" xfId="797" xr:uid="{00000000-0005-0000-0000-0000DA690000}"/>
    <cellStyle name="Normal 3 6 2 4 2 2" xfId="23534" xr:uid="{00000000-0005-0000-0000-0000DB690000}"/>
    <cellStyle name="Normal 3 6 2 4 3" xfId="4101" xr:uid="{00000000-0005-0000-0000-0000DC690000}"/>
    <cellStyle name="Normal 3 6 2 5" xfId="28651" xr:uid="{00000000-0005-0000-0000-0000DD690000}"/>
    <cellStyle name="Normal 3 6 2 5 2" xfId="9199" xr:uid="{00000000-0005-0000-0000-0000DE690000}"/>
    <cellStyle name="Normal 3 6 2 6" xfId="29590" xr:uid="{00000000-0005-0000-0000-0000DF690000}"/>
    <cellStyle name="Normal 3 6 2 6 2" xfId="8960" xr:uid="{00000000-0005-0000-0000-0000E0690000}"/>
    <cellStyle name="Normal 3 6 2 7" xfId="18512" xr:uid="{00000000-0005-0000-0000-0000E1690000}"/>
    <cellStyle name="Normal 3 6 3" xfId="23168" xr:uid="{00000000-0005-0000-0000-0000E2690000}"/>
    <cellStyle name="Normal 3 6 3 2" xfId="24006" xr:uid="{00000000-0005-0000-0000-0000E3690000}"/>
    <cellStyle name="Normal 3 6 3 2 2" xfId="29127" xr:uid="{00000000-0005-0000-0000-0000E4690000}"/>
    <cellStyle name="Normal 3 6 3 2 2 2" xfId="28892" xr:uid="{00000000-0005-0000-0000-0000E5690000}"/>
    <cellStyle name="Normal 3 6 3 2 2 2 2" xfId="8479" xr:uid="{00000000-0005-0000-0000-0000E6690000}"/>
    <cellStyle name="Normal 3 6 3 2 2 3" xfId="977" xr:uid="{00000000-0005-0000-0000-0000E7690000}"/>
    <cellStyle name="Normal 3 6 3 2 3" xfId="28368" xr:uid="{00000000-0005-0000-0000-0000E8690000}"/>
    <cellStyle name="Normal 3 6 3 2 3 2" xfId="28975" xr:uid="{00000000-0005-0000-0000-0000E9690000}"/>
    <cellStyle name="Normal 3 6 3 2 4" xfId="33774" xr:uid="{00000000-0005-0000-0000-0000EA690000}"/>
    <cellStyle name="Normal 3 6 3 3" xfId="27951" xr:uid="{00000000-0005-0000-0000-0000EB690000}"/>
    <cellStyle name="Normal 3 6 3 3 2" xfId="14334" xr:uid="{00000000-0005-0000-0000-0000EC690000}"/>
    <cellStyle name="Normal 3 6 3 3 2 2" xfId="29704" xr:uid="{00000000-0005-0000-0000-0000ED690000}"/>
    <cellStyle name="Normal 3 6 3 3 3" xfId="620" xr:uid="{00000000-0005-0000-0000-0000EE690000}"/>
    <cellStyle name="Normal 3 6 3 4" xfId="32353" xr:uid="{00000000-0005-0000-0000-0000EF690000}"/>
    <cellStyle name="Normal 3 6 3 4 2" xfId="8967" xr:uid="{00000000-0005-0000-0000-0000F0690000}"/>
    <cellStyle name="Normal 3 6 3 5" xfId="1432" xr:uid="{00000000-0005-0000-0000-0000F1690000}"/>
    <cellStyle name="Normal 3 6 4" xfId="18590" xr:uid="{00000000-0005-0000-0000-0000F2690000}"/>
    <cellStyle name="Normal 3 6 4 2" xfId="8122" xr:uid="{00000000-0005-0000-0000-0000F3690000}"/>
    <cellStyle name="Normal 3 6 4 2 2" xfId="9441" xr:uid="{00000000-0005-0000-0000-0000F4690000}"/>
    <cellStyle name="Normal 3 6 4 2 2 2" xfId="13487" xr:uid="{00000000-0005-0000-0000-0000F5690000}"/>
    <cellStyle name="Normal 3 6 4 2 3" xfId="1783" xr:uid="{00000000-0005-0000-0000-0000F6690000}"/>
    <cellStyle name="Normal 3 6 4 3" xfId="1761" xr:uid="{00000000-0005-0000-0000-0000F7690000}"/>
    <cellStyle name="Normal 3 6 4 3 2" xfId="9176" xr:uid="{00000000-0005-0000-0000-0000F8690000}"/>
    <cellStyle name="Normal 3 6 4 4" xfId="2256" xr:uid="{00000000-0005-0000-0000-0000F9690000}"/>
    <cellStyle name="Normal 3 6 5" xfId="14305" xr:uid="{00000000-0005-0000-0000-0000FA690000}"/>
    <cellStyle name="Normal 3 6 5 2" xfId="3652" xr:uid="{00000000-0005-0000-0000-0000FB690000}"/>
    <cellStyle name="Normal 3 6 5 2 2" xfId="16808" xr:uid="{00000000-0005-0000-0000-0000FC690000}"/>
    <cellStyle name="Normal 3 6 5 3" xfId="1797" xr:uid="{00000000-0005-0000-0000-0000FD690000}"/>
    <cellStyle name="Normal 3 6 6" xfId="5456" xr:uid="{00000000-0005-0000-0000-0000FE690000}"/>
    <cellStyle name="Normal 3 6 6 2" xfId="14445" xr:uid="{00000000-0005-0000-0000-0000FF690000}"/>
    <cellStyle name="Normal 3 6 7" xfId="20950" xr:uid="{00000000-0005-0000-0000-0000006A0000}"/>
    <cellStyle name="Normal 3 6 7 2" xfId="28652" xr:uid="{00000000-0005-0000-0000-0000016A0000}"/>
    <cellStyle name="Normal 3 6 8" xfId="20966" xr:uid="{00000000-0005-0000-0000-0000026A0000}"/>
    <cellStyle name="Normal 3 7" xfId="21551" xr:uid="{00000000-0005-0000-0000-0000036A0000}"/>
    <cellStyle name="Normal 3 7 2" xfId="28657" xr:uid="{00000000-0005-0000-0000-0000046A0000}"/>
    <cellStyle name="Normal 3 7 2 2" xfId="24011" xr:uid="{00000000-0005-0000-0000-0000056A0000}"/>
    <cellStyle name="Normal 3 7 2 2 2" xfId="28661" xr:uid="{00000000-0005-0000-0000-0000066A0000}"/>
    <cellStyle name="Normal 3 7 2 2 2 2" xfId="16495" xr:uid="{00000000-0005-0000-0000-0000076A0000}"/>
    <cellStyle name="Normal 3 7 2 2 2 2 2" xfId="33493" xr:uid="{00000000-0005-0000-0000-0000086A0000}"/>
    <cellStyle name="Normal 3 7 2 2 2 3" xfId="25935" xr:uid="{00000000-0005-0000-0000-0000096A0000}"/>
    <cellStyle name="Normal 3 7 2 2 3" xfId="27196" xr:uid="{00000000-0005-0000-0000-00000A6A0000}"/>
    <cellStyle name="Normal 3 7 2 2 3 2" xfId="21992" xr:uid="{00000000-0005-0000-0000-00000B6A0000}"/>
    <cellStyle name="Normal 3 7 2 2 4" xfId="28665" xr:uid="{00000000-0005-0000-0000-00000C6A0000}"/>
    <cellStyle name="Normal 3 7 2 3" xfId="28671" xr:uid="{00000000-0005-0000-0000-00000D6A0000}"/>
    <cellStyle name="Normal 3 7 2 3 2" xfId="14379" xr:uid="{00000000-0005-0000-0000-00000E6A0000}"/>
    <cellStyle name="Normal 3 7 2 3 2 2" xfId="25985" xr:uid="{00000000-0005-0000-0000-00000F6A0000}"/>
    <cellStyle name="Normal 3 7 2 3 3" xfId="4115" xr:uid="{00000000-0005-0000-0000-0000106A0000}"/>
    <cellStyle name="Normal 3 7 2 4" xfId="26507" xr:uid="{00000000-0005-0000-0000-0000116A0000}"/>
    <cellStyle name="Normal 3 7 2 4 2" xfId="2003" xr:uid="{00000000-0005-0000-0000-0000126A0000}"/>
    <cellStyle name="Normal 3 7 2 5" xfId="355" xr:uid="{00000000-0005-0000-0000-0000136A0000}"/>
    <cellStyle name="Normal 3 7 2 5 2" xfId="395" xr:uid="{00000000-0005-0000-0000-0000146A0000}"/>
    <cellStyle name="Normal 3 7 2 6" xfId="31913" xr:uid="{00000000-0005-0000-0000-0000156A0000}"/>
    <cellStyle name="Normal 3 7 2 6 2" xfId="28676" xr:uid="{00000000-0005-0000-0000-0000166A0000}"/>
    <cellStyle name="Normal 3 7 2 7" xfId="892" xr:uid="{00000000-0005-0000-0000-0000176A0000}"/>
    <cellStyle name="Normal 3 7 3" xfId="28131" xr:uid="{00000000-0005-0000-0000-0000186A0000}"/>
    <cellStyle name="Normal 3 7 3 2" xfId="27798" xr:uid="{00000000-0005-0000-0000-0000196A0000}"/>
    <cellStyle name="Normal 3 7 3 2 2" xfId="28682" xr:uid="{00000000-0005-0000-0000-00001A6A0000}"/>
    <cellStyle name="Normal 3 7 3 2 2 2" xfId="11186" xr:uid="{00000000-0005-0000-0000-00001B6A0000}"/>
    <cellStyle name="Normal 3 7 3 2 3" xfId="33491" xr:uid="{00000000-0005-0000-0000-00001C6A0000}"/>
    <cellStyle name="Normal 3 7 3 3" xfId="28687" xr:uid="{00000000-0005-0000-0000-00001D6A0000}"/>
    <cellStyle name="Normal 3 7 3 3 2" xfId="14389" xr:uid="{00000000-0005-0000-0000-00001E6A0000}"/>
    <cellStyle name="Normal 3 7 3 4" xfId="27577" xr:uid="{00000000-0005-0000-0000-00001F6A0000}"/>
    <cellStyle name="Normal 3 7 4" xfId="14309" xr:uid="{00000000-0005-0000-0000-0000206A0000}"/>
    <cellStyle name="Normal 3 7 4 2" xfId="3664" xr:uid="{00000000-0005-0000-0000-0000216A0000}"/>
    <cellStyle name="Normal 3 7 4 2 2" xfId="1890" xr:uid="{00000000-0005-0000-0000-0000226A0000}"/>
    <cellStyle name="Normal 3 7 4 3" xfId="3272" xr:uid="{00000000-0005-0000-0000-0000236A0000}"/>
    <cellStyle name="Normal 3 7 5" xfId="4532" xr:uid="{00000000-0005-0000-0000-0000246A0000}"/>
    <cellStyle name="Normal 3 7 5 2" xfId="3677" xr:uid="{00000000-0005-0000-0000-0000256A0000}"/>
    <cellStyle name="Normal 3 7 6" xfId="5156" xr:uid="{00000000-0005-0000-0000-0000266A0000}"/>
    <cellStyle name="Normal 3 7 6 2" xfId="28691" xr:uid="{00000000-0005-0000-0000-0000276A0000}"/>
    <cellStyle name="Normal 3 7 7" xfId="20978" xr:uid="{00000000-0005-0000-0000-0000286A0000}"/>
    <cellStyle name="Normal 3 7 7 2" xfId="21194" xr:uid="{00000000-0005-0000-0000-0000296A0000}"/>
    <cellStyle name="Normal 3 7 8" xfId="20985" xr:uid="{00000000-0005-0000-0000-00002A6A0000}"/>
    <cellStyle name="Normal 3 8" xfId="28694" xr:uid="{00000000-0005-0000-0000-00002B6A0000}"/>
    <cellStyle name="Normal 3 8 2" xfId="19026" xr:uid="{00000000-0005-0000-0000-00002C6A0000}"/>
    <cellStyle name="Normal 3 8 2 2" xfId="25945" xr:uid="{00000000-0005-0000-0000-00002D6A0000}"/>
    <cellStyle name="Normal 3 8 2 2 2" xfId="28699" xr:uid="{00000000-0005-0000-0000-00002E6A0000}"/>
    <cellStyle name="Normal 3 8 2 2 2 2" xfId="5924" xr:uid="{00000000-0005-0000-0000-00002F6A0000}"/>
    <cellStyle name="Normal 3 8 2 2 3" xfId="28702" xr:uid="{00000000-0005-0000-0000-0000306A0000}"/>
    <cellStyle name="Normal 3 8 2 3" xfId="26620" xr:uid="{00000000-0005-0000-0000-0000316A0000}"/>
    <cellStyle name="Normal 3 8 2 3 2" xfId="3038" xr:uid="{00000000-0005-0000-0000-0000326A0000}"/>
    <cellStyle name="Normal 3 8 2 4" xfId="26630" xr:uid="{00000000-0005-0000-0000-0000336A0000}"/>
    <cellStyle name="Normal 3 8 2 4 2" xfId="3065" xr:uid="{00000000-0005-0000-0000-0000346A0000}"/>
    <cellStyle name="Normal 3 8 2 5" xfId="25514" xr:uid="{00000000-0005-0000-0000-0000356A0000}"/>
    <cellStyle name="Normal 3 8 2 5 2" xfId="21211" xr:uid="{00000000-0005-0000-0000-0000366A0000}"/>
    <cellStyle name="Normal 3 8 2 6" xfId="16168" xr:uid="{00000000-0005-0000-0000-0000376A0000}"/>
    <cellStyle name="Normal 3 8 2 6 2" xfId="16172" xr:uid="{00000000-0005-0000-0000-0000386A0000}"/>
    <cellStyle name="Normal 3 8 2 7" xfId="33184" xr:uid="{00000000-0005-0000-0000-0000396A0000}"/>
    <cellStyle name="Normal 3 8 3" xfId="21778" xr:uid="{00000000-0005-0000-0000-00003A6A0000}"/>
    <cellStyle name="Normal 3 8 3 2" xfId="26639" xr:uid="{00000000-0005-0000-0000-00003B6A0000}"/>
    <cellStyle name="Normal 3 8 3 2 2" xfId="28710" xr:uid="{00000000-0005-0000-0000-00003C6A0000}"/>
    <cellStyle name="Normal 3 8 3 3" xfId="23258" xr:uid="{00000000-0005-0000-0000-00003D6A0000}"/>
    <cellStyle name="Normal 3 8 4" xfId="10423" xr:uid="{00000000-0005-0000-0000-00003E6A0000}"/>
    <cellStyle name="Normal 3 8 4 2" xfId="8928" xr:uid="{00000000-0005-0000-0000-00003F6A0000}"/>
    <cellStyle name="Normal 3 8 5" xfId="11361" xr:uid="{00000000-0005-0000-0000-0000406A0000}"/>
    <cellStyle name="Normal 3 8 5 2" xfId="31998" xr:uid="{00000000-0005-0000-0000-0000416A0000}"/>
    <cellStyle name="Normal 3 8 6" xfId="28717" xr:uid="{00000000-0005-0000-0000-0000426A0000}"/>
    <cellStyle name="Normal 3 8 6 2" xfId="22913" xr:uid="{00000000-0005-0000-0000-0000436A0000}"/>
    <cellStyle name="Normal 3 8 7" xfId="20991" xr:uid="{00000000-0005-0000-0000-0000446A0000}"/>
    <cellStyle name="Normal 3 8 7 2" xfId="4409" xr:uid="{00000000-0005-0000-0000-0000456A0000}"/>
    <cellStyle name="Normal 3 8 8" xfId="28730" xr:uid="{00000000-0005-0000-0000-0000466A0000}"/>
    <cellStyle name="Normal 3 9" xfId="26477" xr:uid="{00000000-0005-0000-0000-0000476A0000}"/>
    <cellStyle name="Normal 3 9 2" xfId="8930" xr:uid="{00000000-0005-0000-0000-0000486A0000}"/>
    <cellStyle name="Normal 3 9 2 2" xfId="25183" xr:uid="{00000000-0005-0000-0000-0000496A0000}"/>
    <cellStyle name="Normal 3 9 2 2 2" xfId="3461" xr:uid="{00000000-0005-0000-0000-00004A6A0000}"/>
    <cellStyle name="Normal 3 9 2 3" xfId="29606" xr:uid="{00000000-0005-0000-0000-00004B6A0000}"/>
    <cellStyle name="Normal 3 9 2 3 2" xfId="3731" xr:uid="{00000000-0005-0000-0000-00004C6A0000}"/>
    <cellStyle name="Normal 3 9 2 4" xfId="28734" xr:uid="{00000000-0005-0000-0000-00004D6A0000}"/>
    <cellStyle name="Normal 3 9 2 4 2" xfId="33471" xr:uid="{00000000-0005-0000-0000-00004E6A0000}"/>
    <cellStyle name="Normal 3 9 2 5" xfId="24892" xr:uid="{00000000-0005-0000-0000-00004F6A0000}"/>
    <cellStyle name="Normal 3 9 2 5 2" xfId="19535" xr:uid="{00000000-0005-0000-0000-0000506A0000}"/>
    <cellStyle name="Normal 3 9 2 6" xfId="16235" xr:uid="{00000000-0005-0000-0000-0000516A0000}"/>
    <cellStyle name="Normal 3 9 2 6 2" xfId="28737" xr:uid="{00000000-0005-0000-0000-0000526A0000}"/>
    <cellStyle name="Normal 3 9 2 7" xfId="28074" xr:uid="{00000000-0005-0000-0000-0000536A0000}"/>
    <cellStyle name="Normal 3 9 3" xfId="11040" xr:uid="{00000000-0005-0000-0000-0000546A0000}"/>
    <cellStyle name="Normal 3 9 3 2" xfId="26651" xr:uid="{00000000-0005-0000-0000-0000556A0000}"/>
    <cellStyle name="Normal 3 9 4" xfId="7423" xr:uid="{00000000-0005-0000-0000-0000566A0000}"/>
    <cellStyle name="Normal 3 9 4 2" xfId="28740" xr:uid="{00000000-0005-0000-0000-0000576A0000}"/>
    <cellStyle name="Normal 3 9 5" xfId="28744" xr:uid="{00000000-0005-0000-0000-0000586A0000}"/>
    <cellStyle name="Normal 3 9 5 2" xfId="28696" xr:uid="{00000000-0005-0000-0000-0000596A0000}"/>
    <cellStyle name="Normal 3 9 6" xfId="15980" xr:uid="{00000000-0005-0000-0000-00005A6A0000}"/>
    <cellStyle name="Normal 3 9 6 2" xfId="15981" xr:uid="{00000000-0005-0000-0000-00005B6A0000}"/>
    <cellStyle name="Normal 3 9 7" xfId="16066" xr:uid="{00000000-0005-0000-0000-00005C6A0000}"/>
    <cellStyle name="Normal 3 9 7 2" xfId="16069" xr:uid="{00000000-0005-0000-0000-00005D6A0000}"/>
    <cellStyle name="Normal 3 9 8" xfId="16113" xr:uid="{00000000-0005-0000-0000-00005E6A0000}"/>
    <cellStyle name="Normal 4" xfId="28745" xr:uid="{00000000-0005-0000-0000-00005F6A0000}"/>
    <cellStyle name="Normal 4 10" xfId="5160" xr:uid="{00000000-0005-0000-0000-0000606A0000}"/>
    <cellStyle name="Normal 4 10 2" xfId="26744" xr:uid="{00000000-0005-0000-0000-0000616A0000}"/>
    <cellStyle name="Normal 4 10 2 2" xfId="28749" xr:uid="{00000000-0005-0000-0000-0000626A0000}"/>
    <cellStyle name="Normal 4 10 2 2 2" xfId="28751" xr:uid="{00000000-0005-0000-0000-0000636A0000}"/>
    <cellStyle name="Normal 4 10 2 3" xfId="28763" xr:uid="{00000000-0005-0000-0000-0000646A0000}"/>
    <cellStyle name="Normal 4 10 2 3 2" xfId="17007" xr:uid="{00000000-0005-0000-0000-0000656A0000}"/>
    <cellStyle name="Normal 4 10 2 4" xfId="28769" xr:uid="{00000000-0005-0000-0000-0000666A0000}"/>
    <cellStyle name="Normal 4 10 2 4 2" xfId="17062" xr:uid="{00000000-0005-0000-0000-0000676A0000}"/>
    <cellStyle name="Normal 4 10 2 5" xfId="28775" xr:uid="{00000000-0005-0000-0000-0000686A0000}"/>
    <cellStyle name="Normal 4 10 2 5 2" xfId="2302" xr:uid="{00000000-0005-0000-0000-0000696A0000}"/>
    <cellStyle name="Normal 4 10 2 6" xfId="29160" xr:uid="{00000000-0005-0000-0000-00006A6A0000}"/>
    <cellStyle name="Normal 4 10 2 6 2" xfId="17085" xr:uid="{00000000-0005-0000-0000-00006B6A0000}"/>
    <cellStyle name="Normal 4 10 2 7" xfId="28781" xr:uid="{00000000-0005-0000-0000-00006C6A0000}"/>
    <cellStyle name="Normal 4 10 3" xfId="28783" xr:uid="{00000000-0005-0000-0000-00006D6A0000}"/>
    <cellStyle name="Normal 4 10 3 2" xfId="28788" xr:uid="{00000000-0005-0000-0000-00006E6A0000}"/>
    <cellStyle name="Normal 4 10 4" xfId="33051" xr:uid="{00000000-0005-0000-0000-00006F6A0000}"/>
    <cellStyle name="Normal 4 10 4 2" xfId="31713" xr:uid="{00000000-0005-0000-0000-0000706A0000}"/>
    <cellStyle name="Normal 4 10 5" xfId="31721" xr:uid="{00000000-0005-0000-0000-0000716A0000}"/>
    <cellStyle name="Normal 4 10 5 2" xfId="32712" xr:uid="{00000000-0005-0000-0000-0000726A0000}"/>
    <cellStyle name="Normal 4 10 6" xfId="19966" xr:uid="{00000000-0005-0000-0000-0000736A0000}"/>
    <cellStyle name="Normal 4 10 6 2" xfId="11694" xr:uid="{00000000-0005-0000-0000-0000746A0000}"/>
    <cellStyle name="Normal 4 10 7" xfId="28794" xr:uid="{00000000-0005-0000-0000-0000756A0000}"/>
    <cellStyle name="Normal 4 10 7 2" xfId="563" xr:uid="{00000000-0005-0000-0000-0000766A0000}"/>
    <cellStyle name="Normal 4 10 8" xfId="28798" xr:uid="{00000000-0005-0000-0000-0000776A0000}"/>
    <cellStyle name="Normal 4 11" xfId="28808" xr:uid="{00000000-0005-0000-0000-0000786A0000}"/>
    <cellStyle name="Normal 4 11 2" xfId="31893" xr:uid="{00000000-0005-0000-0000-0000796A0000}"/>
    <cellStyle name="Normal 4 11 2 2" xfId="28809" xr:uid="{00000000-0005-0000-0000-00007A6A0000}"/>
    <cellStyle name="Normal 4 11 2 2 2" xfId="28810" xr:uid="{00000000-0005-0000-0000-00007B6A0000}"/>
    <cellStyle name="Normal 4 11 2 3" xfId="28811" xr:uid="{00000000-0005-0000-0000-00007C6A0000}"/>
    <cellStyle name="Normal 4 11 2 3 2" xfId="17229" xr:uid="{00000000-0005-0000-0000-00007D6A0000}"/>
    <cellStyle name="Normal 4 11 2 4" xfId="26663" xr:uid="{00000000-0005-0000-0000-00007E6A0000}"/>
    <cellStyle name="Normal 4 11 2 4 2" xfId="17248" xr:uid="{00000000-0005-0000-0000-00007F6A0000}"/>
    <cellStyle name="Normal 4 11 2 5" xfId="26052" xr:uid="{00000000-0005-0000-0000-0000806A0000}"/>
    <cellStyle name="Normal 4 11 2 5 2" xfId="17250" xr:uid="{00000000-0005-0000-0000-0000816A0000}"/>
    <cellStyle name="Normal 4 11 2 6" xfId="29194" xr:uid="{00000000-0005-0000-0000-0000826A0000}"/>
    <cellStyle name="Normal 4 11 2 6 2" xfId="29196" xr:uid="{00000000-0005-0000-0000-0000836A0000}"/>
    <cellStyle name="Normal 4 11 2 7" xfId="7386" xr:uid="{00000000-0005-0000-0000-0000846A0000}"/>
    <cellStyle name="Normal 4 11 3" xfId="33232" xr:uid="{00000000-0005-0000-0000-0000856A0000}"/>
    <cellStyle name="Normal 4 11 3 2" xfId="28816" xr:uid="{00000000-0005-0000-0000-0000866A0000}"/>
    <cellStyle name="Normal 4 11 4" xfId="32959" xr:uid="{00000000-0005-0000-0000-0000876A0000}"/>
    <cellStyle name="Normal 4 11 4 2" xfId="33472" xr:uid="{00000000-0005-0000-0000-0000886A0000}"/>
    <cellStyle name="Normal 4 11 5" xfId="31736" xr:uid="{00000000-0005-0000-0000-0000896A0000}"/>
    <cellStyle name="Normal 4 11 5 2" xfId="33387" xr:uid="{00000000-0005-0000-0000-00008A6A0000}"/>
    <cellStyle name="Normal 4 11 6" xfId="30476" xr:uid="{00000000-0005-0000-0000-00008B6A0000}"/>
    <cellStyle name="Normal 4 11 6 2" xfId="9530" xr:uid="{00000000-0005-0000-0000-00008C6A0000}"/>
    <cellStyle name="Normal 4 11 7" xfId="28818" xr:uid="{00000000-0005-0000-0000-00008D6A0000}"/>
    <cellStyle name="Normal 4 11 7 2" xfId="28820" xr:uid="{00000000-0005-0000-0000-00008E6A0000}"/>
    <cellStyle name="Normal 4 11 8" xfId="28825" xr:uid="{00000000-0005-0000-0000-00008F6A0000}"/>
    <cellStyle name="Normal 4 12" xfId="26393" xr:uid="{00000000-0005-0000-0000-0000906A0000}"/>
    <cellStyle name="Normal 4 12 2" xfId="28832" xr:uid="{00000000-0005-0000-0000-0000916A0000}"/>
    <cellStyle name="Normal 4 12 2 2" xfId="28833" xr:uid="{00000000-0005-0000-0000-0000926A0000}"/>
    <cellStyle name="Normal 4 12 2 2 2" xfId="28837" xr:uid="{00000000-0005-0000-0000-0000936A0000}"/>
    <cellStyle name="Normal 4 12 2 3" xfId="32452" xr:uid="{00000000-0005-0000-0000-0000946A0000}"/>
    <cellStyle name="Normal 4 12 2 3 2" xfId="17334" xr:uid="{00000000-0005-0000-0000-0000956A0000}"/>
    <cellStyle name="Normal 4 12 2 4" xfId="13903" xr:uid="{00000000-0005-0000-0000-0000966A0000}"/>
    <cellStyle name="Normal 4 12 2 4 2" xfId="17352" xr:uid="{00000000-0005-0000-0000-0000976A0000}"/>
    <cellStyle name="Normal 4 12 2 5" xfId="30424" xr:uid="{00000000-0005-0000-0000-0000986A0000}"/>
    <cellStyle name="Normal 4 12 2 5 2" xfId="28063" xr:uid="{00000000-0005-0000-0000-0000996A0000}"/>
    <cellStyle name="Normal 4 12 2 6" xfId="28839" xr:uid="{00000000-0005-0000-0000-00009A6A0000}"/>
    <cellStyle name="Normal 4 12 2 6 2" xfId="31190" xr:uid="{00000000-0005-0000-0000-00009B6A0000}"/>
    <cellStyle name="Normal 4 12 2 7" xfId="27310" xr:uid="{00000000-0005-0000-0000-00009C6A0000}"/>
    <cellStyle name="Normal 4 12 3" xfId="28841" xr:uid="{00000000-0005-0000-0000-00009D6A0000}"/>
    <cellStyle name="Normal 4 12 3 2" xfId="28843" xr:uid="{00000000-0005-0000-0000-00009E6A0000}"/>
    <cellStyle name="Normal 4 12 4" xfId="26296" xr:uid="{00000000-0005-0000-0000-00009F6A0000}"/>
    <cellStyle name="Normal 4 12 4 2" xfId="29912" xr:uid="{00000000-0005-0000-0000-0000A06A0000}"/>
    <cellStyle name="Normal 4 12 5" xfId="30482" xr:uid="{00000000-0005-0000-0000-0000A16A0000}"/>
    <cellStyle name="Normal 4 12 5 2" xfId="27589" xr:uid="{00000000-0005-0000-0000-0000A26A0000}"/>
    <cellStyle name="Normal 4 12 6" xfId="29853" xr:uid="{00000000-0005-0000-0000-0000A36A0000}"/>
    <cellStyle name="Normal 4 12 6 2" xfId="24261" xr:uid="{00000000-0005-0000-0000-0000A46A0000}"/>
    <cellStyle name="Normal 4 12 7" xfId="310" xr:uid="{00000000-0005-0000-0000-0000A56A0000}"/>
    <cellStyle name="Normal 4 12 7 2" xfId="24276" xr:uid="{00000000-0005-0000-0000-0000A66A0000}"/>
    <cellStyle name="Normal 4 12 8" xfId="25918" xr:uid="{00000000-0005-0000-0000-0000A76A0000}"/>
    <cellStyle name="Normal 4 13" xfId="23926" xr:uid="{00000000-0005-0000-0000-0000A86A0000}"/>
    <cellStyle name="Normal 4 13 2" xfId="3281" xr:uid="{00000000-0005-0000-0000-0000A96A0000}"/>
    <cellStyle name="Normal 4 13 2 2" xfId="28856" xr:uid="{00000000-0005-0000-0000-0000AA6A0000}"/>
    <cellStyle name="Normal 4 13 2 2 2" xfId="28358" xr:uid="{00000000-0005-0000-0000-0000AB6A0000}"/>
    <cellStyle name="Normal 4 13 2 3" xfId="2864" xr:uid="{00000000-0005-0000-0000-0000AC6A0000}"/>
    <cellStyle name="Normal 4 13 2 3 2" xfId="17430" xr:uid="{00000000-0005-0000-0000-0000AD6A0000}"/>
    <cellStyle name="Normal 4 13 2 4" xfId="14519" xr:uid="{00000000-0005-0000-0000-0000AE6A0000}"/>
    <cellStyle name="Normal 4 13 2 4 2" xfId="26686" xr:uid="{00000000-0005-0000-0000-0000AF6A0000}"/>
    <cellStyle name="Normal 4 13 2 5" xfId="28857" xr:uid="{00000000-0005-0000-0000-0000B06A0000}"/>
    <cellStyle name="Normal 4 13 2 5 2" xfId="28932" xr:uid="{00000000-0005-0000-0000-0000B16A0000}"/>
    <cellStyle name="Normal 4 13 2 6" xfId="28860" xr:uid="{00000000-0005-0000-0000-0000B26A0000}"/>
    <cellStyle name="Normal 4 13 2 6 2" xfId="28863" xr:uid="{00000000-0005-0000-0000-0000B36A0000}"/>
    <cellStyle name="Normal 4 13 2 7" xfId="28865" xr:uid="{00000000-0005-0000-0000-0000B46A0000}"/>
    <cellStyle name="Normal 4 13 3" xfId="6962" xr:uid="{00000000-0005-0000-0000-0000B56A0000}"/>
    <cellStyle name="Normal 4 13 3 2" xfId="27360" xr:uid="{00000000-0005-0000-0000-0000B66A0000}"/>
    <cellStyle name="Normal 4 13 4" xfId="32292" xr:uid="{00000000-0005-0000-0000-0000B76A0000}"/>
    <cellStyle name="Normal 4 13 4 2" xfId="29046" xr:uid="{00000000-0005-0000-0000-0000B86A0000}"/>
    <cellStyle name="Normal 4 13 5" xfId="19664" xr:uid="{00000000-0005-0000-0000-0000B96A0000}"/>
    <cellStyle name="Normal 4 13 5 2" xfId="28867" xr:uid="{00000000-0005-0000-0000-0000BA6A0000}"/>
    <cellStyle name="Normal 4 13 6" xfId="19668" xr:uid="{00000000-0005-0000-0000-0000BB6A0000}"/>
    <cellStyle name="Normal 4 13 6 2" xfId="28869" xr:uid="{00000000-0005-0000-0000-0000BC6A0000}"/>
    <cellStyle name="Normal 4 13 7" xfId="4406" xr:uid="{00000000-0005-0000-0000-0000BD6A0000}"/>
    <cellStyle name="Normal 4 13 7 2" xfId="28873" xr:uid="{00000000-0005-0000-0000-0000BE6A0000}"/>
    <cellStyle name="Normal 4 13 8" xfId="28035" xr:uid="{00000000-0005-0000-0000-0000BF6A0000}"/>
    <cellStyle name="Normal 4 14" xfId="28876" xr:uid="{00000000-0005-0000-0000-0000C06A0000}"/>
    <cellStyle name="Normal 4 14 2" xfId="6964" xr:uid="{00000000-0005-0000-0000-0000C16A0000}"/>
    <cellStyle name="Normal 4 14 2 2" xfId="28378" xr:uid="{00000000-0005-0000-0000-0000C26A0000}"/>
    <cellStyle name="Normal 4 14 3" xfId="32203" xr:uid="{00000000-0005-0000-0000-0000C36A0000}"/>
    <cellStyle name="Normal 4 14 3 2" xfId="32534" xr:uid="{00000000-0005-0000-0000-0000C46A0000}"/>
    <cellStyle name="Normal 4 14 4" xfId="14049" xr:uid="{00000000-0005-0000-0000-0000C56A0000}"/>
    <cellStyle name="Normal 4 14 4 2" xfId="28878" xr:uid="{00000000-0005-0000-0000-0000C66A0000}"/>
    <cellStyle name="Normal 4 14 5" xfId="19670" xr:uid="{00000000-0005-0000-0000-0000C76A0000}"/>
    <cellStyle name="Normal 4 14 5 2" xfId="30712" xr:uid="{00000000-0005-0000-0000-0000C86A0000}"/>
    <cellStyle name="Normal 4 14 6" xfId="19908" xr:uid="{00000000-0005-0000-0000-0000C96A0000}"/>
    <cellStyle name="Normal 4 14 6 2" xfId="33241" xr:uid="{00000000-0005-0000-0000-0000CA6A0000}"/>
    <cellStyle name="Normal 4 14 7" xfId="28881" xr:uid="{00000000-0005-0000-0000-0000CB6A0000}"/>
    <cellStyle name="Normal 4 15" xfId="9122" xr:uid="{00000000-0005-0000-0000-0000CC6A0000}"/>
    <cellStyle name="Normal 4 15 2" xfId="18599" xr:uid="{00000000-0005-0000-0000-0000CD6A0000}"/>
    <cellStyle name="Normal 4 15 2 2" xfId="11384" xr:uid="{00000000-0005-0000-0000-0000CE6A0000}"/>
    <cellStyle name="Normal 4 15 3" xfId="28883" xr:uid="{00000000-0005-0000-0000-0000CF6A0000}"/>
    <cellStyle name="Normal 4 15 3 2" xfId="28885" xr:uid="{00000000-0005-0000-0000-0000D06A0000}"/>
    <cellStyle name="Normal 4 15 4" xfId="29128" xr:uid="{00000000-0005-0000-0000-0000D16A0000}"/>
    <cellStyle name="Normal 4 15 4 2" xfId="28893" xr:uid="{00000000-0005-0000-0000-0000D26A0000}"/>
    <cellStyle name="Normal 4 15 5" xfId="28367" xr:uid="{00000000-0005-0000-0000-0000D36A0000}"/>
    <cellStyle name="Normal 4 15 5 2" xfId="30422" xr:uid="{00000000-0005-0000-0000-0000D46A0000}"/>
    <cellStyle name="Normal 4 15 6" xfId="3104" xr:uid="{00000000-0005-0000-0000-0000D56A0000}"/>
    <cellStyle name="Normal 4 15 6 2" xfId="9465" xr:uid="{00000000-0005-0000-0000-0000D66A0000}"/>
    <cellStyle name="Normal 4 15 7" xfId="4396" xr:uid="{00000000-0005-0000-0000-0000D76A0000}"/>
    <cellStyle name="Normal 4 16" xfId="28899" xr:uid="{00000000-0005-0000-0000-0000D86A0000}"/>
    <cellStyle name="Normal 4 16 2" xfId="33676" xr:uid="{00000000-0005-0000-0000-0000D96A0000}"/>
    <cellStyle name="Normal 4 16 2 2" xfId="28902" xr:uid="{00000000-0005-0000-0000-0000DA6A0000}"/>
    <cellStyle name="Normal 4 16 3" xfId="28905" xr:uid="{00000000-0005-0000-0000-0000DB6A0000}"/>
    <cellStyle name="Normal 4 16 3 2" xfId="28906" xr:uid="{00000000-0005-0000-0000-0000DC6A0000}"/>
    <cellStyle name="Normal 4 16 4" xfId="28908" xr:uid="{00000000-0005-0000-0000-0000DD6A0000}"/>
    <cellStyle name="Normal 4 16 4 2" xfId="29705" xr:uid="{00000000-0005-0000-0000-0000DE6A0000}"/>
    <cellStyle name="Normal 4 16 5" xfId="27136" xr:uid="{00000000-0005-0000-0000-0000DF6A0000}"/>
    <cellStyle name="Normal 4 16 5 2" xfId="28411" xr:uid="{00000000-0005-0000-0000-0000E06A0000}"/>
    <cellStyle name="Normal 4 16 6" xfId="4199" xr:uid="{00000000-0005-0000-0000-0000E16A0000}"/>
    <cellStyle name="Normal 4 16 6 2" xfId="8684" xr:uid="{00000000-0005-0000-0000-0000E26A0000}"/>
    <cellStyle name="Normal 4 16 7" xfId="3994" xr:uid="{00000000-0005-0000-0000-0000E36A0000}"/>
    <cellStyle name="Normal 4 17" xfId="3116" xr:uid="{00000000-0005-0000-0000-0000E46A0000}"/>
    <cellStyle name="Normal 4 17 2" xfId="28910" xr:uid="{00000000-0005-0000-0000-0000E56A0000}"/>
    <cellStyle name="Normal 4 18" xfId="10592" xr:uid="{00000000-0005-0000-0000-0000E66A0000}"/>
    <cellStyle name="Normal 4 18 2" xfId="28912" xr:uid="{00000000-0005-0000-0000-0000E76A0000}"/>
    <cellStyle name="Normal 4 19" xfId="12934" xr:uid="{00000000-0005-0000-0000-0000E86A0000}"/>
    <cellStyle name="Normal 4 19 2" xfId="28914" xr:uid="{00000000-0005-0000-0000-0000E96A0000}"/>
    <cellStyle name="Normal 4 2" xfId="28919" xr:uid="{00000000-0005-0000-0000-0000EA6A0000}"/>
    <cellStyle name="Normal 4 2 10" xfId="32988" xr:uid="{00000000-0005-0000-0000-0000EB6A0000}"/>
    <cellStyle name="Normal 4 2 10 2" xfId="32537" xr:uid="{00000000-0005-0000-0000-0000EC6A0000}"/>
    <cellStyle name="Normal 4 2 10 2 2" xfId="13468" xr:uid="{00000000-0005-0000-0000-0000ED6A0000}"/>
    <cellStyle name="Normal 4 2 10 2 2 2" xfId="28920" xr:uid="{00000000-0005-0000-0000-0000EE6A0000}"/>
    <cellStyle name="Normal 4 2 10 2 3" xfId="12270" xr:uid="{00000000-0005-0000-0000-0000EF6A0000}"/>
    <cellStyle name="Normal 4 2 10 2 3 2" xfId="28922" xr:uid="{00000000-0005-0000-0000-0000F06A0000}"/>
    <cellStyle name="Normal 4 2 10 2 4" xfId="19249" xr:uid="{00000000-0005-0000-0000-0000F16A0000}"/>
    <cellStyle name="Normal 4 2 10 2 4 2" xfId="33954" xr:uid="{00000000-0005-0000-0000-0000F26A0000}"/>
    <cellStyle name="Normal 4 2 10 2 5" xfId="28930" xr:uid="{00000000-0005-0000-0000-0000F36A0000}"/>
    <cellStyle name="Normal 4 2 10 2 5 2" xfId="8878" xr:uid="{00000000-0005-0000-0000-0000F46A0000}"/>
    <cellStyle name="Normal 4 2 10 2 6" xfId="28936" xr:uid="{00000000-0005-0000-0000-0000F56A0000}"/>
    <cellStyle name="Normal 4 2 10 2 6 2" xfId="21961" xr:uid="{00000000-0005-0000-0000-0000F66A0000}"/>
    <cellStyle name="Normal 4 2 10 2 7" xfId="27370" xr:uid="{00000000-0005-0000-0000-0000F76A0000}"/>
    <cellStyle name="Normal 4 2 10 3" xfId="28947" xr:uid="{00000000-0005-0000-0000-0000F86A0000}"/>
    <cellStyle name="Normal 4 2 10 3 2" xfId="16664" xr:uid="{00000000-0005-0000-0000-0000F96A0000}"/>
    <cellStyle name="Normal 4 2 10 4" xfId="23440" xr:uid="{00000000-0005-0000-0000-0000FA6A0000}"/>
    <cellStyle name="Normal 4 2 10 4 2" xfId="18412" xr:uid="{00000000-0005-0000-0000-0000FB6A0000}"/>
    <cellStyle name="Normal 4 2 10 5" xfId="28949" xr:uid="{00000000-0005-0000-0000-0000FC6A0000}"/>
    <cellStyle name="Normal 4 2 10 5 2" xfId="6149" xr:uid="{00000000-0005-0000-0000-0000FD6A0000}"/>
    <cellStyle name="Normal 4 2 10 6" xfId="28951" xr:uid="{00000000-0005-0000-0000-0000FE6A0000}"/>
    <cellStyle name="Normal 4 2 10 6 2" xfId="27706" xr:uid="{00000000-0005-0000-0000-0000FF6A0000}"/>
    <cellStyle name="Normal 4 2 10 7" xfId="28954" xr:uid="{00000000-0005-0000-0000-0000006B0000}"/>
    <cellStyle name="Normal 4 2 10 7 2" xfId="28955" xr:uid="{00000000-0005-0000-0000-0000016B0000}"/>
    <cellStyle name="Normal 4 2 10 8" xfId="4666" xr:uid="{00000000-0005-0000-0000-0000026B0000}"/>
    <cellStyle name="Normal 4 2 11" xfId="28959" xr:uid="{00000000-0005-0000-0000-0000036B0000}"/>
    <cellStyle name="Normal 4 2 11 2" xfId="28960" xr:uid="{00000000-0005-0000-0000-0000046B0000}"/>
    <cellStyle name="Normal 4 2 11 2 2" xfId="28966" xr:uid="{00000000-0005-0000-0000-0000056B0000}"/>
    <cellStyle name="Normal 4 2 11 3" xfId="28968" xr:uid="{00000000-0005-0000-0000-0000066B0000}"/>
    <cellStyle name="Normal 4 2 11 3 2" xfId="16680" xr:uid="{00000000-0005-0000-0000-0000076B0000}"/>
    <cellStyle name="Normal 4 2 11 4" xfId="28971" xr:uid="{00000000-0005-0000-0000-0000086B0000}"/>
    <cellStyle name="Normal 4 2 11 4 2" xfId="18427" xr:uid="{00000000-0005-0000-0000-0000096B0000}"/>
    <cellStyle name="Normal 4 2 11 5" xfId="23547" xr:uid="{00000000-0005-0000-0000-00000A6B0000}"/>
    <cellStyle name="Normal 4 2 11 5 2" xfId="28973" xr:uid="{00000000-0005-0000-0000-00000B6B0000}"/>
    <cellStyle name="Normal 4 2 11 6" xfId="28974" xr:uid="{00000000-0005-0000-0000-00000C6B0000}"/>
    <cellStyle name="Normal 4 2 11 6 2" xfId="28977" xr:uid="{00000000-0005-0000-0000-00000D6B0000}"/>
    <cellStyle name="Normal 4 2 11 7" xfId="32322" xr:uid="{00000000-0005-0000-0000-00000E6B0000}"/>
    <cellStyle name="Normal 4 2 12" xfId="30608" xr:uid="{00000000-0005-0000-0000-00000F6B0000}"/>
    <cellStyle name="Normal 4 2 12 2" xfId="31021" xr:uid="{00000000-0005-0000-0000-0000106B0000}"/>
    <cellStyle name="Normal 4 2 12 2 2" xfId="28606" xr:uid="{00000000-0005-0000-0000-0000116B0000}"/>
    <cellStyle name="Normal 4 2 12 3" xfId="28150" xr:uid="{00000000-0005-0000-0000-0000126B0000}"/>
    <cellStyle name="Normal 4 2 12 3 2" xfId="28619" xr:uid="{00000000-0005-0000-0000-0000136B0000}"/>
    <cellStyle name="Normal 4 2 12 4" xfId="28984" xr:uid="{00000000-0005-0000-0000-0000146B0000}"/>
    <cellStyle name="Normal 4 2 12 4 2" xfId="28986" xr:uid="{00000000-0005-0000-0000-0000156B0000}"/>
    <cellStyle name="Normal 4 2 12 5" xfId="33085" xr:uid="{00000000-0005-0000-0000-0000166B0000}"/>
    <cellStyle name="Normal 4 2 12 5 2" xfId="31940" xr:uid="{00000000-0005-0000-0000-0000176B0000}"/>
    <cellStyle name="Normal 4 2 12 6" xfId="28987" xr:uid="{00000000-0005-0000-0000-0000186B0000}"/>
    <cellStyle name="Normal 4 2 12 6 2" xfId="28991" xr:uid="{00000000-0005-0000-0000-0000196B0000}"/>
    <cellStyle name="Normal 4 2 12 7" xfId="33790" xr:uid="{00000000-0005-0000-0000-00001A6B0000}"/>
    <cellStyle name="Normal 4 2 13" xfId="20558" xr:uid="{00000000-0005-0000-0000-00001B6B0000}"/>
    <cellStyle name="Normal 4 2 13 2" xfId="28995" xr:uid="{00000000-0005-0000-0000-00001C6B0000}"/>
    <cellStyle name="Normal 4 2 14" xfId="28569" xr:uid="{00000000-0005-0000-0000-00001D6B0000}"/>
    <cellStyle name="Normal 4 2 14 2" xfId="823" xr:uid="{00000000-0005-0000-0000-00001E6B0000}"/>
    <cellStyle name="Normal 4 2 15" xfId="28052" xr:uid="{00000000-0005-0000-0000-00001F6B0000}"/>
    <cellStyle name="Normal 4 2 15 2" xfId="12056" xr:uid="{00000000-0005-0000-0000-0000206B0000}"/>
    <cellStyle name="Normal 4 2 16" xfId="33622" xr:uid="{00000000-0005-0000-0000-0000216B0000}"/>
    <cellStyle name="Normal 4 2 16 2" xfId="12291" xr:uid="{00000000-0005-0000-0000-0000226B0000}"/>
    <cellStyle name="Normal 4 2 17" xfId="27524" xr:uid="{00000000-0005-0000-0000-0000236B0000}"/>
    <cellStyle name="Normal 4 2 17 2" xfId="21887" xr:uid="{00000000-0005-0000-0000-0000246B0000}"/>
    <cellStyle name="Normal 4 2 18" xfId="25738" xr:uid="{00000000-0005-0000-0000-0000256B0000}"/>
    <cellStyle name="Normal 4 2 2" xfId="24302" xr:uid="{00000000-0005-0000-0000-0000266B0000}"/>
    <cellStyle name="Normal 4 2 2 2" xfId="31579" xr:uid="{00000000-0005-0000-0000-0000276B0000}"/>
    <cellStyle name="Normal 4 2 2 2 2" xfId="10572" xr:uid="{00000000-0005-0000-0000-0000286B0000}"/>
    <cellStyle name="Normal 4 2 2 2 2 2" xfId="10641" xr:uid="{00000000-0005-0000-0000-0000296B0000}"/>
    <cellStyle name="Normal 4 2 2 2 3" xfId="15571" xr:uid="{00000000-0005-0000-0000-00002A6B0000}"/>
    <cellStyle name="Normal 4 2 2 2 3 2" xfId="15458" xr:uid="{00000000-0005-0000-0000-00002B6B0000}"/>
    <cellStyle name="Normal 4 2 2 2 4" xfId="10666" xr:uid="{00000000-0005-0000-0000-00002C6B0000}"/>
    <cellStyle name="Normal 4 2 2 2 4 2" xfId="28999" xr:uid="{00000000-0005-0000-0000-00002D6B0000}"/>
    <cellStyle name="Normal 4 2 2 2 5" xfId="24680" xr:uid="{00000000-0005-0000-0000-00002E6B0000}"/>
    <cellStyle name="Normal 4 2 2 2 5 2" xfId="29001" xr:uid="{00000000-0005-0000-0000-00002F6B0000}"/>
    <cellStyle name="Normal 4 2 2 2 6" xfId="8555" xr:uid="{00000000-0005-0000-0000-0000306B0000}"/>
    <cellStyle name="Normal 4 2 2 2 6 2" xfId="26009" xr:uid="{00000000-0005-0000-0000-0000316B0000}"/>
    <cellStyle name="Normal 4 2 2 2 7" xfId="28117" xr:uid="{00000000-0005-0000-0000-0000326B0000}"/>
    <cellStyle name="Normal 4 2 2 3" xfId="28819" xr:uid="{00000000-0005-0000-0000-0000336B0000}"/>
    <cellStyle name="Normal 4 2 2 3 2" xfId="10728" xr:uid="{00000000-0005-0000-0000-0000346B0000}"/>
    <cellStyle name="Normal 4 2 2 4" xfId="23197" xr:uid="{00000000-0005-0000-0000-0000356B0000}"/>
    <cellStyle name="Normal 4 2 2 4 2" xfId="10745" xr:uid="{00000000-0005-0000-0000-0000366B0000}"/>
    <cellStyle name="Normal 4 2 2 5" xfId="31533" xr:uid="{00000000-0005-0000-0000-0000376B0000}"/>
    <cellStyle name="Normal 4 2 2 5 2" xfId="33443" xr:uid="{00000000-0005-0000-0000-0000386B0000}"/>
    <cellStyle name="Normal 4 2 2 6" xfId="29007" xr:uid="{00000000-0005-0000-0000-0000396B0000}"/>
    <cellStyle name="Normal 4 2 2 6 2" xfId="30431" xr:uid="{00000000-0005-0000-0000-00003A6B0000}"/>
    <cellStyle name="Normal 4 2 2 7" xfId="29010" xr:uid="{00000000-0005-0000-0000-00003B6B0000}"/>
    <cellStyle name="Normal 4 2 2 7 2" xfId="13408" xr:uid="{00000000-0005-0000-0000-00003C6B0000}"/>
    <cellStyle name="Normal 4 2 2 8" xfId="29014" xr:uid="{00000000-0005-0000-0000-00003D6B0000}"/>
    <cellStyle name="Normal 4 2 3" xfId="29018" xr:uid="{00000000-0005-0000-0000-00003E6B0000}"/>
    <cellStyle name="Normal 4 2 3 2" xfId="33870" xr:uid="{00000000-0005-0000-0000-00003F6B0000}"/>
    <cellStyle name="Normal 4 2 3 2 2" xfId="25627" xr:uid="{00000000-0005-0000-0000-0000406B0000}"/>
    <cellStyle name="Normal 4 2 3 2 2 2" xfId="10818" xr:uid="{00000000-0005-0000-0000-0000416B0000}"/>
    <cellStyle name="Normal 4 2 3 2 3" xfId="10824" xr:uid="{00000000-0005-0000-0000-0000426B0000}"/>
    <cellStyle name="Normal 4 2 3 2 3 2" xfId="29019" xr:uid="{00000000-0005-0000-0000-0000436B0000}"/>
    <cellStyle name="Normal 4 2 3 2 4" xfId="29020" xr:uid="{00000000-0005-0000-0000-0000446B0000}"/>
    <cellStyle name="Normal 4 2 3 2 4 2" xfId="29022" xr:uid="{00000000-0005-0000-0000-0000456B0000}"/>
    <cellStyle name="Normal 4 2 3 2 5" xfId="10378" xr:uid="{00000000-0005-0000-0000-0000466B0000}"/>
    <cellStyle name="Normal 4 2 3 2 5 2" xfId="25031" xr:uid="{00000000-0005-0000-0000-0000476B0000}"/>
    <cellStyle name="Normal 4 2 3 2 6" xfId="26182" xr:uid="{00000000-0005-0000-0000-0000486B0000}"/>
    <cellStyle name="Normal 4 2 3 2 6 2" xfId="26022" xr:uid="{00000000-0005-0000-0000-0000496B0000}"/>
    <cellStyle name="Normal 4 2 3 2 7" xfId="29806" xr:uid="{00000000-0005-0000-0000-00004A6B0000}"/>
    <cellStyle name="Normal 4 2 3 3" xfId="29031" xr:uid="{00000000-0005-0000-0000-00004B6B0000}"/>
    <cellStyle name="Normal 4 2 3 3 2" xfId="10853" xr:uid="{00000000-0005-0000-0000-00004C6B0000}"/>
    <cellStyle name="Normal 4 2 3 4" xfId="29034" xr:uid="{00000000-0005-0000-0000-00004D6B0000}"/>
    <cellStyle name="Normal 4 2 3 4 2" xfId="24436" xr:uid="{00000000-0005-0000-0000-00004E6B0000}"/>
    <cellStyle name="Normal 4 2 3 5" xfId="29035" xr:uid="{00000000-0005-0000-0000-00004F6B0000}"/>
    <cellStyle name="Normal 4 2 3 5 2" xfId="24846" xr:uid="{00000000-0005-0000-0000-0000506B0000}"/>
    <cellStyle name="Normal 4 2 3 6" xfId="33942" xr:uid="{00000000-0005-0000-0000-0000516B0000}"/>
    <cellStyle name="Normal 4 2 3 6 2" xfId="2139" xr:uid="{00000000-0005-0000-0000-0000526B0000}"/>
    <cellStyle name="Normal 4 2 3 7" xfId="31088" xr:uid="{00000000-0005-0000-0000-0000536B0000}"/>
    <cellStyle name="Normal 4 2 3 7 2" xfId="28638" xr:uid="{00000000-0005-0000-0000-0000546B0000}"/>
    <cellStyle name="Normal 4 2 3 8" xfId="29036" xr:uid="{00000000-0005-0000-0000-0000556B0000}"/>
    <cellStyle name="Normal 4 2 4" xfId="2839" xr:uid="{00000000-0005-0000-0000-0000566B0000}"/>
    <cellStyle name="Normal 4 2 4 2" xfId="2230" xr:uid="{00000000-0005-0000-0000-0000576B0000}"/>
    <cellStyle name="Normal 4 2 4 2 2" xfId="11052" xr:uid="{00000000-0005-0000-0000-0000586B0000}"/>
    <cellStyle name="Normal 4 2 4 2 2 2" xfId="950" xr:uid="{00000000-0005-0000-0000-0000596B0000}"/>
    <cellStyle name="Normal 4 2 4 2 3" xfId="9653" xr:uid="{00000000-0005-0000-0000-00005A6B0000}"/>
    <cellStyle name="Normal 4 2 4 2 3 2" xfId="939" xr:uid="{00000000-0005-0000-0000-00005B6B0000}"/>
    <cellStyle name="Normal 4 2 4 2 4" xfId="10645" xr:uid="{00000000-0005-0000-0000-00005C6B0000}"/>
    <cellStyle name="Normal 4 2 4 2 4 2" xfId="5601" xr:uid="{00000000-0005-0000-0000-00005D6B0000}"/>
    <cellStyle name="Normal 4 2 4 2 5" xfId="5781" xr:uid="{00000000-0005-0000-0000-00005E6B0000}"/>
    <cellStyle name="Normal 4 2 4 2 5 2" xfId="6104" xr:uid="{00000000-0005-0000-0000-00005F6B0000}"/>
    <cellStyle name="Normal 4 2 4 2 6" xfId="5794" xr:uid="{00000000-0005-0000-0000-0000606B0000}"/>
    <cellStyle name="Normal 4 2 4 2 6 2" xfId="2994" xr:uid="{00000000-0005-0000-0000-0000616B0000}"/>
    <cellStyle name="Normal 4 2 4 2 7" xfId="33253" xr:uid="{00000000-0005-0000-0000-0000626B0000}"/>
    <cellStyle name="Normal 4 2 4 3" xfId="1556" xr:uid="{00000000-0005-0000-0000-0000636B0000}"/>
    <cellStyle name="Normal 4 2 4 3 2" xfId="3912" xr:uid="{00000000-0005-0000-0000-0000646B0000}"/>
    <cellStyle name="Normal 4 2 4 4" xfId="1397" xr:uid="{00000000-0005-0000-0000-0000656B0000}"/>
    <cellStyle name="Normal 4 2 4 4 2" xfId="29791" xr:uid="{00000000-0005-0000-0000-0000666B0000}"/>
    <cellStyle name="Normal 4 2 4 5" xfId="5647" xr:uid="{00000000-0005-0000-0000-0000676B0000}"/>
    <cellStyle name="Normal 4 2 4 5 2" xfId="5650" xr:uid="{00000000-0005-0000-0000-0000686B0000}"/>
    <cellStyle name="Normal 4 2 4 6" xfId="5664" xr:uid="{00000000-0005-0000-0000-0000696B0000}"/>
    <cellStyle name="Normal 4 2 4 6 2" xfId="5673" xr:uid="{00000000-0005-0000-0000-00006A6B0000}"/>
    <cellStyle name="Normal 4 2 4 7" xfId="18464" xr:uid="{00000000-0005-0000-0000-00006B6B0000}"/>
    <cellStyle name="Normal 4 2 4 7 2" xfId="29037" xr:uid="{00000000-0005-0000-0000-00006C6B0000}"/>
    <cellStyle name="Normal 4 2 4 8" xfId="22836" xr:uid="{00000000-0005-0000-0000-00006D6B0000}"/>
    <cellStyle name="Normal 4 2 5" xfId="8099" xr:uid="{00000000-0005-0000-0000-00006E6B0000}"/>
    <cellStyle name="Normal 4 2 5 2" xfId="1558" xr:uid="{00000000-0005-0000-0000-00006F6B0000}"/>
    <cellStyle name="Normal 4 2 5 2 2" xfId="11069" xr:uid="{00000000-0005-0000-0000-0000706B0000}"/>
    <cellStyle name="Normal 4 2 5 2 2 2" xfId="22643" xr:uid="{00000000-0005-0000-0000-0000716B0000}"/>
    <cellStyle name="Normal 4 2 5 2 3" xfId="7547" xr:uid="{00000000-0005-0000-0000-0000726B0000}"/>
    <cellStyle name="Normal 4 2 5 2 3 2" xfId="21176" xr:uid="{00000000-0005-0000-0000-0000736B0000}"/>
    <cellStyle name="Normal 4 2 5 2 4" xfId="7559" xr:uid="{00000000-0005-0000-0000-0000746B0000}"/>
    <cellStyle name="Normal 4 2 5 2 4 2" xfId="7912" xr:uid="{00000000-0005-0000-0000-0000756B0000}"/>
    <cellStyle name="Normal 4 2 5 2 5" xfId="7922" xr:uid="{00000000-0005-0000-0000-0000766B0000}"/>
    <cellStyle name="Normal 4 2 5 2 5 2" xfId="32327" xr:uid="{00000000-0005-0000-0000-0000776B0000}"/>
    <cellStyle name="Normal 4 2 5 2 6" xfId="32658" xr:uid="{00000000-0005-0000-0000-0000786B0000}"/>
    <cellStyle name="Normal 4 2 5 2 6 2" xfId="8336" xr:uid="{00000000-0005-0000-0000-0000796B0000}"/>
    <cellStyle name="Normal 4 2 5 2 7" xfId="29038" xr:uid="{00000000-0005-0000-0000-00007A6B0000}"/>
    <cellStyle name="Normal 4 2 5 3" xfId="1565" xr:uid="{00000000-0005-0000-0000-00007B6B0000}"/>
    <cellStyle name="Normal 4 2 5 3 2" xfId="5701" xr:uid="{00000000-0005-0000-0000-00007C6B0000}"/>
    <cellStyle name="Normal 4 2 5 4" xfId="5704" xr:uid="{00000000-0005-0000-0000-00007D6B0000}"/>
    <cellStyle name="Normal 4 2 5 4 2" xfId="5707" xr:uid="{00000000-0005-0000-0000-00007E6B0000}"/>
    <cellStyle name="Normal 4 2 5 5" xfId="5711" xr:uid="{00000000-0005-0000-0000-00007F6B0000}"/>
    <cellStyle name="Normal 4 2 5 5 2" xfId="5713" xr:uid="{00000000-0005-0000-0000-0000806B0000}"/>
    <cellStyle name="Normal 4 2 5 6" xfId="5715" xr:uid="{00000000-0005-0000-0000-0000816B0000}"/>
    <cellStyle name="Normal 4 2 5 6 2" xfId="32072" xr:uid="{00000000-0005-0000-0000-0000826B0000}"/>
    <cellStyle name="Normal 4 2 5 7" xfId="29039" xr:uid="{00000000-0005-0000-0000-0000836B0000}"/>
    <cellStyle name="Normal 4 2 5 7 2" xfId="29041" xr:uid="{00000000-0005-0000-0000-0000846B0000}"/>
    <cellStyle name="Normal 4 2 5 8" xfId="29043" xr:uid="{00000000-0005-0000-0000-0000856B0000}"/>
    <cellStyle name="Normal 4 2 6" xfId="11987" xr:uid="{00000000-0005-0000-0000-0000866B0000}"/>
    <cellStyle name="Normal 4 2 6 2" xfId="1577" xr:uid="{00000000-0005-0000-0000-0000876B0000}"/>
    <cellStyle name="Normal 4 2 6 2 2" xfId="9081" xr:uid="{00000000-0005-0000-0000-0000886B0000}"/>
    <cellStyle name="Normal 4 2 6 2 2 2" xfId="21225" xr:uid="{00000000-0005-0000-0000-0000896B0000}"/>
    <cellStyle name="Normal 4 2 6 2 3" xfId="9052" xr:uid="{00000000-0005-0000-0000-00008A6B0000}"/>
    <cellStyle name="Normal 4 2 6 2 3 2" xfId="7936" xr:uid="{00000000-0005-0000-0000-00008B6B0000}"/>
    <cellStyle name="Normal 4 2 6 2 4" xfId="9069" xr:uid="{00000000-0005-0000-0000-00008C6B0000}"/>
    <cellStyle name="Normal 4 2 6 2 4 2" xfId="24611" xr:uid="{00000000-0005-0000-0000-00008D6B0000}"/>
    <cellStyle name="Normal 4 2 6 2 5" xfId="13368" xr:uid="{00000000-0005-0000-0000-00008E6B0000}"/>
    <cellStyle name="Normal 4 2 6 2 5 2" xfId="26667" xr:uid="{00000000-0005-0000-0000-00008F6B0000}"/>
    <cellStyle name="Normal 4 2 6 2 6" xfId="26214" xr:uid="{00000000-0005-0000-0000-0000906B0000}"/>
    <cellStyle name="Normal 4 2 6 2 6 2" xfId="8361" xr:uid="{00000000-0005-0000-0000-0000916B0000}"/>
    <cellStyle name="Normal 4 2 6 2 7" xfId="32754" xr:uid="{00000000-0005-0000-0000-0000926B0000}"/>
    <cellStyle name="Normal 4 2 6 3" xfId="5718" xr:uid="{00000000-0005-0000-0000-0000936B0000}"/>
    <cellStyle name="Normal 4 2 6 3 2" xfId="9089" xr:uid="{00000000-0005-0000-0000-0000946B0000}"/>
    <cellStyle name="Normal 4 2 6 4" xfId="5721" xr:uid="{00000000-0005-0000-0000-0000956B0000}"/>
    <cellStyle name="Normal 4 2 6 4 2" xfId="9120" xr:uid="{00000000-0005-0000-0000-0000966B0000}"/>
    <cellStyle name="Normal 4 2 6 5" xfId="2290" xr:uid="{00000000-0005-0000-0000-0000976B0000}"/>
    <cellStyle name="Normal 4 2 6 5 2" xfId="29055" xr:uid="{00000000-0005-0000-0000-0000986B0000}"/>
    <cellStyle name="Normal 4 2 6 6" xfId="32543" xr:uid="{00000000-0005-0000-0000-0000996B0000}"/>
    <cellStyle name="Normal 4 2 6 6 2" xfId="23872" xr:uid="{00000000-0005-0000-0000-00009A6B0000}"/>
    <cellStyle name="Normal 4 2 6 7" xfId="33528" xr:uid="{00000000-0005-0000-0000-00009B6B0000}"/>
    <cellStyle name="Normal 4 2 6 7 2" xfId="21732" xr:uid="{00000000-0005-0000-0000-00009C6B0000}"/>
    <cellStyle name="Normal 4 2 6 8" xfId="20498" xr:uid="{00000000-0005-0000-0000-00009D6B0000}"/>
    <cellStyle name="Normal 4 2 7" xfId="18711" xr:uid="{00000000-0005-0000-0000-00009E6B0000}"/>
    <cellStyle name="Normal 4 2 7 2" xfId="5723" xr:uid="{00000000-0005-0000-0000-00009F6B0000}"/>
    <cellStyle name="Normal 4 2 7 2 2" xfId="11039" xr:uid="{00000000-0005-0000-0000-0000A06B0000}"/>
    <cellStyle name="Normal 4 2 7 2 2 2" xfId="12811" xr:uid="{00000000-0005-0000-0000-0000A16B0000}"/>
    <cellStyle name="Normal 4 2 7 2 3" xfId="9577" xr:uid="{00000000-0005-0000-0000-0000A26B0000}"/>
    <cellStyle name="Normal 4 2 7 2 3 2" xfId="29057" xr:uid="{00000000-0005-0000-0000-0000A36B0000}"/>
    <cellStyle name="Normal 4 2 7 2 4" xfId="29058" xr:uid="{00000000-0005-0000-0000-0000A46B0000}"/>
    <cellStyle name="Normal 4 2 7 2 4 2" xfId="29060" xr:uid="{00000000-0005-0000-0000-0000A56B0000}"/>
    <cellStyle name="Normal 4 2 7 2 5" xfId="31957" xr:uid="{00000000-0005-0000-0000-0000A66B0000}"/>
    <cellStyle name="Normal 4 2 7 2 5 2" xfId="27729" xr:uid="{00000000-0005-0000-0000-0000A76B0000}"/>
    <cellStyle name="Normal 4 2 7 2 6" xfId="29819" xr:uid="{00000000-0005-0000-0000-0000A86B0000}"/>
    <cellStyle name="Normal 4 2 7 2 6 2" xfId="29061" xr:uid="{00000000-0005-0000-0000-0000A96B0000}"/>
    <cellStyle name="Normal 4 2 7 2 7" xfId="25483" xr:uid="{00000000-0005-0000-0000-0000AA6B0000}"/>
    <cellStyle name="Normal 4 2 7 3" xfId="5728" xr:uid="{00000000-0005-0000-0000-0000AB6B0000}"/>
    <cellStyle name="Normal 4 2 7 3 2" xfId="11058" xr:uid="{00000000-0005-0000-0000-0000AC6B0000}"/>
    <cellStyle name="Normal 4 2 7 4" xfId="10022" xr:uid="{00000000-0005-0000-0000-0000AD6B0000}"/>
    <cellStyle name="Normal 4 2 7 4 2" xfId="6368" xr:uid="{00000000-0005-0000-0000-0000AE6B0000}"/>
    <cellStyle name="Normal 4 2 7 5" xfId="8755" xr:uid="{00000000-0005-0000-0000-0000AF6B0000}"/>
    <cellStyle name="Normal 4 2 7 5 2" xfId="30068" xr:uid="{00000000-0005-0000-0000-0000B06B0000}"/>
    <cellStyle name="Normal 4 2 7 6" xfId="32729" xr:uid="{00000000-0005-0000-0000-0000B16B0000}"/>
    <cellStyle name="Normal 4 2 7 6 2" xfId="27869" xr:uid="{00000000-0005-0000-0000-0000B26B0000}"/>
    <cellStyle name="Normal 4 2 7 7" xfId="29063" xr:uid="{00000000-0005-0000-0000-0000B36B0000}"/>
    <cellStyle name="Normal 4 2 7 7 2" xfId="29065" xr:uid="{00000000-0005-0000-0000-0000B46B0000}"/>
    <cellStyle name="Normal 4 2 7 8" xfId="29068" xr:uid="{00000000-0005-0000-0000-0000B56B0000}"/>
    <cellStyle name="Normal 4 2 8" xfId="5739" xr:uid="{00000000-0005-0000-0000-0000B66B0000}"/>
    <cellStyle name="Normal 4 2 8 2" xfId="5741" xr:uid="{00000000-0005-0000-0000-0000B76B0000}"/>
    <cellStyle name="Normal 4 2 8 2 2" xfId="11063" xr:uid="{00000000-0005-0000-0000-0000B86B0000}"/>
    <cellStyle name="Normal 4 2 8 2 2 2" xfId="2637" xr:uid="{00000000-0005-0000-0000-0000B96B0000}"/>
    <cellStyle name="Normal 4 2 8 2 3" xfId="29069" xr:uid="{00000000-0005-0000-0000-0000BA6B0000}"/>
    <cellStyle name="Normal 4 2 8 2 3 2" xfId="12869" xr:uid="{00000000-0005-0000-0000-0000BB6B0000}"/>
    <cellStyle name="Normal 4 2 8 2 4" xfId="29071" xr:uid="{00000000-0005-0000-0000-0000BC6B0000}"/>
    <cellStyle name="Normal 4 2 8 2 4 2" xfId="12895" xr:uid="{00000000-0005-0000-0000-0000BD6B0000}"/>
    <cellStyle name="Normal 4 2 8 2 5" xfId="32306" xr:uid="{00000000-0005-0000-0000-0000BE6B0000}"/>
    <cellStyle name="Normal 4 2 8 2 5 2" xfId="12898" xr:uid="{00000000-0005-0000-0000-0000BF6B0000}"/>
    <cellStyle name="Normal 4 2 8 2 6" xfId="29075" xr:uid="{00000000-0005-0000-0000-0000C06B0000}"/>
    <cellStyle name="Normal 4 2 8 2 6 2" xfId="29077" xr:uid="{00000000-0005-0000-0000-0000C16B0000}"/>
    <cellStyle name="Normal 4 2 8 2 7" xfId="11434" xr:uid="{00000000-0005-0000-0000-0000C26B0000}"/>
    <cellStyle name="Normal 4 2 8 3" xfId="13424" xr:uid="{00000000-0005-0000-0000-0000C36B0000}"/>
    <cellStyle name="Normal 4 2 8 3 2" xfId="29078" xr:uid="{00000000-0005-0000-0000-0000C46B0000}"/>
    <cellStyle name="Normal 4 2 8 4" xfId="26458" xr:uid="{00000000-0005-0000-0000-0000C56B0000}"/>
    <cellStyle name="Normal 4 2 8 4 2" xfId="29080" xr:uid="{00000000-0005-0000-0000-0000C66B0000}"/>
    <cellStyle name="Normal 4 2 8 5" xfId="29086" xr:uid="{00000000-0005-0000-0000-0000C76B0000}"/>
    <cellStyle name="Normal 4 2 8 5 2" xfId="29089" xr:uid="{00000000-0005-0000-0000-0000C86B0000}"/>
    <cellStyle name="Normal 4 2 8 6" xfId="29090" xr:uid="{00000000-0005-0000-0000-0000C96B0000}"/>
    <cellStyle name="Normal 4 2 8 6 2" xfId="31330" xr:uid="{00000000-0005-0000-0000-0000CA6B0000}"/>
    <cellStyle name="Normal 4 2 8 7" xfId="23669" xr:uid="{00000000-0005-0000-0000-0000CB6B0000}"/>
    <cellStyle name="Normal 4 2 8 7 2" xfId="29093" xr:uid="{00000000-0005-0000-0000-0000CC6B0000}"/>
    <cellStyle name="Normal 4 2 8 8" xfId="29096" xr:uid="{00000000-0005-0000-0000-0000CD6B0000}"/>
    <cellStyle name="Normal 4 2 9" xfId="5748" xr:uid="{00000000-0005-0000-0000-0000CE6B0000}"/>
    <cellStyle name="Normal 4 2 9 2" xfId="5750" xr:uid="{00000000-0005-0000-0000-0000CF6B0000}"/>
    <cellStyle name="Normal 4 2 9 2 2" xfId="16047" xr:uid="{00000000-0005-0000-0000-0000D06B0000}"/>
    <cellStyle name="Normal 4 2 9 2 2 2" xfId="13180" xr:uid="{00000000-0005-0000-0000-0000D16B0000}"/>
    <cellStyle name="Normal 4 2 9 2 3" xfId="12280" xr:uid="{00000000-0005-0000-0000-0000D26B0000}"/>
    <cellStyle name="Normal 4 2 9 2 3 2" xfId="13333" xr:uid="{00000000-0005-0000-0000-0000D36B0000}"/>
    <cellStyle name="Normal 4 2 9 2 4" xfId="29098" xr:uid="{00000000-0005-0000-0000-0000D46B0000}"/>
    <cellStyle name="Normal 4 2 9 2 4 2" xfId="13169" xr:uid="{00000000-0005-0000-0000-0000D56B0000}"/>
    <cellStyle name="Normal 4 2 9 2 5" xfId="33580" xr:uid="{00000000-0005-0000-0000-0000D66B0000}"/>
    <cellStyle name="Normal 4 2 9 2 5 2" xfId="29099" xr:uid="{00000000-0005-0000-0000-0000D76B0000}"/>
    <cellStyle name="Normal 4 2 9 2 6" xfId="33322" xr:uid="{00000000-0005-0000-0000-0000D86B0000}"/>
    <cellStyle name="Normal 4 2 9 2 6 2" xfId="32514" xr:uid="{00000000-0005-0000-0000-0000D96B0000}"/>
    <cellStyle name="Normal 4 2 9 2 7" xfId="16488" xr:uid="{00000000-0005-0000-0000-0000DA6B0000}"/>
    <cellStyle name="Normal 4 2 9 3" xfId="6956" xr:uid="{00000000-0005-0000-0000-0000DB6B0000}"/>
    <cellStyle name="Normal 4 2 9 3 2" xfId="12488" xr:uid="{00000000-0005-0000-0000-0000DC6B0000}"/>
    <cellStyle name="Normal 4 2 9 4" xfId="29101" xr:uid="{00000000-0005-0000-0000-0000DD6B0000}"/>
    <cellStyle name="Normal 4 2 9 4 2" xfId="29102" xr:uid="{00000000-0005-0000-0000-0000DE6B0000}"/>
    <cellStyle name="Normal 4 2 9 5" xfId="29103" xr:uid="{00000000-0005-0000-0000-0000DF6B0000}"/>
    <cellStyle name="Normal 4 2 9 5 2" xfId="26057" xr:uid="{00000000-0005-0000-0000-0000E06B0000}"/>
    <cellStyle name="Normal 4 2 9 6" xfId="29107" xr:uid="{00000000-0005-0000-0000-0000E16B0000}"/>
    <cellStyle name="Normal 4 2 9 6 2" xfId="29112" xr:uid="{00000000-0005-0000-0000-0000E26B0000}"/>
    <cellStyle name="Normal 4 2 9 7" xfId="29116" xr:uid="{00000000-0005-0000-0000-0000E36B0000}"/>
    <cellStyle name="Normal 4 2 9 7 2" xfId="28251" xr:uid="{00000000-0005-0000-0000-0000E46B0000}"/>
    <cellStyle name="Normal 4 2 9 8" xfId="29117" xr:uid="{00000000-0005-0000-0000-0000E56B0000}"/>
    <cellStyle name="Normal 4 20" xfId="9121" xr:uid="{00000000-0005-0000-0000-0000E66B0000}"/>
    <cellStyle name="Normal 4 20 2" xfId="18598" xr:uid="{00000000-0005-0000-0000-0000E76B0000}"/>
    <cellStyle name="Normal 4 21" xfId="28900" xr:uid="{00000000-0005-0000-0000-0000E86B0000}"/>
    <cellStyle name="Normal 4 21 2" xfId="33677" xr:uid="{00000000-0005-0000-0000-0000E96B0000}"/>
    <cellStyle name="Normal 4 22" xfId="3117" xr:uid="{00000000-0005-0000-0000-0000EA6B0000}"/>
    <cellStyle name="Normal 4 23" xfId="10593" xr:uid="{00000000-0005-0000-0000-0000EB6B0000}"/>
    <cellStyle name="Normal 4 24" xfId="12933" xr:uid="{00000000-0005-0000-0000-0000EC6B0000}"/>
    <cellStyle name="Normal 4 3" xfId="29123" xr:uid="{00000000-0005-0000-0000-0000ED6B0000}"/>
    <cellStyle name="Normal 4 3 2" xfId="30465" xr:uid="{00000000-0005-0000-0000-0000EE6B0000}"/>
    <cellStyle name="Normal 4 3 2 2" xfId="29919" xr:uid="{00000000-0005-0000-0000-0000EF6B0000}"/>
    <cellStyle name="Normal 4 3 2 2 2" xfId="12432" xr:uid="{00000000-0005-0000-0000-0000F06B0000}"/>
    <cellStyle name="Normal 4 3 2 3" xfId="28853" xr:uid="{00000000-0005-0000-0000-0000F16B0000}"/>
    <cellStyle name="Normal 4 3 2 3 2" xfId="12442" xr:uid="{00000000-0005-0000-0000-0000F26B0000}"/>
    <cellStyle name="Normal 4 3 2 4" xfId="29124" xr:uid="{00000000-0005-0000-0000-0000F36B0000}"/>
    <cellStyle name="Normal 4 3 2 4 2" xfId="3642" xr:uid="{00000000-0005-0000-0000-0000F46B0000}"/>
    <cellStyle name="Normal 4 3 2 5" xfId="28806" xr:uid="{00000000-0005-0000-0000-0000F56B0000}"/>
    <cellStyle name="Normal 4 3 2 5 2" xfId="33564" xr:uid="{00000000-0005-0000-0000-0000F66B0000}"/>
    <cellStyle name="Normal 4 3 2 6" xfId="29125" xr:uid="{00000000-0005-0000-0000-0000F76B0000}"/>
    <cellStyle name="Normal 4 3 2 6 2" xfId="29129" xr:uid="{00000000-0005-0000-0000-0000F86B0000}"/>
    <cellStyle name="Normal 4 3 2 7" xfId="32515" xr:uid="{00000000-0005-0000-0000-0000F96B0000}"/>
    <cellStyle name="Normal 4 3 3" xfId="33366" xr:uid="{00000000-0005-0000-0000-0000FA6B0000}"/>
    <cellStyle name="Normal 4 3 3 2" xfId="33481" xr:uid="{00000000-0005-0000-0000-0000FB6B0000}"/>
    <cellStyle name="Normal 4 3 4" xfId="7041" xr:uid="{00000000-0005-0000-0000-0000FC6B0000}"/>
    <cellStyle name="Normal 4 3 4 2" xfId="1967" xr:uid="{00000000-0005-0000-0000-0000FD6B0000}"/>
    <cellStyle name="Normal 4 3 5" xfId="1228" xr:uid="{00000000-0005-0000-0000-0000FE6B0000}"/>
    <cellStyle name="Normal 4 3 5 2" xfId="94" xr:uid="{00000000-0005-0000-0000-0000FF6B0000}"/>
    <cellStyle name="Normal 4 3 6" xfId="12122" xr:uid="{00000000-0005-0000-0000-0000006C0000}"/>
    <cellStyle name="Normal 4 3 6 2" xfId="11794" xr:uid="{00000000-0005-0000-0000-0000016C0000}"/>
    <cellStyle name="Normal 4 3 7" xfId="18717" xr:uid="{00000000-0005-0000-0000-0000026C0000}"/>
    <cellStyle name="Normal 4 3 7 2" xfId="11837" xr:uid="{00000000-0005-0000-0000-0000036C0000}"/>
    <cellStyle name="Normal 4 3 8" xfId="8404" xr:uid="{00000000-0005-0000-0000-0000046C0000}"/>
    <cellStyle name="Normal 4 4" xfId="29135" xr:uid="{00000000-0005-0000-0000-0000056C0000}"/>
    <cellStyle name="Normal 4 4 2" xfId="32604" xr:uid="{00000000-0005-0000-0000-0000066C0000}"/>
    <cellStyle name="Normal 4 4 2 2" xfId="25710" xr:uid="{00000000-0005-0000-0000-0000076C0000}"/>
    <cellStyle name="Normal 4 4 2 2 2" xfId="14111" xr:uid="{00000000-0005-0000-0000-0000086C0000}"/>
    <cellStyle name="Normal 4 4 2 3" xfId="28872" xr:uid="{00000000-0005-0000-0000-0000096C0000}"/>
    <cellStyle name="Normal 4 4 2 3 2" xfId="14134" xr:uid="{00000000-0005-0000-0000-00000A6C0000}"/>
    <cellStyle name="Normal 4 4 2 4" xfId="24032" xr:uid="{00000000-0005-0000-0000-00000B6C0000}"/>
    <cellStyle name="Normal 4 4 2 4 2" xfId="3144" xr:uid="{00000000-0005-0000-0000-00000C6C0000}"/>
    <cellStyle name="Normal 4 4 2 5" xfId="25748" xr:uid="{00000000-0005-0000-0000-00000D6C0000}"/>
    <cellStyle name="Normal 4 4 2 5 2" xfId="26475" xr:uid="{00000000-0005-0000-0000-00000E6C0000}"/>
    <cellStyle name="Normal 4 4 2 6" xfId="29139" xr:uid="{00000000-0005-0000-0000-00000F6C0000}"/>
    <cellStyle name="Normal 4 4 2 6 2" xfId="30672" xr:uid="{00000000-0005-0000-0000-0000106C0000}"/>
    <cellStyle name="Normal 4 4 2 7" xfId="31888" xr:uid="{00000000-0005-0000-0000-0000116C0000}"/>
    <cellStyle name="Normal 4 4 3" xfId="12497" xr:uid="{00000000-0005-0000-0000-0000126C0000}"/>
    <cellStyle name="Normal 4 4 3 2" xfId="19901" xr:uid="{00000000-0005-0000-0000-0000136C0000}"/>
    <cellStyle name="Normal 4 4 4" xfId="9790" xr:uid="{00000000-0005-0000-0000-0000146C0000}"/>
    <cellStyle name="Normal 4 4 4 2" xfId="19904" xr:uid="{00000000-0005-0000-0000-0000156C0000}"/>
    <cellStyle name="Normal 4 4 5" xfId="2416" xr:uid="{00000000-0005-0000-0000-0000166C0000}"/>
    <cellStyle name="Normal 4 4 5 2" xfId="4959" xr:uid="{00000000-0005-0000-0000-0000176C0000}"/>
    <cellStyle name="Normal 4 4 6" xfId="5930" xr:uid="{00000000-0005-0000-0000-0000186C0000}"/>
    <cellStyle name="Normal 4 4 6 2" xfId="11149" xr:uid="{00000000-0005-0000-0000-0000196C0000}"/>
    <cellStyle name="Normal 4 4 7" xfId="5933" xr:uid="{00000000-0005-0000-0000-00001A6C0000}"/>
    <cellStyle name="Normal 4 4 7 2" xfId="11169" xr:uid="{00000000-0005-0000-0000-00001B6C0000}"/>
    <cellStyle name="Normal 4 4 8" xfId="5939" xr:uid="{00000000-0005-0000-0000-00001C6C0000}"/>
    <cellStyle name="Normal 4 5" xfId="8166" xr:uid="{00000000-0005-0000-0000-00001D6C0000}"/>
    <cellStyle name="Normal 4 5 2" xfId="8026" xr:uid="{00000000-0005-0000-0000-00001E6C0000}"/>
    <cellStyle name="Normal 4 5 2 2" xfId="19667" xr:uid="{00000000-0005-0000-0000-00001F6C0000}"/>
    <cellStyle name="Normal 4 5 2 2 2" xfId="28870" xr:uid="{00000000-0005-0000-0000-0000206C0000}"/>
    <cellStyle name="Normal 4 5 2 3" xfId="4407" xr:uid="{00000000-0005-0000-0000-0000216C0000}"/>
    <cellStyle name="Normal 4 5 2 3 2" xfId="28874" xr:uid="{00000000-0005-0000-0000-0000226C0000}"/>
    <cellStyle name="Normal 4 5 2 4" xfId="28034" xr:uid="{00000000-0005-0000-0000-0000236C0000}"/>
    <cellStyle name="Normal 4 5 2 4 2" xfId="3708" xr:uid="{00000000-0005-0000-0000-0000246C0000}"/>
    <cellStyle name="Normal 4 5 2 5" xfId="30946" xr:uid="{00000000-0005-0000-0000-0000256C0000}"/>
    <cellStyle name="Normal 4 5 2 5 2" xfId="3716" xr:uid="{00000000-0005-0000-0000-0000266C0000}"/>
    <cellStyle name="Normal 4 5 2 6" xfId="31930" xr:uid="{00000000-0005-0000-0000-0000276C0000}"/>
    <cellStyle name="Normal 4 5 2 6 2" xfId="29142" xr:uid="{00000000-0005-0000-0000-0000286C0000}"/>
    <cellStyle name="Normal 4 5 2 7" xfId="29148" xr:uid="{00000000-0005-0000-0000-0000296C0000}"/>
    <cellStyle name="Normal 4 5 3" xfId="5566" xr:uid="{00000000-0005-0000-0000-00002A6C0000}"/>
    <cellStyle name="Normal 4 5 3 2" xfId="19906" xr:uid="{00000000-0005-0000-0000-00002B6C0000}"/>
    <cellStyle name="Normal 4 5 4" xfId="13531" xr:uid="{00000000-0005-0000-0000-00002C6C0000}"/>
    <cellStyle name="Normal 4 5 4 2" xfId="3105" xr:uid="{00000000-0005-0000-0000-00002D6C0000}"/>
    <cellStyle name="Normal 4 5 5" xfId="14318" xr:uid="{00000000-0005-0000-0000-00002E6C0000}"/>
    <cellStyle name="Normal 4 5 5 2" xfId="4200" xr:uid="{00000000-0005-0000-0000-00002F6C0000}"/>
    <cellStyle name="Normal 4 5 6" xfId="4968" xr:uid="{00000000-0005-0000-0000-0000306C0000}"/>
    <cellStyle name="Normal 4 5 6 2" xfId="11315" xr:uid="{00000000-0005-0000-0000-0000316C0000}"/>
    <cellStyle name="Normal 4 5 7" xfId="5943" xr:uid="{00000000-0005-0000-0000-0000326C0000}"/>
    <cellStyle name="Normal 4 5 7 2" xfId="11899" xr:uid="{00000000-0005-0000-0000-0000336C0000}"/>
    <cellStyle name="Normal 4 5 8" xfId="4831" xr:uid="{00000000-0005-0000-0000-0000346C0000}"/>
    <cellStyle name="Normal 4 6" xfId="23861" xr:uid="{00000000-0005-0000-0000-0000356C0000}"/>
    <cellStyle name="Normal 4 6 2" xfId="33967" xr:uid="{00000000-0005-0000-0000-0000366C0000}"/>
    <cellStyle name="Normal 4 6 2 2" xfId="24051" xr:uid="{00000000-0005-0000-0000-0000376C0000}"/>
    <cellStyle name="Normal 4 6 2 2 2" xfId="29149" xr:uid="{00000000-0005-0000-0000-0000386C0000}"/>
    <cellStyle name="Normal 4 6 2 3" xfId="5605" xr:uid="{00000000-0005-0000-0000-0000396C0000}"/>
    <cellStyle name="Normal 4 6 2 3 2" xfId="14429" xr:uid="{00000000-0005-0000-0000-00003A6C0000}"/>
    <cellStyle name="Normal 4 6 2 4" xfId="29151" xr:uid="{00000000-0005-0000-0000-00003B6C0000}"/>
    <cellStyle name="Normal 4 6 2 4 2" xfId="10797" xr:uid="{00000000-0005-0000-0000-00003C6C0000}"/>
    <cellStyle name="Normal 4 6 2 5" xfId="31829" xr:uid="{00000000-0005-0000-0000-00003D6C0000}"/>
    <cellStyle name="Normal 4 6 2 5 2" xfId="10809" xr:uid="{00000000-0005-0000-0000-00003E6C0000}"/>
    <cellStyle name="Normal 4 6 2 6" xfId="33259" xr:uid="{00000000-0005-0000-0000-00003F6C0000}"/>
    <cellStyle name="Normal 4 6 2 6 2" xfId="19607" xr:uid="{00000000-0005-0000-0000-0000406C0000}"/>
    <cellStyle name="Normal 4 6 2 7" xfId="699" xr:uid="{00000000-0005-0000-0000-0000416C0000}"/>
    <cellStyle name="Normal 4 6 3" xfId="2821" xr:uid="{00000000-0005-0000-0000-0000426C0000}"/>
    <cellStyle name="Normal 4 6 3 2" xfId="11401" xr:uid="{00000000-0005-0000-0000-0000436C0000}"/>
    <cellStyle name="Normal 4 6 4" xfId="14323" xr:uid="{00000000-0005-0000-0000-0000446C0000}"/>
    <cellStyle name="Normal 4 6 4 2" xfId="3396" xr:uid="{00000000-0005-0000-0000-0000456C0000}"/>
    <cellStyle name="Normal 4 6 5" xfId="2531" xr:uid="{00000000-0005-0000-0000-0000466C0000}"/>
    <cellStyle name="Normal 4 6 5 2" xfId="1801" xr:uid="{00000000-0005-0000-0000-0000476C0000}"/>
    <cellStyle name="Normal 4 6 6" xfId="1049" xr:uid="{00000000-0005-0000-0000-0000486C0000}"/>
    <cellStyle name="Normal 4 6 6 2" xfId="11910" xr:uid="{00000000-0005-0000-0000-0000496C0000}"/>
    <cellStyle name="Normal 4 6 7" xfId="21010" xr:uid="{00000000-0005-0000-0000-00004A6C0000}"/>
    <cellStyle name="Normal 4 6 7 2" xfId="21314" xr:uid="{00000000-0005-0000-0000-00004B6C0000}"/>
    <cellStyle name="Normal 4 6 8" xfId="21018" xr:uid="{00000000-0005-0000-0000-00004C6C0000}"/>
    <cellStyle name="Normal 4 7" xfId="33863" xr:uid="{00000000-0005-0000-0000-00004D6C0000}"/>
    <cellStyle name="Normal 4 7 2" xfId="29153" xr:uid="{00000000-0005-0000-0000-00004E6C0000}"/>
    <cellStyle name="Normal 4 7 2 2" xfId="9294" xr:uid="{00000000-0005-0000-0000-00004F6C0000}"/>
    <cellStyle name="Normal 4 7 2 2 2" xfId="29159" xr:uid="{00000000-0005-0000-0000-0000506C0000}"/>
    <cellStyle name="Normal 4 7 2 3" xfId="28774" xr:uid="{00000000-0005-0000-0000-0000516C0000}"/>
    <cellStyle name="Normal 4 7 2 3 2" xfId="14458" xr:uid="{00000000-0005-0000-0000-0000526C0000}"/>
    <cellStyle name="Normal 4 7 2 4" xfId="29161" xr:uid="{00000000-0005-0000-0000-0000536C0000}"/>
    <cellStyle name="Normal 4 7 2 4 2" xfId="10913" xr:uid="{00000000-0005-0000-0000-0000546C0000}"/>
    <cellStyle name="Normal 4 7 2 5" xfId="28780" xr:uid="{00000000-0005-0000-0000-0000556C0000}"/>
    <cellStyle name="Normal 4 7 2 5 2" xfId="29165" xr:uid="{00000000-0005-0000-0000-0000566C0000}"/>
    <cellStyle name="Normal 4 7 2 6" xfId="26841" xr:uid="{00000000-0005-0000-0000-0000576C0000}"/>
    <cellStyle name="Normal 4 7 2 6 2" xfId="23191" xr:uid="{00000000-0005-0000-0000-0000586C0000}"/>
    <cellStyle name="Normal 4 7 2 7" xfId="29167" xr:uid="{00000000-0005-0000-0000-0000596C0000}"/>
    <cellStyle name="Normal 4 7 3" xfId="3565" xr:uid="{00000000-0005-0000-0000-00005A6C0000}"/>
    <cellStyle name="Normal 4 7 3 2" xfId="29172" xr:uid="{00000000-0005-0000-0000-00005B6C0000}"/>
    <cellStyle name="Normal 4 7 4" xfId="5952" xr:uid="{00000000-0005-0000-0000-00005C6C0000}"/>
    <cellStyle name="Normal 4 7 4 2" xfId="3688" xr:uid="{00000000-0005-0000-0000-00005D6C0000}"/>
    <cellStyle name="Normal 4 7 5" xfId="3467" xr:uid="{00000000-0005-0000-0000-00005E6C0000}"/>
    <cellStyle name="Normal 4 7 5 2" xfId="29174" xr:uid="{00000000-0005-0000-0000-00005F6C0000}"/>
    <cellStyle name="Normal 4 7 6" xfId="29181" xr:uid="{00000000-0005-0000-0000-0000606C0000}"/>
    <cellStyle name="Normal 4 7 6 2" xfId="22970" xr:uid="{00000000-0005-0000-0000-0000616C0000}"/>
    <cellStyle name="Normal 4 7 7" xfId="16176" xr:uid="{00000000-0005-0000-0000-0000626C0000}"/>
    <cellStyle name="Normal 4 7 7 2" xfId="21355" xr:uid="{00000000-0005-0000-0000-0000636C0000}"/>
    <cellStyle name="Normal 4 7 8" xfId="16180" xr:uid="{00000000-0005-0000-0000-0000646C0000}"/>
    <cellStyle name="Normal 4 8" xfId="19081" xr:uid="{00000000-0005-0000-0000-0000656C0000}"/>
    <cellStyle name="Normal 4 8 2" xfId="23256" xr:uid="{00000000-0005-0000-0000-0000666C0000}"/>
    <cellStyle name="Normal 4 8 2 2" xfId="26665" xr:uid="{00000000-0005-0000-0000-0000676C0000}"/>
    <cellStyle name="Normal 4 8 2 2 2" xfId="29193" xr:uid="{00000000-0005-0000-0000-0000686C0000}"/>
    <cellStyle name="Normal 4 8 2 3" xfId="11920" xr:uid="{00000000-0005-0000-0000-0000696C0000}"/>
    <cellStyle name="Normal 4 8 2 3 2" xfId="3816" xr:uid="{00000000-0005-0000-0000-00006A6C0000}"/>
    <cellStyle name="Normal 4 8 2 4" xfId="29195" xr:uid="{00000000-0005-0000-0000-00006B6C0000}"/>
    <cellStyle name="Normal 4 8 2 4 2" xfId="29199" xr:uid="{00000000-0005-0000-0000-00006C6C0000}"/>
    <cellStyle name="Normal 4 8 2 5" xfId="2580" xr:uid="{00000000-0005-0000-0000-00006D6C0000}"/>
    <cellStyle name="Normal 4 8 2 5 2" xfId="19656" xr:uid="{00000000-0005-0000-0000-00006E6C0000}"/>
    <cellStyle name="Normal 4 8 2 6" xfId="16360" xr:uid="{00000000-0005-0000-0000-00006F6C0000}"/>
    <cellStyle name="Normal 4 8 2 6 2" xfId="29201" xr:uid="{00000000-0005-0000-0000-0000706C0000}"/>
    <cellStyle name="Normal 4 8 2 7" xfId="29206" xr:uid="{00000000-0005-0000-0000-0000716C0000}"/>
    <cellStyle name="Normal 4 8 3" xfId="29207" xr:uid="{00000000-0005-0000-0000-0000726C0000}"/>
    <cellStyle name="Normal 4 8 3 2" xfId="26672" xr:uid="{00000000-0005-0000-0000-0000736C0000}"/>
    <cellStyle name="Normal 4 8 4" xfId="10436" xr:uid="{00000000-0005-0000-0000-0000746C0000}"/>
    <cellStyle name="Normal 4 8 4 2" xfId="29212" xr:uid="{00000000-0005-0000-0000-0000756C0000}"/>
    <cellStyle name="Normal 4 8 5" xfId="29215" xr:uid="{00000000-0005-0000-0000-0000766C0000}"/>
    <cellStyle name="Normal 4 8 5 2" xfId="34031" xr:uid="{00000000-0005-0000-0000-0000776C0000}"/>
    <cellStyle name="Normal 4 8 6" xfId="24549" xr:uid="{00000000-0005-0000-0000-0000786C0000}"/>
    <cellStyle name="Normal 4 8 6 2" xfId="22996" xr:uid="{00000000-0005-0000-0000-0000796C0000}"/>
    <cellStyle name="Normal 4 8 7" xfId="12153" xr:uid="{00000000-0005-0000-0000-00007A6C0000}"/>
    <cellStyle name="Normal 4 8 7 2" xfId="2288" xr:uid="{00000000-0005-0000-0000-00007B6C0000}"/>
    <cellStyle name="Normal 4 8 8" xfId="21419" xr:uid="{00000000-0005-0000-0000-00007C6C0000}"/>
    <cellStyle name="Normal 4 9" xfId="982" xr:uid="{00000000-0005-0000-0000-00007D6C0000}"/>
    <cellStyle name="Normal 4 9 2" xfId="29230" xr:uid="{00000000-0005-0000-0000-00007E6C0000}"/>
    <cellStyle name="Normal 4 9 2 2" xfId="7771" xr:uid="{00000000-0005-0000-0000-00007F6C0000}"/>
    <cellStyle name="Normal 4 9 2 2 2" xfId="12716" xr:uid="{00000000-0005-0000-0000-0000806C0000}"/>
    <cellStyle name="Normal 4 9 2 3" xfId="33996" xr:uid="{00000000-0005-0000-0000-0000816C0000}"/>
    <cellStyle name="Normal 4 9 2 3 2" xfId="14755" xr:uid="{00000000-0005-0000-0000-0000826C0000}"/>
    <cellStyle name="Normal 4 9 2 4" xfId="28838" xr:uid="{00000000-0005-0000-0000-0000836C0000}"/>
    <cellStyle name="Normal 4 9 2 4 2" xfId="9977" xr:uid="{00000000-0005-0000-0000-0000846C0000}"/>
    <cellStyle name="Normal 4 9 2 5" xfId="25119" xr:uid="{00000000-0005-0000-0000-0000856C0000}"/>
    <cellStyle name="Normal 4 9 2 5 2" xfId="29232" xr:uid="{00000000-0005-0000-0000-0000866C0000}"/>
    <cellStyle name="Normal 4 9 2 6" xfId="29234" xr:uid="{00000000-0005-0000-0000-0000876C0000}"/>
    <cellStyle name="Normal 4 9 2 6 2" xfId="29239" xr:uid="{00000000-0005-0000-0000-0000886C0000}"/>
    <cellStyle name="Normal 4 9 2 7" xfId="29243" xr:uid="{00000000-0005-0000-0000-0000896C0000}"/>
    <cellStyle name="Normal 4 9 3" xfId="15689" xr:uid="{00000000-0005-0000-0000-00008A6C0000}"/>
    <cellStyle name="Normal 4 9 3 2" xfId="29245" xr:uid="{00000000-0005-0000-0000-00008B6C0000}"/>
    <cellStyle name="Normal 4 9 4" xfId="27535" xr:uid="{00000000-0005-0000-0000-00008C6C0000}"/>
    <cellStyle name="Normal 4 9 4 2" xfId="30543" xr:uid="{00000000-0005-0000-0000-00008D6C0000}"/>
    <cellStyle name="Normal 4 9 5" xfId="26692" xr:uid="{00000000-0005-0000-0000-00008E6C0000}"/>
    <cellStyle name="Normal 4 9 5 2" xfId="33345" xr:uid="{00000000-0005-0000-0000-00008F6C0000}"/>
    <cellStyle name="Normal 4 9 6" xfId="16300" xr:uid="{00000000-0005-0000-0000-0000906C0000}"/>
    <cellStyle name="Normal 4 9 6 2" xfId="4826" xr:uid="{00000000-0005-0000-0000-0000916C0000}"/>
    <cellStyle name="Normal 4 9 7" xfId="16313" xr:uid="{00000000-0005-0000-0000-0000926C0000}"/>
    <cellStyle name="Normal 4 9 7 2" xfId="3299" xr:uid="{00000000-0005-0000-0000-0000936C0000}"/>
    <cellStyle name="Normal 4 9 8" xfId="16322" xr:uid="{00000000-0005-0000-0000-0000946C0000}"/>
    <cellStyle name="Normal 5" xfId="29246" xr:uid="{00000000-0005-0000-0000-0000956C0000}"/>
    <cellStyle name="Normal 5 10" xfId="26806" xr:uid="{00000000-0005-0000-0000-0000966C0000}"/>
    <cellStyle name="Normal 5 10 2" xfId="25882" xr:uid="{00000000-0005-0000-0000-0000976C0000}"/>
    <cellStyle name="Normal 5 10 2 2" xfId="29250" xr:uid="{00000000-0005-0000-0000-0000986C0000}"/>
    <cellStyle name="Normal 5 10 2 2 2" xfId="29251" xr:uid="{00000000-0005-0000-0000-0000996C0000}"/>
    <cellStyle name="Normal 5 10 2 3" xfId="32406" xr:uid="{00000000-0005-0000-0000-00009A6C0000}"/>
    <cellStyle name="Normal 5 10 2 3 2" xfId="31837" xr:uid="{00000000-0005-0000-0000-00009B6C0000}"/>
    <cellStyle name="Normal 5 10 2 4" xfId="29256" xr:uid="{00000000-0005-0000-0000-00009C6C0000}"/>
    <cellStyle name="Normal 5 10 2 4 2" xfId="29780" xr:uid="{00000000-0005-0000-0000-00009D6C0000}"/>
    <cellStyle name="Normal 5 10 2 5" xfId="32533" xr:uid="{00000000-0005-0000-0000-00009E6C0000}"/>
    <cellStyle name="Normal 5 10 2 5 2" xfId="26176" xr:uid="{00000000-0005-0000-0000-00009F6C0000}"/>
    <cellStyle name="Normal 5 10 2 6" xfId="29565" xr:uid="{00000000-0005-0000-0000-0000A06C0000}"/>
    <cellStyle name="Normal 5 10 2 6 2" xfId="26179" xr:uid="{00000000-0005-0000-0000-0000A16C0000}"/>
    <cellStyle name="Normal 5 10 2 7" xfId="29261" xr:uid="{00000000-0005-0000-0000-0000A26C0000}"/>
    <cellStyle name="Normal 5 10 3" xfId="30650" xr:uid="{00000000-0005-0000-0000-0000A36C0000}"/>
    <cellStyle name="Normal 5 10 3 2" xfId="24194" xr:uid="{00000000-0005-0000-0000-0000A46C0000}"/>
    <cellStyle name="Normal 5 10 4" xfId="21885" xr:uid="{00000000-0005-0000-0000-0000A56C0000}"/>
    <cellStyle name="Normal 5 10 4 2" xfId="11247" xr:uid="{00000000-0005-0000-0000-0000A66C0000}"/>
    <cellStyle name="Normal 5 10 5" xfId="31460" xr:uid="{00000000-0005-0000-0000-0000A76C0000}"/>
    <cellStyle name="Normal 5 10 5 2" xfId="29264" xr:uid="{00000000-0005-0000-0000-0000A86C0000}"/>
    <cellStyle name="Normal 5 10 6" xfId="30986" xr:uid="{00000000-0005-0000-0000-0000A96C0000}"/>
    <cellStyle name="Normal 5 10 6 2" xfId="26701" xr:uid="{00000000-0005-0000-0000-0000AA6C0000}"/>
    <cellStyle name="Normal 5 10 7" xfId="32765" xr:uid="{00000000-0005-0000-0000-0000AB6C0000}"/>
    <cellStyle name="Normal 5 10 7 2" xfId="6883" xr:uid="{00000000-0005-0000-0000-0000AC6C0000}"/>
    <cellStyle name="Normal 5 10 8" xfId="19493" xr:uid="{00000000-0005-0000-0000-0000AD6C0000}"/>
    <cellStyle name="Normal 5 11" xfId="25168" xr:uid="{00000000-0005-0000-0000-0000AE6C0000}"/>
    <cellStyle name="Normal 5 11 2" xfId="25886" xr:uid="{00000000-0005-0000-0000-0000AF6C0000}"/>
    <cellStyle name="Normal 5 11 2 2" xfId="27020" xr:uid="{00000000-0005-0000-0000-0000B06C0000}"/>
    <cellStyle name="Normal 5 11 2 2 2" xfId="29266" xr:uid="{00000000-0005-0000-0000-0000B16C0000}"/>
    <cellStyle name="Normal 5 11 2 3" xfId="29267" xr:uid="{00000000-0005-0000-0000-0000B26C0000}"/>
    <cellStyle name="Normal 5 11 2 3 2" xfId="27672" xr:uid="{00000000-0005-0000-0000-0000B36C0000}"/>
    <cellStyle name="Normal 5 11 2 4" xfId="29272" xr:uid="{00000000-0005-0000-0000-0000B46C0000}"/>
    <cellStyle name="Normal 5 11 2 4 2" xfId="21897" xr:uid="{00000000-0005-0000-0000-0000B56C0000}"/>
    <cellStyle name="Normal 5 11 2 5" xfId="27107" xr:uid="{00000000-0005-0000-0000-0000B66C0000}"/>
    <cellStyle name="Normal 5 11 2 5 2" xfId="2328" xr:uid="{00000000-0005-0000-0000-0000B76C0000}"/>
    <cellStyle name="Normal 5 11 2 6" xfId="27791" xr:uid="{00000000-0005-0000-0000-0000B86C0000}"/>
    <cellStyle name="Normal 5 11 2 6 2" xfId="28593" xr:uid="{00000000-0005-0000-0000-0000B96C0000}"/>
    <cellStyle name="Normal 5 11 2 7" xfId="28450" xr:uid="{00000000-0005-0000-0000-0000BA6C0000}"/>
    <cellStyle name="Normal 5 11 3" xfId="33423" xr:uid="{00000000-0005-0000-0000-0000BB6C0000}"/>
    <cellStyle name="Normal 5 11 3 2" xfId="24231" xr:uid="{00000000-0005-0000-0000-0000BC6C0000}"/>
    <cellStyle name="Normal 5 11 4" xfId="33463" xr:uid="{00000000-0005-0000-0000-0000BD6C0000}"/>
    <cellStyle name="Normal 5 11 4 2" xfId="29277" xr:uid="{00000000-0005-0000-0000-0000BE6C0000}"/>
    <cellStyle name="Normal 5 11 5" xfId="202" xr:uid="{00000000-0005-0000-0000-0000BF6C0000}"/>
    <cellStyle name="Normal 5 11 5 2" xfId="29279" xr:uid="{00000000-0005-0000-0000-0000C06C0000}"/>
    <cellStyle name="Normal 5 11 6" xfId="27296" xr:uid="{00000000-0005-0000-0000-0000C16C0000}"/>
    <cellStyle name="Normal 5 11 6 2" xfId="23078" xr:uid="{00000000-0005-0000-0000-0000C26C0000}"/>
    <cellStyle name="Normal 5 11 7" xfId="29280" xr:uid="{00000000-0005-0000-0000-0000C36C0000}"/>
    <cellStyle name="Normal 5 11 7 2" xfId="23218" xr:uid="{00000000-0005-0000-0000-0000C46C0000}"/>
    <cellStyle name="Normal 5 11 8" xfId="20520" xr:uid="{00000000-0005-0000-0000-0000C56C0000}"/>
    <cellStyle name="Normal 5 12" xfId="29486" xr:uid="{00000000-0005-0000-0000-0000C66C0000}"/>
    <cellStyle name="Normal 5 12 2" xfId="25893" xr:uid="{00000000-0005-0000-0000-0000C76C0000}"/>
    <cellStyle name="Normal 5 12 2 2" xfId="29281" xr:uid="{00000000-0005-0000-0000-0000C86C0000}"/>
    <cellStyle name="Normal 5 12 2 2 2" xfId="29284" xr:uid="{00000000-0005-0000-0000-0000C96C0000}"/>
    <cellStyle name="Normal 5 12 2 3" xfId="28233" xr:uid="{00000000-0005-0000-0000-0000CA6C0000}"/>
    <cellStyle name="Normal 5 12 2 3 2" xfId="15083" xr:uid="{00000000-0005-0000-0000-0000CB6C0000}"/>
    <cellStyle name="Normal 5 12 2 4" xfId="29861" xr:uid="{00000000-0005-0000-0000-0000CC6C0000}"/>
    <cellStyle name="Normal 5 12 2 4 2" xfId="15162" xr:uid="{00000000-0005-0000-0000-0000CD6C0000}"/>
    <cellStyle name="Normal 5 12 2 5" xfId="29286" xr:uid="{00000000-0005-0000-0000-0000CE6C0000}"/>
    <cellStyle name="Normal 5 12 2 5 2" xfId="28395" xr:uid="{00000000-0005-0000-0000-0000CF6C0000}"/>
    <cellStyle name="Normal 5 12 2 6" xfId="29291" xr:uid="{00000000-0005-0000-0000-0000D06C0000}"/>
    <cellStyle name="Normal 5 12 2 6 2" xfId="28611" xr:uid="{00000000-0005-0000-0000-0000D16C0000}"/>
    <cellStyle name="Normal 5 12 2 7" xfId="30304" xr:uid="{00000000-0005-0000-0000-0000D26C0000}"/>
    <cellStyle name="Normal 5 12 3" xfId="32597" xr:uid="{00000000-0005-0000-0000-0000D36C0000}"/>
    <cellStyle name="Normal 5 12 3 2" xfId="29294" xr:uid="{00000000-0005-0000-0000-0000D46C0000}"/>
    <cellStyle name="Normal 5 12 4" xfId="23497" xr:uid="{00000000-0005-0000-0000-0000D56C0000}"/>
    <cellStyle name="Normal 5 12 4 2" xfId="29300" xr:uid="{00000000-0005-0000-0000-0000D66C0000}"/>
    <cellStyle name="Normal 5 12 5" xfId="32088" xr:uid="{00000000-0005-0000-0000-0000D76C0000}"/>
    <cellStyle name="Normal 5 12 5 2" xfId="31310" xr:uid="{00000000-0005-0000-0000-0000D86C0000}"/>
    <cellStyle name="Normal 5 12 6" xfId="29302" xr:uid="{00000000-0005-0000-0000-0000D96C0000}"/>
    <cellStyle name="Normal 5 12 6 2" xfId="25473" xr:uid="{00000000-0005-0000-0000-0000DA6C0000}"/>
    <cellStyle name="Normal 5 12 7" xfId="29306" xr:uid="{00000000-0005-0000-0000-0000DB6C0000}"/>
    <cellStyle name="Normal 5 12 7 2" xfId="6734" xr:uid="{00000000-0005-0000-0000-0000DC6C0000}"/>
    <cellStyle name="Normal 5 12 8" xfId="28830" xr:uid="{00000000-0005-0000-0000-0000DD6C0000}"/>
    <cellStyle name="Normal 5 13" xfId="28334" xr:uid="{00000000-0005-0000-0000-0000DE6C0000}"/>
    <cellStyle name="Normal 5 13 2" xfId="29308" xr:uid="{00000000-0005-0000-0000-0000DF6C0000}"/>
    <cellStyle name="Normal 5 13 2 2" xfId="29310" xr:uid="{00000000-0005-0000-0000-0000E06C0000}"/>
    <cellStyle name="Normal 5 13 2 2 2" xfId="22381" xr:uid="{00000000-0005-0000-0000-0000E16C0000}"/>
    <cellStyle name="Normal 5 13 2 3" xfId="23521" xr:uid="{00000000-0005-0000-0000-0000E26C0000}"/>
    <cellStyle name="Normal 5 13 2 3 2" xfId="15832" xr:uid="{00000000-0005-0000-0000-0000E36C0000}"/>
    <cellStyle name="Normal 5 13 2 4" xfId="33728" xr:uid="{00000000-0005-0000-0000-0000E46C0000}"/>
    <cellStyle name="Normal 5 13 2 4 2" xfId="31238" xr:uid="{00000000-0005-0000-0000-0000E56C0000}"/>
    <cellStyle name="Normal 5 13 2 5" xfId="8129" xr:uid="{00000000-0005-0000-0000-0000E66C0000}"/>
    <cellStyle name="Normal 5 13 2 5 2" xfId="15890" xr:uid="{00000000-0005-0000-0000-0000E76C0000}"/>
    <cellStyle name="Normal 5 13 2 6" xfId="3656" xr:uid="{00000000-0005-0000-0000-0000E86C0000}"/>
    <cellStyle name="Normal 5 13 2 6 2" xfId="15907" xr:uid="{00000000-0005-0000-0000-0000E96C0000}"/>
    <cellStyle name="Normal 5 13 2 7" xfId="32530" xr:uid="{00000000-0005-0000-0000-0000EA6C0000}"/>
    <cellStyle name="Normal 5 13 3" xfId="30776" xr:uid="{00000000-0005-0000-0000-0000EB6C0000}"/>
    <cellStyle name="Normal 5 13 3 2" xfId="17265" xr:uid="{00000000-0005-0000-0000-0000EC6C0000}"/>
    <cellStyle name="Normal 5 13 4" xfId="29313" xr:uid="{00000000-0005-0000-0000-0000ED6C0000}"/>
    <cellStyle name="Normal 5 13 4 2" xfId="26957" xr:uid="{00000000-0005-0000-0000-0000EE6C0000}"/>
    <cellStyle name="Normal 5 13 5" xfId="439" xr:uid="{00000000-0005-0000-0000-0000EF6C0000}"/>
    <cellStyle name="Normal 5 13 5 2" xfId="30970" xr:uid="{00000000-0005-0000-0000-0000F06C0000}"/>
    <cellStyle name="Normal 5 13 6" xfId="26219" xr:uid="{00000000-0005-0000-0000-0000F16C0000}"/>
    <cellStyle name="Normal 5 13 6 2" xfId="12822" xr:uid="{00000000-0005-0000-0000-0000F26C0000}"/>
    <cellStyle name="Normal 5 13 7" xfId="32443" xr:uid="{00000000-0005-0000-0000-0000F36C0000}"/>
    <cellStyle name="Normal 5 13 7 2" xfId="11632" xr:uid="{00000000-0005-0000-0000-0000F46C0000}"/>
    <cellStyle name="Normal 5 13 8" xfId="29318" xr:uid="{00000000-0005-0000-0000-0000F56C0000}"/>
    <cellStyle name="Normal 5 14" xfId="21255" xr:uid="{00000000-0005-0000-0000-0000F66C0000}"/>
    <cellStyle name="Normal 5 14 2" xfId="24361" xr:uid="{00000000-0005-0000-0000-0000F76C0000}"/>
    <cellStyle name="Normal 5 14 2 2" xfId="27009" xr:uid="{00000000-0005-0000-0000-0000F86C0000}"/>
    <cellStyle name="Normal 5 14 3" xfId="31700" xr:uid="{00000000-0005-0000-0000-0000F96C0000}"/>
    <cellStyle name="Normal 5 14 3 2" xfId="27044" xr:uid="{00000000-0005-0000-0000-0000FA6C0000}"/>
    <cellStyle name="Normal 5 14 4" xfId="5002" xr:uid="{00000000-0005-0000-0000-0000FB6C0000}"/>
    <cellStyle name="Normal 5 14 4 2" xfId="29323" xr:uid="{00000000-0005-0000-0000-0000FC6C0000}"/>
    <cellStyle name="Normal 5 14 5" xfId="29329" xr:uid="{00000000-0005-0000-0000-0000FD6C0000}"/>
    <cellStyle name="Normal 5 14 5 2" xfId="31485" xr:uid="{00000000-0005-0000-0000-0000FE6C0000}"/>
    <cellStyle name="Normal 5 14 6" xfId="30979" xr:uid="{00000000-0005-0000-0000-0000FF6C0000}"/>
    <cellStyle name="Normal 5 14 6 2" xfId="27118" xr:uid="{00000000-0005-0000-0000-0000006D0000}"/>
    <cellStyle name="Normal 5 14 7" xfId="29331" xr:uid="{00000000-0005-0000-0000-0000016D0000}"/>
    <cellStyle name="Normal 5 15" xfId="25021" xr:uid="{00000000-0005-0000-0000-0000026D0000}"/>
    <cellStyle name="Normal 5 15 2" xfId="27743" xr:uid="{00000000-0005-0000-0000-0000036D0000}"/>
    <cellStyle name="Normal 5 15 2 2" xfId="29457" xr:uid="{00000000-0005-0000-0000-0000046D0000}"/>
    <cellStyle name="Normal 5 15 3" xfId="26539" xr:uid="{00000000-0005-0000-0000-0000056D0000}"/>
    <cellStyle name="Normal 5 15 3 2" xfId="30005" xr:uid="{00000000-0005-0000-0000-0000066D0000}"/>
    <cellStyle name="Normal 5 15 4" xfId="29494" xr:uid="{00000000-0005-0000-0000-0000076D0000}"/>
    <cellStyle name="Normal 5 15 4 2" xfId="33634" xr:uid="{00000000-0005-0000-0000-0000086D0000}"/>
    <cellStyle name="Normal 5 15 5" xfId="29344" xr:uid="{00000000-0005-0000-0000-0000096D0000}"/>
    <cellStyle name="Normal 5 15 5 2" xfId="29508" xr:uid="{00000000-0005-0000-0000-00000A6D0000}"/>
    <cellStyle name="Normal 5 15 6" xfId="29202" xr:uid="{00000000-0005-0000-0000-00000B6D0000}"/>
    <cellStyle name="Normal 5 15 6 2" xfId="20224" xr:uid="{00000000-0005-0000-0000-00000C6D0000}"/>
    <cellStyle name="Normal 5 15 7" xfId="26348" xr:uid="{00000000-0005-0000-0000-00000D6D0000}"/>
    <cellStyle name="Normal 5 16" xfId="2667" xr:uid="{00000000-0005-0000-0000-00000E6D0000}"/>
    <cellStyle name="Normal 5 16 2" xfId="29347" xr:uid="{00000000-0005-0000-0000-00000F6D0000}"/>
    <cellStyle name="Normal 5 16 2 2" xfId="25424" xr:uid="{00000000-0005-0000-0000-0000106D0000}"/>
    <cellStyle name="Normal 5 16 3" xfId="20912" xr:uid="{00000000-0005-0000-0000-0000116D0000}"/>
    <cellStyle name="Normal 5 16 3 2" xfId="25458" xr:uid="{00000000-0005-0000-0000-0000126D0000}"/>
    <cellStyle name="Normal 5 16 4" xfId="20467" xr:uid="{00000000-0005-0000-0000-0000136D0000}"/>
    <cellStyle name="Normal 5 16 4 2" xfId="29543" xr:uid="{00000000-0005-0000-0000-0000146D0000}"/>
    <cellStyle name="Normal 5 16 5" xfId="20491" xr:uid="{00000000-0005-0000-0000-0000156D0000}"/>
    <cellStyle name="Normal 5 16 5 2" xfId="29349" xr:uid="{00000000-0005-0000-0000-0000166D0000}"/>
    <cellStyle name="Normal 5 16 6" xfId="20507" xr:uid="{00000000-0005-0000-0000-0000176D0000}"/>
    <cellStyle name="Normal 5 16 6 2" xfId="20510" xr:uid="{00000000-0005-0000-0000-0000186D0000}"/>
    <cellStyle name="Normal 5 16 7" xfId="25889" xr:uid="{00000000-0005-0000-0000-0000196D0000}"/>
    <cellStyle name="Normal 5 17" xfId="20513" xr:uid="{00000000-0005-0000-0000-00001A6D0000}"/>
    <cellStyle name="Normal 5 17 2" xfId="20217" xr:uid="{00000000-0005-0000-0000-00001B6D0000}"/>
    <cellStyle name="Normal 5 18" xfId="29353" xr:uid="{00000000-0005-0000-0000-00001C6D0000}"/>
    <cellStyle name="Normal 5 18 2" xfId="20598" xr:uid="{00000000-0005-0000-0000-00001D6D0000}"/>
    <cellStyle name="Normal 5 19" xfId="23924" xr:uid="{00000000-0005-0000-0000-00001E6D0000}"/>
    <cellStyle name="Normal 5 19 2" xfId="20643" xr:uid="{00000000-0005-0000-0000-00001F6D0000}"/>
    <cellStyle name="Normal 5 2" xfId="24910" xr:uid="{00000000-0005-0000-0000-0000206D0000}"/>
    <cellStyle name="Normal 5 2 10" xfId="31761" xr:uid="{00000000-0005-0000-0000-0000216D0000}"/>
    <cellStyle name="Normal 5 2 10 2" xfId="33894" xr:uid="{00000000-0005-0000-0000-0000226D0000}"/>
    <cellStyle name="Normal 5 2 10 2 2" xfId="1850" xr:uid="{00000000-0005-0000-0000-0000236D0000}"/>
    <cellStyle name="Normal 5 2 10 2 2 2" xfId="9062" xr:uid="{00000000-0005-0000-0000-0000246D0000}"/>
    <cellStyle name="Normal 5 2 10 2 3" xfId="1978" xr:uid="{00000000-0005-0000-0000-0000256D0000}"/>
    <cellStyle name="Normal 5 2 10 2 3 2" xfId="29360" xr:uid="{00000000-0005-0000-0000-0000266D0000}"/>
    <cellStyle name="Normal 5 2 10 2 4" xfId="3453" xr:uid="{00000000-0005-0000-0000-0000276D0000}"/>
    <cellStyle name="Normal 5 2 10 2 4 2" xfId="29361" xr:uid="{00000000-0005-0000-0000-0000286D0000}"/>
    <cellStyle name="Normal 5 2 10 2 5" xfId="29363" xr:uid="{00000000-0005-0000-0000-0000296D0000}"/>
    <cellStyle name="Normal 5 2 10 2 5 2" xfId="29366" xr:uid="{00000000-0005-0000-0000-00002A6D0000}"/>
    <cellStyle name="Normal 5 2 10 2 6" xfId="29197" xr:uid="{00000000-0005-0000-0000-00002B6D0000}"/>
    <cellStyle name="Normal 5 2 10 2 6 2" xfId="29372" xr:uid="{00000000-0005-0000-0000-00002C6D0000}"/>
    <cellStyle name="Normal 5 2 10 2 7" xfId="29840" xr:uid="{00000000-0005-0000-0000-00002D6D0000}"/>
    <cellStyle name="Normal 5 2 10 3" xfId="29381" xr:uid="{00000000-0005-0000-0000-00002E6D0000}"/>
    <cellStyle name="Normal 5 2 10 3 2" xfId="1994" xr:uid="{00000000-0005-0000-0000-00002F6D0000}"/>
    <cellStyle name="Normal 5 2 10 4" xfId="32450" xr:uid="{00000000-0005-0000-0000-0000306D0000}"/>
    <cellStyle name="Normal 5 2 10 4 2" xfId="20188" xr:uid="{00000000-0005-0000-0000-0000316D0000}"/>
    <cellStyle name="Normal 5 2 10 5" xfId="31104" xr:uid="{00000000-0005-0000-0000-0000326D0000}"/>
    <cellStyle name="Normal 5 2 10 5 2" xfId="347" xr:uid="{00000000-0005-0000-0000-0000336D0000}"/>
    <cellStyle name="Normal 5 2 10 6" xfId="10526" xr:uid="{00000000-0005-0000-0000-0000346D0000}"/>
    <cellStyle name="Normal 5 2 10 6 2" xfId="32462" xr:uid="{00000000-0005-0000-0000-0000356D0000}"/>
    <cellStyle name="Normal 5 2 10 7" xfId="26486" xr:uid="{00000000-0005-0000-0000-0000366D0000}"/>
    <cellStyle name="Normal 5 2 10 7 2" xfId="29382" xr:uid="{00000000-0005-0000-0000-0000376D0000}"/>
    <cellStyle name="Normal 5 2 10 8" xfId="29383" xr:uid="{00000000-0005-0000-0000-0000386D0000}"/>
    <cellStyle name="Normal 5 2 11" xfId="29489" xr:uid="{00000000-0005-0000-0000-0000396D0000}"/>
    <cellStyle name="Normal 5 2 11 2" xfId="28330" xr:uid="{00000000-0005-0000-0000-00003A6D0000}"/>
    <cellStyle name="Normal 5 2 11 2 2" xfId="1862" xr:uid="{00000000-0005-0000-0000-00003B6D0000}"/>
    <cellStyle name="Normal 5 2 11 3" xfId="21936" xr:uid="{00000000-0005-0000-0000-00003C6D0000}"/>
    <cellStyle name="Normal 5 2 11 3 2" xfId="3193" xr:uid="{00000000-0005-0000-0000-00003D6D0000}"/>
    <cellStyle name="Normal 5 2 11 4" xfId="29384" xr:uid="{00000000-0005-0000-0000-00003E6D0000}"/>
    <cellStyle name="Normal 5 2 11 4 2" xfId="20210" xr:uid="{00000000-0005-0000-0000-00003F6D0000}"/>
    <cellStyle name="Normal 5 2 11 5" xfId="30208" xr:uid="{00000000-0005-0000-0000-0000406D0000}"/>
    <cellStyle name="Normal 5 2 11 5 2" xfId="32358" xr:uid="{00000000-0005-0000-0000-0000416D0000}"/>
    <cellStyle name="Normal 5 2 11 6" xfId="32364" xr:uid="{00000000-0005-0000-0000-0000426D0000}"/>
    <cellStyle name="Normal 5 2 11 6 2" xfId="27210" xr:uid="{00000000-0005-0000-0000-0000436D0000}"/>
    <cellStyle name="Normal 5 2 11 7" xfId="8412" xr:uid="{00000000-0005-0000-0000-0000446D0000}"/>
    <cellStyle name="Normal 5 2 12" xfId="28337" xr:uid="{00000000-0005-0000-0000-0000456D0000}"/>
    <cellStyle name="Normal 5 2 12 2" xfId="31497" xr:uid="{00000000-0005-0000-0000-0000466D0000}"/>
    <cellStyle name="Normal 5 2 12 2 2" xfId="13397" xr:uid="{00000000-0005-0000-0000-0000476D0000}"/>
    <cellStyle name="Normal 5 2 12 3" xfId="29387" xr:uid="{00000000-0005-0000-0000-0000486D0000}"/>
    <cellStyle name="Normal 5 2 12 3 2" xfId="137" xr:uid="{00000000-0005-0000-0000-0000496D0000}"/>
    <cellStyle name="Normal 5 2 12 4" xfId="29388" xr:uid="{00000000-0005-0000-0000-00004A6D0000}"/>
    <cellStyle name="Normal 5 2 12 4 2" xfId="29396" xr:uid="{00000000-0005-0000-0000-00004B6D0000}"/>
    <cellStyle name="Normal 5 2 12 5" xfId="29405" xr:uid="{00000000-0005-0000-0000-00004C6D0000}"/>
    <cellStyle name="Normal 5 2 12 5 2" xfId="29408" xr:uid="{00000000-0005-0000-0000-00004D6D0000}"/>
    <cellStyle name="Normal 5 2 12 6" xfId="29410" xr:uid="{00000000-0005-0000-0000-00004E6D0000}"/>
    <cellStyle name="Normal 5 2 12 6 2" xfId="29411" xr:uid="{00000000-0005-0000-0000-00004F6D0000}"/>
    <cellStyle name="Normal 5 2 12 7" xfId="8426" xr:uid="{00000000-0005-0000-0000-0000506D0000}"/>
    <cellStyle name="Normal 5 2 13" xfId="29415" xr:uid="{00000000-0005-0000-0000-0000516D0000}"/>
    <cellStyle name="Normal 5 2 13 2" xfId="30075" xr:uid="{00000000-0005-0000-0000-0000526D0000}"/>
    <cellStyle name="Normal 5 2 14" xfId="29421" xr:uid="{00000000-0005-0000-0000-0000536D0000}"/>
    <cellStyle name="Normal 5 2 14 2" xfId="29425" xr:uid="{00000000-0005-0000-0000-0000546D0000}"/>
    <cellStyle name="Normal 5 2 15" xfId="29431" xr:uid="{00000000-0005-0000-0000-0000556D0000}"/>
    <cellStyle name="Normal 5 2 15 2" xfId="21200" xr:uid="{00000000-0005-0000-0000-0000566D0000}"/>
    <cellStyle name="Normal 5 2 16" xfId="15735" xr:uid="{00000000-0005-0000-0000-0000576D0000}"/>
    <cellStyle name="Normal 5 2 16 2" xfId="29432" xr:uid="{00000000-0005-0000-0000-0000586D0000}"/>
    <cellStyle name="Normal 5 2 17" xfId="17362" xr:uid="{00000000-0005-0000-0000-0000596D0000}"/>
    <cellStyle name="Normal 5 2 17 2" xfId="29433" xr:uid="{00000000-0005-0000-0000-00005A6D0000}"/>
    <cellStyle name="Normal 5 2 18" xfId="31020" xr:uid="{00000000-0005-0000-0000-00005B6D0000}"/>
    <cellStyle name="Normal 5 2 2" xfId="29439" xr:uid="{00000000-0005-0000-0000-00005C6D0000}"/>
    <cellStyle name="Normal 5 2 2 2" xfId="26563" xr:uid="{00000000-0005-0000-0000-00005D6D0000}"/>
    <cellStyle name="Normal 5 2 2 2 2" xfId="25364" xr:uid="{00000000-0005-0000-0000-00005E6D0000}"/>
    <cellStyle name="Normal 5 2 2 2 2 2" xfId="9397" xr:uid="{00000000-0005-0000-0000-00005F6D0000}"/>
    <cellStyle name="Normal 5 2 2 2 2 2 2" xfId="23636" xr:uid="{00000000-0005-0000-0000-0000606D0000}"/>
    <cellStyle name="Normal 5 2 2 2 2 2 2 2" xfId="29445" xr:uid="{00000000-0005-0000-0000-0000616D0000}"/>
    <cellStyle name="Normal 5 2 2 2 2 2 2 2 2" xfId="29450" xr:uid="{00000000-0005-0000-0000-0000626D0000}"/>
    <cellStyle name="Normal 5 2 2 2 2 2 2 2 2 2" xfId="13309" xr:uid="{00000000-0005-0000-0000-0000636D0000}"/>
    <cellStyle name="Normal 5 2 2 2 2 2 2 2 2 2 2" xfId="22859" xr:uid="{00000000-0005-0000-0000-0000646D0000}"/>
    <cellStyle name="Normal 5 2 2 2 2 2 2 2 2 3" xfId="26228" xr:uid="{00000000-0005-0000-0000-0000656D0000}"/>
    <cellStyle name="Normal 5 2 2 2 2 2 2 2 3" xfId="29452" xr:uid="{00000000-0005-0000-0000-0000666D0000}"/>
    <cellStyle name="Normal 5 2 2 2 2 2 2 2 3 2" xfId="1610" xr:uid="{00000000-0005-0000-0000-0000676D0000}"/>
    <cellStyle name="Normal 5 2 2 2 2 2 2 2 4" xfId="27057" xr:uid="{00000000-0005-0000-0000-0000686D0000}"/>
    <cellStyle name="Normal 5 2 2 2 2 2 2 3" xfId="6092" xr:uid="{00000000-0005-0000-0000-0000696D0000}"/>
    <cellStyle name="Normal 5 2 2 2 2 2 2 3 2" xfId="26323" xr:uid="{00000000-0005-0000-0000-00006A6D0000}"/>
    <cellStyle name="Normal 5 2 2 2 2 2 2 3 2 2" xfId="3380" xr:uid="{00000000-0005-0000-0000-00006B6D0000}"/>
    <cellStyle name="Normal 5 2 2 2 2 2 2 3 3" xfId="20865" xr:uid="{00000000-0005-0000-0000-00006C6D0000}"/>
    <cellStyle name="Normal 5 2 2 2 2 2 2 4" xfId="20278" xr:uid="{00000000-0005-0000-0000-00006D6D0000}"/>
    <cellStyle name="Normal 5 2 2 2 2 2 2 4 2" xfId="20280" xr:uid="{00000000-0005-0000-0000-00006E6D0000}"/>
    <cellStyle name="Normal 5 2 2 2 2 2 2 5" xfId="20285" xr:uid="{00000000-0005-0000-0000-00006F6D0000}"/>
    <cellStyle name="Normal 5 2 2 2 2 2 3" xfId="25668" xr:uid="{00000000-0005-0000-0000-0000706D0000}"/>
    <cellStyle name="Normal 5 2 2 2 2 2 3 2" xfId="6724" xr:uid="{00000000-0005-0000-0000-0000716D0000}"/>
    <cellStyle name="Normal 5 2 2 2 2 2 3 2 2" xfId="28265" xr:uid="{00000000-0005-0000-0000-0000726D0000}"/>
    <cellStyle name="Normal 5 2 2 2 2 2 3 2 2 2" xfId="26769" xr:uid="{00000000-0005-0000-0000-0000736D0000}"/>
    <cellStyle name="Normal 5 2 2 2 2 2 3 2 3" xfId="29453" xr:uid="{00000000-0005-0000-0000-0000746D0000}"/>
    <cellStyle name="Normal 5 2 2 2 2 2 3 3" xfId="24719" xr:uid="{00000000-0005-0000-0000-0000756D0000}"/>
    <cellStyle name="Normal 5 2 2 2 2 2 3 3 2" xfId="26821" xr:uid="{00000000-0005-0000-0000-0000766D0000}"/>
    <cellStyle name="Normal 5 2 2 2 2 2 3 4" xfId="18644" xr:uid="{00000000-0005-0000-0000-0000776D0000}"/>
    <cellStyle name="Normal 5 2 2 2 2 2 4" xfId="7854" xr:uid="{00000000-0005-0000-0000-0000786D0000}"/>
    <cellStyle name="Normal 5 2 2 2 2 2 4 2" xfId="29455" xr:uid="{00000000-0005-0000-0000-0000796D0000}"/>
    <cellStyle name="Normal 5 2 2 2 2 2 4 2 2" xfId="33526" xr:uid="{00000000-0005-0000-0000-00007A6D0000}"/>
    <cellStyle name="Normal 5 2 2 2 2 2 4 3" xfId="16393" xr:uid="{00000000-0005-0000-0000-00007B6D0000}"/>
    <cellStyle name="Normal 5 2 2 2 2 2 5" xfId="7860" xr:uid="{00000000-0005-0000-0000-00007C6D0000}"/>
    <cellStyle name="Normal 5 2 2 2 2 2 5 2" xfId="33609" xr:uid="{00000000-0005-0000-0000-00007D6D0000}"/>
    <cellStyle name="Normal 5 2 2 2 2 2 6" xfId="11958" xr:uid="{00000000-0005-0000-0000-00007E6D0000}"/>
    <cellStyle name="Normal 5 2 2 2 2 3" xfId="9407" xr:uid="{00000000-0005-0000-0000-00007F6D0000}"/>
    <cellStyle name="Normal 5 2 2 2 2 3 2" xfId="28256" xr:uid="{00000000-0005-0000-0000-0000806D0000}"/>
    <cellStyle name="Normal 5 2 2 2 2 3 2 2" xfId="29462" xr:uid="{00000000-0005-0000-0000-0000816D0000}"/>
    <cellStyle name="Normal 5 2 2 2 2 3 2 2 2" xfId="29466" xr:uid="{00000000-0005-0000-0000-0000826D0000}"/>
    <cellStyle name="Normal 5 2 2 2 2 3 2 2 2 2" xfId="10351" xr:uid="{00000000-0005-0000-0000-0000836D0000}"/>
    <cellStyle name="Normal 5 2 2 2 2 3 2 2 3" xfId="29469" xr:uid="{00000000-0005-0000-0000-0000846D0000}"/>
    <cellStyle name="Normal 5 2 2 2 2 3 2 3" xfId="4088" xr:uid="{00000000-0005-0000-0000-0000856D0000}"/>
    <cellStyle name="Normal 5 2 2 2 2 3 2 3 2" xfId="26045" xr:uid="{00000000-0005-0000-0000-0000866D0000}"/>
    <cellStyle name="Normal 5 2 2 2 2 3 2 4" xfId="20298" xr:uid="{00000000-0005-0000-0000-0000876D0000}"/>
    <cellStyle name="Normal 5 2 2 2 2 3 3" xfId="27250" xr:uid="{00000000-0005-0000-0000-0000886D0000}"/>
    <cellStyle name="Normal 5 2 2 2 2 3 3 2" xfId="29471" xr:uid="{00000000-0005-0000-0000-0000896D0000}"/>
    <cellStyle name="Normal 5 2 2 2 2 3 3 2 2" xfId="6823" xr:uid="{00000000-0005-0000-0000-00008A6D0000}"/>
    <cellStyle name="Normal 5 2 2 2 2 3 3 3" xfId="7285" xr:uid="{00000000-0005-0000-0000-00008B6D0000}"/>
    <cellStyle name="Normal 5 2 2 2 2 3 4" xfId="7862" xr:uid="{00000000-0005-0000-0000-00008C6D0000}"/>
    <cellStyle name="Normal 5 2 2 2 2 3 4 2" xfId="29472" xr:uid="{00000000-0005-0000-0000-00008D6D0000}"/>
    <cellStyle name="Normal 5 2 2 2 2 3 5" xfId="4513" xr:uid="{00000000-0005-0000-0000-00008E6D0000}"/>
    <cellStyle name="Normal 5 2 2 2 2 4" xfId="7264" xr:uid="{00000000-0005-0000-0000-00008F6D0000}"/>
    <cellStyle name="Normal 5 2 2 2 2 4 2" xfId="30874" xr:uid="{00000000-0005-0000-0000-0000906D0000}"/>
    <cellStyle name="Normal 5 2 2 2 2 4 2 2" xfId="21103" xr:uid="{00000000-0005-0000-0000-0000916D0000}"/>
    <cellStyle name="Normal 5 2 2 2 2 4 2 2 2" xfId="29476" xr:uid="{00000000-0005-0000-0000-0000926D0000}"/>
    <cellStyle name="Normal 5 2 2 2 2 4 2 3" xfId="4132" xr:uid="{00000000-0005-0000-0000-0000936D0000}"/>
    <cellStyle name="Normal 5 2 2 2 2 4 3" xfId="28310" xr:uid="{00000000-0005-0000-0000-0000946D0000}"/>
    <cellStyle name="Normal 5 2 2 2 2 4 3 2" xfId="18956" xr:uid="{00000000-0005-0000-0000-0000956D0000}"/>
    <cellStyle name="Normal 5 2 2 2 2 4 4" xfId="29492" xr:uid="{00000000-0005-0000-0000-0000966D0000}"/>
    <cellStyle name="Normal 5 2 2 2 2 5" xfId="29499" xr:uid="{00000000-0005-0000-0000-0000976D0000}"/>
    <cellStyle name="Normal 5 2 2 2 2 5 2" xfId="23139" xr:uid="{00000000-0005-0000-0000-0000986D0000}"/>
    <cellStyle name="Normal 5 2 2 2 2 5 2 2" xfId="29502" xr:uid="{00000000-0005-0000-0000-0000996D0000}"/>
    <cellStyle name="Normal 5 2 2 2 2 5 3" xfId="27586" xr:uid="{00000000-0005-0000-0000-00009A6D0000}"/>
    <cellStyle name="Normal 5 2 2 2 2 6" xfId="8599" xr:uid="{00000000-0005-0000-0000-00009B6D0000}"/>
    <cellStyle name="Normal 5 2 2 2 2 6 2" xfId="20179" xr:uid="{00000000-0005-0000-0000-00009C6D0000}"/>
    <cellStyle name="Normal 5 2 2 2 2 7" xfId="24489" xr:uid="{00000000-0005-0000-0000-00009D6D0000}"/>
    <cellStyle name="Normal 5 2 2 2 3" xfId="25348" xr:uid="{00000000-0005-0000-0000-00009E6D0000}"/>
    <cellStyle name="Normal 5 2 2 2 3 2" xfId="27644" xr:uid="{00000000-0005-0000-0000-00009F6D0000}"/>
    <cellStyle name="Normal 5 2 2 2 3 2 2" xfId="25676" xr:uid="{00000000-0005-0000-0000-0000A06D0000}"/>
    <cellStyle name="Normal 5 2 2 2 3 2 2 2" xfId="20458" xr:uid="{00000000-0005-0000-0000-0000A16D0000}"/>
    <cellStyle name="Normal 5 2 2 2 3 2 2 2 2" xfId="27512" xr:uid="{00000000-0005-0000-0000-0000A26D0000}"/>
    <cellStyle name="Normal 5 2 2 2 3 2 2 2 2 2" xfId="25684" xr:uid="{00000000-0005-0000-0000-0000A36D0000}"/>
    <cellStyle name="Normal 5 2 2 2 3 2 2 2 3" xfId="2987" xr:uid="{00000000-0005-0000-0000-0000A46D0000}"/>
    <cellStyle name="Normal 5 2 2 2 3 2 2 3" xfId="20462" xr:uid="{00000000-0005-0000-0000-0000A56D0000}"/>
    <cellStyle name="Normal 5 2 2 2 3 2 2 3 2" xfId="27464" xr:uid="{00000000-0005-0000-0000-0000A66D0000}"/>
    <cellStyle name="Normal 5 2 2 2 3 2 2 4" xfId="22064" xr:uid="{00000000-0005-0000-0000-0000A76D0000}"/>
    <cellStyle name="Normal 5 2 2 2 3 2 3" xfId="27614" xr:uid="{00000000-0005-0000-0000-0000A86D0000}"/>
    <cellStyle name="Normal 5 2 2 2 3 2 3 2" xfId="20465" xr:uid="{00000000-0005-0000-0000-0000A96D0000}"/>
    <cellStyle name="Normal 5 2 2 2 3 2 3 2 2" xfId="29516" xr:uid="{00000000-0005-0000-0000-0000AA6D0000}"/>
    <cellStyle name="Normal 5 2 2 2 3 2 3 3" xfId="26831" xr:uid="{00000000-0005-0000-0000-0000AB6D0000}"/>
    <cellStyle name="Normal 5 2 2 2 3 2 4" xfId="7868" xr:uid="{00000000-0005-0000-0000-0000AC6D0000}"/>
    <cellStyle name="Normal 5 2 2 2 3 2 4 2" xfId="33945" xr:uid="{00000000-0005-0000-0000-0000AD6D0000}"/>
    <cellStyle name="Normal 5 2 2 2 3 2 5" xfId="33946" xr:uid="{00000000-0005-0000-0000-0000AE6D0000}"/>
    <cellStyle name="Normal 5 2 2 2 3 3" xfId="9426" xr:uid="{00000000-0005-0000-0000-0000AF6D0000}"/>
    <cellStyle name="Normal 5 2 2 2 3 3 2" xfId="29522" xr:uid="{00000000-0005-0000-0000-0000B06D0000}"/>
    <cellStyle name="Normal 5 2 2 2 3 3 2 2" xfId="20484" xr:uid="{00000000-0005-0000-0000-0000B16D0000}"/>
    <cellStyle name="Normal 5 2 2 2 3 3 2 2 2" xfId="31885" xr:uid="{00000000-0005-0000-0000-0000B26D0000}"/>
    <cellStyle name="Normal 5 2 2 2 3 3 2 3" xfId="746" xr:uid="{00000000-0005-0000-0000-0000B36D0000}"/>
    <cellStyle name="Normal 5 2 2 2 3 3 3" xfId="27615" xr:uid="{00000000-0005-0000-0000-0000B46D0000}"/>
    <cellStyle name="Normal 5 2 2 2 3 3 3 2" xfId="23897" xr:uid="{00000000-0005-0000-0000-0000B56D0000}"/>
    <cellStyle name="Normal 5 2 2 2 3 3 4" xfId="29932" xr:uid="{00000000-0005-0000-0000-0000B66D0000}"/>
    <cellStyle name="Normal 5 2 2 2 3 4" xfId="29532" xr:uid="{00000000-0005-0000-0000-0000B76D0000}"/>
    <cellStyle name="Normal 5 2 2 2 3 4 2" xfId="32036" xr:uid="{00000000-0005-0000-0000-0000B86D0000}"/>
    <cellStyle name="Normal 5 2 2 2 3 4 2 2" xfId="24237" xr:uid="{00000000-0005-0000-0000-0000B96D0000}"/>
    <cellStyle name="Normal 5 2 2 2 3 4 3" xfId="29539" xr:uid="{00000000-0005-0000-0000-0000BA6D0000}"/>
    <cellStyle name="Normal 5 2 2 2 3 5" xfId="20271" xr:uid="{00000000-0005-0000-0000-0000BB6D0000}"/>
    <cellStyle name="Normal 5 2 2 2 3 5 2" xfId="20620" xr:uid="{00000000-0005-0000-0000-0000BC6D0000}"/>
    <cellStyle name="Normal 5 2 2 2 3 6" xfId="29547" xr:uid="{00000000-0005-0000-0000-0000BD6D0000}"/>
    <cellStyle name="Normal 5 2 2 2 4" xfId="29551" xr:uid="{00000000-0005-0000-0000-0000BE6D0000}"/>
    <cellStyle name="Normal 5 2 2 2 4 2" xfId="9428" xr:uid="{00000000-0005-0000-0000-0000BF6D0000}"/>
    <cellStyle name="Normal 5 2 2 2 4 2 2" xfId="6806" xr:uid="{00000000-0005-0000-0000-0000C06D0000}"/>
    <cellStyle name="Normal 5 2 2 2 4 2 2 2" xfId="20581" xr:uid="{00000000-0005-0000-0000-0000C16D0000}"/>
    <cellStyle name="Normal 5 2 2 2 4 2 2 2 2" xfId="15389" xr:uid="{00000000-0005-0000-0000-0000C26D0000}"/>
    <cellStyle name="Normal 5 2 2 2 4 2 2 3" xfId="1619" xr:uid="{00000000-0005-0000-0000-0000C36D0000}"/>
    <cellStyle name="Normal 5 2 2 2 4 2 3" xfId="51" xr:uid="{00000000-0005-0000-0000-0000C46D0000}"/>
    <cellStyle name="Normal 5 2 2 2 4 2 3 2" xfId="29554" xr:uid="{00000000-0005-0000-0000-0000C56D0000}"/>
    <cellStyle name="Normal 5 2 2 2 4 2 4" xfId="1316" xr:uid="{00000000-0005-0000-0000-0000C66D0000}"/>
    <cellStyle name="Normal 5 2 2 2 4 3" xfId="29566" xr:uid="{00000000-0005-0000-0000-0000C76D0000}"/>
    <cellStyle name="Normal 5 2 2 2 4 3 2" xfId="6813" xr:uid="{00000000-0005-0000-0000-0000C86D0000}"/>
    <cellStyle name="Normal 5 2 2 2 4 3 2 2" xfId="28429" xr:uid="{00000000-0005-0000-0000-0000C96D0000}"/>
    <cellStyle name="Normal 5 2 2 2 4 3 3" xfId="27901" xr:uid="{00000000-0005-0000-0000-0000CA6D0000}"/>
    <cellStyle name="Normal 5 2 2 2 4 4" xfId="29260" xr:uid="{00000000-0005-0000-0000-0000CB6D0000}"/>
    <cellStyle name="Normal 5 2 2 2 4 4 2" xfId="14612" xr:uid="{00000000-0005-0000-0000-0000CC6D0000}"/>
    <cellStyle name="Normal 5 2 2 2 4 5" xfId="29576" xr:uid="{00000000-0005-0000-0000-0000CD6D0000}"/>
    <cellStyle name="Normal 5 2 2 2 5" xfId="8661" xr:uid="{00000000-0005-0000-0000-0000CE6D0000}"/>
    <cellStyle name="Normal 5 2 2 2 5 2" xfId="29583" xr:uid="{00000000-0005-0000-0000-0000CF6D0000}"/>
    <cellStyle name="Normal 5 2 2 2 5 2 2" xfId="802" xr:uid="{00000000-0005-0000-0000-0000D06D0000}"/>
    <cellStyle name="Normal 5 2 2 2 5 2 2 2" xfId="29584" xr:uid="{00000000-0005-0000-0000-0000D16D0000}"/>
    <cellStyle name="Normal 5 2 2 2 5 2 3" xfId="27245" xr:uid="{00000000-0005-0000-0000-0000D26D0000}"/>
    <cellStyle name="Normal 5 2 2 2 5 3" xfId="29586" xr:uid="{00000000-0005-0000-0000-0000D36D0000}"/>
    <cellStyle name="Normal 5 2 2 2 5 3 2" xfId="29587" xr:uid="{00000000-0005-0000-0000-0000D46D0000}"/>
    <cellStyle name="Normal 5 2 2 2 5 4" xfId="30793" xr:uid="{00000000-0005-0000-0000-0000D56D0000}"/>
    <cellStyle name="Normal 5 2 2 2 6" xfId="21904" xr:uid="{00000000-0005-0000-0000-0000D66D0000}"/>
    <cellStyle name="Normal 5 2 2 2 6 2" xfId="26314" xr:uid="{00000000-0005-0000-0000-0000D76D0000}"/>
    <cellStyle name="Normal 5 2 2 2 6 2 2" xfId="2007" xr:uid="{00000000-0005-0000-0000-0000D86D0000}"/>
    <cellStyle name="Normal 5 2 2 2 6 3" xfId="8532" xr:uid="{00000000-0005-0000-0000-0000D96D0000}"/>
    <cellStyle name="Normal 5 2 2 2 7" xfId="21920" xr:uid="{00000000-0005-0000-0000-0000DA6D0000}"/>
    <cellStyle name="Normal 5 2 2 2 7 2" xfId="29592" xr:uid="{00000000-0005-0000-0000-0000DB6D0000}"/>
    <cellStyle name="Normal 5 2 2 2 8" xfId="12113" xr:uid="{00000000-0005-0000-0000-0000DC6D0000}"/>
    <cellStyle name="Normal 5 2 2 3" xfId="27439" xr:uid="{00000000-0005-0000-0000-0000DD6D0000}"/>
    <cellStyle name="Normal 5 2 2 3 2" xfId="27783" xr:uid="{00000000-0005-0000-0000-0000DE6D0000}"/>
    <cellStyle name="Normal 5 2 2 3 2 2" xfId="11977" xr:uid="{00000000-0005-0000-0000-0000DF6D0000}"/>
    <cellStyle name="Normal 5 2 2 3 2 2 2" xfId="26203" xr:uid="{00000000-0005-0000-0000-0000E06D0000}"/>
    <cellStyle name="Normal 5 2 2 3 2 2 2 2" xfId="29594" xr:uid="{00000000-0005-0000-0000-0000E16D0000}"/>
    <cellStyle name="Normal 5 2 2 3 2 2 2 2 2" xfId="27426" xr:uid="{00000000-0005-0000-0000-0000E26D0000}"/>
    <cellStyle name="Normal 5 2 2 3 2 2 2 2 2 2" xfId="29599" xr:uid="{00000000-0005-0000-0000-0000E36D0000}"/>
    <cellStyle name="Normal 5 2 2 3 2 2 2 2 3" xfId="32776" xr:uid="{00000000-0005-0000-0000-0000E46D0000}"/>
    <cellStyle name="Normal 5 2 2 3 2 2 2 3" xfId="7639" xr:uid="{00000000-0005-0000-0000-0000E56D0000}"/>
    <cellStyle name="Normal 5 2 2 3 2 2 2 3 2" xfId="28406" xr:uid="{00000000-0005-0000-0000-0000E66D0000}"/>
    <cellStyle name="Normal 5 2 2 3 2 2 2 4" xfId="12447" xr:uid="{00000000-0005-0000-0000-0000E76D0000}"/>
    <cellStyle name="Normal 5 2 2 3 2 2 3" xfId="29084" xr:uid="{00000000-0005-0000-0000-0000E86D0000}"/>
    <cellStyle name="Normal 5 2 2 3 2 2 3 2" xfId="29601" xr:uid="{00000000-0005-0000-0000-0000E96D0000}"/>
    <cellStyle name="Normal 5 2 2 3 2 2 3 2 2" xfId="29812" xr:uid="{00000000-0005-0000-0000-0000EA6D0000}"/>
    <cellStyle name="Normal 5 2 2 3 2 2 3 3" xfId="6761" xr:uid="{00000000-0005-0000-0000-0000EB6D0000}"/>
    <cellStyle name="Normal 5 2 2 3 2 2 4" xfId="12706" xr:uid="{00000000-0005-0000-0000-0000EC6D0000}"/>
    <cellStyle name="Normal 5 2 2 3 2 2 4 2" xfId="33826" xr:uid="{00000000-0005-0000-0000-0000ED6D0000}"/>
    <cellStyle name="Normal 5 2 2 3 2 2 5" xfId="33685" xr:uid="{00000000-0005-0000-0000-0000EE6D0000}"/>
    <cellStyle name="Normal 5 2 2 3 2 3" xfId="14292" xr:uid="{00000000-0005-0000-0000-0000EF6D0000}"/>
    <cellStyle name="Normal 5 2 2 3 2 3 2" xfId="26384" xr:uid="{00000000-0005-0000-0000-0000F06D0000}"/>
    <cellStyle name="Normal 5 2 2 3 2 3 2 2" xfId="29602" xr:uid="{00000000-0005-0000-0000-0000F16D0000}"/>
    <cellStyle name="Normal 5 2 2 3 2 3 2 2 2" xfId="4004" xr:uid="{00000000-0005-0000-0000-0000F26D0000}"/>
    <cellStyle name="Normal 5 2 2 3 2 3 2 3" xfId="2427" xr:uid="{00000000-0005-0000-0000-0000F36D0000}"/>
    <cellStyle name="Normal 5 2 2 3 2 3 3" xfId="29604" xr:uid="{00000000-0005-0000-0000-0000F46D0000}"/>
    <cellStyle name="Normal 5 2 2 3 2 3 3 2" xfId="27527" xr:uid="{00000000-0005-0000-0000-0000F56D0000}"/>
    <cellStyle name="Normal 5 2 2 3 2 3 4" xfId="29608" xr:uid="{00000000-0005-0000-0000-0000F66D0000}"/>
    <cellStyle name="Normal 5 2 2 3 2 4" xfId="28755" xr:uid="{00000000-0005-0000-0000-0000F76D0000}"/>
    <cellStyle name="Normal 5 2 2 3 2 4 2" xfId="29609" xr:uid="{00000000-0005-0000-0000-0000F86D0000}"/>
    <cellStyle name="Normal 5 2 2 3 2 4 2 2" xfId="26449" xr:uid="{00000000-0005-0000-0000-0000F96D0000}"/>
    <cellStyle name="Normal 5 2 2 3 2 4 3" xfId="26648" xr:uid="{00000000-0005-0000-0000-0000FA6D0000}"/>
    <cellStyle name="Normal 5 2 2 3 2 5" xfId="22871" xr:uid="{00000000-0005-0000-0000-0000FB6D0000}"/>
    <cellStyle name="Normal 5 2 2 3 2 5 2" xfId="22874" xr:uid="{00000000-0005-0000-0000-0000FC6D0000}"/>
    <cellStyle name="Normal 5 2 2 3 2 6" xfId="20173" xr:uid="{00000000-0005-0000-0000-0000FD6D0000}"/>
    <cellStyle name="Normal 5 2 2 3 3" xfId="29618" xr:uid="{00000000-0005-0000-0000-0000FE6D0000}"/>
    <cellStyle name="Normal 5 2 2 3 3 2" xfId="9448" xr:uid="{00000000-0005-0000-0000-0000FF6D0000}"/>
    <cellStyle name="Normal 5 2 2 3 3 2 2" xfId="26236" xr:uid="{00000000-0005-0000-0000-0000006E0000}"/>
    <cellStyle name="Normal 5 2 2 3 3 2 2 2" xfId="20730" xr:uid="{00000000-0005-0000-0000-0000016E0000}"/>
    <cellStyle name="Normal 5 2 2 3 3 2 2 2 2" xfId="30993" xr:uid="{00000000-0005-0000-0000-0000026E0000}"/>
    <cellStyle name="Normal 5 2 2 3 3 2 2 3" xfId="12394" xr:uid="{00000000-0005-0000-0000-0000036E0000}"/>
    <cellStyle name="Normal 5 2 2 3 3 2 3" xfId="29621" xr:uid="{00000000-0005-0000-0000-0000046E0000}"/>
    <cellStyle name="Normal 5 2 2 3 3 2 3 2" xfId="23420" xr:uid="{00000000-0005-0000-0000-0000056E0000}"/>
    <cellStyle name="Normal 5 2 2 3 3 2 4" xfId="29622" xr:uid="{00000000-0005-0000-0000-0000066E0000}"/>
    <cellStyle name="Normal 5 2 2 3 3 3" xfId="11566" xr:uid="{00000000-0005-0000-0000-0000076E0000}"/>
    <cellStyle name="Normal 5 2 2 3 3 3 2" xfId="29623" xr:uid="{00000000-0005-0000-0000-0000086E0000}"/>
    <cellStyle name="Normal 5 2 2 3 3 3 2 2" xfId="29624" xr:uid="{00000000-0005-0000-0000-0000096E0000}"/>
    <cellStyle name="Normal 5 2 2 3 3 3 3" xfId="29626" xr:uid="{00000000-0005-0000-0000-00000A6E0000}"/>
    <cellStyle name="Normal 5 2 2 3 3 4" xfId="27304" xr:uid="{00000000-0005-0000-0000-00000B6E0000}"/>
    <cellStyle name="Normal 5 2 2 3 3 4 2" xfId="30037" xr:uid="{00000000-0005-0000-0000-00000C6E0000}"/>
    <cellStyle name="Normal 5 2 2 3 3 5" xfId="23089" xr:uid="{00000000-0005-0000-0000-00000D6E0000}"/>
    <cellStyle name="Normal 5 2 2 3 4" xfId="5448" xr:uid="{00000000-0005-0000-0000-00000E6E0000}"/>
    <cellStyle name="Normal 5 2 2 3 4 2" xfId="27109" xr:uid="{00000000-0005-0000-0000-00000F6E0000}"/>
    <cellStyle name="Normal 5 2 2 3 4 2 2" xfId="6879" xr:uid="{00000000-0005-0000-0000-0000106E0000}"/>
    <cellStyle name="Normal 5 2 2 3 4 2 2 2" xfId="29627" xr:uid="{00000000-0005-0000-0000-0000116E0000}"/>
    <cellStyle name="Normal 5 2 2 3 4 2 3" xfId="26847" xr:uid="{00000000-0005-0000-0000-0000126E0000}"/>
    <cellStyle name="Normal 5 2 2 3 4 3" xfId="26742" xr:uid="{00000000-0005-0000-0000-0000136E0000}"/>
    <cellStyle name="Normal 5 2 2 3 4 3 2" xfId="26858" xr:uid="{00000000-0005-0000-0000-0000146E0000}"/>
    <cellStyle name="Normal 5 2 2 3 4 4" xfId="29275" xr:uid="{00000000-0005-0000-0000-0000156E0000}"/>
    <cellStyle name="Normal 5 2 2 3 5" xfId="3483" xr:uid="{00000000-0005-0000-0000-0000166E0000}"/>
    <cellStyle name="Normal 5 2 2 3 5 2" xfId="26747" xr:uid="{00000000-0005-0000-0000-0000176E0000}"/>
    <cellStyle name="Normal 5 2 2 3 5 2 2" xfId="20490" xr:uid="{00000000-0005-0000-0000-0000186E0000}"/>
    <cellStyle name="Normal 5 2 2 3 5 3" xfId="27655" xr:uid="{00000000-0005-0000-0000-0000196E0000}"/>
    <cellStyle name="Normal 5 2 2 3 6" xfId="28803" xr:uid="{00000000-0005-0000-0000-00001A6E0000}"/>
    <cellStyle name="Normal 5 2 2 3 6 2" xfId="29629" xr:uid="{00000000-0005-0000-0000-00001B6E0000}"/>
    <cellStyle name="Normal 5 2 2 3 7" xfId="21941" xr:uid="{00000000-0005-0000-0000-00001C6E0000}"/>
    <cellStyle name="Normal 5 2 2 4" xfId="29634" xr:uid="{00000000-0005-0000-0000-00001D6E0000}"/>
    <cellStyle name="Normal 5 2 2 4 2" xfId="13544" xr:uid="{00000000-0005-0000-0000-00001E6E0000}"/>
    <cellStyle name="Normal 5 2 2 4 2 2" xfId="2998" xr:uid="{00000000-0005-0000-0000-00001F6E0000}"/>
    <cellStyle name="Normal 5 2 2 4 2 2 2" xfId="25755" xr:uid="{00000000-0005-0000-0000-0000206E0000}"/>
    <cellStyle name="Normal 5 2 2 4 2 2 2 2" xfId="29638" xr:uid="{00000000-0005-0000-0000-0000216E0000}"/>
    <cellStyle name="Normal 5 2 2 4 2 2 2 2 2" xfId="32396" xr:uid="{00000000-0005-0000-0000-0000226E0000}"/>
    <cellStyle name="Normal 5 2 2 4 2 2 2 3" xfId="13856" xr:uid="{00000000-0005-0000-0000-0000236E0000}"/>
    <cellStyle name="Normal 5 2 2 4 2 2 3" xfId="27609" xr:uid="{00000000-0005-0000-0000-0000246E0000}"/>
    <cellStyle name="Normal 5 2 2 4 2 2 3 2" xfId="29639" xr:uid="{00000000-0005-0000-0000-0000256E0000}"/>
    <cellStyle name="Normal 5 2 2 4 2 2 4" xfId="33896" xr:uid="{00000000-0005-0000-0000-0000266E0000}"/>
    <cellStyle name="Normal 5 2 2 4 2 3" xfId="29641" xr:uid="{00000000-0005-0000-0000-0000276E0000}"/>
    <cellStyle name="Normal 5 2 2 4 2 3 2" xfId="31960" xr:uid="{00000000-0005-0000-0000-0000286E0000}"/>
    <cellStyle name="Normal 5 2 2 4 2 3 2 2" xfId="21513" xr:uid="{00000000-0005-0000-0000-0000296E0000}"/>
    <cellStyle name="Normal 5 2 2 4 2 3 3" xfId="29642" xr:uid="{00000000-0005-0000-0000-00002A6E0000}"/>
    <cellStyle name="Normal 5 2 2 4 2 4" xfId="26395" xr:uid="{00000000-0005-0000-0000-00002B6E0000}"/>
    <cellStyle name="Normal 5 2 2 4 2 4 2" xfId="15631" xr:uid="{00000000-0005-0000-0000-00002C6E0000}"/>
    <cellStyle name="Normal 5 2 2 4 2 5" xfId="25249" xr:uid="{00000000-0005-0000-0000-00002D6E0000}"/>
    <cellStyle name="Normal 5 2 2 4 3" xfId="7169" xr:uid="{00000000-0005-0000-0000-00002E6E0000}"/>
    <cellStyle name="Normal 5 2 2 4 3 2" xfId="28085" xr:uid="{00000000-0005-0000-0000-00002F6E0000}"/>
    <cellStyle name="Normal 5 2 2 4 3 2 2" xfId="25629" xr:uid="{00000000-0005-0000-0000-0000306E0000}"/>
    <cellStyle name="Normal 5 2 2 4 3 2 2 2" xfId="20843" xr:uid="{00000000-0005-0000-0000-0000316E0000}"/>
    <cellStyle name="Normal 5 2 2 4 3 2 3" xfId="25156" xr:uid="{00000000-0005-0000-0000-0000326E0000}"/>
    <cellStyle name="Normal 5 2 2 4 3 3" xfId="26401" xr:uid="{00000000-0005-0000-0000-0000336E0000}"/>
    <cellStyle name="Normal 5 2 2 4 3 3 2" xfId="27494" xr:uid="{00000000-0005-0000-0000-0000346E0000}"/>
    <cellStyle name="Normal 5 2 2 4 3 4" xfId="29650" xr:uid="{00000000-0005-0000-0000-0000356E0000}"/>
    <cellStyle name="Normal 5 2 2 4 4" xfId="4840" xr:uid="{00000000-0005-0000-0000-0000366E0000}"/>
    <cellStyle name="Normal 5 2 2 4 4 2" xfId="3606" xr:uid="{00000000-0005-0000-0000-0000376E0000}"/>
    <cellStyle name="Normal 5 2 2 4 4 2 2" xfId="26868" xr:uid="{00000000-0005-0000-0000-0000386E0000}"/>
    <cellStyle name="Normal 5 2 2 4 4 3" xfId="29290" xr:uid="{00000000-0005-0000-0000-0000396E0000}"/>
    <cellStyle name="Normal 5 2 2 4 5" xfId="3502" xr:uid="{00000000-0005-0000-0000-00003A6E0000}"/>
    <cellStyle name="Normal 5 2 2 4 5 2" xfId="29652" xr:uid="{00000000-0005-0000-0000-00003B6E0000}"/>
    <cellStyle name="Normal 5 2 2 4 6" xfId="11158" xr:uid="{00000000-0005-0000-0000-00003C6E0000}"/>
    <cellStyle name="Normal 5 2 2 5" xfId="29385" xr:uid="{00000000-0005-0000-0000-00003D6E0000}"/>
    <cellStyle name="Normal 5 2 2 5 2" xfId="4735" xr:uid="{00000000-0005-0000-0000-00003E6E0000}"/>
    <cellStyle name="Normal 5 2 2 5 2 2" xfId="28099" xr:uid="{00000000-0005-0000-0000-00003F6E0000}"/>
    <cellStyle name="Normal 5 2 2 5 2 2 2" xfId="29658" xr:uid="{00000000-0005-0000-0000-0000406E0000}"/>
    <cellStyle name="Normal 5 2 2 5 2 2 2 2" xfId="30657" xr:uid="{00000000-0005-0000-0000-0000416E0000}"/>
    <cellStyle name="Normal 5 2 2 5 2 2 3" xfId="16835" xr:uid="{00000000-0005-0000-0000-0000426E0000}"/>
    <cellStyle name="Normal 5 2 2 5 2 3" xfId="14286" xr:uid="{00000000-0005-0000-0000-0000436E0000}"/>
    <cellStyle name="Normal 5 2 2 5 2 3 2" xfId="28647" xr:uid="{00000000-0005-0000-0000-0000446E0000}"/>
    <cellStyle name="Normal 5 2 2 5 2 4" xfId="7197" xr:uid="{00000000-0005-0000-0000-0000456E0000}"/>
    <cellStyle name="Normal 5 2 2 5 3" xfId="29662" xr:uid="{00000000-0005-0000-0000-0000466E0000}"/>
    <cellStyle name="Normal 5 2 2 5 3 2" xfId="29663" xr:uid="{00000000-0005-0000-0000-0000476E0000}"/>
    <cellStyle name="Normal 5 2 2 5 3 2 2" xfId="19265" xr:uid="{00000000-0005-0000-0000-0000486E0000}"/>
    <cellStyle name="Normal 5 2 2 5 3 3" xfId="798" xr:uid="{00000000-0005-0000-0000-0000496E0000}"/>
    <cellStyle name="Normal 5 2 2 5 4" xfId="2593" xr:uid="{00000000-0005-0000-0000-00004A6E0000}"/>
    <cellStyle name="Normal 5 2 2 5 4 2" xfId="29665" xr:uid="{00000000-0005-0000-0000-00004B6E0000}"/>
    <cellStyle name="Normal 5 2 2 5 5" xfId="29044" xr:uid="{00000000-0005-0000-0000-00004C6E0000}"/>
    <cellStyle name="Normal 5 2 2 6" xfId="30430" xr:uid="{00000000-0005-0000-0000-00004D6E0000}"/>
    <cellStyle name="Normal 5 2 2 6 2" xfId="30435" xr:uid="{00000000-0005-0000-0000-00004E6E0000}"/>
    <cellStyle name="Normal 5 2 2 6 2 2" xfId="29666" xr:uid="{00000000-0005-0000-0000-00004F6E0000}"/>
    <cellStyle name="Normal 5 2 2 6 2 2 2" xfId="29669" xr:uid="{00000000-0005-0000-0000-0000506E0000}"/>
    <cellStyle name="Normal 5 2 2 6 2 3" xfId="14335" xr:uid="{00000000-0005-0000-0000-0000516E0000}"/>
    <cellStyle name="Normal 5 2 2 6 3" xfId="29670" xr:uid="{00000000-0005-0000-0000-0000526E0000}"/>
    <cellStyle name="Normal 5 2 2 6 3 2" xfId="32101" xr:uid="{00000000-0005-0000-0000-0000536E0000}"/>
    <cellStyle name="Normal 5 2 2 6 4" xfId="18555" xr:uid="{00000000-0005-0000-0000-0000546E0000}"/>
    <cellStyle name="Normal 5 2 2 7" xfId="29676" xr:uid="{00000000-0005-0000-0000-0000556E0000}"/>
    <cellStyle name="Normal 5 2 2 7 2" xfId="29680" xr:uid="{00000000-0005-0000-0000-0000566E0000}"/>
    <cellStyle name="Normal 5 2 2 7 2 2" xfId="29682" xr:uid="{00000000-0005-0000-0000-0000576E0000}"/>
    <cellStyle name="Normal 5 2 2 7 3" xfId="29683" xr:uid="{00000000-0005-0000-0000-0000586E0000}"/>
    <cellStyle name="Normal 5 2 2 8" xfId="29685" xr:uid="{00000000-0005-0000-0000-0000596E0000}"/>
    <cellStyle name="Normal 5 2 2 8 2" xfId="23041" xr:uid="{00000000-0005-0000-0000-00005A6E0000}"/>
    <cellStyle name="Normal 5 2 2 9" xfId="21515" xr:uid="{00000000-0005-0000-0000-00005B6E0000}"/>
    <cellStyle name="Normal 5 2 3" xfId="29693" xr:uid="{00000000-0005-0000-0000-00005C6E0000}"/>
    <cellStyle name="Normal 5 2 3 2" xfId="26583" xr:uid="{00000000-0005-0000-0000-00005D6E0000}"/>
    <cellStyle name="Normal 5 2 3 2 2" xfId="25385" xr:uid="{00000000-0005-0000-0000-00005E6E0000}"/>
    <cellStyle name="Normal 5 2 3 2 2 2" xfId="9772" xr:uid="{00000000-0005-0000-0000-00005F6E0000}"/>
    <cellStyle name="Normal 5 2 3 2 2 2 2" xfId="25802" xr:uid="{00000000-0005-0000-0000-0000606E0000}"/>
    <cellStyle name="Normal 5 2 3 2 2 2 2 2" xfId="30821" xr:uid="{00000000-0005-0000-0000-0000616E0000}"/>
    <cellStyle name="Normal 5 2 3 2 2 2 2 2 2" xfId="16930" xr:uid="{00000000-0005-0000-0000-0000626E0000}"/>
    <cellStyle name="Normal 5 2 3 2 2 2 2 2 2 2" xfId="30211" xr:uid="{00000000-0005-0000-0000-0000636E0000}"/>
    <cellStyle name="Normal 5 2 3 2 2 2 2 2 3" xfId="30829" xr:uid="{00000000-0005-0000-0000-0000646E0000}"/>
    <cellStyle name="Normal 5 2 3 2 2 2 2 3" xfId="5602" xr:uid="{00000000-0005-0000-0000-0000656E0000}"/>
    <cellStyle name="Normal 5 2 3 2 2 2 2 3 2" xfId="26711" xr:uid="{00000000-0005-0000-0000-0000666E0000}"/>
    <cellStyle name="Normal 5 2 3 2 2 2 2 4" xfId="23106" xr:uid="{00000000-0005-0000-0000-0000676E0000}"/>
    <cellStyle name="Normal 5 2 3 2 2 2 3" xfId="24317" xr:uid="{00000000-0005-0000-0000-0000686E0000}"/>
    <cellStyle name="Normal 5 2 3 2 2 2 3 2" xfId="30850" xr:uid="{00000000-0005-0000-0000-0000696E0000}"/>
    <cellStyle name="Normal 5 2 3 2 2 2 3 2 2" xfId="30854" xr:uid="{00000000-0005-0000-0000-00006A6E0000}"/>
    <cellStyle name="Normal 5 2 3 2 2 2 3 3" xfId="6105" xr:uid="{00000000-0005-0000-0000-00006B6E0000}"/>
    <cellStyle name="Normal 5 2 3 2 2 2 4" xfId="7937" xr:uid="{00000000-0005-0000-0000-00006C6E0000}"/>
    <cellStyle name="Normal 5 2 3 2 2 2 4 2" xfId="9914" xr:uid="{00000000-0005-0000-0000-00006D6E0000}"/>
    <cellStyle name="Normal 5 2 3 2 2 2 5" xfId="30876" xr:uid="{00000000-0005-0000-0000-00006E6E0000}"/>
    <cellStyle name="Normal 5 2 3 2 2 3" xfId="9469" xr:uid="{00000000-0005-0000-0000-00006F6E0000}"/>
    <cellStyle name="Normal 5 2 3 2 2 3 2" xfId="27971" xr:uid="{00000000-0005-0000-0000-0000706E0000}"/>
    <cellStyle name="Normal 5 2 3 2 2 3 2 2" xfId="1381" xr:uid="{00000000-0005-0000-0000-0000716E0000}"/>
    <cellStyle name="Normal 5 2 3 2 2 3 2 2 2" xfId="29699" xr:uid="{00000000-0005-0000-0000-0000726E0000}"/>
    <cellStyle name="Normal 5 2 3 2 2 3 2 3" xfId="26367" xr:uid="{00000000-0005-0000-0000-0000736E0000}"/>
    <cellStyle name="Normal 5 2 3 2 2 3 3" xfId="20446" xr:uid="{00000000-0005-0000-0000-0000746E0000}"/>
    <cellStyle name="Normal 5 2 3 2 2 3 3 2" xfId="29703" xr:uid="{00000000-0005-0000-0000-0000756E0000}"/>
    <cellStyle name="Normal 5 2 3 2 2 3 4" xfId="24612" xr:uid="{00000000-0005-0000-0000-0000766E0000}"/>
    <cellStyle name="Normal 5 2 3 2 2 4" xfId="29707" xr:uid="{00000000-0005-0000-0000-0000776E0000}"/>
    <cellStyle name="Normal 5 2 3 2 2 4 2" xfId="20453" xr:uid="{00000000-0005-0000-0000-0000786E0000}"/>
    <cellStyle name="Normal 5 2 3 2 2 4 2 2" xfId="20683" xr:uid="{00000000-0005-0000-0000-0000796E0000}"/>
    <cellStyle name="Normal 5 2 3 2 2 4 3" xfId="29714" xr:uid="{00000000-0005-0000-0000-00007A6E0000}"/>
    <cellStyle name="Normal 5 2 3 2 2 5" xfId="6561" xr:uid="{00000000-0005-0000-0000-00007B6E0000}"/>
    <cellStyle name="Normal 5 2 3 2 2 5 2" xfId="19538" xr:uid="{00000000-0005-0000-0000-00007C6E0000}"/>
    <cellStyle name="Normal 5 2 3 2 2 6" xfId="30914" xr:uid="{00000000-0005-0000-0000-00007D6E0000}"/>
    <cellStyle name="Normal 5 2 3 2 3" xfId="25694" xr:uid="{00000000-0005-0000-0000-00007E6E0000}"/>
    <cellStyle name="Normal 5 2 3 2 3 2" xfId="9471" xr:uid="{00000000-0005-0000-0000-00007F6E0000}"/>
    <cellStyle name="Normal 5 2 3 2 3 2 2" xfId="25806" xr:uid="{00000000-0005-0000-0000-0000806E0000}"/>
    <cellStyle name="Normal 5 2 3 2 3 2 2 2" xfId="9155" xr:uid="{00000000-0005-0000-0000-0000816E0000}"/>
    <cellStyle name="Normal 5 2 3 2 3 2 2 2 2" xfId="31033" xr:uid="{00000000-0005-0000-0000-0000826E0000}"/>
    <cellStyle name="Normal 5 2 3 2 3 2 2 3" xfId="7913" xr:uid="{00000000-0005-0000-0000-0000836E0000}"/>
    <cellStyle name="Normal 5 2 3 2 3 2 3" xfId="32205" xr:uid="{00000000-0005-0000-0000-0000846E0000}"/>
    <cellStyle name="Normal 5 2 3 2 3 2 3 2" xfId="31052" xr:uid="{00000000-0005-0000-0000-0000856E0000}"/>
    <cellStyle name="Normal 5 2 3 2 3 2 4" xfId="32023" xr:uid="{00000000-0005-0000-0000-0000866E0000}"/>
    <cellStyle name="Normal 5 2 3 2 3 3" xfId="30798" xr:uid="{00000000-0005-0000-0000-0000876E0000}"/>
    <cellStyle name="Normal 5 2 3 2 3 3 2" xfId="20475" xr:uid="{00000000-0005-0000-0000-0000886E0000}"/>
    <cellStyle name="Normal 5 2 3 2 3 3 2 2" xfId="30940" xr:uid="{00000000-0005-0000-0000-0000896E0000}"/>
    <cellStyle name="Normal 5 2 3 2 3 3 3" xfId="31002" xr:uid="{00000000-0005-0000-0000-00008A6E0000}"/>
    <cellStyle name="Normal 5 2 3 2 3 4" xfId="29717" xr:uid="{00000000-0005-0000-0000-00008B6E0000}"/>
    <cellStyle name="Normal 5 2 3 2 3 4 2" xfId="28017" xr:uid="{00000000-0005-0000-0000-00008C6E0000}"/>
    <cellStyle name="Normal 5 2 3 2 3 5" xfId="33633" xr:uid="{00000000-0005-0000-0000-00008D6E0000}"/>
    <cellStyle name="Normal 5 2 3 2 4" xfId="29358" xr:uid="{00000000-0005-0000-0000-00008E6E0000}"/>
    <cellStyle name="Normal 5 2 3 2 4 2" xfId="29435" xr:uid="{00000000-0005-0000-0000-00008F6E0000}"/>
    <cellStyle name="Normal 5 2 3 2 4 2 2" xfId="6972" xr:uid="{00000000-0005-0000-0000-0000906E0000}"/>
    <cellStyle name="Normal 5 2 3 2 4 2 2 2" xfId="20445" xr:uid="{00000000-0005-0000-0000-0000916E0000}"/>
    <cellStyle name="Normal 5 2 3 2 4 2 3" xfId="24205" xr:uid="{00000000-0005-0000-0000-0000926E0000}"/>
    <cellStyle name="Normal 5 2 3 2 4 3" xfId="29692" xr:uid="{00000000-0005-0000-0000-0000936E0000}"/>
    <cellStyle name="Normal 5 2 3 2 4 3 2" xfId="29694" xr:uid="{00000000-0005-0000-0000-0000946E0000}"/>
    <cellStyle name="Normal 5 2 3 2 4 4" xfId="235" xr:uid="{00000000-0005-0000-0000-0000956E0000}"/>
    <cellStyle name="Normal 5 2 3 2 5" xfId="31017" xr:uid="{00000000-0005-0000-0000-0000966E0000}"/>
    <cellStyle name="Normal 5 2 3 2 5 2" xfId="29935" xr:uid="{00000000-0005-0000-0000-0000976E0000}"/>
    <cellStyle name="Normal 5 2 3 2 5 2 2" xfId="29940" xr:uid="{00000000-0005-0000-0000-0000986E0000}"/>
    <cellStyle name="Normal 5 2 3 2 5 3" xfId="31864" xr:uid="{00000000-0005-0000-0000-0000996E0000}"/>
    <cellStyle name="Normal 5 2 3 2 6" xfId="21978" xr:uid="{00000000-0005-0000-0000-00009A6E0000}"/>
    <cellStyle name="Normal 5 2 3 2 6 2" xfId="30281" xr:uid="{00000000-0005-0000-0000-00009B6E0000}"/>
    <cellStyle name="Normal 5 2 3 2 7" xfId="21980" xr:uid="{00000000-0005-0000-0000-00009C6E0000}"/>
    <cellStyle name="Normal 5 2 3 3" xfId="28280" xr:uid="{00000000-0005-0000-0000-00009D6E0000}"/>
    <cellStyle name="Normal 5 2 3 3 2" xfId="28285" xr:uid="{00000000-0005-0000-0000-00009E6E0000}"/>
    <cellStyle name="Normal 5 2 3 3 2 2" xfId="9475" xr:uid="{00000000-0005-0000-0000-00009F6E0000}"/>
    <cellStyle name="Normal 5 2 3 3 2 2 2" xfId="31141" xr:uid="{00000000-0005-0000-0000-0000A06E0000}"/>
    <cellStyle name="Normal 5 2 3 3 2 2 2 2" xfId="29722" xr:uid="{00000000-0005-0000-0000-0000A16E0000}"/>
    <cellStyle name="Normal 5 2 3 3 2 2 2 2 2" xfId="33959" xr:uid="{00000000-0005-0000-0000-0000A26E0000}"/>
    <cellStyle name="Normal 5 2 3 3 2 2 2 3" xfId="5786" xr:uid="{00000000-0005-0000-0000-0000A36E0000}"/>
    <cellStyle name="Normal 5 2 3 3 2 2 3" xfId="29727" xr:uid="{00000000-0005-0000-0000-0000A46E0000}"/>
    <cellStyle name="Normal 5 2 3 3 2 2 3 2" xfId="29730" xr:uid="{00000000-0005-0000-0000-0000A56E0000}"/>
    <cellStyle name="Normal 5 2 3 3 2 2 4" xfId="29056" xr:uid="{00000000-0005-0000-0000-0000A66E0000}"/>
    <cellStyle name="Normal 5 2 3 3 2 3" xfId="30152" xr:uid="{00000000-0005-0000-0000-0000A76E0000}"/>
    <cellStyle name="Normal 5 2 3 3 2 3 2" xfId="27553" xr:uid="{00000000-0005-0000-0000-0000A86E0000}"/>
    <cellStyle name="Normal 5 2 3 3 2 3 2 2" xfId="28223" xr:uid="{00000000-0005-0000-0000-0000A96E0000}"/>
    <cellStyle name="Normal 5 2 3 3 2 3 3" xfId="29737" xr:uid="{00000000-0005-0000-0000-0000AA6E0000}"/>
    <cellStyle name="Normal 5 2 3 3 2 4" xfId="22070" xr:uid="{00000000-0005-0000-0000-0000AB6E0000}"/>
    <cellStyle name="Normal 5 2 3 3 2 4 2" xfId="26756" xr:uid="{00000000-0005-0000-0000-0000AC6E0000}"/>
    <cellStyle name="Normal 5 2 3 3 2 5" xfId="22079" xr:uid="{00000000-0005-0000-0000-0000AD6E0000}"/>
    <cellStyle name="Normal 5 2 3 3 3" xfId="32615" xr:uid="{00000000-0005-0000-0000-0000AE6E0000}"/>
    <cellStyle name="Normal 5 2 3 3 3 2" xfId="31173" xr:uid="{00000000-0005-0000-0000-0000AF6E0000}"/>
    <cellStyle name="Normal 5 2 3 3 3 2 2" xfId="29746" xr:uid="{00000000-0005-0000-0000-0000B06E0000}"/>
    <cellStyle name="Normal 5 2 3 3 3 2 2 2" xfId="29748" xr:uid="{00000000-0005-0000-0000-0000B16E0000}"/>
    <cellStyle name="Normal 5 2 3 3 3 2 3" xfId="29749" xr:uid="{00000000-0005-0000-0000-0000B26E0000}"/>
    <cellStyle name="Normal 5 2 3 3 3 3" xfId="26819" xr:uid="{00000000-0005-0000-0000-0000B36E0000}"/>
    <cellStyle name="Normal 5 2 3 3 3 3 2" xfId="27405" xr:uid="{00000000-0005-0000-0000-0000B46E0000}"/>
    <cellStyle name="Normal 5 2 3 3 3 4" xfId="8242" xr:uid="{00000000-0005-0000-0000-0000B56E0000}"/>
    <cellStyle name="Normal 5 2 3 3 4" xfId="10848" xr:uid="{00000000-0005-0000-0000-0000B66E0000}"/>
    <cellStyle name="Normal 5 2 3 3 4 2" xfId="593" xr:uid="{00000000-0005-0000-0000-0000B76E0000}"/>
    <cellStyle name="Normal 5 2 3 3 4 2 2" xfId="29752" xr:uid="{00000000-0005-0000-0000-0000B86E0000}"/>
    <cellStyle name="Normal 5 2 3 3 4 3" xfId="29753" xr:uid="{00000000-0005-0000-0000-0000B96E0000}"/>
    <cellStyle name="Normal 5 2 3 3 5" xfId="6557" xr:uid="{00000000-0005-0000-0000-0000BA6E0000}"/>
    <cellStyle name="Normal 5 2 3 3 5 2" xfId="32160" xr:uid="{00000000-0005-0000-0000-0000BB6E0000}"/>
    <cellStyle name="Normal 5 2 3 3 6" xfId="21989" xr:uid="{00000000-0005-0000-0000-0000BC6E0000}"/>
    <cellStyle name="Normal 5 2 3 4" xfId="25718" xr:uid="{00000000-0005-0000-0000-0000BD6E0000}"/>
    <cellStyle name="Normal 5 2 3 4 2" xfId="15313" xr:uid="{00000000-0005-0000-0000-0000BE6E0000}"/>
    <cellStyle name="Normal 5 2 3 4 2 2" xfId="15318" xr:uid="{00000000-0005-0000-0000-0000BF6E0000}"/>
    <cellStyle name="Normal 5 2 3 4 2 2 2" xfId="29755" xr:uid="{00000000-0005-0000-0000-0000C06E0000}"/>
    <cellStyle name="Normal 5 2 3 4 2 2 2 2" xfId="29756" xr:uid="{00000000-0005-0000-0000-0000C16E0000}"/>
    <cellStyle name="Normal 5 2 3 4 2 2 3" xfId="2645" xr:uid="{00000000-0005-0000-0000-0000C26E0000}"/>
    <cellStyle name="Normal 5 2 3 4 2 3" xfId="29760" xr:uid="{00000000-0005-0000-0000-0000C36E0000}"/>
    <cellStyle name="Normal 5 2 3 4 2 3 2" xfId="3389" xr:uid="{00000000-0005-0000-0000-0000C46E0000}"/>
    <cellStyle name="Normal 5 2 3 4 2 4" xfId="20502" xr:uid="{00000000-0005-0000-0000-0000C56E0000}"/>
    <cellStyle name="Normal 5 2 3 4 3" xfId="15320" xr:uid="{00000000-0005-0000-0000-0000C66E0000}"/>
    <cellStyle name="Normal 5 2 3 4 3 2" xfId="29768" xr:uid="{00000000-0005-0000-0000-0000C76E0000}"/>
    <cellStyle name="Normal 5 2 3 4 3 2 2" xfId="27022" xr:uid="{00000000-0005-0000-0000-0000C86E0000}"/>
    <cellStyle name="Normal 5 2 3 4 3 3" xfId="29770" xr:uid="{00000000-0005-0000-0000-0000C96E0000}"/>
    <cellStyle name="Normal 5 2 3 4 4" xfId="6622" xr:uid="{00000000-0005-0000-0000-0000CA6E0000}"/>
    <cellStyle name="Normal 5 2 3 4 4 2" xfId="29774" xr:uid="{00000000-0005-0000-0000-0000CB6E0000}"/>
    <cellStyle name="Normal 5 2 3 4 5" xfId="33706" xr:uid="{00000000-0005-0000-0000-0000CC6E0000}"/>
    <cellStyle name="Normal 5 2 3 5" xfId="29779" xr:uid="{00000000-0005-0000-0000-0000CD6E0000}"/>
    <cellStyle name="Normal 5 2 3 5 2" xfId="464" xr:uid="{00000000-0005-0000-0000-0000CE6E0000}"/>
    <cellStyle name="Normal 5 2 3 5 2 2" xfId="29781" xr:uid="{00000000-0005-0000-0000-0000CF6E0000}"/>
    <cellStyle name="Normal 5 2 3 5 2 2 2" xfId="18977" xr:uid="{00000000-0005-0000-0000-0000D06E0000}"/>
    <cellStyle name="Normal 5 2 3 5 2 3" xfId="14378" xr:uid="{00000000-0005-0000-0000-0000D16E0000}"/>
    <cellStyle name="Normal 5 2 3 5 3" xfId="27725" xr:uid="{00000000-0005-0000-0000-0000D26E0000}"/>
    <cellStyle name="Normal 5 2 3 5 3 2" xfId="29783" xr:uid="{00000000-0005-0000-0000-0000D36E0000}"/>
    <cellStyle name="Normal 5 2 3 5 4" xfId="19427" xr:uid="{00000000-0005-0000-0000-0000D46E0000}"/>
    <cellStyle name="Normal 5 2 3 6" xfId="31531" xr:uid="{00000000-0005-0000-0000-0000D56E0000}"/>
    <cellStyle name="Normal 5 2 3 6 2" xfId="22623" xr:uid="{00000000-0005-0000-0000-0000D66E0000}"/>
    <cellStyle name="Normal 5 2 3 6 2 2" xfId="29789" xr:uid="{00000000-0005-0000-0000-0000D76E0000}"/>
    <cellStyle name="Normal 5 2 3 6 3" xfId="29794" xr:uid="{00000000-0005-0000-0000-0000D86E0000}"/>
    <cellStyle name="Normal 5 2 3 7" xfId="24738" xr:uid="{00000000-0005-0000-0000-0000D96E0000}"/>
    <cellStyle name="Normal 5 2 3 7 2" xfId="29800" xr:uid="{00000000-0005-0000-0000-0000DA6E0000}"/>
    <cellStyle name="Normal 5 2 3 8" xfId="23046" xr:uid="{00000000-0005-0000-0000-0000DB6E0000}"/>
    <cellStyle name="Normal 5 2 4" xfId="8111" xr:uid="{00000000-0005-0000-0000-0000DC6E0000}"/>
    <cellStyle name="Normal 5 2 4 2" xfId="2126" xr:uid="{00000000-0005-0000-0000-0000DD6E0000}"/>
    <cellStyle name="Normal 5 2 4 2 2" xfId="11124" xr:uid="{00000000-0005-0000-0000-0000DE6E0000}"/>
    <cellStyle name="Normal 5 2 4 2 2 2" xfId="9480" xr:uid="{00000000-0005-0000-0000-0000DF6E0000}"/>
    <cellStyle name="Normal 5 2 4 2 2 2 2" xfId="19524" xr:uid="{00000000-0005-0000-0000-0000E06E0000}"/>
    <cellStyle name="Normal 5 2 4 2 2 2 2 2" xfId="19134" xr:uid="{00000000-0005-0000-0000-0000E16E0000}"/>
    <cellStyle name="Normal 5 2 4 2 2 2 2 2 2" xfId="26811" xr:uid="{00000000-0005-0000-0000-0000E26E0000}"/>
    <cellStyle name="Normal 5 2 4 2 2 2 2 3" xfId="1569" xr:uid="{00000000-0005-0000-0000-0000E36E0000}"/>
    <cellStyle name="Normal 5 2 4 2 2 2 3" xfId="28727" xr:uid="{00000000-0005-0000-0000-0000E46E0000}"/>
    <cellStyle name="Normal 5 2 4 2 2 2 3 2" xfId="19139" xr:uid="{00000000-0005-0000-0000-0000E56E0000}"/>
    <cellStyle name="Normal 5 2 4 2 2 2 4" xfId="18363" xr:uid="{00000000-0005-0000-0000-0000E66E0000}"/>
    <cellStyle name="Normal 5 2 4 2 2 3" xfId="8024" xr:uid="{00000000-0005-0000-0000-0000E76E0000}"/>
    <cellStyle name="Normal 5 2 4 2 2 3 2" xfId="20717" xr:uid="{00000000-0005-0000-0000-0000E86E0000}"/>
    <cellStyle name="Normal 5 2 4 2 2 3 2 2" xfId="19143" xr:uid="{00000000-0005-0000-0000-0000E96E0000}"/>
    <cellStyle name="Normal 5 2 4 2 2 3 3" xfId="17912" xr:uid="{00000000-0005-0000-0000-0000EA6E0000}"/>
    <cellStyle name="Normal 5 2 4 2 2 4" xfId="18814" xr:uid="{00000000-0005-0000-0000-0000EB6E0000}"/>
    <cellStyle name="Normal 5 2 4 2 2 4 2" xfId="27635" xr:uid="{00000000-0005-0000-0000-0000EC6E0000}"/>
    <cellStyle name="Normal 5 2 4 2 2 5" xfId="29823" xr:uid="{00000000-0005-0000-0000-0000ED6E0000}"/>
    <cellStyle name="Normal 5 2 4 2 3" xfId="2884" xr:uid="{00000000-0005-0000-0000-0000EE6E0000}"/>
    <cellStyle name="Normal 5 2 4 2 3 2" xfId="6161" xr:uid="{00000000-0005-0000-0000-0000EF6E0000}"/>
    <cellStyle name="Normal 5 2 4 2 3 2 2" xfId="24222" xr:uid="{00000000-0005-0000-0000-0000F06E0000}"/>
    <cellStyle name="Normal 5 2 4 2 3 2 2 2" xfId="9511" xr:uid="{00000000-0005-0000-0000-0000F16E0000}"/>
    <cellStyle name="Normal 5 2 4 2 3 2 3" xfId="24244" xr:uid="{00000000-0005-0000-0000-0000F26E0000}"/>
    <cellStyle name="Normal 5 2 4 2 3 3" xfId="274" xr:uid="{00000000-0005-0000-0000-0000F36E0000}"/>
    <cellStyle name="Normal 5 2 4 2 3 3 2" xfId="24375" xr:uid="{00000000-0005-0000-0000-0000F46E0000}"/>
    <cellStyle name="Normal 5 2 4 2 3 4" xfId="28739" xr:uid="{00000000-0005-0000-0000-0000F56E0000}"/>
    <cellStyle name="Normal 5 2 4 2 4" xfId="6163" xr:uid="{00000000-0005-0000-0000-0000F66E0000}"/>
    <cellStyle name="Normal 5 2 4 2 4 2" xfId="1570" xr:uid="{00000000-0005-0000-0000-0000F76E0000}"/>
    <cellStyle name="Normal 5 2 4 2 4 2 2" xfId="15205" xr:uid="{00000000-0005-0000-0000-0000F86E0000}"/>
    <cellStyle name="Normal 5 2 4 2 4 3" xfId="25479" xr:uid="{00000000-0005-0000-0000-0000F96E0000}"/>
    <cellStyle name="Normal 5 2 4 2 5" xfId="7800" xr:uid="{00000000-0005-0000-0000-0000FA6E0000}"/>
    <cellStyle name="Normal 5 2 4 2 5 2" xfId="33026" xr:uid="{00000000-0005-0000-0000-0000FB6E0000}"/>
    <cellStyle name="Normal 5 2 4 2 6" xfId="22020" xr:uid="{00000000-0005-0000-0000-0000FC6E0000}"/>
    <cellStyle name="Normal 5 2 4 2 6 2" xfId="29828" xr:uid="{00000000-0005-0000-0000-0000FD6E0000}"/>
    <cellStyle name="Normal 5 2 4 2 7" xfId="22023" xr:uid="{00000000-0005-0000-0000-0000FE6E0000}"/>
    <cellStyle name="Normal 5 2 4 3" xfId="1875" xr:uid="{00000000-0005-0000-0000-0000FF6E0000}"/>
    <cellStyle name="Normal 5 2 4 3 2" xfId="6168" xr:uid="{00000000-0005-0000-0000-0000006F0000}"/>
    <cellStyle name="Normal 5 2 4 3 2 2" xfId="1169" xr:uid="{00000000-0005-0000-0000-0000016F0000}"/>
    <cellStyle name="Normal 5 2 4 3 2 2 2" xfId="29829" xr:uid="{00000000-0005-0000-0000-0000026F0000}"/>
    <cellStyle name="Normal 5 2 4 3 2 2 2 2" xfId="19690" xr:uid="{00000000-0005-0000-0000-0000036F0000}"/>
    <cellStyle name="Normal 5 2 4 3 2 2 3" xfId="26078" xr:uid="{00000000-0005-0000-0000-0000046F0000}"/>
    <cellStyle name="Normal 5 2 4 3 2 3" xfId="280" xr:uid="{00000000-0005-0000-0000-0000056F0000}"/>
    <cellStyle name="Normal 5 2 4 3 2 3 2" xfId="29833" xr:uid="{00000000-0005-0000-0000-0000066F0000}"/>
    <cellStyle name="Normal 5 2 4 3 2 4" xfId="27693" xr:uid="{00000000-0005-0000-0000-0000076F0000}"/>
    <cellStyle name="Normal 5 2 4 3 3" xfId="6170" xr:uid="{00000000-0005-0000-0000-0000086F0000}"/>
    <cellStyle name="Normal 5 2 4 3 3 2" xfId="6173" xr:uid="{00000000-0005-0000-0000-0000096F0000}"/>
    <cellStyle name="Normal 5 2 4 3 3 2 2" xfId="1596" xr:uid="{00000000-0005-0000-0000-00000A6F0000}"/>
    <cellStyle name="Normal 5 2 4 3 3 3" xfId="29835" xr:uid="{00000000-0005-0000-0000-00000B6F0000}"/>
    <cellStyle name="Normal 5 2 4 3 4" xfId="6176" xr:uid="{00000000-0005-0000-0000-00000C6F0000}"/>
    <cellStyle name="Normal 5 2 4 3 4 2" xfId="29837" xr:uid="{00000000-0005-0000-0000-00000D6F0000}"/>
    <cellStyle name="Normal 5 2 4 3 5" xfId="7332" xr:uid="{00000000-0005-0000-0000-00000E6F0000}"/>
    <cellStyle name="Normal 5 2 4 4" xfId="6181" xr:uid="{00000000-0005-0000-0000-00000F6F0000}"/>
    <cellStyle name="Normal 5 2 4 4 2" xfId="15326" xr:uid="{00000000-0005-0000-0000-0000106F0000}"/>
    <cellStyle name="Normal 5 2 4 4 2 2" xfId="12699" xr:uid="{00000000-0005-0000-0000-0000116F0000}"/>
    <cellStyle name="Normal 5 2 4 4 2 2 2" xfId="29841" xr:uid="{00000000-0005-0000-0000-0000126F0000}"/>
    <cellStyle name="Normal 5 2 4 4 2 3" xfId="12703" xr:uid="{00000000-0005-0000-0000-0000136F0000}"/>
    <cellStyle name="Normal 5 2 4 4 3" xfId="7076" xr:uid="{00000000-0005-0000-0000-0000146F0000}"/>
    <cellStyle name="Normal 5 2 4 4 3 2" xfId="12709" xr:uid="{00000000-0005-0000-0000-0000156F0000}"/>
    <cellStyle name="Normal 5 2 4 4 4" xfId="29842" xr:uid="{00000000-0005-0000-0000-0000166F0000}"/>
    <cellStyle name="Normal 5 2 4 5" xfId="6184" xr:uid="{00000000-0005-0000-0000-0000176F0000}"/>
    <cellStyle name="Normal 5 2 4 5 2" xfId="7080" xr:uid="{00000000-0005-0000-0000-0000186F0000}"/>
    <cellStyle name="Normal 5 2 4 5 2 2" xfId="4017" xr:uid="{00000000-0005-0000-0000-0000196F0000}"/>
    <cellStyle name="Normal 5 2 4 5 3" xfId="29176" xr:uid="{00000000-0005-0000-0000-00001A6F0000}"/>
    <cellStyle name="Normal 5 2 4 6" xfId="6189" xr:uid="{00000000-0005-0000-0000-00001B6F0000}"/>
    <cellStyle name="Normal 5 2 4 6 2" xfId="29844" xr:uid="{00000000-0005-0000-0000-00001C6F0000}"/>
    <cellStyle name="Normal 5 2 4 7" xfId="29846" xr:uid="{00000000-0005-0000-0000-00001D6F0000}"/>
    <cellStyle name="Normal 5 2 4 7 2" xfId="29848" xr:uid="{00000000-0005-0000-0000-00001E6F0000}"/>
    <cellStyle name="Normal 5 2 4 8" xfId="27610" xr:uid="{00000000-0005-0000-0000-00001F6F0000}"/>
    <cellStyle name="Normal 5 2 5" xfId="8114" xr:uid="{00000000-0005-0000-0000-0000206F0000}"/>
    <cellStyle name="Normal 5 2 5 2" xfId="2129" xr:uid="{00000000-0005-0000-0000-0000216F0000}"/>
    <cellStyle name="Normal 5 2 5 2 2" xfId="6970" xr:uid="{00000000-0005-0000-0000-0000226F0000}"/>
    <cellStyle name="Normal 5 2 5 2 2 2" xfId="24120" xr:uid="{00000000-0005-0000-0000-0000236F0000}"/>
    <cellStyle name="Normal 5 2 5 2 2 2 2" xfId="24129" xr:uid="{00000000-0005-0000-0000-0000246F0000}"/>
    <cellStyle name="Normal 5 2 5 2 2 2 2 2" xfId="26852" xr:uid="{00000000-0005-0000-0000-0000256F0000}"/>
    <cellStyle name="Normal 5 2 5 2 2 2 3" xfId="24140" xr:uid="{00000000-0005-0000-0000-0000266F0000}"/>
    <cellStyle name="Normal 5 2 5 2 2 3" xfId="24153" xr:uid="{00000000-0005-0000-0000-0000276F0000}"/>
    <cellStyle name="Normal 5 2 5 2 2 3 2" xfId="29137" xr:uid="{00000000-0005-0000-0000-0000286F0000}"/>
    <cellStyle name="Normal 5 2 5 2 2 4" xfId="20254" xr:uid="{00000000-0005-0000-0000-0000296F0000}"/>
    <cellStyle name="Normal 5 2 5 2 3" xfId="7833" xr:uid="{00000000-0005-0000-0000-00002A6F0000}"/>
    <cellStyle name="Normal 5 2 5 2 3 2" xfId="24208" xr:uid="{00000000-0005-0000-0000-00002B6F0000}"/>
    <cellStyle name="Normal 5 2 5 2 3 2 2" xfId="24212" xr:uid="{00000000-0005-0000-0000-00002C6F0000}"/>
    <cellStyle name="Normal 5 2 5 2 3 3" xfId="24218" xr:uid="{00000000-0005-0000-0000-00002D6F0000}"/>
    <cellStyle name="Normal 5 2 5 2 4" xfId="8515" xr:uid="{00000000-0005-0000-0000-00002E6F0000}"/>
    <cellStyle name="Normal 5 2 5 2 4 2" xfId="24238" xr:uid="{00000000-0005-0000-0000-00002F6F0000}"/>
    <cellStyle name="Normal 5 2 5 2 5" xfId="29854" xr:uid="{00000000-0005-0000-0000-0000306F0000}"/>
    <cellStyle name="Normal 5 2 5 2 5 2" xfId="24257" xr:uid="{00000000-0005-0000-0000-0000316F0000}"/>
    <cellStyle name="Normal 5 2 5 2 6" xfId="22040" xr:uid="{00000000-0005-0000-0000-0000326F0000}"/>
    <cellStyle name="Normal 5 2 5 2 6 2" xfId="21444" xr:uid="{00000000-0005-0000-0000-0000336F0000}"/>
    <cellStyle name="Normal 5 2 5 2 7" xfId="22045" xr:uid="{00000000-0005-0000-0000-0000346F0000}"/>
    <cellStyle name="Normal 5 2 5 3" xfId="6203" xr:uid="{00000000-0005-0000-0000-0000356F0000}"/>
    <cellStyle name="Normal 5 2 5 3 2" xfId="6205" xr:uid="{00000000-0005-0000-0000-0000366F0000}"/>
    <cellStyle name="Normal 5 2 5 3 2 2" xfId="27363" xr:uid="{00000000-0005-0000-0000-0000376F0000}"/>
    <cellStyle name="Normal 5 2 5 3 2 2 2" xfId="24336" xr:uid="{00000000-0005-0000-0000-0000386F0000}"/>
    <cellStyle name="Normal 5 2 5 3 2 3" xfId="24345" xr:uid="{00000000-0005-0000-0000-0000396F0000}"/>
    <cellStyle name="Normal 5 2 5 3 3" xfId="14173" xr:uid="{00000000-0005-0000-0000-00003A6F0000}"/>
    <cellStyle name="Normal 5 2 5 3 3 2" xfId="2492" xr:uid="{00000000-0005-0000-0000-00003B6F0000}"/>
    <cellStyle name="Normal 5 2 5 3 4" xfId="19663" xr:uid="{00000000-0005-0000-0000-00003C6F0000}"/>
    <cellStyle name="Normal 5 2 5 4" xfId="7092" xr:uid="{00000000-0005-0000-0000-00003D6F0000}"/>
    <cellStyle name="Normal 5 2 5 4 2" xfId="7095" xr:uid="{00000000-0005-0000-0000-00003E6F0000}"/>
    <cellStyle name="Normal 5 2 5 4 2 2" xfId="20228" xr:uid="{00000000-0005-0000-0000-00003F6F0000}"/>
    <cellStyle name="Normal 5 2 5 4 3" xfId="29858" xr:uid="{00000000-0005-0000-0000-0000406F0000}"/>
    <cellStyle name="Normal 5 2 5 5" xfId="7098" xr:uid="{00000000-0005-0000-0000-0000416F0000}"/>
    <cellStyle name="Normal 5 2 5 5 2" xfId="28882" xr:uid="{00000000-0005-0000-0000-0000426F0000}"/>
    <cellStyle name="Normal 5 2 5 6" xfId="32354" xr:uid="{00000000-0005-0000-0000-0000436F0000}"/>
    <cellStyle name="Normal 5 2 5 6 2" xfId="28904" xr:uid="{00000000-0005-0000-0000-0000446F0000}"/>
    <cellStyle name="Normal 5 2 5 7" xfId="25640" xr:uid="{00000000-0005-0000-0000-0000456F0000}"/>
    <cellStyle name="Normal 5 2 5 7 2" xfId="29862" xr:uid="{00000000-0005-0000-0000-0000466F0000}"/>
    <cellStyle name="Normal 5 2 5 8" xfId="25642" xr:uid="{00000000-0005-0000-0000-0000476F0000}"/>
    <cellStyle name="Normal 5 2 6" xfId="12279" xr:uid="{00000000-0005-0000-0000-0000486F0000}"/>
    <cellStyle name="Normal 5 2 6 2" xfId="1667" xr:uid="{00000000-0005-0000-0000-0000496F0000}"/>
    <cellStyle name="Normal 5 2 6 2 2" xfId="1716" xr:uid="{00000000-0005-0000-0000-00004A6F0000}"/>
    <cellStyle name="Normal 5 2 6 2 2 2" xfId="24881" xr:uid="{00000000-0005-0000-0000-00004B6F0000}"/>
    <cellStyle name="Normal 5 2 6 2 2 2 2" xfId="12734" xr:uid="{00000000-0005-0000-0000-00004C6F0000}"/>
    <cellStyle name="Normal 5 2 6 2 2 3" xfId="24889" xr:uid="{00000000-0005-0000-0000-00004D6F0000}"/>
    <cellStyle name="Normal 5 2 6 2 3" xfId="4671" xr:uid="{00000000-0005-0000-0000-00004E6F0000}"/>
    <cellStyle name="Normal 5 2 6 2 3 2" xfId="24898" xr:uid="{00000000-0005-0000-0000-00004F6F0000}"/>
    <cellStyle name="Normal 5 2 6 2 4" xfId="14281" xr:uid="{00000000-0005-0000-0000-0000506F0000}"/>
    <cellStyle name="Normal 5 2 6 2 4 2" xfId="24907" xr:uid="{00000000-0005-0000-0000-0000516F0000}"/>
    <cellStyle name="Normal 5 2 6 2 5" xfId="14282" xr:uid="{00000000-0005-0000-0000-0000526F0000}"/>
    <cellStyle name="Normal 5 2 6 2 5 2" xfId="24914" xr:uid="{00000000-0005-0000-0000-0000536F0000}"/>
    <cellStyle name="Normal 5 2 6 2 6" xfId="908" xr:uid="{00000000-0005-0000-0000-0000546F0000}"/>
    <cellStyle name="Normal 5 2 6 2 6 2" xfId="19237" xr:uid="{00000000-0005-0000-0000-0000556F0000}"/>
    <cellStyle name="Normal 5 2 6 2 7" xfId="29870" xr:uid="{00000000-0005-0000-0000-0000566F0000}"/>
    <cellStyle name="Normal 5 2 6 3" xfId="2299" xr:uid="{00000000-0005-0000-0000-0000576F0000}"/>
    <cellStyle name="Normal 5 2 6 3 2" xfId="1626" xr:uid="{00000000-0005-0000-0000-0000586F0000}"/>
    <cellStyle name="Normal 5 2 6 3 2 2" xfId="11207" xr:uid="{00000000-0005-0000-0000-0000596F0000}"/>
    <cellStyle name="Normal 5 2 6 3 3" xfId="33560" xr:uid="{00000000-0005-0000-0000-00005A6F0000}"/>
    <cellStyle name="Normal 5 2 6 4" xfId="7109" xr:uid="{00000000-0005-0000-0000-00005B6F0000}"/>
    <cellStyle name="Normal 5 2 6 4 2" xfId="32725" xr:uid="{00000000-0005-0000-0000-00005C6F0000}"/>
    <cellStyle name="Normal 5 2 6 5" xfId="30249" xr:uid="{00000000-0005-0000-0000-00005D6F0000}"/>
    <cellStyle name="Normal 5 2 6 5 2" xfId="11074" xr:uid="{00000000-0005-0000-0000-00005E6F0000}"/>
    <cellStyle name="Normal 5 2 6 6" xfId="33235" xr:uid="{00000000-0005-0000-0000-00005F6F0000}"/>
    <cellStyle name="Normal 5 2 6 6 2" xfId="24227" xr:uid="{00000000-0005-0000-0000-0000606F0000}"/>
    <cellStyle name="Normal 5 2 6 7" xfId="29872" xr:uid="{00000000-0005-0000-0000-0000616F0000}"/>
    <cellStyle name="Normal 5 2 6 7 2" xfId="29875" xr:uid="{00000000-0005-0000-0000-0000626F0000}"/>
    <cellStyle name="Normal 5 2 6 8" xfId="29880" xr:uid="{00000000-0005-0000-0000-0000636F0000}"/>
    <cellStyle name="Normal 5 2 7" xfId="18723" xr:uid="{00000000-0005-0000-0000-0000646F0000}"/>
    <cellStyle name="Normal 5 2 7 2" xfId="1676" xr:uid="{00000000-0005-0000-0000-0000656F0000}"/>
    <cellStyle name="Normal 5 2 7 2 2" xfId="12722" xr:uid="{00000000-0005-0000-0000-0000666F0000}"/>
    <cellStyle name="Normal 5 2 7 2 2 2" xfId="22132" xr:uid="{00000000-0005-0000-0000-0000676F0000}"/>
    <cellStyle name="Normal 5 2 7 2 3" xfId="33300" xr:uid="{00000000-0005-0000-0000-0000686F0000}"/>
    <cellStyle name="Normal 5 2 7 2 3 2" xfId="22155" xr:uid="{00000000-0005-0000-0000-0000696F0000}"/>
    <cellStyle name="Normal 5 2 7 2 4" xfId="33637" xr:uid="{00000000-0005-0000-0000-00006A6F0000}"/>
    <cellStyle name="Normal 5 2 7 2 4 2" xfId="22160" xr:uid="{00000000-0005-0000-0000-00006B6F0000}"/>
    <cellStyle name="Normal 5 2 7 2 5" xfId="33173" xr:uid="{00000000-0005-0000-0000-00006C6F0000}"/>
    <cellStyle name="Normal 5 2 7 2 5 2" xfId="33978" xr:uid="{00000000-0005-0000-0000-00006D6F0000}"/>
    <cellStyle name="Normal 5 2 7 2 6" xfId="29885" xr:uid="{00000000-0005-0000-0000-00006E6F0000}"/>
    <cellStyle name="Normal 5 2 7 2 6 2" xfId="30034" xr:uid="{00000000-0005-0000-0000-00006F6F0000}"/>
    <cellStyle name="Normal 5 2 7 2 7" xfId="29887" xr:uid="{00000000-0005-0000-0000-0000706F0000}"/>
    <cellStyle name="Normal 5 2 7 3" xfId="773" xr:uid="{00000000-0005-0000-0000-0000716F0000}"/>
    <cellStyle name="Normal 5 2 7 3 2" xfId="33749" xr:uid="{00000000-0005-0000-0000-0000726F0000}"/>
    <cellStyle name="Normal 5 2 7 4" xfId="423" xr:uid="{00000000-0005-0000-0000-0000736F0000}"/>
    <cellStyle name="Normal 5 2 7 4 2" xfId="30257" xr:uid="{00000000-0005-0000-0000-0000746F0000}"/>
    <cellStyle name="Normal 5 2 7 5" xfId="29888" xr:uid="{00000000-0005-0000-0000-0000756F0000}"/>
    <cellStyle name="Normal 5 2 7 5 2" xfId="11079" xr:uid="{00000000-0005-0000-0000-0000766F0000}"/>
    <cellStyle name="Normal 5 2 7 6" xfId="29892" xr:uid="{00000000-0005-0000-0000-0000776F0000}"/>
    <cellStyle name="Normal 5 2 7 6 2" xfId="23811" xr:uid="{00000000-0005-0000-0000-0000786F0000}"/>
    <cellStyle name="Normal 5 2 7 7" xfId="32053" xr:uid="{00000000-0005-0000-0000-0000796F0000}"/>
    <cellStyle name="Normal 5 2 7 7 2" xfId="27354" xr:uid="{00000000-0005-0000-0000-00007A6F0000}"/>
    <cellStyle name="Normal 5 2 7 8" xfId="29899" xr:uid="{00000000-0005-0000-0000-00007B6F0000}"/>
    <cellStyle name="Normal 5 2 8" xfId="1090" xr:uid="{00000000-0005-0000-0000-00007C6F0000}"/>
    <cellStyle name="Normal 5 2 8 2" xfId="1275" xr:uid="{00000000-0005-0000-0000-00007D6F0000}"/>
    <cellStyle name="Normal 5 2 8 2 2" xfId="33574" xr:uid="{00000000-0005-0000-0000-00007E6F0000}"/>
    <cellStyle name="Normal 5 2 8 2 2 2" xfId="22430" xr:uid="{00000000-0005-0000-0000-00007F6F0000}"/>
    <cellStyle name="Normal 5 2 8 2 3" xfId="33662" xr:uid="{00000000-0005-0000-0000-0000806F0000}"/>
    <cellStyle name="Normal 5 2 8 2 3 2" xfId="22446" xr:uid="{00000000-0005-0000-0000-0000816F0000}"/>
    <cellStyle name="Normal 5 2 8 2 4" xfId="33821" xr:uid="{00000000-0005-0000-0000-0000826F0000}"/>
    <cellStyle name="Normal 5 2 8 2 4 2" xfId="29902" xr:uid="{00000000-0005-0000-0000-0000836F0000}"/>
    <cellStyle name="Normal 5 2 8 2 5" xfId="31573" xr:uid="{00000000-0005-0000-0000-0000846F0000}"/>
    <cellStyle name="Normal 5 2 8 2 5 2" xfId="31422" xr:uid="{00000000-0005-0000-0000-0000856F0000}"/>
    <cellStyle name="Normal 5 2 8 2 6" xfId="26462" xr:uid="{00000000-0005-0000-0000-0000866F0000}"/>
    <cellStyle name="Normal 5 2 8 2 6 2" xfId="8791" xr:uid="{00000000-0005-0000-0000-0000876F0000}"/>
    <cellStyle name="Normal 5 2 8 2 7" xfId="16535" xr:uid="{00000000-0005-0000-0000-0000886F0000}"/>
    <cellStyle name="Normal 5 2 8 3" xfId="32789" xr:uid="{00000000-0005-0000-0000-0000896F0000}"/>
    <cellStyle name="Normal 5 2 8 3 2" xfId="32620" xr:uid="{00000000-0005-0000-0000-00008A6F0000}"/>
    <cellStyle name="Normal 5 2 8 4" xfId="29903" xr:uid="{00000000-0005-0000-0000-00008B6F0000}"/>
    <cellStyle name="Normal 5 2 8 4 2" xfId="32647" xr:uid="{00000000-0005-0000-0000-00008C6F0000}"/>
    <cellStyle name="Normal 5 2 8 5" xfId="23002" xr:uid="{00000000-0005-0000-0000-00008D6F0000}"/>
    <cellStyle name="Normal 5 2 8 5 2" xfId="23836" xr:uid="{00000000-0005-0000-0000-00008E6F0000}"/>
    <cellStyle name="Normal 5 2 8 6" xfId="18991" xr:uid="{00000000-0005-0000-0000-00008F6F0000}"/>
    <cellStyle name="Normal 5 2 8 6 2" xfId="29911" xr:uid="{00000000-0005-0000-0000-0000906F0000}"/>
    <cellStyle name="Normal 5 2 8 7" xfId="19003" xr:uid="{00000000-0005-0000-0000-0000916F0000}"/>
    <cellStyle name="Normal 5 2 8 7 2" xfId="27177" xr:uid="{00000000-0005-0000-0000-0000926F0000}"/>
    <cellStyle name="Normal 5 2 8 8" xfId="29914" xr:uid="{00000000-0005-0000-0000-0000936F0000}"/>
    <cellStyle name="Normal 5 2 9" xfId="1277" xr:uid="{00000000-0005-0000-0000-0000946F0000}"/>
    <cellStyle name="Normal 5 2 9 2" xfId="29916" xr:uid="{00000000-0005-0000-0000-0000956F0000}"/>
    <cellStyle name="Normal 5 2 9 2 2" xfId="10671" xr:uid="{00000000-0005-0000-0000-0000966F0000}"/>
    <cellStyle name="Normal 5 2 9 2 2 2" xfId="22585" xr:uid="{00000000-0005-0000-0000-0000976F0000}"/>
    <cellStyle name="Normal 5 2 9 2 3" xfId="19104" xr:uid="{00000000-0005-0000-0000-0000986F0000}"/>
    <cellStyle name="Normal 5 2 9 2 3 2" xfId="16214" xr:uid="{00000000-0005-0000-0000-0000996F0000}"/>
    <cellStyle name="Normal 5 2 9 2 4" xfId="29917" xr:uid="{00000000-0005-0000-0000-00009A6F0000}"/>
    <cellStyle name="Normal 5 2 9 2 4 2" xfId="16234" xr:uid="{00000000-0005-0000-0000-00009B6F0000}"/>
    <cellStyle name="Normal 5 2 9 2 5" xfId="29920" xr:uid="{00000000-0005-0000-0000-00009C6F0000}"/>
    <cellStyle name="Normal 5 2 9 2 5 2" xfId="444" xr:uid="{00000000-0005-0000-0000-00009D6F0000}"/>
    <cellStyle name="Normal 5 2 9 2 6" xfId="28851" xr:uid="{00000000-0005-0000-0000-00009E6F0000}"/>
    <cellStyle name="Normal 5 2 9 2 6 2" xfId="29921" xr:uid="{00000000-0005-0000-0000-00009F6F0000}"/>
    <cellStyle name="Normal 5 2 9 2 7" xfId="25459" xr:uid="{00000000-0005-0000-0000-0000A06F0000}"/>
    <cellStyle name="Normal 5 2 9 3" xfId="29927" xr:uid="{00000000-0005-0000-0000-0000A16F0000}"/>
    <cellStyle name="Normal 5 2 9 3 2" xfId="32683" xr:uid="{00000000-0005-0000-0000-0000A26F0000}"/>
    <cellStyle name="Normal 5 2 9 4" xfId="29928" xr:uid="{00000000-0005-0000-0000-0000A36F0000}"/>
    <cellStyle name="Normal 5 2 9 4 2" xfId="32124" xr:uid="{00000000-0005-0000-0000-0000A46F0000}"/>
    <cellStyle name="Normal 5 2 9 5" xfId="27565" xr:uid="{00000000-0005-0000-0000-0000A56F0000}"/>
    <cellStyle name="Normal 5 2 9 5 2" xfId="26388" xr:uid="{00000000-0005-0000-0000-0000A66F0000}"/>
    <cellStyle name="Normal 5 2 9 6" xfId="4338" xr:uid="{00000000-0005-0000-0000-0000A76F0000}"/>
    <cellStyle name="Normal 5 2 9 6 2" xfId="26409" xr:uid="{00000000-0005-0000-0000-0000A86F0000}"/>
    <cellStyle name="Normal 5 2 9 7" xfId="31214" xr:uid="{00000000-0005-0000-0000-0000A96F0000}"/>
    <cellStyle name="Normal 5 2 9 7 2" xfId="27344" xr:uid="{00000000-0005-0000-0000-0000AA6F0000}"/>
    <cellStyle name="Normal 5 2 9 8" xfId="29934" xr:uid="{00000000-0005-0000-0000-0000AB6F0000}"/>
    <cellStyle name="Normal 5 20" xfId="25020" xr:uid="{00000000-0005-0000-0000-0000AC6F0000}"/>
    <cellStyle name="Normal 5 20 2" xfId="27742" xr:uid="{00000000-0005-0000-0000-0000AD6F0000}"/>
    <cellStyle name="Normal 5 21" xfId="2668" xr:uid="{00000000-0005-0000-0000-0000AE6F0000}"/>
    <cellStyle name="Normal 5 21 2" xfId="29348" xr:uid="{00000000-0005-0000-0000-0000AF6F0000}"/>
    <cellStyle name="Normal 5 22" xfId="20512" xr:uid="{00000000-0005-0000-0000-0000B06F0000}"/>
    <cellStyle name="Normal 5 3" xfId="3842" xr:uid="{00000000-0005-0000-0000-0000B16F0000}"/>
    <cellStyle name="Normal 5 3 2" xfId="29939" xr:uid="{00000000-0005-0000-0000-0000B26F0000}"/>
    <cellStyle name="Normal 5 3 2 2" xfId="29943" xr:uid="{00000000-0005-0000-0000-0000B36F0000}"/>
    <cellStyle name="Normal 5 3 2 2 2" xfId="25421" xr:uid="{00000000-0005-0000-0000-0000B46F0000}"/>
    <cellStyle name="Normal 5 3 2 2 2 2" xfId="9719" xr:uid="{00000000-0005-0000-0000-0000B56F0000}"/>
    <cellStyle name="Normal 5 3 2 2 2 2 2" xfId="29947" xr:uid="{00000000-0005-0000-0000-0000B66F0000}"/>
    <cellStyle name="Normal 5 3 2 2 2 2 2 2" xfId="4463" xr:uid="{00000000-0005-0000-0000-0000B76F0000}"/>
    <cellStyle name="Normal 5 3 2 2 2 2 2 2 2" xfId="8084" xr:uid="{00000000-0005-0000-0000-0000B86F0000}"/>
    <cellStyle name="Normal 5 3 2 2 2 2 2 2 2 2" xfId="32421" xr:uid="{00000000-0005-0000-0000-0000B96F0000}"/>
    <cellStyle name="Normal 5 3 2 2 2 2 2 2 3" xfId="23493" xr:uid="{00000000-0005-0000-0000-0000BA6F0000}"/>
    <cellStyle name="Normal 5 3 2 2 2 2 2 3" xfId="12528" xr:uid="{00000000-0005-0000-0000-0000BB6F0000}"/>
    <cellStyle name="Normal 5 3 2 2 2 2 2 3 2" xfId="12535" xr:uid="{00000000-0005-0000-0000-0000BC6F0000}"/>
    <cellStyle name="Normal 5 3 2 2 2 2 2 4" xfId="12550" xr:uid="{00000000-0005-0000-0000-0000BD6F0000}"/>
    <cellStyle name="Normal 5 3 2 2 2 2 3" xfId="17905" xr:uid="{00000000-0005-0000-0000-0000BE6F0000}"/>
    <cellStyle name="Normal 5 3 2 2 2 2 3 2" xfId="22449" xr:uid="{00000000-0005-0000-0000-0000BF6F0000}"/>
    <cellStyle name="Normal 5 3 2 2 2 2 3 2 2" xfId="22455" xr:uid="{00000000-0005-0000-0000-0000C06F0000}"/>
    <cellStyle name="Normal 5 3 2 2 2 2 3 3" xfId="22469" xr:uid="{00000000-0005-0000-0000-0000C16F0000}"/>
    <cellStyle name="Normal 5 3 2 2 2 2 4" xfId="22476" xr:uid="{00000000-0005-0000-0000-0000C26F0000}"/>
    <cellStyle name="Normal 5 3 2 2 2 2 4 2" xfId="22481" xr:uid="{00000000-0005-0000-0000-0000C36F0000}"/>
    <cellStyle name="Normal 5 3 2 2 2 2 5" xfId="23397" xr:uid="{00000000-0005-0000-0000-0000C46F0000}"/>
    <cellStyle name="Normal 5 3 2 2 2 3" xfId="2904" xr:uid="{00000000-0005-0000-0000-0000C56F0000}"/>
    <cellStyle name="Normal 5 3 2 2 2 3 2" xfId="29765" xr:uid="{00000000-0005-0000-0000-0000C66F0000}"/>
    <cellStyle name="Normal 5 3 2 2 2 3 2 2" xfId="29952" xr:uid="{00000000-0005-0000-0000-0000C76F0000}"/>
    <cellStyle name="Normal 5 3 2 2 2 3 2 2 2" xfId="29955" xr:uid="{00000000-0005-0000-0000-0000C86F0000}"/>
    <cellStyle name="Normal 5 3 2 2 2 3 2 3" xfId="11139" xr:uid="{00000000-0005-0000-0000-0000C96F0000}"/>
    <cellStyle name="Normal 5 3 2 2 2 3 3" xfId="19713" xr:uid="{00000000-0005-0000-0000-0000CA6F0000}"/>
    <cellStyle name="Normal 5 3 2 2 2 3 3 2" xfId="26890" xr:uid="{00000000-0005-0000-0000-0000CB6F0000}"/>
    <cellStyle name="Normal 5 3 2 2 2 3 4" xfId="22498" xr:uid="{00000000-0005-0000-0000-0000CC6F0000}"/>
    <cellStyle name="Normal 5 3 2 2 2 4" xfId="29956" xr:uid="{00000000-0005-0000-0000-0000CD6F0000}"/>
    <cellStyle name="Normal 5 3 2 2 2 4 2" xfId="21760" xr:uid="{00000000-0005-0000-0000-0000CE6F0000}"/>
    <cellStyle name="Normal 5 3 2 2 2 4 2 2" xfId="9905" xr:uid="{00000000-0005-0000-0000-0000CF6F0000}"/>
    <cellStyle name="Normal 5 3 2 2 2 4 3" xfId="22503" xr:uid="{00000000-0005-0000-0000-0000D06F0000}"/>
    <cellStyle name="Normal 5 3 2 2 2 5" xfId="29962" xr:uid="{00000000-0005-0000-0000-0000D16F0000}"/>
    <cellStyle name="Normal 5 3 2 2 2 5 2" xfId="26526" xr:uid="{00000000-0005-0000-0000-0000D26F0000}"/>
    <cellStyle name="Normal 5 3 2 2 2 6" xfId="28488" xr:uid="{00000000-0005-0000-0000-0000D36F0000}"/>
    <cellStyle name="Normal 5 3 2 2 3" xfId="30103" xr:uid="{00000000-0005-0000-0000-0000D46F0000}"/>
    <cellStyle name="Normal 5 3 2 2 3 2" xfId="9498" xr:uid="{00000000-0005-0000-0000-0000D56F0000}"/>
    <cellStyle name="Normal 5 3 2 2 3 2 2" xfId="29964" xr:uid="{00000000-0005-0000-0000-0000D66F0000}"/>
    <cellStyle name="Normal 5 3 2 2 3 2 2 2" xfId="21948" xr:uid="{00000000-0005-0000-0000-0000D76F0000}"/>
    <cellStyle name="Normal 5 3 2 2 3 2 2 2 2" xfId="29965" xr:uid="{00000000-0005-0000-0000-0000D86F0000}"/>
    <cellStyle name="Normal 5 3 2 2 3 2 2 3" xfId="8845" xr:uid="{00000000-0005-0000-0000-0000D96F0000}"/>
    <cellStyle name="Normal 5 3 2 2 3 2 3" xfId="6617" xr:uid="{00000000-0005-0000-0000-0000DA6F0000}"/>
    <cellStyle name="Normal 5 3 2 2 3 2 3 2" xfId="6631" xr:uid="{00000000-0005-0000-0000-0000DB6F0000}"/>
    <cellStyle name="Normal 5 3 2 2 3 2 4" xfId="6048" xr:uid="{00000000-0005-0000-0000-0000DC6F0000}"/>
    <cellStyle name="Normal 5 3 2 2 3 3" xfId="3964" xr:uid="{00000000-0005-0000-0000-0000DD6F0000}"/>
    <cellStyle name="Normal 5 3 2 2 3 3 2" xfId="27371" xr:uid="{00000000-0005-0000-0000-0000DE6F0000}"/>
    <cellStyle name="Normal 5 3 2 2 3 3 2 2" xfId="18987" xr:uid="{00000000-0005-0000-0000-0000DF6F0000}"/>
    <cellStyle name="Normal 5 3 2 2 3 3 3" xfId="6665" xr:uid="{00000000-0005-0000-0000-0000E06F0000}"/>
    <cellStyle name="Normal 5 3 2 2 3 4" xfId="29969" xr:uid="{00000000-0005-0000-0000-0000E16F0000}"/>
    <cellStyle name="Normal 5 3 2 2 3 4 2" xfId="29970" xr:uid="{00000000-0005-0000-0000-0000E26F0000}"/>
    <cellStyle name="Normal 5 3 2 2 3 5" xfId="29972" xr:uid="{00000000-0005-0000-0000-0000E36F0000}"/>
    <cellStyle name="Normal 5 3 2 2 4" xfId="23261" xr:uid="{00000000-0005-0000-0000-0000E46F0000}"/>
    <cellStyle name="Normal 5 3 2 2 4 2" xfId="23262" xr:uid="{00000000-0005-0000-0000-0000E56F0000}"/>
    <cellStyle name="Normal 5 3 2 2 4 2 2" xfId="11929" xr:uid="{00000000-0005-0000-0000-0000E66F0000}"/>
    <cellStyle name="Normal 5 3 2 2 4 2 2 2" xfId="29975" xr:uid="{00000000-0005-0000-0000-0000E76F0000}"/>
    <cellStyle name="Normal 5 3 2 2 4 2 3" xfId="12675" xr:uid="{00000000-0005-0000-0000-0000E86F0000}"/>
    <cellStyle name="Normal 5 3 2 2 4 3" xfId="21817" xr:uid="{00000000-0005-0000-0000-0000E96F0000}"/>
    <cellStyle name="Normal 5 3 2 2 4 3 2" xfId="1623" xr:uid="{00000000-0005-0000-0000-0000EA6F0000}"/>
    <cellStyle name="Normal 5 3 2 2 4 4" xfId="29981" xr:uid="{00000000-0005-0000-0000-0000EB6F0000}"/>
    <cellStyle name="Normal 5 3 2 2 5" xfId="3286" xr:uid="{00000000-0005-0000-0000-0000EC6F0000}"/>
    <cellStyle name="Normal 5 3 2 2 5 2" xfId="1918" xr:uid="{00000000-0005-0000-0000-0000ED6F0000}"/>
    <cellStyle name="Normal 5 3 2 2 5 2 2" xfId="3637" xr:uid="{00000000-0005-0000-0000-0000EE6F0000}"/>
    <cellStyle name="Normal 5 3 2 2 5 3" xfId="29984" xr:uid="{00000000-0005-0000-0000-0000EF6F0000}"/>
    <cellStyle name="Normal 5 3 2 2 6" xfId="27708" xr:uid="{00000000-0005-0000-0000-0000F06F0000}"/>
    <cellStyle name="Normal 5 3 2 2 6 2" xfId="28723" xr:uid="{00000000-0005-0000-0000-0000F16F0000}"/>
    <cellStyle name="Normal 5 3 2 2 7" xfId="32921" xr:uid="{00000000-0005-0000-0000-0000F26F0000}"/>
    <cellStyle name="Normal 5 3 2 3" xfId="32393" xr:uid="{00000000-0005-0000-0000-0000F36F0000}"/>
    <cellStyle name="Normal 5 3 2 3 2" xfId="29986" xr:uid="{00000000-0005-0000-0000-0000F46F0000}"/>
    <cellStyle name="Normal 5 3 2 3 2 2" xfId="9503" xr:uid="{00000000-0005-0000-0000-0000F56F0000}"/>
    <cellStyle name="Normal 5 3 2 3 2 2 2" xfId="33711" xr:uid="{00000000-0005-0000-0000-0000F66F0000}"/>
    <cellStyle name="Normal 5 3 2 3 2 2 2 2" xfId="27222" xr:uid="{00000000-0005-0000-0000-0000F76F0000}"/>
    <cellStyle name="Normal 5 3 2 3 2 2 2 2 2" xfId="29989" xr:uid="{00000000-0005-0000-0000-0000F86F0000}"/>
    <cellStyle name="Normal 5 3 2 3 2 2 2 3" xfId="10706" xr:uid="{00000000-0005-0000-0000-0000F96F0000}"/>
    <cellStyle name="Normal 5 3 2 3 2 2 3" xfId="22789" xr:uid="{00000000-0005-0000-0000-0000FA6F0000}"/>
    <cellStyle name="Normal 5 3 2 3 2 2 3 2" xfId="22790" xr:uid="{00000000-0005-0000-0000-0000FB6F0000}"/>
    <cellStyle name="Normal 5 3 2 3 2 2 4" xfId="20856" xr:uid="{00000000-0005-0000-0000-0000FC6F0000}"/>
    <cellStyle name="Normal 5 3 2 3 2 3" xfId="29994" xr:uid="{00000000-0005-0000-0000-0000FD6F0000}"/>
    <cellStyle name="Normal 5 3 2 3 2 3 2" xfId="26460" xr:uid="{00000000-0005-0000-0000-0000FE6F0000}"/>
    <cellStyle name="Normal 5 3 2 3 2 3 2 2" xfId="29996" xr:uid="{00000000-0005-0000-0000-0000FF6F0000}"/>
    <cellStyle name="Normal 5 3 2 3 2 3 3" xfId="22797" xr:uid="{00000000-0005-0000-0000-000000700000}"/>
    <cellStyle name="Normal 5 3 2 3 2 4" xfId="29997" xr:uid="{00000000-0005-0000-0000-000001700000}"/>
    <cellStyle name="Normal 5 3 2 3 2 4 2" xfId="29998" xr:uid="{00000000-0005-0000-0000-000002700000}"/>
    <cellStyle name="Normal 5 3 2 3 2 5" xfId="26525" xr:uid="{00000000-0005-0000-0000-000003700000}"/>
    <cellStyle name="Normal 5 3 2 3 3" xfId="30001" xr:uid="{00000000-0005-0000-0000-000004700000}"/>
    <cellStyle name="Normal 5 3 2 3 3 2" xfId="30004" xr:uid="{00000000-0005-0000-0000-000005700000}"/>
    <cellStyle name="Normal 5 3 2 3 3 2 2" xfId="30013" xr:uid="{00000000-0005-0000-0000-000006700000}"/>
    <cellStyle name="Normal 5 3 2 3 3 2 2 2" xfId="2361" xr:uid="{00000000-0005-0000-0000-000007700000}"/>
    <cellStyle name="Normal 5 3 2 3 3 2 3" xfId="6332" xr:uid="{00000000-0005-0000-0000-000008700000}"/>
    <cellStyle name="Normal 5 3 2 3 3 3" xfId="23470" xr:uid="{00000000-0005-0000-0000-000009700000}"/>
    <cellStyle name="Normal 5 3 2 3 3 3 2" xfId="27804" xr:uid="{00000000-0005-0000-0000-00000A700000}"/>
    <cellStyle name="Normal 5 3 2 3 3 4" xfId="30023" xr:uid="{00000000-0005-0000-0000-00000B700000}"/>
    <cellStyle name="Normal 5 3 2 3 4" xfId="23844" xr:uid="{00000000-0005-0000-0000-00000C700000}"/>
    <cellStyle name="Normal 5 3 2 3 4 2" xfId="26784" xr:uid="{00000000-0005-0000-0000-00000D700000}"/>
    <cellStyle name="Normal 5 3 2 3 4 2 2" xfId="5846" xr:uid="{00000000-0005-0000-0000-00000E700000}"/>
    <cellStyle name="Normal 5 3 2 3 4 3" xfId="30026" xr:uid="{00000000-0005-0000-0000-00000F700000}"/>
    <cellStyle name="Normal 5 3 2 3 5" xfId="27474" xr:uid="{00000000-0005-0000-0000-000010700000}"/>
    <cellStyle name="Normal 5 3 2 3 5 2" xfId="30027" xr:uid="{00000000-0005-0000-0000-000011700000}"/>
    <cellStyle name="Normal 5 3 2 3 6" xfId="8541" xr:uid="{00000000-0005-0000-0000-000012700000}"/>
    <cellStyle name="Normal 5 3 2 4" xfId="30031" xr:uid="{00000000-0005-0000-0000-000013700000}"/>
    <cellStyle name="Normal 5 3 2 4 2" xfId="13637" xr:uid="{00000000-0005-0000-0000-000014700000}"/>
    <cellStyle name="Normal 5 3 2 4 2 2" xfId="28793" xr:uid="{00000000-0005-0000-0000-000015700000}"/>
    <cellStyle name="Normal 5 3 2 4 2 2 2" xfId="29883" xr:uid="{00000000-0005-0000-0000-000016700000}"/>
    <cellStyle name="Normal 5 3 2 4 2 2 2 2" xfId="22654" xr:uid="{00000000-0005-0000-0000-000017700000}"/>
    <cellStyle name="Normal 5 3 2 4 2 2 3" xfId="17551" xr:uid="{00000000-0005-0000-0000-000018700000}"/>
    <cellStyle name="Normal 5 3 2 4 2 3" xfId="27300" xr:uid="{00000000-0005-0000-0000-000019700000}"/>
    <cellStyle name="Normal 5 3 2 4 2 3 2" xfId="30038" xr:uid="{00000000-0005-0000-0000-00001A700000}"/>
    <cellStyle name="Normal 5 3 2 4 2 4" xfId="30041" xr:uid="{00000000-0005-0000-0000-00001B700000}"/>
    <cellStyle name="Normal 5 3 2 4 3" xfId="30042" xr:uid="{00000000-0005-0000-0000-00001C700000}"/>
    <cellStyle name="Normal 5 3 2 4 3 2" xfId="28817" xr:uid="{00000000-0005-0000-0000-00001D700000}"/>
    <cellStyle name="Normal 5 3 2 4 3 2 2" xfId="27647" xr:uid="{00000000-0005-0000-0000-00001E700000}"/>
    <cellStyle name="Normal 5 3 2 4 3 3" xfId="28822" xr:uid="{00000000-0005-0000-0000-00001F700000}"/>
    <cellStyle name="Normal 5 3 2 4 4" xfId="27716" xr:uid="{00000000-0005-0000-0000-000020700000}"/>
    <cellStyle name="Normal 5 3 2 4 4 2" xfId="30043" xr:uid="{00000000-0005-0000-0000-000021700000}"/>
    <cellStyle name="Normal 5 3 2 4 5" xfId="351" xr:uid="{00000000-0005-0000-0000-000022700000}"/>
    <cellStyle name="Normal 5 3 2 5" xfId="30047" xr:uid="{00000000-0005-0000-0000-000023700000}"/>
    <cellStyle name="Normal 5 3 2 5 2" xfId="27966" xr:uid="{00000000-0005-0000-0000-000024700000}"/>
    <cellStyle name="Normal 5 3 2 5 2 2" xfId="32715" xr:uid="{00000000-0005-0000-0000-000025700000}"/>
    <cellStyle name="Normal 5 3 2 5 2 2 2" xfId="32204" xr:uid="{00000000-0005-0000-0000-000026700000}"/>
    <cellStyle name="Normal 5 3 2 5 2 3" xfId="14428" xr:uid="{00000000-0005-0000-0000-000027700000}"/>
    <cellStyle name="Normal 5 3 2 5 3" xfId="21705" xr:uid="{00000000-0005-0000-0000-000028700000}"/>
    <cellStyle name="Normal 5 3 2 5 3 2" xfId="26042" xr:uid="{00000000-0005-0000-0000-000029700000}"/>
    <cellStyle name="Normal 5 3 2 5 4" xfId="30052" xr:uid="{00000000-0005-0000-0000-00002A700000}"/>
    <cellStyle name="Normal 5 3 2 6" xfId="30058" xr:uid="{00000000-0005-0000-0000-00002B700000}"/>
    <cellStyle name="Normal 5 3 2 6 2" xfId="21709" xr:uid="{00000000-0005-0000-0000-00002C700000}"/>
    <cellStyle name="Normal 5 3 2 6 2 2" xfId="33429" xr:uid="{00000000-0005-0000-0000-00002D700000}"/>
    <cellStyle name="Normal 5 3 2 6 3" xfId="30059" xr:uid="{00000000-0005-0000-0000-00002E700000}"/>
    <cellStyle name="Normal 5 3 2 7" xfId="30060" xr:uid="{00000000-0005-0000-0000-00002F700000}"/>
    <cellStyle name="Normal 5 3 2 7 2" xfId="30061" xr:uid="{00000000-0005-0000-0000-000030700000}"/>
    <cellStyle name="Normal 5 3 2 8" xfId="19220" xr:uid="{00000000-0005-0000-0000-000031700000}"/>
    <cellStyle name="Normal 5 3 3" xfId="31867" xr:uid="{00000000-0005-0000-0000-000032700000}"/>
    <cellStyle name="Normal 5 3 3 2" xfId="28757" xr:uid="{00000000-0005-0000-0000-000033700000}"/>
    <cellStyle name="Normal 5 3 3 2 2" xfId="25723" xr:uid="{00000000-0005-0000-0000-000034700000}"/>
    <cellStyle name="Normal 5 3 3 2 2 2" xfId="9243" xr:uid="{00000000-0005-0000-0000-000035700000}"/>
    <cellStyle name="Normal 5 3 3 2 2 2 2" xfId="25979" xr:uid="{00000000-0005-0000-0000-000036700000}"/>
    <cellStyle name="Normal 5 3 3 2 2 2 2 2" xfId="27551" xr:uid="{00000000-0005-0000-0000-000037700000}"/>
    <cellStyle name="Normal 5 3 3 2 2 2 2 2 2" xfId="30066" xr:uid="{00000000-0005-0000-0000-000038700000}"/>
    <cellStyle name="Normal 5 3 3 2 2 2 2 3" xfId="6270" xr:uid="{00000000-0005-0000-0000-000039700000}"/>
    <cellStyle name="Normal 5 3 3 2 2 2 3" xfId="24895" xr:uid="{00000000-0005-0000-0000-00003A700000}"/>
    <cellStyle name="Normal 5 3 3 2 2 2 3 2" xfId="10543" xr:uid="{00000000-0005-0000-0000-00003B700000}"/>
    <cellStyle name="Normal 5 3 3 2 2 2 4" xfId="24896" xr:uid="{00000000-0005-0000-0000-00003C700000}"/>
    <cellStyle name="Normal 5 3 3 2 2 3" xfId="27992" xr:uid="{00000000-0005-0000-0000-00003D700000}"/>
    <cellStyle name="Normal 5 3 3 2 2 3 2" xfId="24428" xr:uid="{00000000-0005-0000-0000-00003E700000}"/>
    <cellStyle name="Normal 5 3 3 2 2 3 2 2" xfId="30070" xr:uid="{00000000-0005-0000-0000-00003F700000}"/>
    <cellStyle name="Normal 5 3 3 2 2 3 3" xfId="24906" xr:uid="{00000000-0005-0000-0000-000040700000}"/>
    <cellStyle name="Normal 5 3 3 2 2 4" xfId="31498" xr:uid="{00000000-0005-0000-0000-000041700000}"/>
    <cellStyle name="Normal 5 3 3 2 2 4 2" xfId="30071" xr:uid="{00000000-0005-0000-0000-000042700000}"/>
    <cellStyle name="Normal 5 3 3 2 2 5" xfId="45" xr:uid="{00000000-0005-0000-0000-000043700000}"/>
    <cellStyle name="Normal 5 3 3 2 3" xfId="26649" xr:uid="{00000000-0005-0000-0000-000044700000}"/>
    <cellStyle name="Normal 5 3 3 2 3 2" xfId="31050" xr:uid="{00000000-0005-0000-0000-000045700000}"/>
    <cellStyle name="Normal 5 3 3 2 3 2 2" xfId="30072" xr:uid="{00000000-0005-0000-0000-000046700000}"/>
    <cellStyle name="Normal 5 3 3 2 3 2 2 2" xfId="32535" xr:uid="{00000000-0005-0000-0000-000047700000}"/>
    <cellStyle name="Normal 5 3 3 2 3 2 3" xfId="616" xr:uid="{00000000-0005-0000-0000-000048700000}"/>
    <cellStyle name="Normal 5 3 3 2 3 3" xfId="30755" xr:uid="{00000000-0005-0000-0000-000049700000}"/>
    <cellStyle name="Normal 5 3 3 2 3 3 2" xfId="31542" xr:uid="{00000000-0005-0000-0000-00004A700000}"/>
    <cellStyle name="Normal 5 3 3 2 3 4" xfId="30078" xr:uid="{00000000-0005-0000-0000-00004B700000}"/>
    <cellStyle name="Normal 5 3 3 2 4" xfId="23293" xr:uid="{00000000-0005-0000-0000-00004C700000}"/>
    <cellStyle name="Normal 5 3 3 2 4 2" xfId="25857" xr:uid="{00000000-0005-0000-0000-00004D700000}"/>
    <cellStyle name="Normal 5 3 3 2 4 2 2" xfId="7707" xr:uid="{00000000-0005-0000-0000-00004E700000}"/>
    <cellStyle name="Normal 5 3 3 2 4 3" xfId="34010" xr:uid="{00000000-0005-0000-0000-00004F700000}"/>
    <cellStyle name="Normal 5 3 3 2 5" xfId="27737" xr:uid="{00000000-0005-0000-0000-000050700000}"/>
    <cellStyle name="Normal 5 3 3 2 5 2" xfId="30079" xr:uid="{00000000-0005-0000-0000-000051700000}"/>
    <cellStyle name="Normal 5 3 3 2 6" xfId="22106" xr:uid="{00000000-0005-0000-0000-000052700000}"/>
    <cellStyle name="Normal 5 3 3 3" xfId="30087" xr:uid="{00000000-0005-0000-0000-000053700000}"/>
    <cellStyle name="Normal 5 3 3 3 2" xfId="30088" xr:uid="{00000000-0005-0000-0000-000054700000}"/>
    <cellStyle name="Normal 5 3 3 3 2 2" xfId="30092" xr:uid="{00000000-0005-0000-0000-000055700000}"/>
    <cellStyle name="Normal 5 3 3 3 2 2 2" xfId="32307" xr:uid="{00000000-0005-0000-0000-000056700000}"/>
    <cellStyle name="Normal 5 3 3 3 2 2 2 2" xfId="19271" xr:uid="{00000000-0005-0000-0000-000057700000}"/>
    <cellStyle name="Normal 5 3 3 3 2 2 3" xfId="25123" xr:uid="{00000000-0005-0000-0000-000058700000}"/>
    <cellStyle name="Normal 5 3 3 3 2 3" xfId="28542" xr:uid="{00000000-0005-0000-0000-000059700000}"/>
    <cellStyle name="Normal 5 3 3 3 2 3 2" xfId="33844" xr:uid="{00000000-0005-0000-0000-00005A700000}"/>
    <cellStyle name="Normal 5 3 3 3 2 4" xfId="21156" xr:uid="{00000000-0005-0000-0000-00005B700000}"/>
    <cellStyle name="Normal 5 3 3 3 3" xfId="32772" xr:uid="{00000000-0005-0000-0000-00005C700000}"/>
    <cellStyle name="Normal 5 3 3 3 3 2" xfId="23555" xr:uid="{00000000-0005-0000-0000-00005D700000}"/>
    <cellStyle name="Normal 5 3 3 3 3 2 2" xfId="30567" xr:uid="{00000000-0005-0000-0000-00005E700000}"/>
    <cellStyle name="Normal 5 3 3 3 3 3" xfId="33904" xr:uid="{00000000-0005-0000-0000-00005F700000}"/>
    <cellStyle name="Normal 5 3 3 3 4" xfId="25129" xr:uid="{00000000-0005-0000-0000-000060700000}"/>
    <cellStyle name="Normal 5 3 3 3 4 2" xfId="10820" xr:uid="{00000000-0005-0000-0000-000061700000}"/>
    <cellStyle name="Normal 5 3 3 3 5" xfId="33592" xr:uid="{00000000-0005-0000-0000-000062700000}"/>
    <cellStyle name="Normal 5 3 3 4" xfId="30098" xr:uid="{00000000-0005-0000-0000-000063700000}"/>
    <cellStyle name="Normal 5 3 3 4 2" xfId="283" xr:uid="{00000000-0005-0000-0000-000064700000}"/>
    <cellStyle name="Normal 5 3 3 4 2 2" xfId="30099" xr:uid="{00000000-0005-0000-0000-000065700000}"/>
    <cellStyle name="Normal 5 3 3 4 2 2 2" xfId="30100" xr:uid="{00000000-0005-0000-0000-000066700000}"/>
    <cellStyle name="Normal 5 3 3 4 2 3" xfId="30101" xr:uid="{00000000-0005-0000-0000-000067700000}"/>
    <cellStyle name="Normal 5 3 3 4 3" xfId="30575" xr:uid="{00000000-0005-0000-0000-000068700000}"/>
    <cellStyle name="Normal 5 3 3 4 3 2" xfId="27952" xr:uid="{00000000-0005-0000-0000-000069700000}"/>
    <cellStyle name="Normal 5 3 3 4 4" xfId="30579" xr:uid="{00000000-0005-0000-0000-00006A700000}"/>
    <cellStyle name="Normal 5 3 3 5" xfId="30230" xr:uid="{00000000-0005-0000-0000-00006B700000}"/>
    <cellStyle name="Normal 5 3 3 5 2" xfId="21742" xr:uid="{00000000-0005-0000-0000-00006C700000}"/>
    <cellStyle name="Normal 5 3 3 5 2 2" xfId="33642" xr:uid="{00000000-0005-0000-0000-00006D700000}"/>
    <cellStyle name="Normal 5 3 3 5 3" xfId="30583" xr:uid="{00000000-0005-0000-0000-00006E700000}"/>
    <cellStyle name="Normal 5 3 3 6" xfId="19680" xr:uid="{00000000-0005-0000-0000-00006F700000}"/>
    <cellStyle name="Normal 5 3 3 6 2" xfId="30108" xr:uid="{00000000-0005-0000-0000-000070700000}"/>
    <cellStyle name="Normal 5 3 3 7" xfId="30114" xr:uid="{00000000-0005-0000-0000-000071700000}"/>
    <cellStyle name="Normal 5 3 4" xfId="2135" xr:uid="{00000000-0005-0000-0000-000072700000}"/>
    <cellStyle name="Normal 5 3 4 2" xfId="2142" xr:uid="{00000000-0005-0000-0000-000073700000}"/>
    <cellStyle name="Normal 5 3 4 2 2" xfId="6211" xr:uid="{00000000-0005-0000-0000-000074700000}"/>
    <cellStyle name="Normal 5 3 4 2 2 2" xfId="6213" xr:uid="{00000000-0005-0000-0000-000075700000}"/>
    <cellStyle name="Normal 5 3 4 2 2 2 2" xfId="27769" xr:uid="{00000000-0005-0000-0000-000076700000}"/>
    <cellStyle name="Normal 5 3 4 2 2 2 2 2" xfId="29550" xr:uid="{00000000-0005-0000-0000-000077700000}"/>
    <cellStyle name="Normal 5 3 4 2 2 2 3" xfId="6503" xr:uid="{00000000-0005-0000-0000-000078700000}"/>
    <cellStyle name="Normal 5 3 4 2 2 3" xfId="531" xr:uid="{00000000-0005-0000-0000-000079700000}"/>
    <cellStyle name="Normal 5 3 4 2 2 3 2" xfId="27031" xr:uid="{00000000-0005-0000-0000-00007A700000}"/>
    <cellStyle name="Normal 5 3 4 2 2 4" xfId="33209" xr:uid="{00000000-0005-0000-0000-00007B700000}"/>
    <cellStyle name="Normal 5 3 4 2 3" xfId="6216" xr:uid="{00000000-0005-0000-0000-00007C700000}"/>
    <cellStyle name="Normal 5 3 4 2 3 2" xfId="6221" xr:uid="{00000000-0005-0000-0000-00007D700000}"/>
    <cellStyle name="Normal 5 3 4 2 3 2 2" xfId="11392" xr:uid="{00000000-0005-0000-0000-00007E700000}"/>
    <cellStyle name="Normal 5 3 4 2 3 3" xfId="30116" xr:uid="{00000000-0005-0000-0000-00007F700000}"/>
    <cellStyle name="Normal 5 3 4 2 4" xfId="27262" xr:uid="{00000000-0005-0000-0000-000080700000}"/>
    <cellStyle name="Normal 5 3 4 2 4 2" xfId="32747" xr:uid="{00000000-0005-0000-0000-000081700000}"/>
    <cellStyle name="Normal 5 3 4 2 5" xfId="32749" xr:uid="{00000000-0005-0000-0000-000082700000}"/>
    <cellStyle name="Normal 5 3 4 3" xfId="6224" xr:uid="{00000000-0005-0000-0000-000083700000}"/>
    <cellStyle name="Normal 5 3 4 3 2" xfId="6227" xr:uid="{00000000-0005-0000-0000-000084700000}"/>
    <cellStyle name="Normal 5 3 4 3 2 2" xfId="6229" xr:uid="{00000000-0005-0000-0000-000085700000}"/>
    <cellStyle name="Normal 5 3 4 3 2 2 2" xfId="28634" xr:uid="{00000000-0005-0000-0000-000086700000}"/>
    <cellStyle name="Normal 5 3 4 3 2 3" xfId="31507" xr:uid="{00000000-0005-0000-0000-000087700000}"/>
    <cellStyle name="Normal 5 3 4 3 3" xfId="6232" xr:uid="{00000000-0005-0000-0000-000088700000}"/>
    <cellStyle name="Normal 5 3 4 3 3 2" xfId="33627" xr:uid="{00000000-0005-0000-0000-000089700000}"/>
    <cellStyle name="Normal 5 3 4 3 4" xfId="30997" xr:uid="{00000000-0005-0000-0000-00008A700000}"/>
    <cellStyle name="Normal 5 3 4 4" xfId="6234" xr:uid="{00000000-0005-0000-0000-00008B700000}"/>
    <cellStyle name="Normal 5 3 4 4 2" xfId="239" xr:uid="{00000000-0005-0000-0000-00008C700000}"/>
    <cellStyle name="Normal 5 3 4 4 2 2" xfId="2116" xr:uid="{00000000-0005-0000-0000-00008D700000}"/>
    <cellStyle name="Normal 5 3 4 4 3" xfId="32378" xr:uid="{00000000-0005-0000-0000-00008E700000}"/>
    <cellStyle name="Normal 5 3 4 5" xfId="6241" xr:uid="{00000000-0005-0000-0000-00008F700000}"/>
    <cellStyle name="Normal 5 3 4 5 2" xfId="33600" xr:uid="{00000000-0005-0000-0000-000090700000}"/>
    <cellStyle name="Normal 5 3 4 6" xfId="30121" xr:uid="{00000000-0005-0000-0000-000091700000}"/>
    <cellStyle name="Normal 5 3 5" xfId="706" xr:uid="{00000000-0005-0000-0000-000092700000}"/>
    <cellStyle name="Normal 5 3 5 2" xfId="6245" xr:uid="{00000000-0005-0000-0000-000093700000}"/>
    <cellStyle name="Normal 5 3 5 2 2" xfId="10565" xr:uid="{00000000-0005-0000-0000-000094700000}"/>
    <cellStyle name="Normal 5 3 5 2 2 2" xfId="27119" xr:uid="{00000000-0005-0000-0000-000095700000}"/>
    <cellStyle name="Normal 5 3 5 2 2 2 2" xfId="26292" xr:uid="{00000000-0005-0000-0000-000096700000}"/>
    <cellStyle name="Normal 5 3 5 2 2 3" xfId="26307" xr:uid="{00000000-0005-0000-0000-000097700000}"/>
    <cellStyle name="Normal 5 3 5 2 3" xfId="10569" xr:uid="{00000000-0005-0000-0000-000098700000}"/>
    <cellStyle name="Normal 5 3 5 2 3 2" xfId="4281" xr:uid="{00000000-0005-0000-0000-000099700000}"/>
    <cellStyle name="Normal 5 3 5 2 4" xfId="31537" xr:uid="{00000000-0005-0000-0000-00009A700000}"/>
    <cellStyle name="Normal 5 3 5 3" xfId="6248" xr:uid="{00000000-0005-0000-0000-00009B700000}"/>
    <cellStyle name="Normal 5 3 5 3 2" xfId="6260" xr:uid="{00000000-0005-0000-0000-00009C700000}"/>
    <cellStyle name="Normal 5 3 5 3 2 2" xfId="20220" xr:uid="{00000000-0005-0000-0000-00009D700000}"/>
    <cellStyle name="Normal 5 3 5 3 3" xfId="31923" xr:uid="{00000000-0005-0000-0000-00009E700000}"/>
    <cellStyle name="Normal 5 3 5 4" xfId="6262" xr:uid="{00000000-0005-0000-0000-00009F700000}"/>
    <cellStyle name="Normal 5 3 5 4 2" xfId="371" xr:uid="{00000000-0005-0000-0000-0000A0700000}"/>
    <cellStyle name="Normal 5 3 5 5" xfId="30122" xr:uid="{00000000-0005-0000-0000-0000A1700000}"/>
    <cellStyle name="Normal 5 3 6" xfId="10585" xr:uid="{00000000-0005-0000-0000-0000A2700000}"/>
    <cellStyle name="Normal 5 3 6 2" xfId="11854" xr:uid="{00000000-0005-0000-0000-0000A3700000}"/>
    <cellStyle name="Normal 5 3 6 2 2" xfId="10579" xr:uid="{00000000-0005-0000-0000-0000A4700000}"/>
    <cellStyle name="Normal 5 3 6 2 2 2" xfId="11751" xr:uid="{00000000-0005-0000-0000-0000A5700000}"/>
    <cellStyle name="Normal 5 3 6 2 3" xfId="30123" xr:uid="{00000000-0005-0000-0000-0000A6700000}"/>
    <cellStyle name="Normal 5 3 6 3" xfId="13344" xr:uid="{00000000-0005-0000-0000-0000A7700000}"/>
    <cellStyle name="Normal 5 3 6 3 2" xfId="33179" xr:uid="{00000000-0005-0000-0000-0000A8700000}"/>
    <cellStyle name="Normal 5 3 6 4" xfId="13349" xr:uid="{00000000-0005-0000-0000-0000A9700000}"/>
    <cellStyle name="Normal 5 3 7" xfId="1077" xr:uid="{00000000-0005-0000-0000-0000AA700000}"/>
    <cellStyle name="Normal 5 3 7 2" xfId="11862" xr:uid="{00000000-0005-0000-0000-0000AB700000}"/>
    <cellStyle name="Normal 5 3 7 2 2" xfId="30920" xr:uid="{00000000-0005-0000-0000-0000AC700000}"/>
    <cellStyle name="Normal 5 3 7 3" xfId="11944" xr:uid="{00000000-0005-0000-0000-0000AD700000}"/>
    <cellStyle name="Normal 5 3 8" xfId="1310" xr:uid="{00000000-0005-0000-0000-0000AE700000}"/>
    <cellStyle name="Normal 5 3 8 2" xfId="11950" xr:uid="{00000000-0005-0000-0000-0000AF700000}"/>
    <cellStyle name="Normal 5 3 9" xfId="26999" xr:uid="{00000000-0005-0000-0000-0000B0700000}"/>
    <cellStyle name="Normal 5 4" xfId="30679" xr:uid="{00000000-0005-0000-0000-0000B1700000}"/>
    <cellStyle name="Normal 5 4 2" xfId="30280" xr:uid="{00000000-0005-0000-0000-0000B2700000}"/>
    <cellStyle name="Normal 5 4 2 2" xfId="24059" xr:uid="{00000000-0005-0000-0000-0000B3700000}"/>
    <cellStyle name="Normal 5 4 2 2 2" xfId="26668" xr:uid="{00000000-0005-0000-0000-0000B4700000}"/>
    <cellStyle name="Normal 5 4 2 2 2 2" xfId="9517" xr:uid="{00000000-0005-0000-0000-0000B5700000}"/>
    <cellStyle name="Normal 5 4 2 2 2 2 2" xfId="26056" xr:uid="{00000000-0005-0000-0000-0000B6700000}"/>
    <cellStyle name="Normal 5 4 2 2 2 2 2 2" xfId="30127" xr:uid="{00000000-0005-0000-0000-0000B7700000}"/>
    <cellStyle name="Normal 5 4 2 2 2 2 2 2 2" xfId="28295" xr:uid="{00000000-0005-0000-0000-0000B8700000}"/>
    <cellStyle name="Normal 5 4 2 2 2 2 2 3" xfId="11438" xr:uid="{00000000-0005-0000-0000-0000B9700000}"/>
    <cellStyle name="Normal 5 4 2 2 2 2 3" xfId="20365" xr:uid="{00000000-0005-0000-0000-0000BA700000}"/>
    <cellStyle name="Normal 5 4 2 2 2 2 3 2" xfId="28248" xr:uid="{00000000-0005-0000-0000-0000BB700000}"/>
    <cellStyle name="Normal 5 4 2 2 2 2 4" xfId="30069" xr:uid="{00000000-0005-0000-0000-0000BC700000}"/>
    <cellStyle name="Normal 5 4 2 2 2 3" xfId="30131" xr:uid="{00000000-0005-0000-0000-0000BD700000}"/>
    <cellStyle name="Normal 5 4 2 2 2 3 2" xfId="29114" xr:uid="{00000000-0005-0000-0000-0000BE700000}"/>
    <cellStyle name="Normal 5 4 2 2 2 3 2 2" xfId="30142" xr:uid="{00000000-0005-0000-0000-0000BF700000}"/>
    <cellStyle name="Normal 5 4 2 2 2 3 3" xfId="23877" xr:uid="{00000000-0005-0000-0000-0000C0700000}"/>
    <cellStyle name="Normal 5 4 2 2 2 4" xfId="20433" xr:uid="{00000000-0005-0000-0000-0000C1700000}"/>
    <cellStyle name="Normal 5 4 2 2 2 4 2" xfId="1484" xr:uid="{00000000-0005-0000-0000-0000C2700000}"/>
    <cellStyle name="Normal 5 4 2 2 2 5" xfId="20437" xr:uid="{00000000-0005-0000-0000-0000C3700000}"/>
    <cellStyle name="Normal 5 4 2 2 3" xfId="26671" xr:uid="{00000000-0005-0000-0000-0000C4700000}"/>
    <cellStyle name="Normal 5 4 2 2 3 2" xfId="31626" xr:uid="{00000000-0005-0000-0000-0000C5700000}"/>
    <cellStyle name="Normal 5 4 2 2 3 2 2" xfId="20303" xr:uid="{00000000-0005-0000-0000-0000C6700000}"/>
    <cellStyle name="Normal 5 4 2 2 3 2 2 2" xfId="3925" xr:uid="{00000000-0005-0000-0000-0000C7700000}"/>
    <cellStyle name="Normal 5 4 2 2 3 2 3" xfId="27890" xr:uid="{00000000-0005-0000-0000-0000C8700000}"/>
    <cellStyle name="Normal 5 4 2 2 3 3" xfId="30156" xr:uid="{00000000-0005-0000-0000-0000C9700000}"/>
    <cellStyle name="Normal 5 4 2 2 3 3 2" xfId="30158" xr:uid="{00000000-0005-0000-0000-0000CA700000}"/>
    <cellStyle name="Normal 5 4 2 2 3 4" xfId="22804" xr:uid="{00000000-0005-0000-0000-0000CB700000}"/>
    <cellStyle name="Normal 5 4 2 2 4" xfId="19677" xr:uid="{00000000-0005-0000-0000-0000CC700000}"/>
    <cellStyle name="Normal 5 4 2 2 4 2" xfId="25608" xr:uid="{00000000-0005-0000-0000-0000CD700000}"/>
    <cellStyle name="Normal 5 4 2 2 4 2 2" xfId="13267" xr:uid="{00000000-0005-0000-0000-0000CE700000}"/>
    <cellStyle name="Normal 5 4 2 2 4 3" xfId="28175" xr:uid="{00000000-0005-0000-0000-0000CF700000}"/>
    <cellStyle name="Normal 5 4 2 2 5" xfId="19681" xr:uid="{00000000-0005-0000-0000-0000D0700000}"/>
    <cellStyle name="Normal 5 4 2 2 5 2" xfId="31130" xr:uid="{00000000-0005-0000-0000-0000D1700000}"/>
    <cellStyle name="Normal 5 4 2 2 6" xfId="22166" xr:uid="{00000000-0005-0000-0000-0000D2700000}"/>
    <cellStyle name="Normal 5 4 2 3" xfId="24065" xr:uid="{00000000-0005-0000-0000-0000D3700000}"/>
    <cellStyle name="Normal 5 4 2 3 2" xfId="26242" xr:uid="{00000000-0005-0000-0000-0000D4700000}"/>
    <cellStyle name="Normal 5 4 2 3 2 2" xfId="6769" xr:uid="{00000000-0005-0000-0000-0000D5700000}"/>
    <cellStyle name="Normal 5 4 2 3 2 2 2" xfId="28094" xr:uid="{00000000-0005-0000-0000-0000D6700000}"/>
    <cellStyle name="Normal 5 4 2 3 2 2 2 2" xfId="31649" xr:uid="{00000000-0005-0000-0000-0000D7700000}"/>
    <cellStyle name="Normal 5 4 2 3 2 2 3" xfId="6742" xr:uid="{00000000-0005-0000-0000-0000D8700000}"/>
    <cellStyle name="Normal 5 4 2 3 2 3" xfId="6772" xr:uid="{00000000-0005-0000-0000-0000D9700000}"/>
    <cellStyle name="Normal 5 4 2 3 2 3 2" xfId="28110" xr:uid="{00000000-0005-0000-0000-0000DA700000}"/>
    <cellStyle name="Normal 5 4 2 3 2 4" xfId="20464" xr:uid="{00000000-0005-0000-0000-0000DB700000}"/>
    <cellStyle name="Normal 5 4 2 3 3" xfId="30169" xr:uid="{00000000-0005-0000-0000-0000DC700000}"/>
    <cellStyle name="Normal 5 4 2 3 3 2" xfId="6780" xr:uid="{00000000-0005-0000-0000-0000DD700000}"/>
    <cellStyle name="Normal 5 4 2 3 3 2 2" xfId="30176" xr:uid="{00000000-0005-0000-0000-0000DE700000}"/>
    <cellStyle name="Normal 5 4 2 3 3 3" xfId="21316" xr:uid="{00000000-0005-0000-0000-0000DF700000}"/>
    <cellStyle name="Normal 5 4 2 3 4" xfId="14698" xr:uid="{00000000-0005-0000-0000-0000E0700000}"/>
    <cellStyle name="Normal 5 4 2 3 4 2" xfId="30173" xr:uid="{00000000-0005-0000-0000-0000E1700000}"/>
    <cellStyle name="Normal 5 4 2 3 5" xfId="29953" xr:uid="{00000000-0005-0000-0000-0000E2700000}"/>
    <cellStyle name="Normal 5 4 2 4" xfId="24525" xr:uid="{00000000-0005-0000-0000-0000E3700000}"/>
    <cellStyle name="Normal 5 4 2 4 2" xfId="25381" xr:uid="{00000000-0005-0000-0000-0000E4700000}"/>
    <cellStyle name="Normal 5 4 2 4 2 2" xfId="6789" xr:uid="{00000000-0005-0000-0000-0000E5700000}"/>
    <cellStyle name="Normal 5 4 2 4 2 2 2" xfId="28137" xr:uid="{00000000-0005-0000-0000-0000E6700000}"/>
    <cellStyle name="Normal 5 4 2 4 2 3" xfId="28144" xr:uid="{00000000-0005-0000-0000-0000E7700000}"/>
    <cellStyle name="Normal 5 4 2 4 3" xfId="30199" xr:uid="{00000000-0005-0000-0000-0000E8700000}"/>
    <cellStyle name="Normal 5 4 2 4 3 2" xfId="30204" xr:uid="{00000000-0005-0000-0000-0000E9700000}"/>
    <cellStyle name="Normal 5 4 2 4 4" xfId="31898" xr:uid="{00000000-0005-0000-0000-0000EA700000}"/>
    <cellStyle name="Normal 5 4 2 5" xfId="22434" xr:uid="{00000000-0005-0000-0000-0000EB700000}"/>
    <cellStyle name="Normal 5 4 2 5 2" xfId="30698" xr:uid="{00000000-0005-0000-0000-0000EC700000}"/>
    <cellStyle name="Normal 5 4 2 5 2 2" xfId="27392" xr:uid="{00000000-0005-0000-0000-0000ED700000}"/>
    <cellStyle name="Normal 5 4 2 5 3" xfId="30213" xr:uid="{00000000-0005-0000-0000-0000EE700000}"/>
    <cellStyle name="Normal 5 4 2 6" xfId="30221" xr:uid="{00000000-0005-0000-0000-0000EF700000}"/>
    <cellStyle name="Normal 5 4 2 6 2" xfId="30753" xr:uid="{00000000-0005-0000-0000-0000F0700000}"/>
    <cellStyle name="Normal 5 4 2 7" xfId="30225" xr:uid="{00000000-0005-0000-0000-0000F1700000}"/>
    <cellStyle name="Normal 5 4 3" xfId="31882" xr:uid="{00000000-0005-0000-0000-0000F2700000}"/>
    <cellStyle name="Normal 5 4 3 2" xfId="22146" xr:uid="{00000000-0005-0000-0000-0000F3700000}"/>
    <cellStyle name="Normal 5 4 3 2 2" xfId="25623" xr:uid="{00000000-0005-0000-0000-0000F4700000}"/>
    <cellStyle name="Normal 5 4 3 2 2 2" xfId="22776" xr:uid="{00000000-0005-0000-0000-0000F5700000}"/>
    <cellStyle name="Normal 5 4 3 2 2 2 2" xfId="32391" xr:uid="{00000000-0005-0000-0000-0000F6700000}"/>
    <cellStyle name="Normal 5 4 3 2 2 2 2 2" xfId="30237" xr:uid="{00000000-0005-0000-0000-0000F7700000}"/>
    <cellStyle name="Normal 5 4 3 2 2 2 3" xfId="30236" xr:uid="{00000000-0005-0000-0000-0000F8700000}"/>
    <cellStyle name="Normal 5 4 3 2 2 3" xfId="30241" xr:uid="{00000000-0005-0000-0000-0000F9700000}"/>
    <cellStyle name="Normal 5 4 3 2 2 3 2" xfId="15358" xr:uid="{00000000-0005-0000-0000-0000FA700000}"/>
    <cellStyle name="Normal 5 4 3 2 2 4" xfId="20546" xr:uid="{00000000-0005-0000-0000-0000FB700000}"/>
    <cellStyle name="Normal 5 4 3 2 3" xfId="19614" xr:uid="{00000000-0005-0000-0000-0000FC700000}"/>
    <cellStyle name="Normal 5 4 3 2 3 2" xfId="26929" xr:uid="{00000000-0005-0000-0000-0000FD700000}"/>
    <cellStyle name="Normal 5 4 3 2 3 2 2" xfId="30248" xr:uid="{00000000-0005-0000-0000-0000FE700000}"/>
    <cellStyle name="Normal 5 4 3 2 3 3" xfId="26933" xr:uid="{00000000-0005-0000-0000-0000FF700000}"/>
    <cellStyle name="Normal 5 4 3 2 4" xfId="27900" xr:uid="{00000000-0005-0000-0000-000000710000}"/>
    <cellStyle name="Normal 5 4 3 2 4 2" xfId="26938" xr:uid="{00000000-0005-0000-0000-000001710000}"/>
    <cellStyle name="Normal 5 4 3 2 5" xfId="30253" xr:uid="{00000000-0005-0000-0000-000002710000}"/>
    <cellStyle name="Normal 5 4 3 3" xfId="20244" xr:uid="{00000000-0005-0000-0000-000003710000}"/>
    <cellStyle name="Normal 5 4 3 3 2" xfId="26984" xr:uid="{00000000-0005-0000-0000-000004710000}"/>
    <cellStyle name="Normal 5 4 3 3 2 2" xfId="6800" xr:uid="{00000000-0005-0000-0000-000005710000}"/>
    <cellStyle name="Normal 5 4 3 3 2 2 2" xfId="30261" xr:uid="{00000000-0005-0000-0000-000006710000}"/>
    <cellStyle name="Normal 5 4 3 3 2 3" xfId="30265" xr:uid="{00000000-0005-0000-0000-000007710000}"/>
    <cellStyle name="Normal 5 4 3 3 3" xfId="29620" xr:uid="{00000000-0005-0000-0000-000008710000}"/>
    <cellStyle name="Normal 5 4 3 3 3 2" xfId="28693" xr:uid="{00000000-0005-0000-0000-000009710000}"/>
    <cellStyle name="Normal 5 4 3 3 4" xfId="31931" xr:uid="{00000000-0005-0000-0000-00000A710000}"/>
    <cellStyle name="Normal 5 4 3 4" xfId="28784" xr:uid="{00000000-0005-0000-0000-00000B710000}"/>
    <cellStyle name="Normal 5 4 3 4 2" xfId="28521" xr:uid="{00000000-0005-0000-0000-00000C710000}"/>
    <cellStyle name="Normal 5 4 3 4 2 2" xfId="29681" xr:uid="{00000000-0005-0000-0000-00000D710000}"/>
    <cellStyle name="Normal 5 4 3 4 3" xfId="30269" xr:uid="{00000000-0005-0000-0000-00000E710000}"/>
    <cellStyle name="Normal 5 4 3 5" xfId="27307" xr:uid="{00000000-0005-0000-0000-00000F710000}"/>
    <cellStyle name="Normal 5 4 3 5 2" xfId="344" xr:uid="{00000000-0005-0000-0000-000010710000}"/>
    <cellStyle name="Normal 5 4 3 6" xfId="25200" xr:uid="{00000000-0005-0000-0000-000011710000}"/>
    <cellStyle name="Normal 5 4 4" xfId="336" xr:uid="{00000000-0005-0000-0000-000012710000}"/>
    <cellStyle name="Normal 5 4 4 2" xfId="3124" xr:uid="{00000000-0005-0000-0000-000013710000}"/>
    <cellStyle name="Normal 5 4 4 2 2" xfId="4572" xr:uid="{00000000-0005-0000-0000-000014710000}"/>
    <cellStyle name="Normal 5 4 4 2 2 2" xfId="6278" xr:uid="{00000000-0005-0000-0000-000015710000}"/>
    <cellStyle name="Normal 5 4 4 2 2 2 2" xfId="30273" xr:uid="{00000000-0005-0000-0000-000016710000}"/>
    <cellStyle name="Normal 5 4 4 2 2 3" xfId="26988" xr:uid="{00000000-0005-0000-0000-000017710000}"/>
    <cellStyle name="Normal 5 4 4 2 3" xfId="4576" xr:uid="{00000000-0005-0000-0000-000018710000}"/>
    <cellStyle name="Normal 5 4 4 2 3 2" xfId="19383" xr:uid="{00000000-0005-0000-0000-000019710000}"/>
    <cellStyle name="Normal 5 4 4 2 4" xfId="30282" xr:uid="{00000000-0005-0000-0000-00001A710000}"/>
    <cellStyle name="Normal 5 4 4 3" xfId="4583" xr:uid="{00000000-0005-0000-0000-00001B710000}"/>
    <cellStyle name="Normal 5 4 4 3 2" xfId="4587" xr:uid="{00000000-0005-0000-0000-00001C710000}"/>
    <cellStyle name="Normal 5 4 4 3 2 2" xfId="27004" xr:uid="{00000000-0005-0000-0000-00001D710000}"/>
    <cellStyle name="Normal 5 4 4 3 3" xfId="31182" xr:uid="{00000000-0005-0000-0000-00001E710000}"/>
    <cellStyle name="Normal 5 4 4 4" xfId="4597" xr:uid="{00000000-0005-0000-0000-00001F710000}"/>
    <cellStyle name="Normal 5 4 4 4 2" xfId="32246" xr:uid="{00000000-0005-0000-0000-000020710000}"/>
    <cellStyle name="Normal 5 4 4 5" xfId="30291" xr:uid="{00000000-0005-0000-0000-000021710000}"/>
    <cellStyle name="Normal 5 4 5" xfId="6280" xr:uid="{00000000-0005-0000-0000-000022710000}"/>
    <cellStyle name="Normal 5 4 5 2" xfId="4619" xr:uid="{00000000-0005-0000-0000-000023710000}"/>
    <cellStyle name="Normal 5 4 5 2 2" xfId="13476" xr:uid="{00000000-0005-0000-0000-000024710000}"/>
    <cellStyle name="Normal 5 4 5 2 2 2" xfId="20970" xr:uid="{00000000-0005-0000-0000-000025710000}"/>
    <cellStyle name="Normal 5 4 5 2 3" xfId="26208" xr:uid="{00000000-0005-0000-0000-000026710000}"/>
    <cellStyle name="Normal 5 4 5 3" xfId="305" xr:uid="{00000000-0005-0000-0000-000027710000}"/>
    <cellStyle name="Normal 5 4 5 3 2" xfId="30791" xr:uid="{00000000-0005-0000-0000-000028710000}"/>
    <cellStyle name="Normal 5 4 5 4" xfId="27656" xr:uid="{00000000-0005-0000-0000-000029710000}"/>
    <cellStyle name="Normal 5 4 6" xfId="6284" xr:uid="{00000000-0005-0000-0000-00002A710000}"/>
    <cellStyle name="Normal 5 4 6 2" xfId="27434" xr:uid="{00000000-0005-0000-0000-00002B710000}"/>
    <cellStyle name="Normal 5 4 6 2 2" xfId="28271" xr:uid="{00000000-0005-0000-0000-00002C710000}"/>
    <cellStyle name="Normal 5 4 6 3" xfId="10224" xr:uid="{00000000-0005-0000-0000-00002D710000}"/>
    <cellStyle name="Normal 5 4 7" xfId="11278" xr:uid="{00000000-0005-0000-0000-00002E710000}"/>
    <cellStyle name="Normal 5 4 7 2" xfId="11968" xr:uid="{00000000-0005-0000-0000-00002F710000}"/>
    <cellStyle name="Normal 5 4 8" xfId="26591" xr:uid="{00000000-0005-0000-0000-000030710000}"/>
    <cellStyle name="Normal 5 5" xfId="26261" xr:uid="{00000000-0005-0000-0000-000031710000}"/>
    <cellStyle name="Normal 5 5 2" xfId="31514" xr:uid="{00000000-0005-0000-0000-000032710000}"/>
    <cellStyle name="Normal 5 5 2 2" xfId="15977" xr:uid="{00000000-0005-0000-0000-000033710000}"/>
    <cellStyle name="Normal 5 5 2 2 2" xfId="30296" xr:uid="{00000000-0005-0000-0000-000034710000}"/>
    <cellStyle name="Normal 5 5 2 2 2 2" xfId="31416" xr:uid="{00000000-0005-0000-0000-000035710000}"/>
    <cellStyle name="Normal 5 5 2 2 2 2 2" xfId="31420" xr:uid="{00000000-0005-0000-0000-000036710000}"/>
    <cellStyle name="Normal 5 5 2 2 2 2 2 2" xfId="1036" xr:uid="{00000000-0005-0000-0000-000037710000}"/>
    <cellStyle name="Normal 5 5 2 2 2 2 3" xfId="30417" xr:uid="{00000000-0005-0000-0000-000038710000}"/>
    <cellStyle name="Normal 5 5 2 2 2 3" xfId="30297" xr:uid="{00000000-0005-0000-0000-000039710000}"/>
    <cellStyle name="Normal 5 5 2 2 2 3 2" xfId="30299" xr:uid="{00000000-0005-0000-0000-00003A710000}"/>
    <cellStyle name="Normal 5 5 2 2 2 4" xfId="26572" xr:uid="{00000000-0005-0000-0000-00003B710000}"/>
    <cellStyle name="Normal 5 5 2 2 3" xfId="21104" xr:uid="{00000000-0005-0000-0000-00003C710000}"/>
    <cellStyle name="Normal 5 5 2 2 3 2" xfId="29478" xr:uid="{00000000-0005-0000-0000-00003D710000}"/>
    <cellStyle name="Normal 5 5 2 2 3 2 2" xfId="25453" xr:uid="{00000000-0005-0000-0000-00003E710000}"/>
    <cellStyle name="Normal 5 5 2 2 3 3" xfId="24303" xr:uid="{00000000-0005-0000-0000-00003F710000}"/>
    <cellStyle name="Normal 5 5 2 2 4" xfId="4133" xr:uid="{00000000-0005-0000-0000-000040710000}"/>
    <cellStyle name="Normal 5 5 2 2 4 2" xfId="30302" xr:uid="{00000000-0005-0000-0000-000041710000}"/>
    <cellStyle name="Normal 5 5 2 2 5" xfId="20307" xr:uid="{00000000-0005-0000-0000-000042710000}"/>
    <cellStyle name="Normal 5 5 2 3" xfId="24579" xr:uid="{00000000-0005-0000-0000-000043710000}"/>
    <cellStyle name="Normal 5 5 2 3 2" xfId="23788" xr:uid="{00000000-0005-0000-0000-000044710000}"/>
    <cellStyle name="Normal 5 5 2 3 2 2" xfId="2346" xr:uid="{00000000-0005-0000-0000-000045710000}"/>
    <cellStyle name="Normal 5 5 2 3 2 2 2" xfId="28279" xr:uid="{00000000-0005-0000-0000-000046710000}"/>
    <cellStyle name="Normal 5 5 2 3 2 3" xfId="26589" xr:uid="{00000000-0005-0000-0000-000047710000}"/>
    <cellStyle name="Normal 5 5 2 3 3" xfId="18955" xr:uid="{00000000-0005-0000-0000-000048710000}"/>
    <cellStyle name="Normal 5 5 2 3 3 2" xfId="30327" xr:uid="{00000000-0005-0000-0000-000049710000}"/>
    <cellStyle name="Normal 5 5 2 3 4" xfId="30217" xr:uid="{00000000-0005-0000-0000-00004A710000}"/>
    <cellStyle name="Normal 5 5 2 4" xfId="30489" xr:uid="{00000000-0005-0000-0000-00004B710000}"/>
    <cellStyle name="Normal 5 5 2 4 2" xfId="3839" xr:uid="{00000000-0005-0000-0000-00004C710000}"/>
    <cellStyle name="Normal 5 5 2 4 2 2" xfId="28318" xr:uid="{00000000-0005-0000-0000-00004D710000}"/>
    <cellStyle name="Normal 5 5 2 4 3" xfId="30307" xr:uid="{00000000-0005-0000-0000-00004E710000}"/>
    <cellStyle name="Normal 5 5 2 5" xfId="31067" xr:uid="{00000000-0005-0000-0000-00004F710000}"/>
    <cellStyle name="Normal 5 5 2 5 2" xfId="30693" xr:uid="{00000000-0005-0000-0000-000050710000}"/>
    <cellStyle name="Normal 5 5 2 6" xfId="30308" xr:uid="{00000000-0005-0000-0000-000051710000}"/>
    <cellStyle name="Normal 5 5 2 6 2" xfId="30818" xr:uid="{00000000-0005-0000-0000-000052710000}"/>
    <cellStyle name="Normal 5 5 2 7" xfId="30922" xr:uid="{00000000-0005-0000-0000-000053710000}"/>
    <cellStyle name="Normal 5 5 3" xfId="30316" xr:uid="{00000000-0005-0000-0000-000054710000}"/>
    <cellStyle name="Normal 5 5 3 2" xfId="32692" xr:uid="{00000000-0005-0000-0000-000055710000}"/>
    <cellStyle name="Normal 5 5 3 2 2" xfId="33702" xr:uid="{00000000-0005-0000-0000-000056710000}"/>
    <cellStyle name="Normal 5 5 3 2 2 2" xfId="30967" xr:uid="{00000000-0005-0000-0000-000057710000}"/>
    <cellStyle name="Normal 5 5 3 2 2 2 2" xfId="31184" xr:uid="{00000000-0005-0000-0000-000058710000}"/>
    <cellStyle name="Normal 5 5 3 2 2 3" xfId="21496" xr:uid="{00000000-0005-0000-0000-000059710000}"/>
    <cellStyle name="Normal 5 5 3 2 3" xfId="29503" xr:uid="{00000000-0005-0000-0000-00005A710000}"/>
    <cellStyle name="Normal 5 5 3 2 3 2" xfId="20519" xr:uid="{00000000-0005-0000-0000-00005B710000}"/>
    <cellStyle name="Normal 5 5 3 2 4" xfId="24967" xr:uid="{00000000-0005-0000-0000-00005C710000}"/>
    <cellStyle name="Normal 5 5 3 3" xfId="32700" xr:uid="{00000000-0005-0000-0000-00005D710000}"/>
    <cellStyle name="Normal 5 5 3 3 2" xfId="32531" xr:uid="{00000000-0005-0000-0000-00005E710000}"/>
    <cellStyle name="Normal 5 5 3 3 2 2" xfId="24392" xr:uid="{00000000-0005-0000-0000-00005F710000}"/>
    <cellStyle name="Normal 5 5 3 3 3" xfId="29649" xr:uid="{00000000-0005-0000-0000-000060710000}"/>
    <cellStyle name="Normal 5 5 3 4" xfId="31582" xr:uid="{00000000-0005-0000-0000-000061710000}"/>
    <cellStyle name="Normal 5 5 3 4 2" xfId="28472" xr:uid="{00000000-0005-0000-0000-000062710000}"/>
    <cellStyle name="Normal 5 5 3 5" xfId="30688" xr:uid="{00000000-0005-0000-0000-000063710000}"/>
    <cellStyle name="Normal 5 5 4" xfId="14327" xr:uid="{00000000-0005-0000-0000-000064710000}"/>
    <cellStyle name="Normal 5 5 4 2" xfId="4712" xr:uid="{00000000-0005-0000-0000-000065710000}"/>
    <cellStyle name="Normal 5 5 4 2 2" xfId="9230" xr:uid="{00000000-0005-0000-0000-000066710000}"/>
    <cellStyle name="Normal 5 5 4 2 2 2" xfId="31054" xr:uid="{00000000-0005-0000-0000-000067710000}"/>
    <cellStyle name="Normal 5 5 4 2 3" xfId="30526" xr:uid="{00000000-0005-0000-0000-000068710000}"/>
    <cellStyle name="Normal 5 5 4 3" xfId="4806" xr:uid="{00000000-0005-0000-0000-000069710000}"/>
    <cellStyle name="Normal 5 5 4 3 2" xfId="32928" xr:uid="{00000000-0005-0000-0000-00006A710000}"/>
    <cellStyle name="Normal 5 5 4 4" xfId="28476" xr:uid="{00000000-0005-0000-0000-00006B710000}"/>
    <cellStyle name="Normal 5 5 5" xfId="6286" xr:uid="{00000000-0005-0000-0000-00006C710000}"/>
    <cellStyle name="Normal 5 5 5 2" xfId="1866" xr:uid="{00000000-0005-0000-0000-00006D710000}"/>
    <cellStyle name="Normal 5 5 5 2 2" xfId="32103" xr:uid="{00000000-0005-0000-0000-00006E710000}"/>
    <cellStyle name="Normal 5 5 5 3" xfId="21748" xr:uid="{00000000-0005-0000-0000-00006F710000}"/>
    <cellStyle name="Normal 5 5 6" xfId="6289" xr:uid="{00000000-0005-0000-0000-000070710000}"/>
    <cellStyle name="Normal 5 5 6 2" xfId="11975" xr:uid="{00000000-0005-0000-0000-000071710000}"/>
    <cellStyle name="Normal 5 5 7" xfId="30330" xr:uid="{00000000-0005-0000-0000-000072710000}"/>
    <cellStyle name="Normal 5 5 7 2" xfId="5686" xr:uid="{00000000-0005-0000-0000-000073710000}"/>
    <cellStyle name="Normal 5 5 8" xfId="28299" xr:uid="{00000000-0005-0000-0000-000074710000}"/>
    <cellStyle name="Normal 5 6" xfId="31333" xr:uid="{00000000-0005-0000-0000-000075710000}"/>
    <cellStyle name="Normal 5 6 2" xfId="31464" xr:uid="{00000000-0005-0000-0000-000076710000}"/>
    <cellStyle name="Normal 5 6 2 2" xfId="5784" xr:uid="{00000000-0005-0000-0000-000077710000}"/>
    <cellStyle name="Normal 5 6 2 2 2" xfId="28943" xr:uid="{00000000-0005-0000-0000-000078710000}"/>
    <cellStyle name="Normal 5 6 2 2 2 2" xfId="29967" xr:uid="{00000000-0005-0000-0000-000079710000}"/>
    <cellStyle name="Normal 5 6 2 2 2 2 2" xfId="30339" xr:uid="{00000000-0005-0000-0000-00007A710000}"/>
    <cellStyle name="Normal 5 6 2 2 2 3" xfId="20647" xr:uid="{00000000-0005-0000-0000-00007B710000}"/>
    <cellStyle name="Normal 5 6 2 2 3" xfId="24236" xr:uid="{00000000-0005-0000-0000-00007C710000}"/>
    <cellStyle name="Normal 5 6 2 2 3 2" xfId="28000" xr:uid="{00000000-0005-0000-0000-00007D710000}"/>
    <cellStyle name="Normal 5 6 2 2 4" xfId="30350" xr:uid="{00000000-0005-0000-0000-00007E710000}"/>
    <cellStyle name="Normal 5 6 2 3" xfId="29968" xr:uid="{00000000-0005-0000-0000-00007F710000}"/>
    <cellStyle name="Normal 5 6 2 3 2" xfId="14472" xr:uid="{00000000-0005-0000-0000-000080710000}"/>
    <cellStyle name="Normal 5 6 2 3 2 2" xfId="28602" xr:uid="{00000000-0005-0000-0000-000081710000}"/>
    <cellStyle name="Normal 5 6 2 3 3" xfId="14475" xr:uid="{00000000-0005-0000-0000-000082710000}"/>
    <cellStyle name="Normal 5 6 2 4" xfId="25468" xr:uid="{00000000-0005-0000-0000-000083710000}"/>
    <cellStyle name="Normal 5 6 2 4 2" xfId="12482" xr:uid="{00000000-0005-0000-0000-000084710000}"/>
    <cellStyle name="Normal 5 6 2 5" xfId="30310" xr:uid="{00000000-0005-0000-0000-000085710000}"/>
    <cellStyle name="Normal 5 6 2 5 2" xfId="31223" xr:uid="{00000000-0005-0000-0000-000086710000}"/>
    <cellStyle name="Normal 5 6 2 6" xfId="27395" xr:uid="{00000000-0005-0000-0000-000087710000}"/>
    <cellStyle name="Normal 5 6 2 6 2" xfId="19642" xr:uid="{00000000-0005-0000-0000-000088710000}"/>
    <cellStyle name="Normal 5 6 2 7" xfId="34025" xr:uid="{00000000-0005-0000-0000-000089710000}"/>
    <cellStyle name="Normal 5 6 3" xfId="6108" xr:uid="{00000000-0005-0000-0000-00008A710000}"/>
    <cellStyle name="Normal 5 6 3 2" xfId="33473" xr:uid="{00000000-0005-0000-0000-00008B710000}"/>
    <cellStyle name="Normal 5 6 3 2 2" xfId="32010" xr:uid="{00000000-0005-0000-0000-00008C710000}"/>
    <cellStyle name="Normal 5 6 3 2 2 2" xfId="28884" xr:uid="{00000000-0005-0000-0000-00008D710000}"/>
    <cellStyle name="Normal 5 6 3 2 3" xfId="30360" xr:uid="{00000000-0005-0000-0000-00008E710000}"/>
    <cellStyle name="Normal 5 6 3 3" xfId="29976" xr:uid="{00000000-0005-0000-0000-00008F710000}"/>
    <cellStyle name="Normal 5 6 3 3 2" xfId="13125" xr:uid="{00000000-0005-0000-0000-000090710000}"/>
    <cellStyle name="Normal 5 6 3 4" xfId="30368" xr:uid="{00000000-0005-0000-0000-000091710000}"/>
    <cellStyle name="Normal 5 6 4" xfId="6298" xr:uid="{00000000-0005-0000-0000-000092710000}"/>
    <cellStyle name="Normal 5 6 4 2" xfId="11670" xr:uid="{00000000-0005-0000-0000-000093710000}"/>
    <cellStyle name="Normal 5 6 4 2 2" xfId="30376" xr:uid="{00000000-0005-0000-0000-000094710000}"/>
    <cellStyle name="Normal 5 6 4 3" xfId="30382" xr:uid="{00000000-0005-0000-0000-000095710000}"/>
    <cellStyle name="Normal 5 6 5" xfId="3496" xr:uid="{00000000-0005-0000-0000-000096710000}"/>
    <cellStyle name="Normal 5 6 5 2" xfId="18519" xr:uid="{00000000-0005-0000-0000-000097710000}"/>
    <cellStyle name="Normal 5 6 6" xfId="29317" xr:uid="{00000000-0005-0000-0000-000098710000}"/>
    <cellStyle name="Normal 5 6 6 2" xfId="8838" xr:uid="{00000000-0005-0000-0000-000099710000}"/>
    <cellStyle name="Normal 5 6 7" xfId="21037" xr:uid="{00000000-0005-0000-0000-00009A710000}"/>
    <cellStyle name="Normal 5 6 7 2" xfId="31918" xr:uid="{00000000-0005-0000-0000-00009B710000}"/>
    <cellStyle name="Normal 5 6 8" xfId="21449" xr:uid="{00000000-0005-0000-0000-00009C710000}"/>
    <cellStyle name="Normal 5 7" xfId="33389" xr:uid="{00000000-0005-0000-0000-00009D710000}"/>
    <cellStyle name="Normal 5 7 2" xfId="30653" xr:uid="{00000000-0005-0000-0000-00009E710000}"/>
    <cellStyle name="Normal 5 7 2 2" xfId="30017" xr:uid="{00000000-0005-0000-0000-00009F710000}"/>
    <cellStyle name="Normal 5 7 2 2 2" xfId="27803" xr:uid="{00000000-0005-0000-0000-0000A0710000}"/>
    <cellStyle name="Normal 5 7 2 2 2 2" xfId="27806" xr:uid="{00000000-0005-0000-0000-0000A1710000}"/>
    <cellStyle name="Normal 5 7 2 2 3" xfId="31092" xr:uid="{00000000-0005-0000-0000-0000A2710000}"/>
    <cellStyle name="Normal 5 7 2 3" xfId="30022" xr:uid="{00000000-0005-0000-0000-0000A3710000}"/>
    <cellStyle name="Normal 5 7 2 3 2" xfId="14481" xr:uid="{00000000-0005-0000-0000-0000A4710000}"/>
    <cellStyle name="Normal 5 7 2 4" xfId="33683" xr:uid="{00000000-0005-0000-0000-0000A5710000}"/>
    <cellStyle name="Normal 5 7 2 4 2" xfId="27168" xr:uid="{00000000-0005-0000-0000-0000A6710000}"/>
    <cellStyle name="Normal 5 7 2 5" xfId="30285" xr:uid="{00000000-0005-0000-0000-0000A7710000}"/>
    <cellStyle name="Normal 5 7 2 5 2" xfId="32546" xr:uid="{00000000-0005-0000-0000-0000A8710000}"/>
    <cellStyle name="Normal 5 7 2 6" xfId="32331" xr:uid="{00000000-0005-0000-0000-0000A9710000}"/>
    <cellStyle name="Normal 5 7 2 6 2" xfId="20076" xr:uid="{00000000-0005-0000-0000-0000AA710000}"/>
    <cellStyle name="Normal 5 7 2 7" xfId="33736" xr:uid="{00000000-0005-0000-0000-0000AB710000}"/>
    <cellStyle name="Normal 5 7 3" xfId="30385" xr:uid="{00000000-0005-0000-0000-0000AC710000}"/>
    <cellStyle name="Normal 5 7 3 2" xfId="30025" xr:uid="{00000000-0005-0000-0000-0000AD710000}"/>
    <cellStyle name="Normal 5 7 3 2 2" xfId="30390" xr:uid="{00000000-0005-0000-0000-0000AE710000}"/>
    <cellStyle name="Normal 5 7 3 3" xfId="14510" xr:uid="{00000000-0005-0000-0000-0000AF710000}"/>
    <cellStyle name="Normal 5 7 4" xfId="6302" xr:uid="{00000000-0005-0000-0000-0000B0710000}"/>
    <cellStyle name="Normal 5 7 4 2" xfId="30393" xr:uid="{00000000-0005-0000-0000-0000B1710000}"/>
    <cellStyle name="Normal 5 7 5" xfId="30396" xr:uid="{00000000-0005-0000-0000-0000B2710000}"/>
    <cellStyle name="Normal 5 7 5 2" xfId="30397" xr:uid="{00000000-0005-0000-0000-0000B3710000}"/>
    <cellStyle name="Normal 5 7 6" xfId="30405" xr:uid="{00000000-0005-0000-0000-0000B4710000}"/>
    <cellStyle name="Normal 5 7 6 2" xfId="30416" xr:uid="{00000000-0005-0000-0000-0000B5710000}"/>
    <cellStyle name="Normal 5 7 7" xfId="21467" xr:uid="{00000000-0005-0000-0000-0000B6710000}"/>
    <cellStyle name="Normal 5 7 7 2" xfId="21477" xr:uid="{00000000-0005-0000-0000-0000B7710000}"/>
    <cellStyle name="Normal 5 7 8" xfId="21498" xr:uid="{00000000-0005-0000-0000-0000B8710000}"/>
    <cellStyle name="Normal 5 8" xfId="10385" xr:uid="{00000000-0005-0000-0000-0000B9710000}"/>
    <cellStyle name="Normal 5 8 2" xfId="29633" xr:uid="{00000000-0005-0000-0000-0000BA710000}"/>
    <cellStyle name="Normal 5 8 2 2" xfId="574" xr:uid="{00000000-0005-0000-0000-0000BB710000}"/>
    <cellStyle name="Normal 5 8 2 2 2" xfId="29030" xr:uid="{00000000-0005-0000-0000-0000BC710000}"/>
    <cellStyle name="Normal 5 8 2 3" xfId="19572" xr:uid="{00000000-0005-0000-0000-0000BD710000}"/>
    <cellStyle name="Normal 5 8 2 3 2" xfId="28083" xr:uid="{00000000-0005-0000-0000-0000BE710000}"/>
    <cellStyle name="Normal 5 8 2 4" xfId="30433" xr:uid="{00000000-0005-0000-0000-0000BF710000}"/>
    <cellStyle name="Normal 5 8 2 4 2" xfId="32355" xr:uid="{00000000-0005-0000-0000-0000C0710000}"/>
    <cellStyle name="Normal 5 8 2 5" xfId="19279" xr:uid="{00000000-0005-0000-0000-0000C1710000}"/>
    <cellStyle name="Normal 5 8 2 5 2" xfId="15777" xr:uid="{00000000-0005-0000-0000-0000C2710000}"/>
    <cellStyle name="Normal 5 8 2 6" xfId="32447" xr:uid="{00000000-0005-0000-0000-0000C3710000}"/>
    <cellStyle name="Normal 5 8 2 6 2" xfId="31797" xr:uid="{00000000-0005-0000-0000-0000C4710000}"/>
    <cellStyle name="Normal 5 8 2 7" xfId="9275" xr:uid="{00000000-0005-0000-0000-0000C5710000}"/>
    <cellStyle name="Normal 5 8 3" xfId="4699" xr:uid="{00000000-0005-0000-0000-0000C6710000}"/>
    <cellStyle name="Normal 5 8 3 2" xfId="28855" xr:uid="{00000000-0005-0000-0000-0000C7710000}"/>
    <cellStyle name="Normal 5 8 4" xfId="4708" xr:uid="{00000000-0005-0000-0000-0000C8710000}"/>
    <cellStyle name="Normal 5 8 4 2" xfId="30436" xr:uid="{00000000-0005-0000-0000-0000C9710000}"/>
    <cellStyle name="Normal 5 8 5" xfId="810" xr:uid="{00000000-0005-0000-0000-0000CA710000}"/>
    <cellStyle name="Normal 5 8 5 2" xfId="29679" xr:uid="{00000000-0005-0000-0000-0000CB710000}"/>
    <cellStyle name="Normal 5 8 6" xfId="29684" xr:uid="{00000000-0005-0000-0000-0000CC710000}"/>
    <cellStyle name="Normal 5 8 6 2" xfId="23040" xr:uid="{00000000-0005-0000-0000-0000CD710000}"/>
    <cellStyle name="Normal 5 8 7" xfId="21514" xr:uid="{00000000-0005-0000-0000-0000CE710000}"/>
    <cellStyle name="Normal 5 8 7 2" xfId="22" xr:uid="{00000000-0005-0000-0000-0000CF710000}"/>
    <cellStyle name="Normal 5 8 8" xfId="21525" xr:uid="{00000000-0005-0000-0000-0000D0710000}"/>
    <cellStyle name="Normal 5 9" xfId="10388" xr:uid="{00000000-0005-0000-0000-0000D1710000}"/>
    <cellStyle name="Normal 5 9 2" xfId="21692" xr:uid="{00000000-0005-0000-0000-0000D2710000}"/>
    <cellStyle name="Normal 5 9 2 2" xfId="30451" xr:uid="{00000000-0005-0000-0000-0000D3710000}"/>
    <cellStyle name="Normal 5 9 2 2 2" xfId="5608" xr:uid="{00000000-0005-0000-0000-0000D4710000}"/>
    <cellStyle name="Normal 5 9 2 3" xfId="30454" xr:uid="{00000000-0005-0000-0000-0000D5710000}"/>
    <cellStyle name="Normal 5 9 2 3 2" xfId="29767" xr:uid="{00000000-0005-0000-0000-0000D6710000}"/>
    <cellStyle name="Normal 5 9 2 4" xfId="30458" xr:uid="{00000000-0005-0000-0000-0000D7710000}"/>
    <cellStyle name="Normal 5 9 2 4 2" xfId="29773" xr:uid="{00000000-0005-0000-0000-0000D8710000}"/>
    <cellStyle name="Normal 5 9 2 5" xfId="33707" xr:uid="{00000000-0005-0000-0000-0000D9710000}"/>
    <cellStyle name="Normal 5 9 2 5 2" xfId="32031" xr:uid="{00000000-0005-0000-0000-0000DA710000}"/>
    <cellStyle name="Normal 5 9 2 6" xfId="11502" xr:uid="{00000000-0005-0000-0000-0000DB710000}"/>
    <cellStyle name="Normal 5 9 2 6 2" xfId="33477" xr:uid="{00000000-0005-0000-0000-0000DC710000}"/>
    <cellStyle name="Normal 5 9 2 7" xfId="1522" xr:uid="{00000000-0005-0000-0000-0000DD710000}"/>
    <cellStyle name="Normal 5 9 3" xfId="4717" xr:uid="{00000000-0005-0000-0000-0000DE710000}"/>
    <cellStyle name="Normal 5 9 3 2" xfId="24864" xr:uid="{00000000-0005-0000-0000-0000DF710000}"/>
    <cellStyle name="Normal 5 9 4" xfId="435" xr:uid="{00000000-0005-0000-0000-0000E0710000}"/>
    <cellStyle name="Normal 5 9 4 2" xfId="22622" xr:uid="{00000000-0005-0000-0000-0000E1710000}"/>
    <cellStyle name="Normal 5 9 5" xfId="24737" xr:uid="{00000000-0005-0000-0000-0000E2710000}"/>
    <cellStyle name="Normal 5 9 5 2" xfId="29799" xr:uid="{00000000-0005-0000-0000-0000E3710000}"/>
    <cellStyle name="Normal 5 9 6" xfId="16438" xr:uid="{00000000-0005-0000-0000-0000E4710000}"/>
    <cellStyle name="Normal 5 9 6 2" xfId="3346" xr:uid="{00000000-0005-0000-0000-0000E5710000}"/>
    <cellStyle name="Normal 5 9 7" xfId="16447" xr:uid="{00000000-0005-0000-0000-0000E6710000}"/>
    <cellStyle name="Normal 5 9 7 2" xfId="16450" xr:uid="{00000000-0005-0000-0000-0000E7710000}"/>
    <cellStyle name="Normal 5 9 8" xfId="16463" xr:uid="{00000000-0005-0000-0000-0000E8710000}"/>
    <cellStyle name="Normal 53" xfId="34041" xr:uid="{4A05BD96-79E6-4B22-8E3F-2B98584664DC}"/>
    <cellStyle name="Normal 6" xfId="33256" xr:uid="{00000000-0005-0000-0000-0000E9710000}"/>
    <cellStyle name="Normal 6 2" xfId="32703" xr:uid="{00000000-0005-0000-0000-0000EA710000}"/>
    <cellStyle name="Normal 7" xfId="32701" xr:uid="{00000000-0005-0000-0000-0000EB710000}"/>
    <cellStyle name="Normal 7 10" xfId="15302" xr:uid="{00000000-0005-0000-0000-0000EC710000}"/>
    <cellStyle name="Normal 7 2" xfId="27400" xr:uid="{00000000-0005-0000-0000-0000ED710000}"/>
    <cellStyle name="Normal 7 2 2" xfId="26149" xr:uid="{00000000-0005-0000-0000-0000EE710000}"/>
    <cellStyle name="Normal 7 2 2 2" xfId="27547" xr:uid="{00000000-0005-0000-0000-0000EF710000}"/>
    <cellStyle name="Normal 7 2 2 2 2" xfId="12930" xr:uid="{00000000-0005-0000-0000-0000F0710000}"/>
    <cellStyle name="Normal 7 2 2 2 2 2" xfId="16911" xr:uid="{00000000-0005-0000-0000-0000F1710000}"/>
    <cellStyle name="Normal 7 2 2 2 2 2 2" xfId="19499" xr:uid="{00000000-0005-0000-0000-0000F2710000}"/>
    <cellStyle name="Normal 7 2 2 2 2 2 2 2" xfId="30702" xr:uid="{00000000-0005-0000-0000-0000F3710000}"/>
    <cellStyle name="Normal 7 2 2 2 2 2 2 2 2" xfId="1398" xr:uid="{00000000-0005-0000-0000-0000F4710000}"/>
    <cellStyle name="Normal 7 2 2 2 2 2 2 2 2 2" xfId="16022" xr:uid="{00000000-0005-0000-0000-0000F5710000}"/>
    <cellStyle name="Normal 7 2 2 2 2 2 2 2 3" xfId="5648" xr:uid="{00000000-0005-0000-0000-0000F6710000}"/>
    <cellStyle name="Normal 7 2 2 2 2 2 2 3" xfId="30471" xr:uid="{00000000-0005-0000-0000-0000F7710000}"/>
    <cellStyle name="Normal 7 2 2 2 2 2 2 3 2" xfId="5705" xr:uid="{00000000-0005-0000-0000-0000F8710000}"/>
    <cellStyle name="Normal 7 2 2 2 2 2 2 4" xfId="7676" xr:uid="{00000000-0005-0000-0000-0000F9710000}"/>
    <cellStyle name="Normal 7 2 2 2 2 2 3" xfId="30472" xr:uid="{00000000-0005-0000-0000-0000FA710000}"/>
    <cellStyle name="Normal 7 2 2 2 2 2 3 2" xfId="30734" xr:uid="{00000000-0005-0000-0000-0000FB710000}"/>
    <cellStyle name="Normal 7 2 2 2 2 2 3 2 2" xfId="5804" xr:uid="{00000000-0005-0000-0000-0000FC710000}"/>
    <cellStyle name="Normal 7 2 2 2 2 2 3 3" xfId="30673" xr:uid="{00000000-0005-0000-0000-0000FD710000}"/>
    <cellStyle name="Normal 7 2 2 2 2 2 4" xfId="6507" xr:uid="{00000000-0005-0000-0000-0000FE710000}"/>
    <cellStyle name="Normal 7 2 2 2 2 2 4 2" xfId="30473" xr:uid="{00000000-0005-0000-0000-0000FF710000}"/>
    <cellStyle name="Normal 7 2 2 2 2 2 5" xfId="23463" xr:uid="{00000000-0005-0000-0000-000000720000}"/>
    <cellStyle name="Normal 7 2 2 2 2 3" xfId="9667" xr:uid="{00000000-0005-0000-0000-000001720000}"/>
    <cellStyle name="Normal 7 2 2 2 2 3 2" xfId="30597" xr:uid="{00000000-0005-0000-0000-000002720000}"/>
    <cellStyle name="Normal 7 2 2 2 2 3 2 2" xfId="31178" xr:uid="{00000000-0005-0000-0000-000003720000}"/>
    <cellStyle name="Normal 7 2 2 2 2 3 2 2 2" xfId="6182" xr:uid="{00000000-0005-0000-0000-000004720000}"/>
    <cellStyle name="Normal 7 2 2 2 2 3 2 3" xfId="30480" xr:uid="{00000000-0005-0000-0000-000005720000}"/>
    <cellStyle name="Normal 7 2 2 2 2 3 3" xfId="23502" xr:uid="{00000000-0005-0000-0000-000006720000}"/>
    <cellStyle name="Normal 7 2 2 2 2 3 3 2" xfId="30484" xr:uid="{00000000-0005-0000-0000-000007720000}"/>
    <cellStyle name="Normal 7 2 2 2 2 3 4" xfId="23416" xr:uid="{00000000-0005-0000-0000-000008720000}"/>
    <cellStyle name="Normal 7 2 2 2 2 4" xfId="18938" xr:uid="{00000000-0005-0000-0000-000009720000}"/>
    <cellStyle name="Normal 7 2 2 2 2 4 2" xfId="18943" xr:uid="{00000000-0005-0000-0000-00000A720000}"/>
    <cellStyle name="Normal 7 2 2 2 2 4 2 2" xfId="5337" xr:uid="{00000000-0005-0000-0000-00000B720000}"/>
    <cellStyle name="Normal 7 2 2 2 2 4 3" xfId="23509" xr:uid="{00000000-0005-0000-0000-00000C720000}"/>
    <cellStyle name="Normal 7 2 2 2 2 5" xfId="22657" xr:uid="{00000000-0005-0000-0000-00000D720000}"/>
    <cellStyle name="Normal 7 2 2 2 2 5 2" xfId="18949" xr:uid="{00000000-0005-0000-0000-00000E720000}"/>
    <cellStyle name="Normal 7 2 2 2 2 6" xfId="18953" xr:uid="{00000000-0005-0000-0000-00000F720000}"/>
    <cellStyle name="Normal 7 2 2 2 3" xfId="26767" xr:uid="{00000000-0005-0000-0000-000010720000}"/>
    <cellStyle name="Normal 7 2 2 2 3 2" xfId="16914" xr:uid="{00000000-0005-0000-0000-000011720000}"/>
    <cellStyle name="Normal 7 2 2 2 3 2 2" xfId="31286" xr:uid="{00000000-0005-0000-0000-000012720000}"/>
    <cellStyle name="Normal 7 2 2 2 3 2 2 2" xfId="25732" xr:uid="{00000000-0005-0000-0000-000013720000}"/>
    <cellStyle name="Normal 7 2 2 2 3 2 2 2 2" xfId="3562" xr:uid="{00000000-0005-0000-0000-000014720000}"/>
    <cellStyle name="Normal 7 2 2 2 3 2 2 3" xfId="18349" xr:uid="{00000000-0005-0000-0000-000015720000}"/>
    <cellStyle name="Normal 7 2 2 2 3 2 3" xfId="30807" xr:uid="{00000000-0005-0000-0000-000016720000}"/>
    <cellStyle name="Normal 7 2 2 2 3 2 3 2" xfId="25741" xr:uid="{00000000-0005-0000-0000-000017720000}"/>
    <cellStyle name="Normal 7 2 2 2 3 2 4" xfId="933" xr:uid="{00000000-0005-0000-0000-000018720000}"/>
    <cellStyle name="Normal 7 2 2 2 3 3" xfId="33102" xr:uid="{00000000-0005-0000-0000-000019720000}"/>
    <cellStyle name="Normal 7 2 2 2 3 3 2" xfId="29217" xr:uid="{00000000-0005-0000-0000-00001A720000}"/>
    <cellStyle name="Normal 7 2 2 2 3 3 2 2" xfId="25757" xr:uid="{00000000-0005-0000-0000-00001B720000}"/>
    <cellStyle name="Normal 7 2 2 2 3 3 3" xfId="23518" xr:uid="{00000000-0005-0000-0000-00001C720000}"/>
    <cellStyle name="Normal 7 2 2 2 3 4" xfId="10138" xr:uid="{00000000-0005-0000-0000-00001D720000}"/>
    <cellStyle name="Normal 7 2 2 2 3 4 2" xfId="13975" xr:uid="{00000000-0005-0000-0000-00001E720000}"/>
    <cellStyle name="Normal 7 2 2 2 3 5" xfId="13980" xr:uid="{00000000-0005-0000-0000-00001F720000}"/>
    <cellStyle name="Normal 7 2 2 2 4" xfId="33011" xr:uid="{00000000-0005-0000-0000-000020720000}"/>
    <cellStyle name="Normal 7 2 2 2 4 2" xfId="30486" xr:uid="{00000000-0005-0000-0000-000021720000}"/>
    <cellStyle name="Normal 7 2 2 2 4 2 2" xfId="29336" xr:uid="{00000000-0005-0000-0000-000022720000}"/>
    <cellStyle name="Normal 7 2 2 2 4 2 2 2" xfId="25825" xr:uid="{00000000-0005-0000-0000-000023720000}"/>
    <cellStyle name="Normal 7 2 2 2 4 2 3" xfId="30487" xr:uid="{00000000-0005-0000-0000-000024720000}"/>
    <cellStyle name="Normal 7 2 2 2 4 3" xfId="30488" xr:uid="{00000000-0005-0000-0000-000025720000}"/>
    <cellStyle name="Normal 7 2 2 2 4 3 2" xfId="30319" xr:uid="{00000000-0005-0000-0000-000026720000}"/>
    <cellStyle name="Normal 7 2 2 2 4 4" xfId="13988" xr:uid="{00000000-0005-0000-0000-000027720000}"/>
    <cellStyle name="Normal 7 2 2 2 5" xfId="32866" xr:uid="{00000000-0005-0000-0000-000028720000}"/>
    <cellStyle name="Normal 7 2 2 2 5 2" xfId="30491" xr:uid="{00000000-0005-0000-0000-000029720000}"/>
    <cellStyle name="Normal 7 2 2 2 5 2 2" xfId="32156" xr:uid="{00000000-0005-0000-0000-00002A720000}"/>
    <cellStyle name="Normal 7 2 2 2 5 3" xfId="31065" xr:uid="{00000000-0005-0000-0000-00002B720000}"/>
    <cellStyle name="Normal 7 2 2 2 6" xfId="4535" xr:uid="{00000000-0005-0000-0000-00002C720000}"/>
    <cellStyle name="Normal 7 2 2 2 6 2" xfId="31744" xr:uid="{00000000-0005-0000-0000-00002D720000}"/>
    <cellStyle name="Normal 7 2 2 2 7" xfId="5162" xr:uid="{00000000-0005-0000-0000-00002E720000}"/>
    <cellStyle name="Normal 7 2 2 3" xfId="25018" xr:uid="{00000000-0005-0000-0000-00002F720000}"/>
    <cellStyle name="Normal 7 2 2 3 2" xfId="23866" xr:uid="{00000000-0005-0000-0000-000030720000}"/>
    <cellStyle name="Normal 7 2 2 3 2 2" xfId="12215" xr:uid="{00000000-0005-0000-0000-000031720000}"/>
    <cellStyle name="Normal 7 2 2 3 2 2 2" xfId="20772" xr:uid="{00000000-0005-0000-0000-000032720000}"/>
    <cellStyle name="Normal 7 2 2 3 2 2 2 2" xfId="32234" xr:uid="{00000000-0005-0000-0000-000033720000}"/>
    <cellStyle name="Normal 7 2 2 3 2 2 2 2 2" xfId="33333" xr:uid="{00000000-0005-0000-0000-000034720000}"/>
    <cellStyle name="Normal 7 2 2 3 2 2 2 3" xfId="30493" xr:uid="{00000000-0005-0000-0000-000035720000}"/>
    <cellStyle name="Normal 7 2 2 3 2 2 3" xfId="30494" xr:uid="{00000000-0005-0000-0000-000036720000}"/>
    <cellStyle name="Normal 7 2 2 3 2 2 3 2" xfId="30495" xr:uid="{00000000-0005-0000-0000-000037720000}"/>
    <cellStyle name="Normal 7 2 2 3 2 2 4" xfId="18514" xr:uid="{00000000-0005-0000-0000-000038720000}"/>
    <cellStyle name="Normal 7 2 2 3 2 3" xfId="30497" xr:uid="{00000000-0005-0000-0000-000039720000}"/>
    <cellStyle name="Normal 7 2 2 3 2 3 2" xfId="30500" xr:uid="{00000000-0005-0000-0000-00003A720000}"/>
    <cellStyle name="Normal 7 2 2 3 2 3 2 2" xfId="30502" xr:uid="{00000000-0005-0000-0000-00003B720000}"/>
    <cellStyle name="Normal 7 2 2 3 2 3 3" xfId="23539" xr:uid="{00000000-0005-0000-0000-00003C720000}"/>
    <cellStyle name="Normal 7 2 2 3 2 4" xfId="20931" xr:uid="{00000000-0005-0000-0000-00003D720000}"/>
    <cellStyle name="Normal 7 2 2 3 2 4 2" xfId="21926" xr:uid="{00000000-0005-0000-0000-00003E720000}"/>
    <cellStyle name="Normal 7 2 2 3 2 5" xfId="19147" xr:uid="{00000000-0005-0000-0000-00003F720000}"/>
    <cellStyle name="Normal 7 2 2 3 3" xfId="32940" xr:uid="{00000000-0005-0000-0000-000040720000}"/>
    <cellStyle name="Normal 7 2 2 3 3 2" xfId="30504" xr:uid="{00000000-0005-0000-0000-000041720000}"/>
    <cellStyle name="Normal 7 2 2 3 3 2 2" xfId="26941" xr:uid="{00000000-0005-0000-0000-000042720000}"/>
    <cellStyle name="Normal 7 2 2 3 3 2 2 2" xfId="25957" xr:uid="{00000000-0005-0000-0000-000043720000}"/>
    <cellStyle name="Normal 7 2 2 3 3 2 3" xfId="33017" xr:uid="{00000000-0005-0000-0000-000044720000}"/>
    <cellStyle name="Normal 7 2 2 3 3 3" xfId="30506" xr:uid="{00000000-0005-0000-0000-000045720000}"/>
    <cellStyle name="Normal 7 2 2 3 3 3 2" xfId="30509" xr:uid="{00000000-0005-0000-0000-000046720000}"/>
    <cellStyle name="Normal 7 2 2 3 3 4" xfId="4643" xr:uid="{00000000-0005-0000-0000-000047720000}"/>
    <cellStyle name="Normal 7 2 2 3 4" xfId="15098" xr:uid="{00000000-0005-0000-0000-000048720000}"/>
    <cellStyle name="Normal 7 2 2 3 4 2" xfId="30510" xr:uid="{00000000-0005-0000-0000-000049720000}"/>
    <cellStyle name="Normal 7 2 2 3 4 2 2" xfId="30523" xr:uid="{00000000-0005-0000-0000-00004A720000}"/>
    <cellStyle name="Normal 7 2 2 3 4 3" xfId="30529" xr:uid="{00000000-0005-0000-0000-00004B720000}"/>
    <cellStyle name="Normal 7 2 2 3 5" xfId="32980" xr:uid="{00000000-0005-0000-0000-00004C720000}"/>
    <cellStyle name="Normal 7 2 2 3 5 2" xfId="31540" xr:uid="{00000000-0005-0000-0000-00004D720000}"/>
    <cellStyle name="Normal 7 2 2 3 6" xfId="5174" xr:uid="{00000000-0005-0000-0000-00004E720000}"/>
    <cellStyle name="Normal 7 2 2 4" xfId="20408" xr:uid="{00000000-0005-0000-0000-00004F720000}"/>
    <cellStyle name="Normal 7 2 2 4 2" xfId="33727" xr:uid="{00000000-0005-0000-0000-000050720000}"/>
    <cellStyle name="Normal 7 2 2 4 2 2" xfId="31524" xr:uid="{00000000-0005-0000-0000-000051720000}"/>
    <cellStyle name="Normal 7 2 2 4 2 2 2" xfId="30532" xr:uid="{00000000-0005-0000-0000-000052720000}"/>
    <cellStyle name="Normal 7 2 2 4 2 2 2 2" xfId="32491" xr:uid="{00000000-0005-0000-0000-000053720000}"/>
    <cellStyle name="Normal 7 2 2 4 2 2 3" xfId="24025" xr:uid="{00000000-0005-0000-0000-000054720000}"/>
    <cellStyle name="Normal 7 2 2 4 2 3" xfId="30534" xr:uid="{00000000-0005-0000-0000-000055720000}"/>
    <cellStyle name="Normal 7 2 2 4 2 3 2" xfId="30536" xr:uid="{00000000-0005-0000-0000-000056720000}"/>
    <cellStyle name="Normal 7 2 2 4 2 4" xfId="4553" xr:uid="{00000000-0005-0000-0000-000057720000}"/>
    <cellStyle name="Normal 7 2 2 4 3" xfId="28230" xr:uid="{00000000-0005-0000-0000-000058720000}"/>
    <cellStyle name="Normal 7 2 2 4 3 2" xfId="28325" xr:uid="{00000000-0005-0000-0000-000059720000}"/>
    <cellStyle name="Normal 7 2 2 4 3 2 2" xfId="30541" xr:uid="{00000000-0005-0000-0000-00005A720000}"/>
    <cellStyle name="Normal 7 2 2 4 3 3" xfId="32850" xr:uid="{00000000-0005-0000-0000-00005B720000}"/>
    <cellStyle name="Normal 7 2 2 4 4" xfId="28241" xr:uid="{00000000-0005-0000-0000-00005C720000}"/>
    <cellStyle name="Normal 7 2 2 4 4 2" xfId="31714" xr:uid="{00000000-0005-0000-0000-00005D720000}"/>
    <cellStyle name="Normal 7 2 2 4 5" xfId="29335" xr:uid="{00000000-0005-0000-0000-00005E720000}"/>
    <cellStyle name="Normal 7 2 2 5" xfId="29087" xr:uid="{00000000-0005-0000-0000-00005F720000}"/>
    <cellStyle name="Normal 7 2 2 5 2" xfId="33549" xr:uid="{00000000-0005-0000-0000-000060720000}"/>
    <cellStyle name="Normal 7 2 2 5 2 2" xfId="29519" xr:uid="{00000000-0005-0000-0000-000061720000}"/>
    <cellStyle name="Normal 7 2 2 5 2 2 2" xfId="27785" xr:uid="{00000000-0005-0000-0000-000062720000}"/>
    <cellStyle name="Normal 7 2 2 5 2 3" xfId="26144" xr:uid="{00000000-0005-0000-0000-000063720000}"/>
    <cellStyle name="Normal 7 2 2 5 3" xfId="27377" xr:uid="{00000000-0005-0000-0000-000064720000}"/>
    <cellStyle name="Normal 7 2 2 5 3 2" xfId="31967" xr:uid="{00000000-0005-0000-0000-000065720000}"/>
    <cellStyle name="Normal 7 2 2 5 4" xfId="33167" xr:uid="{00000000-0005-0000-0000-000066720000}"/>
    <cellStyle name="Normal 7 2 2 6" xfId="5084" xr:uid="{00000000-0005-0000-0000-000067720000}"/>
    <cellStyle name="Normal 7 2 2 6 2" xfId="29561" xr:uid="{00000000-0005-0000-0000-000068720000}"/>
    <cellStyle name="Normal 7 2 2 6 2 2" xfId="27787" xr:uid="{00000000-0005-0000-0000-000069720000}"/>
    <cellStyle name="Normal 7 2 2 6 3" xfId="29573" xr:uid="{00000000-0005-0000-0000-00006A720000}"/>
    <cellStyle name="Normal 7 2 2 7" xfId="3856" xr:uid="{00000000-0005-0000-0000-00006B720000}"/>
    <cellStyle name="Normal 7 2 2 7 2" xfId="28663" xr:uid="{00000000-0005-0000-0000-00006C720000}"/>
    <cellStyle name="Normal 7 2 2 8" xfId="16146" xr:uid="{00000000-0005-0000-0000-00006D720000}"/>
    <cellStyle name="Normal 7 2 3" xfId="22886" xr:uid="{00000000-0005-0000-0000-00006E720000}"/>
    <cellStyle name="Normal 7 2 3 2" xfId="17500" xr:uid="{00000000-0005-0000-0000-00006F720000}"/>
    <cellStyle name="Normal 7 2 3 2 2" xfId="27218" xr:uid="{00000000-0005-0000-0000-000070720000}"/>
    <cellStyle name="Normal 7 2 3 2 2 2" xfId="17200" xr:uid="{00000000-0005-0000-0000-000071720000}"/>
    <cellStyle name="Normal 7 2 3 2 2 2 2" xfId="30136" xr:uid="{00000000-0005-0000-0000-000072720000}"/>
    <cellStyle name="Normal 7 2 3 2 2 2 2 2" xfId="30746" xr:uid="{00000000-0005-0000-0000-000073720000}"/>
    <cellStyle name="Normal 7 2 3 2 2 2 2 2 2" xfId="19376" xr:uid="{00000000-0005-0000-0000-000074720000}"/>
    <cellStyle name="Normal 7 2 3 2 2 2 2 3" xfId="33240" xr:uid="{00000000-0005-0000-0000-000075720000}"/>
    <cellStyle name="Normal 7 2 3 2 2 2 3" xfId="30545" xr:uid="{00000000-0005-0000-0000-000076720000}"/>
    <cellStyle name="Normal 7 2 3 2 2 2 3 2" xfId="30547" xr:uid="{00000000-0005-0000-0000-000077720000}"/>
    <cellStyle name="Normal 7 2 3 2 2 2 4" xfId="10253" xr:uid="{00000000-0005-0000-0000-000078720000}"/>
    <cellStyle name="Normal 7 2 3 2 2 3" xfId="31016" xr:uid="{00000000-0005-0000-0000-000079720000}"/>
    <cellStyle name="Normal 7 2 3 2 2 3 2" xfId="32238" xr:uid="{00000000-0005-0000-0000-00007A720000}"/>
    <cellStyle name="Normal 7 2 3 2 2 3 2 2" xfId="30781" xr:uid="{00000000-0005-0000-0000-00007B720000}"/>
    <cellStyle name="Normal 7 2 3 2 2 3 3" xfId="23564" xr:uid="{00000000-0005-0000-0000-00007C720000}"/>
    <cellStyle name="Normal 7 2 3 2 2 4" xfId="25580" xr:uid="{00000000-0005-0000-0000-00007D720000}"/>
    <cellStyle name="Normal 7 2 3 2 2 4 2" xfId="19585" xr:uid="{00000000-0005-0000-0000-00007E720000}"/>
    <cellStyle name="Normal 7 2 3 2 2 5" xfId="26497" xr:uid="{00000000-0005-0000-0000-00007F720000}"/>
    <cellStyle name="Normal 7 2 3 2 3" xfId="29808" xr:uid="{00000000-0005-0000-0000-000080720000}"/>
    <cellStyle name="Normal 7 2 3 2 3 2" xfId="27220" xr:uid="{00000000-0005-0000-0000-000081720000}"/>
    <cellStyle name="Normal 7 2 3 2 3 2 2" xfId="32013" xr:uid="{00000000-0005-0000-0000-000082720000}"/>
    <cellStyle name="Normal 7 2 3 2 3 2 2 2" xfId="893" xr:uid="{00000000-0005-0000-0000-000083720000}"/>
    <cellStyle name="Normal 7 2 3 2 3 2 3" xfId="30552" xr:uid="{00000000-0005-0000-0000-000084720000}"/>
    <cellStyle name="Normal 7 2 3 2 3 3" xfId="30554" xr:uid="{00000000-0005-0000-0000-000085720000}"/>
    <cellStyle name="Normal 7 2 3 2 3 3 2" xfId="31644" xr:uid="{00000000-0005-0000-0000-000086720000}"/>
    <cellStyle name="Normal 7 2 3 2 3 4" xfId="6910" xr:uid="{00000000-0005-0000-0000-000087720000}"/>
    <cellStyle name="Normal 7 2 3 2 4" xfId="26120" xr:uid="{00000000-0005-0000-0000-000088720000}"/>
    <cellStyle name="Normal 7 2 3 2 4 2" xfId="6198" xr:uid="{00000000-0005-0000-0000-000089720000}"/>
    <cellStyle name="Normal 7 2 3 2 4 2 2" xfId="33752" xr:uid="{00000000-0005-0000-0000-00008A720000}"/>
    <cellStyle name="Normal 7 2 3 2 4 3" xfId="9841" xr:uid="{00000000-0005-0000-0000-00008B720000}"/>
    <cellStyle name="Normal 7 2 3 2 5" xfId="33204" xr:uid="{00000000-0005-0000-0000-00008C720000}"/>
    <cellStyle name="Normal 7 2 3 2 5 2" xfId="9847" xr:uid="{00000000-0005-0000-0000-00008D720000}"/>
    <cellStyle name="Normal 7 2 3 2 6" xfId="469" xr:uid="{00000000-0005-0000-0000-00008E720000}"/>
    <cellStyle name="Normal 7 2 3 3" xfId="446" xr:uid="{00000000-0005-0000-0000-00008F720000}"/>
    <cellStyle name="Normal 7 2 3 3 2" xfId="13239" xr:uid="{00000000-0005-0000-0000-000090720000}"/>
    <cellStyle name="Normal 7 2 3 3 2 2" xfId="30267" xr:uid="{00000000-0005-0000-0000-000091720000}"/>
    <cellStyle name="Normal 7 2 3 3 2 2 2" xfId="33247" xr:uid="{00000000-0005-0000-0000-000092720000}"/>
    <cellStyle name="Normal 7 2 3 3 2 2 2 2" xfId="33409" xr:uid="{00000000-0005-0000-0000-000093720000}"/>
    <cellStyle name="Normal 7 2 3 3 2 2 3" xfId="30555" xr:uid="{00000000-0005-0000-0000-000094720000}"/>
    <cellStyle name="Normal 7 2 3 3 2 3" xfId="30560" xr:uid="{00000000-0005-0000-0000-000095720000}"/>
    <cellStyle name="Normal 7 2 3 3 2 3 2" xfId="30563" xr:uid="{00000000-0005-0000-0000-000096720000}"/>
    <cellStyle name="Normal 7 2 3 3 2 4" xfId="14778" xr:uid="{00000000-0005-0000-0000-000097720000}"/>
    <cellStyle name="Normal 7 2 3 3 3" xfId="23342" xr:uid="{00000000-0005-0000-0000-000098720000}"/>
    <cellStyle name="Normal 7 2 3 3 3 2" xfId="23798" xr:uid="{00000000-0005-0000-0000-000099720000}"/>
    <cellStyle name="Normal 7 2 3 3 3 2 2" xfId="33273" xr:uid="{00000000-0005-0000-0000-00009A720000}"/>
    <cellStyle name="Normal 7 2 3 3 3 3" xfId="33119" xr:uid="{00000000-0005-0000-0000-00009B720000}"/>
    <cellStyle name="Normal 7 2 3 3 4" xfId="5969" xr:uid="{00000000-0005-0000-0000-00009C720000}"/>
    <cellStyle name="Normal 7 2 3 3 4 2" xfId="9866" xr:uid="{00000000-0005-0000-0000-00009D720000}"/>
    <cellStyle name="Normal 7 2 3 3 5" xfId="8803" xr:uid="{00000000-0005-0000-0000-00009E720000}"/>
    <cellStyle name="Normal 7 2 3 4" xfId="28447" xr:uid="{00000000-0005-0000-0000-00009F720000}"/>
    <cellStyle name="Normal 7 2 3 4 2" xfId="23354" xr:uid="{00000000-0005-0000-0000-0000A0720000}"/>
    <cellStyle name="Normal 7 2 3 4 2 2" xfId="20442" xr:uid="{00000000-0005-0000-0000-0000A1720000}"/>
    <cellStyle name="Normal 7 2 3 4 2 2 2" xfId="34012" xr:uid="{00000000-0005-0000-0000-0000A2720000}"/>
    <cellStyle name="Normal 7 2 3 4 2 3" xfId="29603" xr:uid="{00000000-0005-0000-0000-0000A3720000}"/>
    <cellStyle name="Normal 7 2 3 4 3" xfId="29219" xr:uid="{00000000-0005-0000-0000-0000A4720000}"/>
    <cellStyle name="Normal 7 2 3 4 3 2" xfId="29224" xr:uid="{00000000-0005-0000-0000-0000A5720000}"/>
    <cellStyle name="Normal 7 2 3 4 4" xfId="8461" xr:uid="{00000000-0005-0000-0000-0000A6720000}"/>
    <cellStyle name="Normal 7 2 3 5" xfId="32825" xr:uid="{00000000-0005-0000-0000-0000A7720000}"/>
    <cellStyle name="Normal 7 2 3 5 2" xfId="15915" xr:uid="{00000000-0005-0000-0000-0000A8720000}"/>
    <cellStyle name="Normal 7 2 3 5 2 2" xfId="33602" xr:uid="{00000000-0005-0000-0000-0000A9720000}"/>
    <cellStyle name="Normal 7 2 3 5 3" xfId="23361" xr:uid="{00000000-0005-0000-0000-0000AA720000}"/>
    <cellStyle name="Normal 7 2 3 6" xfId="16791" xr:uid="{00000000-0005-0000-0000-0000AB720000}"/>
    <cellStyle name="Normal 7 2 3 6 2" xfId="27793" xr:uid="{00000000-0005-0000-0000-0000AC720000}"/>
    <cellStyle name="Normal 7 2 3 7" xfId="27796" xr:uid="{00000000-0005-0000-0000-0000AD720000}"/>
    <cellStyle name="Normal 7 2 4" xfId="3267" xr:uid="{00000000-0005-0000-0000-0000AE720000}"/>
    <cellStyle name="Normal 7 2 4 2" xfId="29825" xr:uid="{00000000-0005-0000-0000-0000AF720000}"/>
    <cellStyle name="Normal 7 2 4 2 2" xfId="6512" xr:uid="{00000000-0005-0000-0000-0000B0720000}"/>
    <cellStyle name="Normal 7 2 4 2 2 2" xfId="16306" xr:uid="{00000000-0005-0000-0000-0000B1720000}"/>
    <cellStyle name="Normal 7 2 4 2 2 2 2" xfId="32919" xr:uid="{00000000-0005-0000-0000-0000B2720000}"/>
    <cellStyle name="Normal 7 2 4 2 2 2 2 2" xfId="16789" xr:uid="{00000000-0005-0000-0000-0000B3720000}"/>
    <cellStyle name="Normal 7 2 4 2 2 2 3" xfId="31428" xr:uid="{00000000-0005-0000-0000-0000B4720000}"/>
    <cellStyle name="Normal 7 2 4 2 2 3" xfId="33338" xr:uid="{00000000-0005-0000-0000-0000B5720000}"/>
    <cellStyle name="Normal 7 2 4 2 2 3 2" xfId="30637" xr:uid="{00000000-0005-0000-0000-0000B6720000}"/>
    <cellStyle name="Normal 7 2 4 2 2 4" xfId="26611" xr:uid="{00000000-0005-0000-0000-0000B7720000}"/>
    <cellStyle name="Normal 7 2 4 2 3" xfId="6514" xr:uid="{00000000-0005-0000-0000-0000B8720000}"/>
    <cellStyle name="Normal 7 2 4 2 3 2" xfId="9073" xr:uid="{00000000-0005-0000-0000-0000B9720000}"/>
    <cellStyle name="Normal 7 2 4 2 3 2 2" xfId="33623" xr:uid="{00000000-0005-0000-0000-0000BA720000}"/>
    <cellStyle name="Normal 7 2 4 2 3 3" xfId="3437" xr:uid="{00000000-0005-0000-0000-0000BB720000}"/>
    <cellStyle name="Normal 7 2 4 2 4" xfId="33350" xr:uid="{00000000-0005-0000-0000-0000BC720000}"/>
    <cellStyle name="Normal 7 2 4 2 4 2" xfId="11237" xr:uid="{00000000-0005-0000-0000-0000BD720000}"/>
    <cellStyle name="Normal 7 2 4 2 5" xfId="33618" xr:uid="{00000000-0005-0000-0000-0000BE720000}"/>
    <cellStyle name="Normal 7 2 4 3" xfId="27192" xr:uid="{00000000-0005-0000-0000-0000BF720000}"/>
    <cellStyle name="Normal 7 2 4 3 2" xfId="16421" xr:uid="{00000000-0005-0000-0000-0000C0720000}"/>
    <cellStyle name="Normal 7 2 4 3 2 2" xfId="28168" xr:uid="{00000000-0005-0000-0000-0000C1720000}"/>
    <cellStyle name="Normal 7 2 4 3 2 2 2" xfId="33376" xr:uid="{00000000-0005-0000-0000-0000C2720000}"/>
    <cellStyle name="Normal 7 2 4 3 2 3" xfId="30565" xr:uid="{00000000-0005-0000-0000-0000C3720000}"/>
    <cellStyle name="Normal 7 2 4 3 3" xfId="8127" xr:uid="{00000000-0005-0000-0000-0000C4720000}"/>
    <cellStyle name="Normal 7 2 4 3 3 2" xfId="11244" xr:uid="{00000000-0005-0000-0000-0000C5720000}"/>
    <cellStyle name="Normal 7 2 4 3 4" xfId="8834" xr:uid="{00000000-0005-0000-0000-0000C6720000}"/>
    <cellStyle name="Normal 7 2 4 4" xfId="19672" xr:uid="{00000000-0005-0000-0000-0000C7720000}"/>
    <cellStyle name="Normal 7 2 4 4 2" xfId="23383" xr:uid="{00000000-0005-0000-0000-0000C8720000}"/>
    <cellStyle name="Normal 7 2 4 4 2 2" xfId="31958" xr:uid="{00000000-0005-0000-0000-0000C9720000}"/>
    <cellStyle name="Normal 7 2 4 4 3" xfId="29646" xr:uid="{00000000-0005-0000-0000-0000CA720000}"/>
    <cellStyle name="Normal 7 2 4 5" xfId="29091" xr:uid="{00000000-0005-0000-0000-0000CB720000}"/>
    <cellStyle name="Normal 7 2 4 5 2" xfId="23392" xr:uid="{00000000-0005-0000-0000-0000CC720000}"/>
    <cellStyle name="Normal 7 2 4 6" xfId="30568" xr:uid="{00000000-0005-0000-0000-0000CD720000}"/>
    <cellStyle name="Normal 7 2 5" xfId="6528" xr:uid="{00000000-0005-0000-0000-0000CE720000}"/>
    <cellStyle name="Normal 7 2 5 2" xfId="6532" xr:uid="{00000000-0005-0000-0000-0000CF720000}"/>
    <cellStyle name="Normal 7 2 5 2 2" xfId="10049" xr:uid="{00000000-0005-0000-0000-0000D0720000}"/>
    <cellStyle name="Normal 7 2 5 2 2 2" xfId="27246" xr:uid="{00000000-0005-0000-0000-0000D1720000}"/>
    <cellStyle name="Normal 7 2 5 2 2 2 2" xfId="7395" xr:uid="{00000000-0005-0000-0000-0000D2720000}"/>
    <cellStyle name="Normal 7 2 5 2 2 3" xfId="27229" xr:uid="{00000000-0005-0000-0000-0000D3720000}"/>
    <cellStyle name="Normal 7 2 5 2 3" xfId="27283" xr:uid="{00000000-0005-0000-0000-0000D4720000}"/>
    <cellStyle name="Normal 7 2 5 2 3 2" xfId="11261" xr:uid="{00000000-0005-0000-0000-0000D5720000}"/>
    <cellStyle name="Normal 7 2 5 2 4" xfId="32937" xr:uid="{00000000-0005-0000-0000-0000D6720000}"/>
    <cellStyle name="Normal 7 2 5 3" xfId="29612" xr:uid="{00000000-0005-0000-0000-0000D7720000}"/>
    <cellStyle name="Normal 7 2 5 3 2" xfId="23402" xr:uid="{00000000-0005-0000-0000-0000D8720000}"/>
    <cellStyle name="Normal 7 2 5 3 2 2" xfId="34035" xr:uid="{00000000-0005-0000-0000-0000D9720000}"/>
    <cellStyle name="Normal 7 2 5 3 3" xfId="23404" xr:uid="{00000000-0005-0000-0000-0000DA720000}"/>
    <cellStyle name="Normal 7 2 5 4" xfId="21243" xr:uid="{00000000-0005-0000-0000-0000DB720000}"/>
    <cellStyle name="Normal 7 2 5 4 2" xfId="19191" xr:uid="{00000000-0005-0000-0000-0000DC720000}"/>
    <cellStyle name="Normal 7 2 5 5" xfId="33404" xr:uid="{00000000-0005-0000-0000-0000DD720000}"/>
    <cellStyle name="Normal 7 2 6" xfId="12473" xr:uid="{00000000-0005-0000-0000-0000DE720000}"/>
    <cellStyle name="Normal 7 2 6 2" xfId="6537" xr:uid="{00000000-0005-0000-0000-0000DF720000}"/>
    <cellStyle name="Normal 7 2 6 2 2" xfId="30080" xr:uid="{00000000-0005-0000-0000-0000E0720000}"/>
    <cellStyle name="Normal 7 2 6 2 2 2" xfId="26761" xr:uid="{00000000-0005-0000-0000-0000E1720000}"/>
    <cellStyle name="Normal 7 2 6 2 3" xfId="33418" xr:uid="{00000000-0005-0000-0000-0000E2720000}"/>
    <cellStyle name="Normal 7 2 6 3" xfId="33427" xr:uid="{00000000-0005-0000-0000-0000E3720000}"/>
    <cellStyle name="Normal 7 2 6 3 2" xfId="22009" xr:uid="{00000000-0005-0000-0000-0000E4720000}"/>
    <cellStyle name="Normal 7 2 6 4" xfId="33474" xr:uid="{00000000-0005-0000-0000-0000E5720000}"/>
    <cellStyle name="Normal 7 2 7" xfId="15423" xr:uid="{00000000-0005-0000-0000-0000E6720000}"/>
    <cellStyle name="Normal 7 2 7 2" xfId="33431" xr:uid="{00000000-0005-0000-0000-0000E7720000}"/>
    <cellStyle name="Normal 7 2 7 2 2" xfId="24767" xr:uid="{00000000-0005-0000-0000-0000E8720000}"/>
    <cellStyle name="Normal 7 2 7 3" xfId="29097" xr:uid="{00000000-0005-0000-0000-0000E9720000}"/>
    <cellStyle name="Normal 7 2 8" xfId="6397" xr:uid="{00000000-0005-0000-0000-0000EA720000}"/>
    <cellStyle name="Normal 7 2 8 2" xfId="33629" xr:uid="{00000000-0005-0000-0000-0000EB720000}"/>
    <cellStyle name="Normal 7 2 9" xfId="30570" xr:uid="{00000000-0005-0000-0000-0000EC720000}"/>
    <cellStyle name="Normal 7 3" xfId="28064" xr:uid="{00000000-0005-0000-0000-0000ED720000}"/>
    <cellStyle name="Normal 7 3 2" xfId="22492" xr:uid="{00000000-0005-0000-0000-0000EE720000}"/>
    <cellStyle name="Normal 7 3 2 2" xfId="14565" xr:uid="{00000000-0005-0000-0000-0000EF720000}"/>
    <cellStyle name="Normal 7 3 2 2 2" xfId="26783" xr:uid="{00000000-0005-0000-0000-0000F0720000}"/>
    <cellStyle name="Normal 7 3 2 2 2 2" xfId="8573" xr:uid="{00000000-0005-0000-0000-0000F1720000}"/>
    <cellStyle name="Normal 7 3 2 2 2 2 2" xfId="26573" xr:uid="{00000000-0005-0000-0000-0000F2720000}"/>
    <cellStyle name="Normal 7 3 2 2 2 2 2 2" xfId="19589" xr:uid="{00000000-0005-0000-0000-0000F3720000}"/>
    <cellStyle name="Normal 7 3 2 2 2 2 2 2 2" xfId="19596" xr:uid="{00000000-0005-0000-0000-0000F4720000}"/>
    <cellStyle name="Normal 7 3 2 2 2 2 2 3" xfId="19697" xr:uid="{00000000-0005-0000-0000-0000F5720000}"/>
    <cellStyle name="Normal 7 3 2 2 2 2 3" xfId="28519" xr:uid="{00000000-0005-0000-0000-0000F6720000}"/>
    <cellStyle name="Normal 7 3 2 2 2 2 3 2" xfId="20903" xr:uid="{00000000-0005-0000-0000-0000F7720000}"/>
    <cellStyle name="Normal 7 3 2 2 2 2 4" xfId="12591" xr:uid="{00000000-0005-0000-0000-0000F8720000}"/>
    <cellStyle name="Normal 7 3 2 2 2 3" xfId="33544" xr:uid="{00000000-0005-0000-0000-0000F9720000}"/>
    <cellStyle name="Normal 7 3 2 2 2 3 2" xfId="30573" xr:uid="{00000000-0005-0000-0000-0000FA720000}"/>
    <cellStyle name="Normal 7 3 2 2 2 3 2 2" xfId="2485" xr:uid="{00000000-0005-0000-0000-0000FB720000}"/>
    <cellStyle name="Normal 7 3 2 2 2 3 3" xfId="23747" xr:uid="{00000000-0005-0000-0000-0000FC720000}"/>
    <cellStyle name="Normal 7 3 2 2 2 4" xfId="21118" xr:uid="{00000000-0005-0000-0000-0000FD720000}"/>
    <cellStyle name="Normal 7 3 2 2 2 4 2" xfId="21120" xr:uid="{00000000-0005-0000-0000-0000FE720000}"/>
    <cellStyle name="Normal 7 3 2 2 2 5" xfId="21129" xr:uid="{00000000-0005-0000-0000-0000FF720000}"/>
    <cellStyle name="Normal 7 3 2 2 3" xfId="26058" xr:uid="{00000000-0005-0000-0000-000000730000}"/>
    <cellStyle name="Normal 7 3 2 2 3 2" xfId="30126" xr:uid="{00000000-0005-0000-0000-000001730000}"/>
    <cellStyle name="Normal 7 3 2 2 3 2 2" xfId="28296" xr:uid="{00000000-0005-0000-0000-000002730000}"/>
    <cellStyle name="Normal 7 3 2 2 3 2 2 2" xfId="19859" xr:uid="{00000000-0005-0000-0000-000003730000}"/>
    <cellStyle name="Normal 7 3 2 2 3 2 3" xfId="32243" xr:uid="{00000000-0005-0000-0000-000004730000}"/>
    <cellStyle name="Normal 7 3 2 2 3 3" xfId="30582" xr:uid="{00000000-0005-0000-0000-000005730000}"/>
    <cellStyle name="Normal 7 3 2 2 3 3 2" xfId="33274" xr:uid="{00000000-0005-0000-0000-000006730000}"/>
    <cellStyle name="Normal 7 3 2 2 3 4" xfId="9603" xr:uid="{00000000-0005-0000-0000-000007730000}"/>
    <cellStyle name="Normal 7 3 2 2 4" xfId="20368" xr:uid="{00000000-0005-0000-0000-000008730000}"/>
    <cellStyle name="Normal 7 3 2 2 4 2" xfId="28247" xr:uid="{00000000-0005-0000-0000-000009730000}"/>
    <cellStyle name="Normal 7 3 2 2 4 2 2" xfId="30586" xr:uid="{00000000-0005-0000-0000-00000A730000}"/>
    <cellStyle name="Normal 7 3 2 2 4 3" xfId="30591" xr:uid="{00000000-0005-0000-0000-00000B730000}"/>
    <cellStyle name="Normal 7 3 2 2 5" xfId="21877" xr:uid="{00000000-0005-0000-0000-00000C730000}"/>
    <cellStyle name="Normal 7 3 2 2 5 2" xfId="30593" xr:uid="{00000000-0005-0000-0000-00000D730000}"/>
    <cellStyle name="Normal 7 3 2 2 6" xfId="5210" xr:uid="{00000000-0005-0000-0000-00000E730000}"/>
    <cellStyle name="Normal 7 3 2 3" xfId="2279" xr:uid="{00000000-0005-0000-0000-00000F730000}"/>
    <cellStyle name="Normal 7 3 2 3 2" xfId="32782" xr:uid="{00000000-0005-0000-0000-000010730000}"/>
    <cellStyle name="Normal 7 3 2 3 2 2" xfId="33451" xr:uid="{00000000-0005-0000-0000-000011730000}"/>
    <cellStyle name="Normal 7 3 2 3 2 2 2" xfId="1696" xr:uid="{00000000-0005-0000-0000-000012730000}"/>
    <cellStyle name="Normal 7 3 2 3 2 2 2 2" xfId="32087" xr:uid="{00000000-0005-0000-0000-000013730000}"/>
    <cellStyle name="Normal 7 3 2 3 2 2 3" xfId="2399" xr:uid="{00000000-0005-0000-0000-000014730000}"/>
    <cellStyle name="Normal 7 3 2 3 2 3" xfId="32751" xr:uid="{00000000-0005-0000-0000-000015730000}"/>
    <cellStyle name="Normal 7 3 2 3 2 3 2" xfId="33852" xr:uid="{00000000-0005-0000-0000-000016730000}"/>
    <cellStyle name="Normal 7 3 2 3 2 4" xfId="21566" xr:uid="{00000000-0005-0000-0000-000017730000}"/>
    <cellStyle name="Normal 7 3 2 3 3" xfId="29111" xr:uid="{00000000-0005-0000-0000-000018730000}"/>
    <cellStyle name="Normal 7 3 2 3 3 2" xfId="30141" xr:uid="{00000000-0005-0000-0000-000019730000}"/>
    <cellStyle name="Normal 7 3 2 3 3 2 2" xfId="21484" xr:uid="{00000000-0005-0000-0000-00001A730000}"/>
    <cellStyle name="Normal 7 3 2 3 3 3" xfId="20479" xr:uid="{00000000-0005-0000-0000-00001B730000}"/>
    <cellStyle name="Normal 7 3 2 3 4" xfId="16561" xr:uid="{00000000-0005-0000-0000-00001C730000}"/>
    <cellStyle name="Normal 7 3 2 3 4 2" xfId="13563" xr:uid="{00000000-0005-0000-0000-00001D730000}"/>
    <cellStyle name="Normal 7 3 2 3 5" xfId="33160" xr:uid="{00000000-0005-0000-0000-00001E730000}"/>
    <cellStyle name="Normal 7 3 2 4" xfId="27821" xr:uid="{00000000-0005-0000-0000-00001F730000}"/>
    <cellStyle name="Normal 7 3 2 4 2" xfId="30887" xr:uid="{00000000-0005-0000-0000-000020730000}"/>
    <cellStyle name="Normal 7 3 2 4 2 2" xfId="30891" xr:uid="{00000000-0005-0000-0000-000021730000}"/>
    <cellStyle name="Normal 7 3 2 4 2 2 2" xfId="27822" xr:uid="{00000000-0005-0000-0000-000022730000}"/>
    <cellStyle name="Normal 7 3 2 4 2 3" xfId="30598" xr:uid="{00000000-0005-0000-0000-000023730000}"/>
    <cellStyle name="Normal 7 3 2 4 3" xfId="28252" xr:uid="{00000000-0005-0000-0000-000024730000}"/>
    <cellStyle name="Normal 7 3 2 4 3 2" xfId="30599" xr:uid="{00000000-0005-0000-0000-000025730000}"/>
    <cellStyle name="Normal 7 3 2 4 4" xfId="33688" xr:uid="{00000000-0005-0000-0000-000026730000}"/>
    <cellStyle name="Normal 7 3 2 5" xfId="29104" xr:uid="{00000000-0005-0000-0000-000027730000}"/>
    <cellStyle name="Normal 7 3 2 5 2" xfId="30794" xr:uid="{00000000-0005-0000-0000-000028730000}"/>
    <cellStyle name="Normal 7 3 2 5 2 2" xfId="18439" xr:uid="{00000000-0005-0000-0000-000029730000}"/>
    <cellStyle name="Normal 7 3 2 5 3" xfId="29716" xr:uid="{00000000-0005-0000-0000-00002A730000}"/>
    <cellStyle name="Normal 7 3 2 6" xfId="3847" xr:uid="{00000000-0005-0000-0000-00002B730000}"/>
    <cellStyle name="Normal 7 3 2 6 2" xfId="29718" xr:uid="{00000000-0005-0000-0000-00002C730000}"/>
    <cellStyle name="Normal 7 3 2 7" xfId="25713" xr:uid="{00000000-0005-0000-0000-00002D730000}"/>
    <cellStyle name="Normal 7 3 3" xfId="29303" xr:uid="{00000000-0005-0000-0000-00002E730000}"/>
    <cellStyle name="Normal 7 3 3 2" xfId="27695" xr:uid="{00000000-0005-0000-0000-00002F730000}"/>
    <cellStyle name="Normal 7 3 3 2 2" xfId="33555" xr:uid="{00000000-0005-0000-0000-000030730000}"/>
    <cellStyle name="Normal 7 3 3 2 2 2" xfId="33394" xr:uid="{00000000-0005-0000-0000-000031730000}"/>
    <cellStyle name="Normal 7 3 3 2 2 2 2" xfId="30617" xr:uid="{00000000-0005-0000-0000-000032730000}"/>
    <cellStyle name="Normal 7 3 3 2 2 2 2 2" xfId="20322" xr:uid="{00000000-0005-0000-0000-000033730000}"/>
    <cellStyle name="Normal 7 3 3 2 2 2 3" xfId="30618" xr:uid="{00000000-0005-0000-0000-000034730000}"/>
    <cellStyle name="Normal 7 3 3 2 2 3" xfId="33220" xr:uid="{00000000-0005-0000-0000-000035730000}"/>
    <cellStyle name="Normal 7 3 3 2 2 3 2" xfId="30620" xr:uid="{00000000-0005-0000-0000-000036730000}"/>
    <cellStyle name="Normal 7 3 3 2 2 4" xfId="14806" xr:uid="{00000000-0005-0000-0000-000037730000}"/>
    <cellStyle name="Normal 7 3 3 2 3" xfId="27132" xr:uid="{00000000-0005-0000-0000-000038730000}"/>
    <cellStyle name="Normal 7 3 3 2 3 2" xfId="33916" xr:uid="{00000000-0005-0000-0000-000039730000}"/>
    <cellStyle name="Normal 7 3 3 2 3 2 2" xfId="30621" xr:uid="{00000000-0005-0000-0000-00003A730000}"/>
    <cellStyle name="Normal 7 3 3 2 3 3" xfId="30622" xr:uid="{00000000-0005-0000-0000-00003B730000}"/>
    <cellStyle name="Normal 7 3 3 2 4" xfId="29321" xr:uid="{00000000-0005-0000-0000-00003C730000}"/>
    <cellStyle name="Normal 7 3 3 2 4 2" xfId="13541" xr:uid="{00000000-0005-0000-0000-00003D730000}"/>
    <cellStyle name="Normal 7 3 3 2 5" xfId="31698" xr:uid="{00000000-0005-0000-0000-00003E730000}"/>
    <cellStyle name="Normal 7 3 3 3" xfId="30624" xr:uid="{00000000-0005-0000-0000-00003F730000}"/>
    <cellStyle name="Normal 7 3 3 3 2" xfId="23429" xr:uid="{00000000-0005-0000-0000-000040730000}"/>
    <cellStyle name="Normal 7 3 3 3 2 2" xfId="19624" xr:uid="{00000000-0005-0000-0000-000041730000}"/>
    <cellStyle name="Normal 7 3 3 3 2 2 2" xfId="9900" xr:uid="{00000000-0005-0000-0000-000042730000}"/>
    <cellStyle name="Normal 7 3 3 3 2 3" xfId="21761" xr:uid="{00000000-0005-0000-0000-000043730000}"/>
    <cellStyle name="Normal 7 3 3 3 3" xfId="3492" xr:uid="{00000000-0005-0000-0000-000044730000}"/>
    <cellStyle name="Normal 7 3 3 3 3 2" xfId="26430" xr:uid="{00000000-0005-0000-0000-000045730000}"/>
    <cellStyle name="Normal 7 3 3 3 4" xfId="3424" xr:uid="{00000000-0005-0000-0000-000046730000}"/>
    <cellStyle name="Normal 7 3 3 4" xfId="32174" xr:uid="{00000000-0005-0000-0000-000047730000}"/>
    <cellStyle name="Normal 7 3 3 4 2" xfId="18055" xr:uid="{00000000-0005-0000-0000-000048730000}"/>
    <cellStyle name="Normal 7 3 3 4 2 2" xfId="29733" xr:uid="{00000000-0005-0000-0000-000049730000}"/>
    <cellStyle name="Normal 7 3 3 4 3" xfId="29739" xr:uid="{00000000-0005-0000-0000-00004A730000}"/>
    <cellStyle name="Normal 7 3 3 5" xfId="29108" xr:uid="{00000000-0005-0000-0000-00004B730000}"/>
    <cellStyle name="Normal 7 3 3 5 2" xfId="27832" xr:uid="{00000000-0005-0000-0000-00004C730000}"/>
    <cellStyle name="Normal 7 3 3 6" xfId="27833" xr:uid="{00000000-0005-0000-0000-00004D730000}"/>
    <cellStyle name="Normal 7 3 4" xfId="1055" xr:uid="{00000000-0005-0000-0000-00004E730000}"/>
    <cellStyle name="Normal 7 3 4 2" xfId="6539" xr:uid="{00000000-0005-0000-0000-00004F730000}"/>
    <cellStyle name="Normal 7 3 4 2 2" xfId="1553" xr:uid="{00000000-0005-0000-0000-000050730000}"/>
    <cellStyle name="Normal 7 3 4 2 2 2" xfId="33725" xr:uid="{00000000-0005-0000-0000-000051730000}"/>
    <cellStyle name="Normal 7 3 4 2 2 2 2" xfId="27830" xr:uid="{00000000-0005-0000-0000-000052730000}"/>
    <cellStyle name="Normal 7 3 4 2 2 3" xfId="33638" xr:uid="{00000000-0005-0000-0000-000053730000}"/>
    <cellStyle name="Normal 7 3 4 2 3" xfId="33056" xr:uid="{00000000-0005-0000-0000-000054730000}"/>
    <cellStyle name="Normal 7 3 4 2 3 2" xfId="11288" xr:uid="{00000000-0005-0000-0000-000055730000}"/>
    <cellStyle name="Normal 7 3 4 2 4" xfId="33719" xr:uid="{00000000-0005-0000-0000-000056730000}"/>
    <cellStyle name="Normal 7 3 4 3" xfId="6544" xr:uid="{00000000-0005-0000-0000-000057730000}"/>
    <cellStyle name="Normal 7 3 4 3 2" xfId="24221" xr:uid="{00000000-0005-0000-0000-000058730000}"/>
    <cellStyle name="Normal 7 3 4 3 2 2" xfId="21767" xr:uid="{00000000-0005-0000-0000-000059730000}"/>
    <cellStyle name="Normal 7 3 4 3 3" xfId="23449" xr:uid="{00000000-0005-0000-0000-00005A730000}"/>
    <cellStyle name="Normal 7 3 4 4" xfId="33270" xr:uid="{00000000-0005-0000-0000-00005B730000}"/>
    <cellStyle name="Normal 7 3 4 4 2" xfId="10851" xr:uid="{00000000-0005-0000-0000-00005C730000}"/>
    <cellStyle name="Normal 7 3 4 5" xfId="33195" xr:uid="{00000000-0005-0000-0000-00005D730000}"/>
    <cellStyle name="Normal 7 3 5" xfId="6548" xr:uid="{00000000-0005-0000-0000-00005E730000}"/>
    <cellStyle name="Normal 7 3 5 2" xfId="6550" xr:uid="{00000000-0005-0000-0000-00005F730000}"/>
    <cellStyle name="Normal 7 3 5 2 2" xfId="32090" xr:uid="{00000000-0005-0000-0000-000060730000}"/>
    <cellStyle name="Normal 7 3 5 2 2 2" xfId="28426" xr:uid="{00000000-0005-0000-0000-000061730000}"/>
    <cellStyle name="Normal 7 3 5 2 3" xfId="32105" xr:uid="{00000000-0005-0000-0000-000062730000}"/>
    <cellStyle name="Normal 7 3 5 3" xfId="33283" xr:uid="{00000000-0005-0000-0000-000063730000}"/>
    <cellStyle name="Normal 7 3 5 3 2" xfId="23464" xr:uid="{00000000-0005-0000-0000-000064730000}"/>
    <cellStyle name="Normal 7 3 5 4" xfId="33632" xr:uid="{00000000-0005-0000-0000-000065730000}"/>
    <cellStyle name="Normal 7 3 6" xfId="3040" xr:uid="{00000000-0005-0000-0000-000066730000}"/>
    <cellStyle name="Normal 7 3 6 2" xfId="12533" xr:uid="{00000000-0005-0000-0000-000067730000}"/>
    <cellStyle name="Normal 7 3 6 2 2" xfId="32138" xr:uid="{00000000-0005-0000-0000-000068730000}"/>
    <cellStyle name="Normal 7 3 6 3" xfId="32962" xr:uid="{00000000-0005-0000-0000-000069730000}"/>
    <cellStyle name="Normal 7 3 7" xfId="15425" xr:uid="{00000000-0005-0000-0000-00006A730000}"/>
    <cellStyle name="Normal 7 3 7 2" xfId="30235" xr:uid="{00000000-0005-0000-0000-00006B730000}"/>
    <cellStyle name="Normal 7 3 8" xfId="28623" xr:uid="{00000000-0005-0000-0000-00006C730000}"/>
    <cellStyle name="Normal 7 4" xfId="28413" xr:uid="{00000000-0005-0000-0000-00006D730000}"/>
    <cellStyle name="Normal 7 4 2" xfId="30635" xr:uid="{00000000-0005-0000-0000-00006E730000}"/>
    <cellStyle name="Normal 7 4 2 2" xfId="2596" xr:uid="{00000000-0005-0000-0000-00006F730000}"/>
    <cellStyle name="Normal 7 4 2 2 2" xfId="27507" xr:uid="{00000000-0005-0000-0000-000070730000}"/>
    <cellStyle name="Normal 7 4 2 2 2 2" xfId="33508" xr:uid="{00000000-0005-0000-0000-000071730000}"/>
    <cellStyle name="Normal 7 4 2 2 2 2 2" xfId="25138" xr:uid="{00000000-0005-0000-0000-000072730000}"/>
    <cellStyle name="Normal 7 4 2 2 2 2 2 2" xfId="28518" xr:uid="{00000000-0005-0000-0000-000073730000}"/>
    <cellStyle name="Normal 7 4 2 2 2 2 3" xfId="29341" xr:uid="{00000000-0005-0000-0000-000074730000}"/>
    <cellStyle name="Normal 7 4 2 2 2 3" xfId="28964" xr:uid="{00000000-0005-0000-0000-000075730000}"/>
    <cellStyle name="Normal 7 4 2 2 2 3 2" xfId="1081" xr:uid="{00000000-0005-0000-0000-000076730000}"/>
    <cellStyle name="Normal 7 4 2 2 2 4" xfId="9501" xr:uid="{00000000-0005-0000-0000-000077730000}"/>
    <cellStyle name="Normal 7 4 2 2 3" xfId="28093" xr:uid="{00000000-0005-0000-0000-000078730000}"/>
    <cellStyle name="Normal 7 4 2 2 3 2" xfId="11517" xr:uid="{00000000-0005-0000-0000-000079730000}"/>
    <cellStyle name="Normal 7 4 2 2 3 2 2" xfId="28553" xr:uid="{00000000-0005-0000-0000-00007A730000}"/>
    <cellStyle name="Normal 7 4 2 2 3 3" xfId="21683" xr:uid="{00000000-0005-0000-0000-00007B730000}"/>
    <cellStyle name="Normal 7 4 2 2 4" xfId="23959" xr:uid="{00000000-0005-0000-0000-00007C730000}"/>
    <cellStyle name="Normal 7 4 2 2 4 2" xfId="27481" xr:uid="{00000000-0005-0000-0000-00007D730000}"/>
    <cellStyle name="Normal 7 4 2 2 5" xfId="31848" xr:uid="{00000000-0005-0000-0000-00007E730000}"/>
    <cellStyle name="Normal 7 4 2 3" xfId="30707" xr:uid="{00000000-0005-0000-0000-00007F730000}"/>
    <cellStyle name="Normal 7 4 2 3 2" xfId="28626" xr:uid="{00000000-0005-0000-0000-000080730000}"/>
    <cellStyle name="Normal 7 4 2 3 2 2" xfId="28499" xr:uid="{00000000-0005-0000-0000-000081730000}"/>
    <cellStyle name="Normal 7 4 2 3 2 2 2" xfId="23339" xr:uid="{00000000-0005-0000-0000-000082730000}"/>
    <cellStyle name="Normal 7 4 2 3 2 3" xfId="28510" xr:uid="{00000000-0005-0000-0000-000083730000}"/>
    <cellStyle name="Normal 7 4 2 3 3" xfId="28108" xr:uid="{00000000-0005-0000-0000-000084730000}"/>
    <cellStyle name="Normal 7 4 2 3 3 2" xfId="11579" xr:uid="{00000000-0005-0000-0000-000085730000}"/>
    <cellStyle name="Normal 7 4 2 3 4" xfId="30639" xr:uid="{00000000-0005-0000-0000-000086730000}"/>
    <cellStyle name="Normal 7 4 2 4" xfId="27843" xr:uid="{00000000-0005-0000-0000-000087730000}"/>
    <cellStyle name="Normal 7 4 2 4 2" xfId="27845" xr:uid="{00000000-0005-0000-0000-000088730000}"/>
    <cellStyle name="Normal 7 4 2 4 2 2" xfId="28526" xr:uid="{00000000-0005-0000-0000-000089730000}"/>
    <cellStyle name="Normal 7 4 2 4 3" xfId="27847" xr:uid="{00000000-0005-0000-0000-00008A730000}"/>
    <cellStyle name="Normal 7 4 2 5" xfId="27853" xr:uid="{00000000-0005-0000-0000-00008B730000}"/>
    <cellStyle name="Normal 7 4 2 5 2" xfId="33658" xr:uid="{00000000-0005-0000-0000-00008C730000}"/>
    <cellStyle name="Normal 7 4 2 6" xfId="27858" xr:uid="{00000000-0005-0000-0000-00008D730000}"/>
    <cellStyle name="Normal 7 4 3" xfId="26382" xr:uid="{00000000-0005-0000-0000-00008E730000}"/>
    <cellStyle name="Normal 7 4 3 2" xfId="27150" xr:uid="{00000000-0005-0000-0000-00008F730000}"/>
    <cellStyle name="Normal 7 4 3 2 2" xfId="31345" xr:uid="{00000000-0005-0000-0000-000090730000}"/>
    <cellStyle name="Normal 7 4 3 2 2 2" xfId="33032" xr:uid="{00000000-0005-0000-0000-000091730000}"/>
    <cellStyle name="Normal 7 4 3 2 2 2 2" xfId="29185" xr:uid="{00000000-0005-0000-0000-000092730000}"/>
    <cellStyle name="Normal 7 4 3 2 2 3" xfId="30646" xr:uid="{00000000-0005-0000-0000-000093730000}"/>
    <cellStyle name="Normal 7 4 3 2 3" xfId="30655" xr:uid="{00000000-0005-0000-0000-000094730000}"/>
    <cellStyle name="Normal 7 4 3 2 3 2" xfId="11685" xr:uid="{00000000-0005-0000-0000-000095730000}"/>
    <cellStyle name="Normal 7 4 3 2 4" xfId="31243" xr:uid="{00000000-0005-0000-0000-000096730000}"/>
    <cellStyle name="Normal 7 4 3 3" xfId="21165" xr:uid="{00000000-0005-0000-0000-000097730000}"/>
    <cellStyle name="Normal 7 4 3 3 2" xfId="23507" xr:uid="{00000000-0005-0000-0000-000098730000}"/>
    <cellStyle name="Normal 7 4 3 3 2 2" xfId="28366" xr:uid="{00000000-0005-0000-0000-000099730000}"/>
    <cellStyle name="Normal 7 4 3 3 3" xfId="23269" xr:uid="{00000000-0005-0000-0000-00009A730000}"/>
    <cellStyle name="Normal 7 4 3 4" xfId="27865" xr:uid="{00000000-0005-0000-0000-00009B730000}"/>
    <cellStyle name="Normal 7 4 3 4 2" xfId="23519" xr:uid="{00000000-0005-0000-0000-00009C730000}"/>
    <cellStyle name="Normal 7 4 3 5" xfId="27871" xr:uid="{00000000-0005-0000-0000-00009D730000}"/>
    <cellStyle name="Normal 7 4 4" xfId="6559" xr:uid="{00000000-0005-0000-0000-00009E730000}"/>
    <cellStyle name="Normal 7 4 4 2" xfId="5053" xr:uid="{00000000-0005-0000-0000-00009F730000}"/>
    <cellStyle name="Normal 7 4 4 2 2" xfId="29247" xr:uid="{00000000-0005-0000-0000-0000A0730000}"/>
    <cellStyle name="Normal 7 4 4 2 2 2" xfId="27195" xr:uid="{00000000-0005-0000-0000-0000A1730000}"/>
    <cellStyle name="Normal 7 4 4 2 3" xfId="32407" xr:uid="{00000000-0005-0000-0000-0000A2730000}"/>
    <cellStyle name="Normal 7 4 4 3" xfId="30649" xr:uid="{00000000-0005-0000-0000-0000A3730000}"/>
    <cellStyle name="Normal 7 4 4 3 2" xfId="7909" xr:uid="{00000000-0005-0000-0000-0000A4730000}"/>
    <cellStyle name="Normal 7 4 4 4" xfId="30668" xr:uid="{00000000-0005-0000-0000-0000A5730000}"/>
    <cellStyle name="Normal 7 4 5" xfId="6564" xr:uid="{00000000-0005-0000-0000-0000A6730000}"/>
    <cellStyle name="Normal 7 4 5 2" xfId="22452" xr:uid="{00000000-0005-0000-0000-0000A7730000}"/>
    <cellStyle name="Normal 7 4 5 2 2" xfId="27019" xr:uid="{00000000-0005-0000-0000-0000A8730000}"/>
    <cellStyle name="Normal 7 4 5 3" xfId="33421" xr:uid="{00000000-0005-0000-0000-0000A9730000}"/>
    <cellStyle name="Normal 7 4 6" xfId="22464" xr:uid="{00000000-0005-0000-0000-0000AA730000}"/>
    <cellStyle name="Normal 7 4 6 2" xfId="28329" xr:uid="{00000000-0005-0000-0000-0000AB730000}"/>
    <cellStyle name="Normal 7 4 7" xfId="28333" xr:uid="{00000000-0005-0000-0000-0000AC730000}"/>
    <cellStyle name="Normal 7 5" xfId="30671" xr:uid="{00000000-0005-0000-0000-0000AD730000}"/>
    <cellStyle name="Normal 7 5 2" xfId="30733" xr:uid="{00000000-0005-0000-0000-0000AE730000}"/>
    <cellStyle name="Normal 7 5 2 2" xfId="25140" xr:uid="{00000000-0005-0000-0000-0000AF730000}"/>
    <cellStyle name="Normal 7 5 2 2 2" xfId="31409" xr:uid="{00000000-0005-0000-0000-0000B0730000}"/>
    <cellStyle name="Normal 7 5 2 2 2 2" xfId="33572" xr:uid="{00000000-0005-0000-0000-0000B1730000}"/>
    <cellStyle name="Normal 7 5 2 2 2 2 2" xfId="32606" xr:uid="{00000000-0005-0000-0000-0000B2730000}"/>
    <cellStyle name="Normal 7 5 2 2 2 3" xfId="27755" xr:uid="{00000000-0005-0000-0000-0000B3730000}"/>
    <cellStyle name="Normal 7 5 2 2 3" xfId="28135" xr:uid="{00000000-0005-0000-0000-0000B4730000}"/>
    <cellStyle name="Normal 7 5 2 2 3 2" xfId="7232" xr:uid="{00000000-0005-0000-0000-0000B5730000}"/>
    <cellStyle name="Normal 7 5 2 2 4" xfId="32169" xr:uid="{00000000-0005-0000-0000-0000B6730000}"/>
    <cellStyle name="Normal 7 5 2 3" xfId="33919" xr:uid="{00000000-0005-0000-0000-0000B7730000}"/>
    <cellStyle name="Normal 7 5 2 3 2" xfId="11098" xr:uid="{00000000-0005-0000-0000-0000B8730000}"/>
    <cellStyle name="Normal 7 5 2 3 2 2" xfId="26907" xr:uid="{00000000-0005-0000-0000-0000B9730000}"/>
    <cellStyle name="Normal 7 5 2 3 3" xfId="32661" xr:uid="{00000000-0005-0000-0000-0000BA730000}"/>
    <cellStyle name="Normal 7 5 2 4" xfId="27882" xr:uid="{00000000-0005-0000-0000-0000BB730000}"/>
    <cellStyle name="Normal 7 5 2 4 2" xfId="27889" xr:uid="{00000000-0005-0000-0000-0000BC730000}"/>
    <cellStyle name="Normal 7 5 2 5" xfId="27894" xr:uid="{00000000-0005-0000-0000-0000BD730000}"/>
    <cellStyle name="Normal 7 5 3" xfId="30331" xr:uid="{00000000-0005-0000-0000-0000BE730000}"/>
    <cellStyle name="Normal 7 5 3 2" xfId="31970" xr:uid="{00000000-0005-0000-0000-0000BF730000}"/>
    <cellStyle name="Normal 7 5 3 2 2" xfId="33466" xr:uid="{00000000-0005-0000-0000-0000C0730000}"/>
    <cellStyle name="Normal 7 5 3 2 2 2" xfId="33856" xr:uid="{00000000-0005-0000-0000-0000C1730000}"/>
    <cellStyle name="Normal 7 5 3 2 3" xfId="31362" xr:uid="{00000000-0005-0000-0000-0000C2730000}"/>
    <cellStyle name="Normal 7 5 3 3" xfId="32560" xr:uid="{00000000-0005-0000-0000-0000C3730000}"/>
    <cellStyle name="Normal 7 5 3 3 2" xfId="31071" xr:uid="{00000000-0005-0000-0000-0000C4730000}"/>
    <cellStyle name="Normal 7 5 3 4" xfId="28116" xr:uid="{00000000-0005-0000-0000-0000C5730000}"/>
    <cellStyle name="Normal 7 5 4" xfId="6576" xr:uid="{00000000-0005-0000-0000-0000C6730000}"/>
    <cellStyle name="Normal 7 5 4 2" xfId="33479" xr:uid="{00000000-0005-0000-0000-0000C7730000}"/>
    <cellStyle name="Normal 7 5 4 2 2" xfId="33909" xr:uid="{00000000-0005-0000-0000-0000C8730000}"/>
    <cellStyle name="Normal 7 5 4 3" xfId="30676" xr:uid="{00000000-0005-0000-0000-0000C9730000}"/>
    <cellStyle name="Normal 7 5 5" xfId="32113" xr:uid="{00000000-0005-0000-0000-0000CA730000}"/>
    <cellStyle name="Normal 7 5 5 2" xfId="33961" xr:uid="{00000000-0005-0000-0000-0000CB730000}"/>
    <cellStyle name="Normal 7 5 6" xfId="30683" xr:uid="{00000000-0005-0000-0000-0000CC730000}"/>
    <cellStyle name="Normal 7 6" xfId="32934" xr:uid="{00000000-0005-0000-0000-0000CD730000}"/>
    <cellStyle name="Normal 7 6 2" xfId="21669" xr:uid="{00000000-0005-0000-0000-0000CE730000}"/>
    <cellStyle name="Normal 7 6 2 2" xfId="27082" xr:uid="{00000000-0005-0000-0000-0000CF730000}"/>
    <cellStyle name="Normal 7 6 2 2 2" xfId="21095" xr:uid="{00000000-0005-0000-0000-0000D0730000}"/>
    <cellStyle name="Normal 7 6 2 2 2 2" xfId="21100" xr:uid="{00000000-0005-0000-0000-0000D1730000}"/>
    <cellStyle name="Normal 7 6 2 2 3" xfId="21105" xr:uid="{00000000-0005-0000-0000-0000D2730000}"/>
    <cellStyle name="Normal 7 6 2 3" xfId="31803" xr:uid="{00000000-0005-0000-0000-0000D3730000}"/>
    <cellStyle name="Normal 7 6 2 3 2" xfId="21107" xr:uid="{00000000-0005-0000-0000-0000D4730000}"/>
    <cellStyle name="Normal 7 6 2 4" xfId="18454" xr:uid="{00000000-0005-0000-0000-0000D5730000}"/>
    <cellStyle name="Normal 7 6 3" xfId="30320" xr:uid="{00000000-0005-0000-0000-0000D6730000}"/>
    <cellStyle name="Normal 7 6 3 2" xfId="21135" xr:uid="{00000000-0005-0000-0000-0000D7730000}"/>
    <cellStyle name="Normal 7 6 3 2 2" xfId="21138" xr:uid="{00000000-0005-0000-0000-0000D8730000}"/>
    <cellStyle name="Normal 7 6 3 3" xfId="21140" xr:uid="{00000000-0005-0000-0000-0000D9730000}"/>
    <cellStyle name="Normal 7 6 4" xfId="33964" xr:uid="{00000000-0005-0000-0000-0000DA730000}"/>
    <cellStyle name="Normal 7 6 4 2" xfId="21146" xr:uid="{00000000-0005-0000-0000-0000DB730000}"/>
    <cellStyle name="Normal 7 6 5" xfId="26916" xr:uid="{00000000-0005-0000-0000-0000DC730000}"/>
    <cellStyle name="Normal 7 7" xfId="25352" xr:uid="{00000000-0005-0000-0000-0000DD730000}"/>
    <cellStyle name="Normal 7 7 2" xfId="11584" xr:uid="{00000000-0005-0000-0000-0000DE730000}"/>
    <cellStyle name="Normal 7 7 2 2" xfId="25359" xr:uid="{00000000-0005-0000-0000-0000DF730000}"/>
    <cellStyle name="Normal 7 7 2 2 2" xfId="21555" xr:uid="{00000000-0005-0000-0000-0000E0730000}"/>
    <cellStyle name="Normal 7 7 2 3" xfId="25369" xr:uid="{00000000-0005-0000-0000-0000E1730000}"/>
    <cellStyle name="Normal 7 7 3" xfId="22410" xr:uid="{00000000-0005-0000-0000-0000E2730000}"/>
    <cellStyle name="Normal 7 7 3 2" xfId="22419" xr:uid="{00000000-0005-0000-0000-0000E3730000}"/>
    <cellStyle name="Normal 7 7 4" xfId="25443" xr:uid="{00000000-0005-0000-0000-0000E4730000}"/>
    <cellStyle name="Normal 7 8" xfId="10116" xr:uid="{00000000-0005-0000-0000-0000E5730000}"/>
    <cellStyle name="Normal 7 8 2" xfId="24524" xr:uid="{00000000-0005-0000-0000-0000E6730000}"/>
    <cellStyle name="Normal 7 8 2 2" xfId="25376" xr:uid="{00000000-0005-0000-0000-0000E7730000}"/>
    <cellStyle name="Normal 7 8 3" xfId="22432" xr:uid="{00000000-0005-0000-0000-0000E8730000}"/>
    <cellStyle name="Normal 7 9" xfId="25398" xr:uid="{00000000-0005-0000-0000-0000E9730000}"/>
    <cellStyle name="Normal 7 9 2" xfId="25400" xr:uid="{00000000-0005-0000-0000-0000EA730000}"/>
    <cellStyle name="Normal 8" xfId="29857" xr:uid="{00000000-0005-0000-0000-0000EB730000}"/>
    <cellStyle name="Normal 8 2" xfId="27750" xr:uid="{00000000-0005-0000-0000-0000EC730000}"/>
    <cellStyle name="Normal 9" xfId="30689" xr:uid="{00000000-0005-0000-0000-0000ED730000}"/>
    <cellStyle name="Normal 9 10" xfId="11203" xr:uid="{00000000-0005-0000-0000-0000EE730000}"/>
    <cellStyle name="Normal 9 2" xfId="19921" xr:uid="{00000000-0005-0000-0000-0000EF730000}"/>
    <cellStyle name="Normal 9 2 2" xfId="29437" xr:uid="{00000000-0005-0000-0000-0000F0730000}"/>
    <cellStyle name="Normal 9 2 2 2" xfId="30699" xr:uid="{00000000-0005-0000-0000-0000F1730000}"/>
    <cellStyle name="Normal 9 2 2 2 2" xfId="33034" xr:uid="{00000000-0005-0000-0000-0000F2730000}"/>
    <cellStyle name="Normal 9 2 2 2 2 2" xfId="21125" xr:uid="{00000000-0005-0000-0000-0000F3730000}"/>
    <cellStyle name="Normal 9 2 2 2 2 2 2" xfId="21002" xr:uid="{00000000-0005-0000-0000-0000F4730000}"/>
    <cellStyle name="Normal 9 2 2 2 2 2 2 2" xfId="25074" xr:uid="{00000000-0005-0000-0000-0000F5730000}"/>
    <cellStyle name="Normal 9 2 2 2 2 2 2 2 2" xfId="25076" xr:uid="{00000000-0005-0000-0000-0000F6730000}"/>
    <cellStyle name="Normal 9 2 2 2 2 2 2 3" xfId="25105" xr:uid="{00000000-0005-0000-0000-0000F7730000}"/>
    <cellStyle name="Normal 9 2 2 2 2 2 3" xfId="25143" xr:uid="{00000000-0005-0000-0000-0000F8730000}"/>
    <cellStyle name="Normal 9 2 2 2 2 2 3 2" xfId="25147" xr:uid="{00000000-0005-0000-0000-0000F9730000}"/>
    <cellStyle name="Normal 9 2 2 2 2 2 4" xfId="25204" xr:uid="{00000000-0005-0000-0000-0000FA730000}"/>
    <cellStyle name="Normal 9 2 2 2 2 3" xfId="21127" xr:uid="{00000000-0005-0000-0000-0000FB730000}"/>
    <cellStyle name="Normal 9 2 2 2 2 3 2" xfId="9949" xr:uid="{00000000-0005-0000-0000-0000FC730000}"/>
    <cellStyle name="Normal 9 2 2 2 2 3 2 2" xfId="25354" xr:uid="{00000000-0005-0000-0000-0000FD730000}"/>
    <cellStyle name="Normal 9 2 2 2 2 3 3" xfId="25408" xr:uid="{00000000-0005-0000-0000-0000FE730000}"/>
    <cellStyle name="Normal 9 2 2 2 2 4" xfId="30700" xr:uid="{00000000-0005-0000-0000-0000FF730000}"/>
    <cellStyle name="Normal 9 2 2 2 2 4 2" xfId="19469" xr:uid="{00000000-0005-0000-0000-000000740000}"/>
    <cellStyle name="Normal 9 2 2 2 2 5" xfId="11156" xr:uid="{00000000-0005-0000-0000-000001740000}"/>
    <cellStyle name="Normal 9 2 2 2 3" xfId="30704" xr:uid="{00000000-0005-0000-0000-000002740000}"/>
    <cellStyle name="Normal 9 2 2 2 3 2" xfId="21133" xr:uid="{00000000-0005-0000-0000-000003740000}"/>
    <cellStyle name="Normal 9 2 2 2 3 2 2" xfId="24398" xr:uid="{00000000-0005-0000-0000-000004740000}"/>
    <cellStyle name="Normal 9 2 2 2 3 2 2 2" xfId="24609" xr:uid="{00000000-0005-0000-0000-000005740000}"/>
    <cellStyle name="Normal 9 2 2 2 3 2 3" xfId="16592" xr:uid="{00000000-0005-0000-0000-000006740000}"/>
    <cellStyle name="Normal 9 2 2 2 3 3" xfId="30710" xr:uid="{00000000-0005-0000-0000-000007740000}"/>
    <cellStyle name="Normal 9 2 2 2 3 3 2" xfId="24624" xr:uid="{00000000-0005-0000-0000-000008740000}"/>
    <cellStyle name="Normal 9 2 2 2 3 4" xfId="31873" xr:uid="{00000000-0005-0000-0000-000009740000}"/>
    <cellStyle name="Normal 9 2 2 2 4" xfId="5091" xr:uid="{00000000-0005-0000-0000-00000A740000}"/>
    <cellStyle name="Normal 9 2 2 2 4 2" xfId="30640" xr:uid="{00000000-0005-0000-0000-00000B740000}"/>
    <cellStyle name="Normal 9 2 2 2 4 2 2" xfId="31348" xr:uid="{00000000-0005-0000-0000-00000C740000}"/>
    <cellStyle name="Normal 9 2 2 2 4 3" xfId="32150" xr:uid="{00000000-0005-0000-0000-00000D740000}"/>
    <cellStyle name="Normal 9 2 2 2 5" xfId="30714" xr:uid="{00000000-0005-0000-0000-00000E740000}"/>
    <cellStyle name="Normal 9 2 2 2 5 2" xfId="30717" xr:uid="{00000000-0005-0000-0000-00000F740000}"/>
    <cellStyle name="Normal 9 2 2 2 6" xfId="21798" xr:uid="{00000000-0005-0000-0000-000010740000}"/>
    <cellStyle name="Normal 9 2 2 3" xfId="30721" xr:uid="{00000000-0005-0000-0000-000011740000}"/>
    <cellStyle name="Normal 9 2 2 3 2" xfId="30723" xr:uid="{00000000-0005-0000-0000-000012740000}"/>
    <cellStyle name="Normal 9 2 2 3 2 2" xfId="21142" xr:uid="{00000000-0005-0000-0000-000013740000}"/>
    <cellStyle name="Normal 9 2 2 3 2 2 2" xfId="31443" xr:uid="{00000000-0005-0000-0000-000014740000}"/>
    <cellStyle name="Normal 9 2 2 3 2 2 2 2" xfId="7319" xr:uid="{00000000-0005-0000-0000-000015740000}"/>
    <cellStyle name="Normal 9 2 2 3 2 2 3" xfId="31877" xr:uid="{00000000-0005-0000-0000-000016740000}"/>
    <cellStyle name="Normal 9 2 2 3 2 3" xfId="30727" xr:uid="{00000000-0005-0000-0000-000017740000}"/>
    <cellStyle name="Normal 9 2 2 3 2 3 2" xfId="30728" xr:uid="{00000000-0005-0000-0000-000018740000}"/>
    <cellStyle name="Normal 9 2 2 3 2 4" xfId="33805" xr:uid="{00000000-0005-0000-0000-000019740000}"/>
    <cellStyle name="Normal 9 2 2 3 3" xfId="30736" xr:uid="{00000000-0005-0000-0000-00001A740000}"/>
    <cellStyle name="Normal 9 2 2 3 3 2" xfId="30742" xr:uid="{00000000-0005-0000-0000-00001B740000}"/>
    <cellStyle name="Normal 9 2 2 3 3 2 2" xfId="15217" xr:uid="{00000000-0005-0000-0000-00001C740000}"/>
    <cellStyle name="Normal 9 2 2 3 3 3" xfId="1434" xr:uid="{00000000-0005-0000-0000-00001D740000}"/>
    <cellStyle name="Normal 9 2 2 3 4" xfId="25033" xr:uid="{00000000-0005-0000-0000-00001E740000}"/>
    <cellStyle name="Normal 9 2 2 3 4 2" xfId="32549" xr:uid="{00000000-0005-0000-0000-00001F740000}"/>
    <cellStyle name="Normal 9 2 2 3 5" xfId="32334" xr:uid="{00000000-0005-0000-0000-000020740000}"/>
    <cellStyle name="Normal 9 2 2 4" xfId="30748" xr:uid="{00000000-0005-0000-0000-000021740000}"/>
    <cellStyle name="Normal 9 2 2 4 2" xfId="30129" xr:uid="{00000000-0005-0000-0000-000022740000}"/>
    <cellStyle name="Normal 9 2 2 4 2 2" xfId="30132" xr:uid="{00000000-0005-0000-0000-000023740000}"/>
    <cellStyle name="Normal 9 2 2 4 2 2 2" xfId="20197" xr:uid="{00000000-0005-0000-0000-000024740000}"/>
    <cellStyle name="Normal 9 2 2 4 2 3" xfId="26730" xr:uid="{00000000-0005-0000-0000-000025740000}"/>
    <cellStyle name="Normal 9 2 2 4 3" xfId="7304" xr:uid="{00000000-0005-0000-0000-000026740000}"/>
    <cellStyle name="Normal 9 2 2 4 3 2" xfId="966" xr:uid="{00000000-0005-0000-0000-000027740000}"/>
    <cellStyle name="Normal 9 2 2 4 4" xfId="9004" xr:uid="{00000000-0005-0000-0000-000028740000}"/>
    <cellStyle name="Normal 9 2 2 5" xfId="30750" xr:uid="{00000000-0005-0000-0000-000029740000}"/>
    <cellStyle name="Normal 9 2 2 5 2" xfId="27818" xr:uid="{00000000-0005-0000-0000-00002A740000}"/>
    <cellStyle name="Normal 9 2 2 5 2 2" xfId="25942" xr:uid="{00000000-0005-0000-0000-00002B740000}"/>
    <cellStyle name="Normal 9 2 2 5 3" xfId="88" xr:uid="{00000000-0005-0000-0000-00002C740000}"/>
    <cellStyle name="Normal 9 2 2 6" xfId="17227" xr:uid="{00000000-0005-0000-0000-00002D740000}"/>
    <cellStyle name="Normal 9 2 2 6 2" xfId="27827" xr:uid="{00000000-0005-0000-0000-00002E740000}"/>
    <cellStyle name="Normal 9 2 2 7" xfId="30752" xr:uid="{00000000-0005-0000-0000-00002F740000}"/>
    <cellStyle name="Normal 9 2 3" xfId="20633" xr:uid="{00000000-0005-0000-0000-000030740000}"/>
    <cellStyle name="Normal 9 2 3 2" xfId="30754" xr:uid="{00000000-0005-0000-0000-000031740000}"/>
    <cellStyle name="Normal 9 2 3 2 2" xfId="6624" xr:uid="{00000000-0005-0000-0000-000032740000}"/>
    <cellStyle name="Normal 9 2 3 2 2 2" xfId="21567" xr:uid="{00000000-0005-0000-0000-000033740000}"/>
    <cellStyle name="Normal 9 2 3 2 2 2 2" xfId="23019" xr:uid="{00000000-0005-0000-0000-000034740000}"/>
    <cellStyle name="Normal 9 2 3 2 2 2 2 2" xfId="25634" xr:uid="{00000000-0005-0000-0000-000035740000}"/>
    <cellStyle name="Normal 9 2 3 2 2 2 3" xfId="5446" xr:uid="{00000000-0005-0000-0000-000036740000}"/>
    <cellStyle name="Normal 9 2 3 2 2 3" xfId="30759" xr:uid="{00000000-0005-0000-0000-000037740000}"/>
    <cellStyle name="Normal 9 2 3 2 2 3 2" xfId="29392" xr:uid="{00000000-0005-0000-0000-000038740000}"/>
    <cellStyle name="Normal 9 2 3 2 2 4" xfId="30763" xr:uid="{00000000-0005-0000-0000-000039740000}"/>
    <cellStyle name="Normal 9 2 3 2 3" xfId="5808" xr:uid="{00000000-0005-0000-0000-00003A740000}"/>
    <cellStyle name="Normal 9 2 3 2 3 2" xfId="26547" xr:uid="{00000000-0005-0000-0000-00003B740000}"/>
    <cellStyle name="Normal 9 2 3 2 3 2 2" xfId="32018" xr:uid="{00000000-0005-0000-0000-00003C740000}"/>
    <cellStyle name="Normal 9 2 3 2 3 3" xfId="26554" xr:uid="{00000000-0005-0000-0000-00003D740000}"/>
    <cellStyle name="Normal 9 2 3 2 4" xfId="22333" xr:uid="{00000000-0005-0000-0000-00003E740000}"/>
    <cellStyle name="Normal 9 2 3 2 4 2" xfId="30767" xr:uid="{00000000-0005-0000-0000-00003F740000}"/>
    <cellStyle name="Normal 9 2 3 2 5" xfId="22342" xr:uid="{00000000-0005-0000-0000-000040740000}"/>
    <cellStyle name="Normal 9 2 3 3" xfId="30771" xr:uid="{00000000-0005-0000-0000-000041740000}"/>
    <cellStyle name="Normal 9 2 3 3 2" xfId="23791" xr:uid="{00000000-0005-0000-0000-000042740000}"/>
    <cellStyle name="Normal 9 2 3 3 2 2" xfId="34002" xr:uid="{00000000-0005-0000-0000-000043740000}"/>
    <cellStyle name="Normal 9 2 3 3 2 2 2" xfId="28673" xr:uid="{00000000-0005-0000-0000-000044740000}"/>
    <cellStyle name="Normal 9 2 3 3 2 3" xfId="29764" xr:uid="{00000000-0005-0000-0000-000045740000}"/>
    <cellStyle name="Normal 9 2 3 3 3" xfId="23794" xr:uid="{00000000-0005-0000-0000-000046740000}"/>
    <cellStyle name="Normal 9 2 3 3 3 2" xfId="26567" xr:uid="{00000000-0005-0000-0000-000047740000}"/>
    <cellStyle name="Normal 9 2 3 3 4" xfId="22354" xr:uid="{00000000-0005-0000-0000-000048740000}"/>
    <cellStyle name="Normal 9 2 3 4" xfId="33398" xr:uid="{00000000-0005-0000-0000-000049740000}"/>
    <cellStyle name="Normal 9 2 3 4 2" xfId="23796" xr:uid="{00000000-0005-0000-0000-00004A740000}"/>
    <cellStyle name="Normal 9 2 3 4 2 2" xfId="2769" xr:uid="{00000000-0005-0000-0000-00004B740000}"/>
    <cellStyle name="Normal 9 2 3 4 3" xfId="27001" xr:uid="{00000000-0005-0000-0000-00004C740000}"/>
    <cellStyle name="Normal 9 2 3 5" xfId="27674" xr:uid="{00000000-0005-0000-0000-00004D740000}"/>
    <cellStyle name="Normal 9 2 3 5 2" xfId="28927" xr:uid="{00000000-0005-0000-0000-00004E740000}"/>
    <cellStyle name="Normal 9 2 3 6" xfId="29949" xr:uid="{00000000-0005-0000-0000-00004F740000}"/>
    <cellStyle name="Normal 9 2 4" xfId="1347" xr:uid="{00000000-0005-0000-0000-000050740000}"/>
    <cellStyle name="Normal 9 2 4 2" xfId="3384" xr:uid="{00000000-0005-0000-0000-000051740000}"/>
    <cellStyle name="Normal 9 2 4 2 2" xfId="5493" xr:uid="{00000000-0005-0000-0000-000052740000}"/>
    <cellStyle name="Normal 9 2 4 2 2 2" xfId="30784" xr:uid="{00000000-0005-0000-0000-000053740000}"/>
    <cellStyle name="Normal 9 2 4 2 2 2 2" xfId="30786" xr:uid="{00000000-0005-0000-0000-000054740000}"/>
    <cellStyle name="Normal 9 2 4 2 2 3" xfId="27427" xr:uid="{00000000-0005-0000-0000-000055740000}"/>
    <cellStyle name="Normal 9 2 4 2 3" xfId="33295" xr:uid="{00000000-0005-0000-0000-000056740000}"/>
    <cellStyle name="Normal 9 2 4 2 3 2" xfId="30722" xr:uid="{00000000-0005-0000-0000-000057740000}"/>
    <cellStyle name="Normal 9 2 4 2 4" xfId="22429" xr:uid="{00000000-0005-0000-0000-000058740000}"/>
    <cellStyle name="Normal 9 2 4 3" xfId="29053" xr:uid="{00000000-0005-0000-0000-000059740000}"/>
    <cellStyle name="Normal 9 2 4 3 2" xfId="23808" xr:uid="{00000000-0005-0000-0000-00005A740000}"/>
    <cellStyle name="Normal 9 2 4 3 2 2" xfId="27955" xr:uid="{00000000-0005-0000-0000-00005B740000}"/>
    <cellStyle name="Normal 9 2 4 3 3" xfId="14604" xr:uid="{00000000-0005-0000-0000-00005C740000}"/>
    <cellStyle name="Normal 9 2 4 4" xfId="26834" xr:uid="{00000000-0005-0000-0000-00005D740000}"/>
    <cellStyle name="Normal 9 2 4 4 2" xfId="14043" xr:uid="{00000000-0005-0000-0000-00005E740000}"/>
    <cellStyle name="Normal 9 2 4 5" xfId="30800" xr:uid="{00000000-0005-0000-0000-00005F740000}"/>
    <cellStyle name="Normal 9 2 5" xfId="214" xr:uid="{00000000-0005-0000-0000-000060740000}"/>
    <cellStyle name="Normal 9 2 5 2" xfId="8398" xr:uid="{00000000-0005-0000-0000-000061740000}"/>
    <cellStyle name="Normal 9 2 5 2 2" xfId="3301" xr:uid="{00000000-0005-0000-0000-000062740000}"/>
    <cellStyle name="Normal 9 2 5 2 2 2" xfId="31548" xr:uid="{00000000-0005-0000-0000-000063740000}"/>
    <cellStyle name="Normal 9 2 5 2 3" xfId="25435" xr:uid="{00000000-0005-0000-0000-000064740000}"/>
    <cellStyle name="Normal 9 2 5 3" xfId="30805" xr:uid="{00000000-0005-0000-0000-000065740000}"/>
    <cellStyle name="Normal 9 2 5 3 2" xfId="14630" xr:uid="{00000000-0005-0000-0000-000066740000}"/>
    <cellStyle name="Normal 9 2 5 4" xfId="31202" xr:uid="{00000000-0005-0000-0000-000067740000}"/>
    <cellStyle name="Normal 9 2 6" xfId="6849" xr:uid="{00000000-0005-0000-0000-000068740000}"/>
    <cellStyle name="Normal 9 2 6 2" xfId="32960" xr:uid="{00000000-0005-0000-0000-000069740000}"/>
    <cellStyle name="Normal 9 2 6 2 2" xfId="31340" xr:uid="{00000000-0005-0000-0000-00006A740000}"/>
    <cellStyle name="Normal 9 2 6 3" xfId="32841" xr:uid="{00000000-0005-0000-0000-00006B740000}"/>
    <cellStyle name="Normal 9 2 7" xfId="30810" xr:uid="{00000000-0005-0000-0000-00006C740000}"/>
    <cellStyle name="Normal 9 2 7 2" xfId="30812" xr:uid="{00000000-0005-0000-0000-00006D740000}"/>
    <cellStyle name="Normal 9 2 8" xfId="30815" xr:uid="{00000000-0005-0000-0000-00006E740000}"/>
    <cellStyle name="Normal 9 3" xfId="6938" xr:uid="{00000000-0005-0000-0000-00006F740000}"/>
    <cellStyle name="Normal 9 3 2" xfId="30819" xr:uid="{00000000-0005-0000-0000-000070740000}"/>
    <cellStyle name="Normal 9 3 2 2" xfId="32218" xr:uid="{00000000-0005-0000-0000-000071740000}"/>
    <cellStyle name="Normal 9 3 2 2 2" xfId="30827" xr:uid="{00000000-0005-0000-0000-000072740000}"/>
    <cellStyle name="Normal 9 3 2 2 2 2" xfId="4602" xr:uid="{00000000-0005-0000-0000-000073740000}"/>
    <cellStyle name="Normal 9 3 2 2 2 2 2" xfId="32091" xr:uid="{00000000-0005-0000-0000-000074740000}"/>
    <cellStyle name="Normal 9 3 2 2 2 2 2 2" xfId="28055" xr:uid="{00000000-0005-0000-0000-000075740000}"/>
    <cellStyle name="Normal 9 3 2 2 2 2 3" xfId="31706" xr:uid="{00000000-0005-0000-0000-000076740000}"/>
    <cellStyle name="Normal 9 3 2 2 2 3" xfId="30830" xr:uid="{00000000-0005-0000-0000-000077740000}"/>
    <cellStyle name="Normal 9 3 2 2 2 3 2" xfId="30831" xr:uid="{00000000-0005-0000-0000-000078740000}"/>
    <cellStyle name="Normal 9 3 2 2 2 4" xfId="8715" xr:uid="{00000000-0005-0000-0000-000079740000}"/>
    <cellStyle name="Normal 9 3 2 2 3" xfId="11263" xr:uid="{00000000-0005-0000-0000-00007A740000}"/>
    <cellStyle name="Normal 9 3 2 2 3 2" xfId="30835" xr:uid="{00000000-0005-0000-0000-00007B740000}"/>
    <cellStyle name="Normal 9 3 2 2 3 2 2" xfId="31547" xr:uid="{00000000-0005-0000-0000-00007C740000}"/>
    <cellStyle name="Normal 9 3 2 2 3 3" xfId="30837" xr:uid="{00000000-0005-0000-0000-00007D740000}"/>
    <cellStyle name="Normal 9 3 2 2 4" xfId="30838" xr:uid="{00000000-0005-0000-0000-00007E740000}"/>
    <cellStyle name="Normal 9 3 2 2 4 2" xfId="23896" xr:uid="{00000000-0005-0000-0000-00007F740000}"/>
    <cellStyle name="Normal 9 3 2 2 5" xfId="30844" xr:uid="{00000000-0005-0000-0000-000080740000}"/>
    <cellStyle name="Normal 9 3 2 3" xfId="30849" xr:uid="{00000000-0005-0000-0000-000081740000}"/>
    <cellStyle name="Normal 9 3 2 3 2" xfId="30851" xr:uid="{00000000-0005-0000-0000-000082740000}"/>
    <cellStyle name="Normal 9 3 2 3 2 2" xfId="30855" xr:uid="{00000000-0005-0000-0000-000083740000}"/>
    <cellStyle name="Normal 9 3 2 3 2 2 2" xfId="31746" xr:uid="{00000000-0005-0000-0000-000084740000}"/>
    <cellStyle name="Normal 9 3 2 3 2 3" xfId="30857" xr:uid="{00000000-0005-0000-0000-000085740000}"/>
    <cellStyle name="Normal 9 3 2 3 3" xfId="30858" xr:uid="{00000000-0005-0000-0000-000086740000}"/>
    <cellStyle name="Normal 9 3 2 3 3 2" xfId="30864" xr:uid="{00000000-0005-0000-0000-000087740000}"/>
    <cellStyle name="Normal 9 3 2 3 4" xfId="28242" xr:uid="{00000000-0005-0000-0000-000088740000}"/>
    <cellStyle name="Normal 9 3 2 4" xfId="30869" xr:uid="{00000000-0005-0000-0000-000089740000}"/>
    <cellStyle name="Normal 9 3 2 4 2" xfId="30239" xr:uid="{00000000-0005-0000-0000-00008A740000}"/>
    <cellStyle name="Normal 9 3 2 4 2 2" xfId="33318" xr:uid="{00000000-0005-0000-0000-00008B740000}"/>
    <cellStyle name="Normal 9 3 2 4 3" xfId="26246" xr:uid="{00000000-0005-0000-0000-00008C740000}"/>
    <cellStyle name="Normal 9 3 2 5" xfId="30879" xr:uid="{00000000-0005-0000-0000-00008D740000}"/>
    <cellStyle name="Normal 9 3 2 5 2" xfId="27010" xr:uid="{00000000-0005-0000-0000-00008E740000}"/>
    <cellStyle name="Normal 9 3 2 6" xfId="28348" xr:uid="{00000000-0005-0000-0000-00008F740000}"/>
    <cellStyle name="Normal 9 3 3" xfId="30889" xr:uid="{00000000-0005-0000-0000-000090740000}"/>
    <cellStyle name="Normal 9 3 3 2" xfId="30892" xr:uid="{00000000-0005-0000-0000-000091740000}"/>
    <cellStyle name="Normal 9 3 3 2 2" xfId="6707" xr:uid="{00000000-0005-0000-0000-000092740000}"/>
    <cellStyle name="Normal 9 3 3 2 2 2" xfId="1838" xr:uid="{00000000-0005-0000-0000-000093740000}"/>
    <cellStyle name="Normal 9 3 3 2 2 2 2" xfId="11766" xr:uid="{00000000-0005-0000-0000-000094740000}"/>
    <cellStyle name="Normal 9 3 3 2 2 3" xfId="16072" xr:uid="{00000000-0005-0000-0000-000095740000}"/>
    <cellStyle name="Normal 9 3 3 2 3" xfId="25498" xr:uid="{00000000-0005-0000-0000-000096740000}"/>
    <cellStyle name="Normal 9 3 3 2 3 2" xfId="12352" xr:uid="{00000000-0005-0000-0000-000097740000}"/>
    <cellStyle name="Normal 9 3 3 2 4" xfId="11447" xr:uid="{00000000-0005-0000-0000-000098740000}"/>
    <cellStyle name="Normal 9 3 3 3" xfId="33873" xr:uid="{00000000-0005-0000-0000-000099740000}"/>
    <cellStyle name="Normal 9 3 3 3 2" xfId="23834" xr:uid="{00000000-0005-0000-0000-00009A740000}"/>
    <cellStyle name="Normal 9 3 3 3 2 2" xfId="2407" xr:uid="{00000000-0005-0000-0000-00009B740000}"/>
    <cellStyle name="Normal 9 3 3 3 3" xfId="25512" xr:uid="{00000000-0005-0000-0000-00009C740000}"/>
    <cellStyle name="Normal 9 3 3 4" xfId="30894" xr:uid="{00000000-0005-0000-0000-00009D740000}"/>
    <cellStyle name="Normal 9 3 3 4 2" xfId="33105" xr:uid="{00000000-0005-0000-0000-00009E740000}"/>
    <cellStyle name="Normal 9 3 3 5" xfId="33607" xr:uid="{00000000-0005-0000-0000-00009F740000}"/>
    <cellStyle name="Normal 9 3 4" xfId="1365" xr:uid="{00000000-0005-0000-0000-0000A0740000}"/>
    <cellStyle name="Normal 9 3 4 2" xfId="30896" xr:uid="{00000000-0005-0000-0000-0000A1740000}"/>
    <cellStyle name="Normal 9 3 4 2 2" xfId="7126" xr:uid="{00000000-0005-0000-0000-0000A2740000}"/>
    <cellStyle name="Normal 9 3 4 2 2 2" xfId="30897" xr:uid="{00000000-0005-0000-0000-0000A3740000}"/>
    <cellStyle name="Normal 9 3 4 2 3" xfId="7765" xr:uid="{00000000-0005-0000-0000-0000A4740000}"/>
    <cellStyle name="Normal 9 3 4 3" xfId="30902" xr:uid="{00000000-0005-0000-0000-0000A5740000}"/>
    <cellStyle name="Normal 9 3 4 3 2" xfId="14691" xr:uid="{00000000-0005-0000-0000-0000A6740000}"/>
    <cellStyle name="Normal 9 3 4 4" xfId="30907" xr:uid="{00000000-0005-0000-0000-0000A7740000}"/>
    <cellStyle name="Normal 9 3 5" xfId="30904" xr:uid="{00000000-0005-0000-0000-0000A8740000}"/>
    <cellStyle name="Normal 9 3 5 2" xfId="30911" xr:uid="{00000000-0005-0000-0000-0000A9740000}"/>
    <cellStyle name="Normal 9 3 5 2 2" xfId="3292" xr:uid="{00000000-0005-0000-0000-0000AA740000}"/>
    <cellStyle name="Normal 9 3 5 3" xfId="30912" xr:uid="{00000000-0005-0000-0000-0000AB740000}"/>
    <cellStyle name="Normal 9 3 6" xfId="30916" xr:uid="{00000000-0005-0000-0000-0000AC740000}"/>
    <cellStyle name="Normal 9 3 6 2" xfId="30737" xr:uid="{00000000-0005-0000-0000-0000AD740000}"/>
    <cellStyle name="Normal 9 3 7" xfId="32418" xr:uid="{00000000-0005-0000-0000-0000AE740000}"/>
    <cellStyle name="Normal 9 4" xfId="30925" xr:uid="{00000000-0005-0000-0000-0000AF740000}"/>
    <cellStyle name="Normal 9 4 2" xfId="17506" xr:uid="{00000000-0005-0000-0000-0000B0740000}"/>
    <cellStyle name="Normal 9 4 2 2" xfId="27326" xr:uid="{00000000-0005-0000-0000-0000B1740000}"/>
    <cellStyle name="Normal 9 4 2 2 2" xfId="31028" xr:uid="{00000000-0005-0000-0000-0000B2740000}"/>
    <cellStyle name="Normal 9 4 2 2 2 2" xfId="30846" xr:uid="{00000000-0005-0000-0000-0000B3740000}"/>
    <cellStyle name="Normal 9 4 2 2 2 2 2" xfId="4432" xr:uid="{00000000-0005-0000-0000-0000B4740000}"/>
    <cellStyle name="Normal 9 4 2 2 2 3" xfId="31999" xr:uid="{00000000-0005-0000-0000-0000B5740000}"/>
    <cellStyle name="Normal 9 4 2 2 3" xfId="30930" xr:uid="{00000000-0005-0000-0000-0000B6740000}"/>
    <cellStyle name="Normal 9 4 2 2 3 2" xfId="6349" xr:uid="{00000000-0005-0000-0000-0000B7740000}"/>
    <cellStyle name="Normal 9 4 2 2 4" xfId="30140" xr:uid="{00000000-0005-0000-0000-0000B8740000}"/>
    <cellStyle name="Normal 9 4 2 3" xfId="32206" xr:uid="{00000000-0005-0000-0000-0000B9740000}"/>
    <cellStyle name="Normal 9 4 2 3 2" xfId="31053" xr:uid="{00000000-0005-0000-0000-0000BA740000}"/>
    <cellStyle name="Normal 9 4 2 3 2 2" xfId="29582" xr:uid="{00000000-0005-0000-0000-0000BB740000}"/>
    <cellStyle name="Normal 9 4 2 3 3" xfId="7794" xr:uid="{00000000-0005-0000-0000-0000BC740000}"/>
    <cellStyle name="Normal 9 4 2 4" xfId="32026" xr:uid="{00000000-0005-0000-0000-0000BD740000}"/>
    <cellStyle name="Normal 9 4 2 4 2" xfId="27418" xr:uid="{00000000-0005-0000-0000-0000BE740000}"/>
    <cellStyle name="Normal 9 4 2 5" xfId="32040" xr:uid="{00000000-0005-0000-0000-0000BF740000}"/>
    <cellStyle name="Normal 9 4 3" xfId="28465" xr:uid="{00000000-0005-0000-0000-0000C0740000}"/>
    <cellStyle name="Normal 9 4 3 2" xfId="30935" xr:uid="{00000000-0005-0000-0000-0000C1740000}"/>
    <cellStyle name="Normal 9 4 3 2 2" xfId="29120" xr:uid="{00000000-0005-0000-0000-0000C2740000}"/>
    <cellStyle name="Normal 9 4 3 2 2 2" xfId="30463" xr:uid="{00000000-0005-0000-0000-0000C3740000}"/>
    <cellStyle name="Normal 9 4 3 2 3" xfId="209" xr:uid="{00000000-0005-0000-0000-0000C4740000}"/>
    <cellStyle name="Normal 9 4 3 3" xfId="31006" xr:uid="{00000000-0005-0000-0000-0000C5740000}"/>
    <cellStyle name="Normal 9 4 3 3 2" xfId="31019" xr:uid="{00000000-0005-0000-0000-0000C6740000}"/>
    <cellStyle name="Normal 9 4 3 4" xfId="9917" xr:uid="{00000000-0005-0000-0000-0000C7740000}"/>
    <cellStyle name="Normal 9 4 4" xfId="22753" xr:uid="{00000000-0005-0000-0000-0000C8740000}"/>
    <cellStyle name="Normal 9 4 4 2" xfId="30945" xr:uid="{00000000-0005-0000-0000-0000C9740000}"/>
    <cellStyle name="Normal 9 4 4 2 2" xfId="2510" xr:uid="{00000000-0005-0000-0000-0000CA740000}"/>
    <cellStyle name="Normal 9 4 4 3" xfId="31032" xr:uid="{00000000-0005-0000-0000-0000CB740000}"/>
    <cellStyle name="Normal 9 4 5" xfId="29575" xr:uid="{00000000-0005-0000-0000-0000CC740000}"/>
    <cellStyle name="Normal 9 4 5 2" xfId="23378" xr:uid="{00000000-0005-0000-0000-0000CD740000}"/>
    <cellStyle name="Normal 9 4 6" xfId="30952" xr:uid="{00000000-0005-0000-0000-0000CE740000}"/>
    <cellStyle name="Normal 9 5" xfId="30953" xr:uid="{00000000-0005-0000-0000-0000CF740000}"/>
    <cellStyle name="Normal 9 5 2" xfId="29577" xr:uid="{00000000-0005-0000-0000-0000D0740000}"/>
    <cellStyle name="Normal 9 5 2 2" xfId="7261" xr:uid="{00000000-0005-0000-0000-0000D1740000}"/>
    <cellStyle name="Normal 9 5 2 2 2" xfId="33229" xr:uid="{00000000-0005-0000-0000-0000D2740000}"/>
    <cellStyle name="Normal 9 5 2 2 2 2" xfId="33775" xr:uid="{00000000-0005-0000-0000-0000D3740000}"/>
    <cellStyle name="Normal 9 5 2 2 3" xfId="32095" xr:uid="{00000000-0005-0000-0000-0000D4740000}"/>
    <cellStyle name="Normal 9 5 2 3" xfId="102" xr:uid="{00000000-0005-0000-0000-0000D5740000}"/>
    <cellStyle name="Normal 9 5 2 3 2" xfId="31502" xr:uid="{00000000-0005-0000-0000-0000D6740000}"/>
    <cellStyle name="Normal 9 5 2 4" xfId="30960" xr:uid="{00000000-0005-0000-0000-0000D7740000}"/>
    <cellStyle name="Normal 9 5 3" xfId="22759" xr:uid="{00000000-0005-0000-0000-0000D8740000}"/>
    <cellStyle name="Normal 9 5 3 2" xfId="4356" xr:uid="{00000000-0005-0000-0000-0000D9740000}"/>
    <cellStyle name="Normal 9 5 3 2 2" xfId="33762" xr:uid="{00000000-0005-0000-0000-0000DA740000}"/>
    <cellStyle name="Normal 9 5 3 3" xfId="31692" xr:uid="{00000000-0005-0000-0000-0000DB740000}"/>
    <cellStyle name="Normal 9 5 4" xfId="30792" xr:uid="{00000000-0005-0000-0000-0000DC740000}"/>
    <cellStyle name="Normal 9 5 4 2" xfId="30964" xr:uid="{00000000-0005-0000-0000-0000DD740000}"/>
    <cellStyle name="Normal 9 5 5" xfId="29524" xr:uid="{00000000-0005-0000-0000-0000DE740000}"/>
    <cellStyle name="Normal 9 6" xfId="33087" xr:uid="{00000000-0005-0000-0000-0000DF740000}"/>
    <cellStyle name="Normal 9 6 2" xfId="33990" xr:uid="{00000000-0005-0000-0000-0000E0740000}"/>
    <cellStyle name="Normal 9 6 2 2" xfId="20706" xr:uid="{00000000-0005-0000-0000-0000E1740000}"/>
    <cellStyle name="Normal 9 6 2 2 2" xfId="33800" xr:uid="{00000000-0005-0000-0000-0000E2740000}"/>
    <cellStyle name="Normal 9 6 2 3" xfId="32144" xr:uid="{00000000-0005-0000-0000-0000E3740000}"/>
    <cellStyle name="Normal 9 6 3" xfId="33092" xr:uid="{00000000-0005-0000-0000-0000E4740000}"/>
    <cellStyle name="Normal 9 6 3 2" xfId="33048" xr:uid="{00000000-0005-0000-0000-0000E5740000}"/>
    <cellStyle name="Normal 9 6 4" xfId="31725" xr:uid="{00000000-0005-0000-0000-0000E6740000}"/>
    <cellStyle name="Normal 9 7" xfId="25448" xr:uid="{00000000-0005-0000-0000-0000E7740000}"/>
    <cellStyle name="Normal 9 7 2" xfId="25086" xr:uid="{00000000-0005-0000-0000-0000E8740000}"/>
    <cellStyle name="Normal 9 7 2 2" xfId="25456" xr:uid="{00000000-0005-0000-0000-0000E9740000}"/>
    <cellStyle name="Normal 9 7 3" xfId="22502" xr:uid="{00000000-0005-0000-0000-0000EA740000}"/>
    <cellStyle name="Normal 9 8" xfId="25462" xr:uid="{00000000-0005-0000-0000-0000EB740000}"/>
    <cellStyle name="Normal 9 8 2" xfId="25465" xr:uid="{00000000-0005-0000-0000-0000EC740000}"/>
    <cellStyle name="Normal 9 9" xfId="25470" xr:uid="{00000000-0005-0000-0000-0000ED740000}"/>
    <cellStyle name="Note 10" xfId="30968" xr:uid="{00000000-0005-0000-0000-0000EE740000}"/>
    <cellStyle name="Note 10 2" xfId="31181" xr:uid="{00000000-0005-0000-0000-0000EF740000}"/>
    <cellStyle name="Note 10 2 2" xfId="30971" xr:uid="{00000000-0005-0000-0000-0000F0740000}"/>
    <cellStyle name="Note 10 2 2 2" xfId="30972" xr:uid="{00000000-0005-0000-0000-0000F1740000}"/>
    <cellStyle name="Note 10 2 3" xfId="30917" xr:uid="{00000000-0005-0000-0000-0000F2740000}"/>
    <cellStyle name="Note 10 3" xfId="30973" xr:uid="{00000000-0005-0000-0000-0000F3740000}"/>
    <cellStyle name="Note 10 3 2" xfId="33562" xr:uid="{00000000-0005-0000-0000-0000F4740000}"/>
    <cellStyle name="Note 10 4" xfId="33480" xr:uid="{00000000-0005-0000-0000-0000F5740000}"/>
    <cellStyle name="Note 11" xfId="12422" xr:uid="{00000000-0005-0000-0000-0000F6740000}"/>
    <cellStyle name="Note 11 2" xfId="8654" xr:uid="{00000000-0005-0000-0000-0000F7740000}"/>
    <cellStyle name="Note 11 2 2" xfId="33435" xr:uid="{00000000-0005-0000-0000-0000F8740000}"/>
    <cellStyle name="Note 11 3" xfId="30980" xr:uid="{00000000-0005-0000-0000-0000F9740000}"/>
    <cellStyle name="Note 12" xfId="8310" xr:uid="{00000000-0005-0000-0000-0000FA740000}"/>
    <cellStyle name="Note 12 2" xfId="2956" xr:uid="{00000000-0005-0000-0000-0000FB740000}"/>
    <cellStyle name="Note 13" xfId="6900" xr:uid="{00000000-0005-0000-0000-0000FC740000}"/>
    <cellStyle name="Note 14" xfId="17348" xr:uid="{00000000-0005-0000-0000-0000FD740000}"/>
    <cellStyle name="Note 2" xfId="32704" xr:uid="{00000000-0005-0000-0000-0000FE740000}"/>
    <cellStyle name="Note 2 10" xfId="2453" xr:uid="{00000000-0005-0000-0000-0000FF740000}"/>
    <cellStyle name="Note 2 10 2" xfId="30982" xr:uid="{00000000-0005-0000-0000-000000750000}"/>
    <cellStyle name="Note 2 10 2 2" xfId="33819" xr:uid="{00000000-0005-0000-0000-000001750000}"/>
    <cellStyle name="Note 2 10 3" xfId="31055" xr:uid="{00000000-0005-0000-0000-000002750000}"/>
    <cellStyle name="Note 2 11" xfId="30899" xr:uid="{00000000-0005-0000-0000-000003750000}"/>
    <cellStyle name="Note 2 11 2" xfId="11218" xr:uid="{00000000-0005-0000-0000-000004750000}"/>
    <cellStyle name="Note 2 12" xfId="30905" xr:uid="{00000000-0005-0000-0000-000005750000}"/>
    <cellStyle name="Note 2 2" xfId="12030" xr:uid="{00000000-0005-0000-0000-000006750000}"/>
    <cellStyle name="Note 2 2 10" xfId="19568" xr:uid="{00000000-0005-0000-0000-000007750000}"/>
    <cellStyle name="Note 2 2 10 2" xfId="30984" xr:uid="{00000000-0005-0000-0000-000008750000}"/>
    <cellStyle name="Note 2 2 11" xfId="4112" xr:uid="{00000000-0005-0000-0000-000009750000}"/>
    <cellStyle name="Note 2 2 2" xfId="31339" xr:uid="{00000000-0005-0000-0000-00000A750000}"/>
    <cellStyle name="Note 2 2 2 10" xfId="26117" xr:uid="{00000000-0005-0000-0000-00000B750000}"/>
    <cellStyle name="Note 2 2 2 2" xfId="25531" xr:uid="{00000000-0005-0000-0000-00000C750000}"/>
    <cellStyle name="Note 2 2 2 2 2" xfId="12832" xr:uid="{00000000-0005-0000-0000-00000D750000}"/>
    <cellStyle name="Note 2 2 2 2 2 2" xfId="16285" xr:uid="{00000000-0005-0000-0000-00000E750000}"/>
    <cellStyle name="Note 2 2 2 2 2 2 2" xfId="32786" xr:uid="{00000000-0005-0000-0000-00000F750000}"/>
    <cellStyle name="Note 2 2 2 2 2 2 2 2" xfId="33573" xr:uid="{00000000-0005-0000-0000-000010750000}"/>
    <cellStyle name="Note 2 2 2 2 2 2 2 2 2" xfId="31519" xr:uid="{00000000-0005-0000-0000-000011750000}"/>
    <cellStyle name="Note 2 2 2 2 2 2 2 2 2 2" xfId="2063" xr:uid="{00000000-0005-0000-0000-000012750000}"/>
    <cellStyle name="Note 2 2 2 2 2 2 2 2 2 2 2" xfId="30991" xr:uid="{00000000-0005-0000-0000-000013750000}"/>
    <cellStyle name="Note 2 2 2 2 2 2 2 2 2 2 2 2" xfId="3544" xr:uid="{00000000-0005-0000-0000-000014750000}"/>
    <cellStyle name="Note 2 2 2 2 2 2 2 2 2 2 3" xfId="29456" xr:uid="{00000000-0005-0000-0000-000015750000}"/>
    <cellStyle name="Note 2 2 2 2 2 2 2 2 2 3" xfId="15224" xr:uid="{00000000-0005-0000-0000-000016750000}"/>
    <cellStyle name="Note 2 2 2 2 2 2 2 2 2 3 2" xfId="2912" xr:uid="{00000000-0005-0000-0000-000017750000}"/>
    <cellStyle name="Note 2 2 2 2 2 2 2 2 2 4" xfId="21943" xr:uid="{00000000-0005-0000-0000-000018750000}"/>
    <cellStyle name="Note 2 2 2 2 2 2 2 2 3" xfId="10250" xr:uid="{00000000-0005-0000-0000-000019750000}"/>
    <cellStyle name="Note 2 2 2 2 2 2 2 2 3 2" xfId="29687" xr:uid="{00000000-0005-0000-0000-00001A750000}"/>
    <cellStyle name="Note 2 2 2 2 2 2 2 2 3 2 2" xfId="30994" xr:uid="{00000000-0005-0000-0000-00001B750000}"/>
    <cellStyle name="Note 2 2 2 2 2 2 2 2 3 3" xfId="30996" xr:uid="{00000000-0005-0000-0000-00001C750000}"/>
    <cellStyle name="Note 2 2 2 2 2 2 2 2 4" xfId="23161" xr:uid="{00000000-0005-0000-0000-00001D750000}"/>
    <cellStyle name="Note 2 2 2 2 2 2 2 2 4 2" xfId="24753" xr:uid="{00000000-0005-0000-0000-00001E750000}"/>
    <cellStyle name="Note 2 2 2 2 2 2 2 2 5" xfId="21693" xr:uid="{00000000-0005-0000-0000-00001F750000}"/>
    <cellStyle name="Note 2 2 2 2 2 2 2 3" xfId="21545" xr:uid="{00000000-0005-0000-0000-000020750000}"/>
    <cellStyle name="Note 2 2 2 2 2 2 2 3 2" xfId="33772" xr:uid="{00000000-0005-0000-0000-000021750000}"/>
    <cellStyle name="Note 2 2 2 2 2 2 2 3 2 2" xfId="15239" xr:uid="{00000000-0005-0000-0000-000022750000}"/>
    <cellStyle name="Note 2 2 2 2 2 2 2 3 2 2 2" xfId="7334" xr:uid="{00000000-0005-0000-0000-000023750000}"/>
    <cellStyle name="Note 2 2 2 2 2 2 2 3 2 3" xfId="32015" xr:uid="{00000000-0005-0000-0000-000024750000}"/>
    <cellStyle name="Note 2 2 2 2 2 2 2 3 3" xfId="26500" xr:uid="{00000000-0005-0000-0000-000025750000}"/>
    <cellStyle name="Note 2 2 2 2 2 2 2 3 3 2" xfId="28527" xr:uid="{00000000-0005-0000-0000-000026750000}"/>
    <cellStyle name="Note 2 2 2 2 2 2 2 3 4" xfId="32042" xr:uid="{00000000-0005-0000-0000-000027750000}"/>
    <cellStyle name="Note 2 2 2 2 2 2 2 4" xfId="31766" xr:uid="{00000000-0005-0000-0000-000028750000}"/>
    <cellStyle name="Note 2 2 2 2 2 2 2 4 2" xfId="31008" xr:uid="{00000000-0005-0000-0000-000029750000}"/>
    <cellStyle name="Note 2 2 2 2 2 2 2 4 2 2" xfId="27608" xr:uid="{00000000-0005-0000-0000-00002A750000}"/>
    <cellStyle name="Note 2 2 2 2 2 2 2 4 3" xfId="29391" xr:uid="{00000000-0005-0000-0000-00002B750000}"/>
    <cellStyle name="Note 2 2 2 2 2 2 2 5" xfId="31025" xr:uid="{00000000-0005-0000-0000-00002C750000}"/>
    <cellStyle name="Note 2 2 2 2 2 2 2 5 2" xfId="25978" xr:uid="{00000000-0005-0000-0000-00002D750000}"/>
    <cellStyle name="Note 2 2 2 2 2 2 2 6" xfId="13958" xr:uid="{00000000-0005-0000-0000-00002E750000}"/>
    <cellStyle name="Note 2 2 2 2 2 2 3" xfId="33281" xr:uid="{00000000-0005-0000-0000-00002F750000}"/>
    <cellStyle name="Note 2 2 2 2 2 2 3 2" xfId="23473" xr:uid="{00000000-0005-0000-0000-000030750000}"/>
    <cellStyle name="Note 2 2 2 2 2 2 3 2 2" xfId="30610" xr:uid="{00000000-0005-0000-0000-000031750000}"/>
    <cellStyle name="Note 2 2 2 2 2 2 3 2 2 2" xfId="15258" xr:uid="{00000000-0005-0000-0000-000032750000}"/>
    <cellStyle name="Note 2 2 2 2 2 2 3 2 2 2 2" xfId="31041" xr:uid="{00000000-0005-0000-0000-000033750000}"/>
    <cellStyle name="Note 2 2 2 2 2 2 3 2 2 3" xfId="31044" xr:uid="{00000000-0005-0000-0000-000034750000}"/>
    <cellStyle name="Note 2 2 2 2 2 2 3 2 3" xfId="31048" xr:uid="{00000000-0005-0000-0000-000035750000}"/>
    <cellStyle name="Note 2 2 2 2 2 2 3 2 3 2" xfId="12575" xr:uid="{00000000-0005-0000-0000-000036750000}"/>
    <cellStyle name="Note 2 2 2 2 2 2 3 2 4" xfId="23185" xr:uid="{00000000-0005-0000-0000-000037750000}"/>
    <cellStyle name="Note 2 2 2 2 2 2 3 3" xfId="32503" xr:uid="{00000000-0005-0000-0000-000038750000}"/>
    <cellStyle name="Note 2 2 2 2 2 2 3 3 2" xfId="25337" xr:uid="{00000000-0005-0000-0000-000039750000}"/>
    <cellStyle name="Note 2 2 2 2 2 2 3 3 2 2" xfId="30284" xr:uid="{00000000-0005-0000-0000-00003A750000}"/>
    <cellStyle name="Note 2 2 2 2 2 2 3 3 3" xfId="844" xr:uid="{00000000-0005-0000-0000-00003B750000}"/>
    <cellStyle name="Note 2 2 2 2 2 2 3 4" xfId="13048" xr:uid="{00000000-0005-0000-0000-00003C750000}"/>
    <cellStyle name="Note 2 2 2 2 2 2 3 4 2" xfId="19897" xr:uid="{00000000-0005-0000-0000-00003D750000}"/>
    <cellStyle name="Note 2 2 2 2 2 2 3 5" xfId="30244" xr:uid="{00000000-0005-0000-0000-00003E750000}"/>
    <cellStyle name="Note 2 2 2 2 2 2 4" xfId="16198" xr:uid="{00000000-0005-0000-0000-00003F750000}"/>
    <cellStyle name="Note 2 2 2 2 2 2 4 2" xfId="33754" xr:uid="{00000000-0005-0000-0000-000040750000}"/>
    <cellStyle name="Note 2 2 2 2 2 2 4 2 2" xfId="31060" xr:uid="{00000000-0005-0000-0000-000041750000}"/>
    <cellStyle name="Note 2 2 2 2 2 2 4 2 2 2" xfId="15229" xr:uid="{00000000-0005-0000-0000-000042750000}"/>
    <cellStyle name="Note 2 2 2 2 2 2 4 2 3" xfId="31068" xr:uid="{00000000-0005-0000-0000-000043750000}"/>
    <cellStyle name="Note 2 2 2 2 2 2 4 3" xfId="6516" xr:uid="{00000000-0005-0000-0000-000044750000}"/>
    <cellStyle name="Note 2 2 2 2 2 2 4 3 2" xfId="20195" xr:uid="{00000000-0005-0000-0000-000045750000}"/>
    <cellStyle name="Note 2 2 2 2 2 2 4 4" xfId="31073" xr:uid="{00000000-0005-0000-0000-000046750000}"/>
    <cellStyle name="Note 2 2 2 2 2 2 5" xfId="8827" xr:uid="{00000000-0005-0000-0000-000047750000}"/>
    <cellStyle name="Note 2 2 2 2 2 2 5 2" xfId="31076" xr:uid="{00000000-0005-0000-0000-000048750000}"/>
    <cellStyle name="Note 2 2 2 2 2 2 5 2 2" xfId="28492" xr:uid="{00000000-0005-0000-0000-000049750000}"/>
    <cellStyle name="Note 2 2 2 2 2 2 5 3" xfId="32284" xr:uid="{00000000-0005-0000-0000-00004A750000}"/>
    <cellStyle name="Note 2 2 2 2 2 2 6" xfId="33334" xr:uid="{00000000-0005-0000-0000-00004B750000}"/>
    <cellStyle name="Note 2 2 2 2 2 2 6 2" xfId="33116" xr:uid="{00000000-0005-0000-0000-00004C750000}"/>
    <cellStyle name="Note 2 2 2 2 2 2 7" xfId="33118" xr:uid="{00000000-0005-0000-0000-00004D750000}"/>
    <cellStyle name="Note 2 2 2 2 2 3" xfId="32790" xr:uid="{00000000-0005-0000-0000-00004E750000}"/>
    <cellStyle name="Note 2 2 2 2 2 3 2" xfId="33509" xr:uid="{00000000-0005-0000-0000-00004F750000}"/>
    <cellStyle name="Note 2 2 2 2 2 3 2 2" xfId="33516" xr:uid="{00000000-0005-0000-0000-000050750000}"/>
    <cellStyle name="Note 2 2 2 2 2 3 2 2 2" xfId="31079" xr:uid="{00000000-0005-0000-0000-000051750000}"/>
    <cellStyle name="Note 2 2 2 2 2 3 2 2 2 2" xfId="8304" xr:uid="{00000000-0005-0000-0000-000052750000}"/>
    <cellStyle name="Note 2 2 2 2 2 3 2 2 2 2 2" xfId="27592" xr:uid="{00000000-0005-0000-0000-000053750000}"/>
    <cellStyle name="Note 2 2 2 2 2 3 2 2 2 3" xfId="31080" xr:uid="{00000000-0005-0000-0000-000054750000}"/>
    <cellStyle name="Note 2 2 2 2 2 3 2 2 3" xfId="31083" xr:uid="{00000000-0005-0000-0000-000055750000}"/>
    <cellStyle name="Note 2 2 2 2 2 3 2 2 3 2" xfId="29759" xr:uid="{00000000-0005-0000-0000-000056750000}"/>
    <cellStyle name="Note 2 2 2 2 2 3 2 2 4" xfId="32061" xr:uid="{00000000-0005-0000-0000-000057750000}"/>
    <cellStyle name="Note 2 2 2 2 2 3 2 3" xfId="28658" xr:uid="{00000000-0005-0000-0000-000058750000}"/>
    <cellStyle name="Note 2 2 2 2 2 3 2 3 2" xfId="24010" xr:uid="{00000000-0005-0000-0000-000059750000}"/>
    <cellStyle name="Note 2 2 2 2 2 3 2 3 2 2" xfId="28660" xr:uid="{00000000-0005-0000-0000-00005A750000}"/>
    <cellStyle name="Note 2 2 2 2 2 3 2 3 3" xfId="28670" xr:uid="{00000000-0005-0000-0000-00005B750000}"/>
    <cellStyle name="Note 2 2 2 2 2 3 2 4" xfId="28130" xr:uid="{00000000-0005-0000-0000-00005C750000}"/>
    <cellStyle name="Note 2 2 2 2 2 3 2 4 2" xfId="27799" xr:uid="{00000000-0005-0000-0000-00005D750000}"/>
    <cellStyle name="Note 2 2 2 2 2 3 2 5" xfId="14306" xr:uid="{00000000-0005-0000-0000-00005E750000}"/>
    <cellStyle name="Note 2 2 2 2 2 3 3" xfId="33197" xr:uid="{00000000-0005-0000-0000-00005F750000}"/>
    <cellStyle name="Note 2 2 2 2 2 3 3 2" xfId="32612" xr:uid="{00000000-0005-0000-0000-000060750000}"/>
    <cellStyle name="Note 2 2 2 2 2 3 3 2 2" xfId="23952" xr:uid="{00000000-0005-0000-0000-000061750000}"/>
    <cellStyle name="Note 2 2 2 2 2 3 3 2 2 2" xfId="33497" xr:uid="{00000000-0005-0000-0000-000062750000}"/>
    <cellStyle name="Note 2 2 2 2 2 3 3 2 3" xfId="32350" xr:uid="{00000000-0005-0000-0000-000063750000}"/>
    <cellStyle name="Note 2 2 2 2 2 3 3 3" xfId="19025" xr:uid="{00000000-0005-0000-0000-000064750000}"/>
    <cellStyle name="Note 2 2 2 2 2 3 3 3 2" xfId="25944" xr:uid="{00000000-0005-0000-0000-000065750000}"/>
    <cellStyle name="Note 2 2 2 2 2 3 3 4" xfId="21777" xr:uid="{00000000-0005-0000-0000-000066750000}"/>
    <cellStyle name="Note 2 2 2 2 2 3 4" xfId="16249" xr:uid="{00000000-0005-0000-0000-000067750000}"/>
    <cellStyle name="Note 2 2 2 2 2 3 4 2" xfId="10964" xr:uid="{00000000-0005-0000-0000-000068750000}"/>
    <cellStyle name="Note 2 2 2 2 2 3 4 2 2" xfId="6719" xr:uid="{00000000-0005-0000-0000-000069750000}"/>
    <cellStyle name="Note 2 2 2 2 2 3 4 3" xfId="8932" xr:uid="{00000000-0005-0000-0000-00006A750000}"/>
    <cellStyle name="Note 2 2 2 2 2 3 5" xfId="31085" xr:uid="{00000000-0005-0000-0000-00006B750000}"/>
    <cellStyle name="Note 2 2 2 2 2 3 5 2" xfId="8933" xr:uid="{00000000-0005-0000-0000-00006C750000}"/>
    <cellStyle name="Note 2 2 2 2 2 3 6" xfId="31086" xr:uid="{00000000-0005-0000-0000-00006D750000}"/>
    <cellStyle name="Note 2 2 2 2 2 4" xfId="8197" xr:uid="{00000000-0005-0000-0000-00006E750000}"/>
    <cellStyle name="Note 2 2 2 2 2 4 2" xfId="3540" xr:uid="{00000000-0005-0000-0000-00006F750000}"/>
    <cellStyle name="Note 2 2 2 2 2 4 2 2" xfId="33747" xr:uid="{00000000-0005-0000-0000-000070750000}"/>
    <cellStyle name="Note 2 2 2 2 2 4 2 2 2" xfId="9286" xr:uid="{00000000-0005-0000-0000-000071750000}"/>
    <cellStyle name="Note 2 2 2 2 2 4 2 2 2 2" xfId="24403" xr:uid="{00000000-0005-0000-0000-000072750000}"/>
    <cellStyle name="Note 2 2 2 2 2 4 2 2 3" xfId="9288" xr:uid="{00000000-0005-0000-0000-000073750000}"/>
    <cellStyle name="Note 2 2 2 2 2 4 2 3" xfId="29154" xr:uid="{00000000-0005-0000-0000-000074750000}"/>
    <cellStyle name="Note 2 2 2 2 2 4 2 3 2" xfId="9297" xr:uid="{00000000-0005-0000-0000-000075750000}"/>
    <cellStyle name="Note 2 2 2 2 2 4 2 4" xfId="3566" xr:uid="{00000000-0005-0000-0000-000076750000}"/>
    <cellStyle name="Note 2 2 2 2 2 4 3" xfId="4283" xr:uid="{00000000-0005-0000-0000-000077750000}"/>
    <cellStyle name="Note 2 2 2 2 2 4 3 2" xfId="21677" xr:uid="{00000000-0005-0000-0000-000078750000}"/>
    <cellStyle name="Note 2 2 2 2 2 4 3 2 2" xfId="9408" xr:uid="{00000000-0005-0000-0000-000079750000}"/>
    <cellStyle name="Note 2 2 2 2 2 4 3 3" xfId="23255" xr:uid="{00000000-0005-0000-0000-00007A750000}"/>
    <cellStyle name="Note 2 2 2 2 2 4 4" xfId="3061" xr:uid="{00000000-0005-0000-0000-00007B750000}"/>
    <cellStyle name="Note 2 2 2 2 2 4 4 2" xfId="8941" xr:uid="{00000000-0005-0000-0000-00007C750000}"/>
    <cellStyle name="Note 2 2 2 2 2 4 5" xfId="31094" xr:uid="{00000000-0005-0000-0000-00007D750000}"/>
    <cellStyle name="Note 2 2 2 2 2 5" xfId="6027" xr:uid="{00000000-0005-0000-0000-00007E750000}"/>
    <cellStyle name="Note 2 2 2 2 2 5 2" xfId="3558" xr:uid="{00000000-0005-0000-0000-00007F750000}"/>
    <cellStyle name="Note 2 2 2 2 2 5 2 2" xfId="31096" xr:uid="{00000000-0005-0000-0000-000080750000}"/>
    <cellStyle name="Note 2 2 2 2 2 5 2 2 2" xfId="9350" xr:uid="{00000000-0005-0000-0000-000081750000}"/>
    <cellStyle name="Note 2 2 2 2 2 5 2 3" xfId="30654" xr:uid="{00000000-0005-0000-0000-000082750000}"/>
    <cellStyle name="Note 2 2 2 2 2 5 3" xfId="3074" xr:uid="{00000000-0005-0000-0000-000083750000}"/>
    <cellStyle name="Note 2 2 2 2 2 5 3 2" xfId="24103" xr:uid="{00000000-0005-0000-0000-000084750000}"/>
    <cellStyle name="Note 2 2 2 2 2 5 4" xfId="31788" xr:uid="{00000000-0005-0000-0000-000085750000}"/>
    <cellStyle name="Note 2 2 2 2 2 6" xfId="5009" xr:uid="{00000000-0005-0000-0000-000086750000}"/>
    <cellStyle name="Note 2 2 2 2 2 6 2" xfId="14493" xr:uid="{00000000-0005-0000-0000-000087750000}"/>
    <cellStyle name="Note 2 2 2 2 2 6 2 2" xfId="31098" xr:uid="{00000000-0005-0000-0000-000088750000}"/>
    <cellStyle name="Note 2 2 2 2 2 6 3" xfId="31100" xr:uid="{00000000-0005-0000-0000-000089750000}"/>
    <cellStyle name="Note 2 2 2 2 2 7" xfId="8180" xr:uid="{00000000-0005-0000-0000-00008A750000}"/>
    <cellStyle name="Note 2 2 2 2 2 7 2" xfId="31102" xr:uid="{00000000-0005-0000-0000-00008B750000}"/>
    <cellStyle name="Note 2 2 2 2 2 8" xfId="31295" xr:uid="{00000000-0005-0000-0000-00008C750000}"/>
    <cellStyle name="Note 2 2 2 2 3" xfId="11498" xr:uid="{00000000-0005-0000-0000-00008D750000}"/>
    <cellStyle name="Note 2 2 2 2 3 2" xfId="29581" xr:uid="{00000000-0005-0000-0000-00008E750000}"/>
    <cellStyle name="Note 2 2 2 2 3 2 2" xfId="33524" xr:uid="{00000000-0005-0000-0000-00008F750000}"/>
    <cellStyle name="Note 2 2 2 2 3 2 2 2" xfId="30513" xr:uid="{00000000-0005-0000-0000-000090750000}"/>
    <cellStyle name="Note 2 2 2 2 3 2 2 2 2" xfId="31509" xr:uid="{00000000-0005-0000-0000-000091750000}"/>
    <cellStyle name="Note 2 2 2 2 3 2 2 2 2 2" xfId="15917" xr:uid="{00000000-0005-0000-0000-000092750000}"/>
    <cellStyle name="Note 2 2 2 2 3 2 2 2 2 2 2" xfId="26326" xr:uid="{00000000-0005-0000-0000-000093750000}"/>
    <cellStyle name="Note 2 2 2 2 3 2 2 2 2 3" xfId="32367" xr:uid="{00000000-0005-0000-0000-000094750000}"/>
    <cellStyle name="Note 2 2 2 2 3 2 2 2 3" xfId="30520" xr:uid="{00000000-0005-0000-0000-000095750000}"/>
    <cellStyle name="Note 2 2 2 2 3 2 2 2 3 2" xfId="33378" xr:uid="{00000000-0005-0000-0000-000096750000}"/>
    <cellStyle name="Note 2 2 2 2 3 2 2 2 4" xfId="25524" xr:uid="{00000000-0005-0000-0000-000097750000}"/>
    <cellStyle name="Note 2 2 2 2 3 2 2 3" xfId="23587" xr:uid="{00000000-0005-0000-0000-000098750000}"/>
    <cellStyle name="Note 2 2 2 2 3 2 2 3 2" xfId="31950" xr:uid="{00000000-0005-0000-0000-000099750000}"/>
    <cellStyle name="Note 2 2 2 2 3 2 2 3 2 2" xfId="29866" xr:uid="{00000000-0005-0000-0000-00009A750000}"/>
    <cellStyle name="Note 2 2 2 2 3 2 2 3 3" xfId="30785" xr:uid="{00000000-0005-0000-0000-00009B750000}"/>
    <cellStyle name="Note 2 2 2 2 3 2 2 4" xfId="23594" xr:uid="{00000000-0005-0000-0000-00009C750000}"/>
    <cellStyle name="Note 2 2 2 2 3 2 2 4 2" xfId="21013" xr:uid="{00000000-0005-0000-0000-00009D750000}"/>
    <cellStyle name="Note 2 2 2 2 3 2 2 5" xfId="23599" xr:uid="{00000000-0005-0000-0000-00009E750000}"/>
    <cellStyle name="Note 2 2 2 2 3 2 3" xfId="34017" xr:uid="{00000000-0005-0000-0000-00009F750000}"/>
    <cellStyle name="Note 2 2 2 2 3 2 3 2" xfId="31107" xr:uid="{00000000-0005-0000-0000-0000A0750000}"/>
    <cellStyle name="Note 2 2 2 2 3 2 3 2 2" xfId="31111" xr:uid="{00000000-0005-0000-0000-0000A1750000}"/>
    <cellStyle name="Note 2 2 2 2 3 2 3 2 2 2" xfId="32027" xr:uid="{00000000-0005-0000-0000-0000A2750000}"/>
    <cellStyle name="Note 2 2 2 2 3 2 3 2 3" xfId="33186" xr:uid="{00000000-0005-0000-0000-0000A3750000}"/>
    <cellStyle name="Note 2 2 2 2 3 2 3 3" xfId="23603" xr:uid="{00000000-0005-0000-0000-0000A4750000}"/>
    <cellStyle name="Note 2 2 2 2 3 2 3 3 2" xfId="10204" xr:uid="{00000000-0005-0000-0000-0000A5750000}"/>
    <cellStyle name="Note 2 2 2 2 3 2 3 4" xfId="23609" xr:uid="{00000000-0005-0000-0000-0000A6750000}"/>
    <cellStyle name="Note 2 2 2 2 3 2 4" xfId="16368" xr:uid="{00000000-0005-0000-0000-0000A7750000}"/>
    <cellStyle name="Note 2 2 2 2 3 2 4 2" xfId="31112" xr:uid="{00000000-0005-0000-0000-0000A8750000}"/>
    <cellStyle name="Note 2 2 2 2 3 2 4 2 2" xfId="31113" xr:uid="{00000000-0005-0000-0000-0000A9750000}"/>
    <cellStyle name="Note 2 2 2 2 3 2 4 3" xfId="28362" xr:uid="{00000000-0005-0000-0000-0000AA750000}"/>
    <cellStyle name="Note 2 2 2 2 3 2 5" xfId="33665" xr:uid="{00000000-0005-0000-0000-0000AB750000}"/>
    <cellStyle name="Note 2 2 2 2 3 2 5 2" xfId="23945" xr:uid="{00000000-0005-0000-0000-0000AC750000}"/>
    <cellStyle name="Note 2 2 2 2 3 2 6" xfId="33120" xr:uid="{00000000-0005-0000-0000-0000AD750000}"/>
    <cellStyle name="Note 2 2 2 2 3 3" xfId="33570" xr:uid="{00000000-0005-0000-0000-0000AE750000}"/>
    <cellStyle name="Note 2 2 2 2 3 3 2" xfId="33037" xr:uid="{00000000-0005-0000-0000-0000AF750000}"/>
    <cellStyle name="Note 2 2 2 2 3 3 2 2" xfId="33292" xr:uid="{00000000-0005-0000-0000-0000B0750000}"/>
    <cellStyle name="Note 2 2 2 2 3 3 2 2 2" xfId="30193" xr:uid="{00000000-0005-0000-0000-0000B1750000}"/>
    <cellStyle name="Note 2 2 2 2 3 3 2 2 2 2" xfId="30399" xr:uid="{00000000-0005-0000-0000-0000B2750000}"/>
    <cellStyle name="Note 2 2 2 2 3 3 2 2 3" xfId="33941" xr:uid="{00000000-0005-0000-0000-0000B3750000}"/>
    <cellStyle name="Note 2 2 2 2 3 3 2 3" xfId="31120" xr:uid="{00000000-0005-0000-0000-0000B4750000}"/>
    <cellStyle name="Note 2 2 2 2 3 3 2 3 2" xfId="33212" xr:uid="{00000000-0005-0000-0000-0000B5750000}"/>
    <cellStyle name="Note 2 2 2 2 3 3 2 4" xfId="31121" xr:uid="{00000000-0005-0000-0000-0000B6750000}"/>
    <cellStyle name="Note 2 2 2 2 3 3 3" xfId="33355" xr:uid="{00000000-0005-0000-0000-0000B7750000}"/>
    <cellStyle name="Note 2 2 2 2 3 3 3 2" xfId="31122" xr:uid="{00000000-0005-0000-0000-0000B8750000}"/>
    <cellStyle name="Note 2 2 2 2 3 3 3 2 2" xfId="11561" xr:uid="{00000000-0005-0000-0000-0000B9750000}"/>
    <cellStyle name="Note 2 2 2 2 3 3 3 3" xfId="28729" xr:uid="{00000000-0005-0000-0000-0000BA750000}"/>
    <cellStyle name="Note 2 2 2 2 3 3 4" xfId="31145" xr:uid="{00000000-0005-0000-0000-0000BB750000}"/>
    <cellStyle name="Note 2 2 2 2 3 3 4 2" xfId="8949" xr:uid="{00000000-0005-0000-0000-0000BC750000}"/>
    <cellStyle name="Note 2 2 2 2 3 3 5" xfId="31146" xr:uid="{00000000-0005-0000-0000-0000BD750000}"/>
    <cellStyle name="Note 2 2 2 2 3 4" xfId="11509" xr:uid="{00000000-0005-0000-0000-0000BE750000}"/>
    <cellStyle name="Note 2 2 2 2 3 4 2" xfId="7473" xr:uid="{00000000-0005-0000-0000-0000BF750000}"/>
    <cellStyle name="Note 2 2 2 2 3 4 2 2" xfId="31131" xr:uid="{00000000-0005-0000-0000-0000C0750000}"/>
    <cellStyle name="Note 2 2 2 2 3 4 2 2 2" xfId="9425" xr:uid="{00000000-0005-0000-0000-0000C1750000}"/>
    <cellStyle name="Note 2 2 2 2 3 4 2 3" xfId="31133" xr:uid="{00000000-0005-0000-0000-0000C2750000}"/>
    <cellStyle name="Note 2 2 2 2 3 4 3" xfId="7399" xr:uid="{00000000-0005-0000-0000-0000C3750000}"/>
    <cellStyle name="Note 2 2 2 2 3 4 3 2" xfId="24281" xr:uid="{00000000-0005-0000-0000-0000C4750000}"/>
    <cellStyle name="Note 2 2 2 2 3 4 4" xfId="31154" xr:uid="{00000000-0005-0000-0000-0000C5750000}"/>
    <cellStyle name="Note 2 2 2 2 3 5" xfId="13069" xr:uid="{00000000-0005-0000-0000-0000C6750000}"/>
    <cellStyle name="Note 2 2 2 2 3 5 2" xfId="3584" xr:uid="{00000000-0005-0000-0000-0000C7750000}"/>
    <cellStyle name="Note 2 2 2 2 3 5 2 2" xfId="31137" xr:uid="{00000000-0005-0000-0000-0000C8750000}"/>
    <cellStyle name="Note 2 2 2 2 3 5 3" xfId="31161" xr:uid="{00000000-0005-0000-0000-0000C9750000}"/>
    <cellStyle name="Note 2 2 2 2 3 6" xfId="4053" xr:uid="{00000000-0005-0000-0000-0000CA750000}"/>
    <cellStyle name="Note 2 2 2 2 3 6 2" xfId="31143" xr:uid="{00000000-0005-0000-0000-0000CB750000}"/>
    <cellStyle name="Note 2 2 2 2 3 7" xfId="31144" xr:uid="{00000000-0005-0000-0000-0000CC750000}"/>
    <cellStyle name="Note 2 2 2 2 4" xfId="31290" xr:uid="{00000000-0005-0000-0000-0000CD750000}"/>
    <cellStyle name="Note 2 2 2 2 4 2" xfId="33628" xr:uid="{00000000-0005-0000-0000-0000CE750000}"/>
    <cellStyle name="Note 2 2 2 2 4 2 2" xfId="21929" xr:uid="{00000000-0005-0000-0000-0000CF750000}"/>
    <cellStyle name="Note 2 2 2 2 4 2 2 2" xfId="33356" xr:uid="{00000000-0005-0000-0000-0000D0750000}"/>
    <cellStyle name="Note 2 2 2 2 4 2 2 2 2" xfId="2017" xr:uid="{00000000-0005-0000-0000-0000D1750000}"/>
    <cellStyle name="Note 2 2 2 2 4 2 2 2 2 2" xfId="13392" xr:uid="{00000000-0005-0000-0000-0000D2750000}"/>
    <cellStyle name="Note 2 2 2 2 4 2 2 2 3" xfId="387" xr:uid="{00000000-0005-0000-0000-0000D3750000}"/>
    <cellStyle name="Note 2 2 2 2 4 2 2 3" xfId="27470" xr:uid="{00000000-0005-0000-0000-0000D4750000}"/>
    <cellStyle name="Note 2 2 2 2 4 2 2 3 2" xfId="21470" xr:uid="{00000000-0005-0000-0000-0000D5750000}"/>
    <cellStyle name="Note 2 2 2 2 4 2 2 4" xfId="31148" xr:uid="{00000000-0005-0000-0000-0000D6750000}"/>
    <cellStyle name="Note 2 2 2 2 4 2 3" xfId="11153" xr:uid="{00000000-0005-0000-0000-0000D7750000}"/>
    <cellStyle name="Note 2 2 2 2 4 2 3 2" xfId="31152" xr:uid="{00000000-0005-0000-0000-0000D8750000}"/>
    <cellStyle name="Note 2 2 2 2 4 2 3 2 2" xfId="353" xr:uid="{00000000-0005-0000-0000-0000D9750000}"/>
    <cellStyle name="Note 2 2 2 2 4 2 3 3" xfId="27292" xr:uid="{00000000-0005-0000-0000-0000DA750000}"/>
    <cellStyle name="Note 2 2 2 2 4 2 4" xfId="23573" xr:uid="{00000000-0005-0000-0000-0000DB750000}"/>
    <cellStyle name="Note 2 2 2 2 4 2 4 2" xfId="31165" xr:uid="{00000000-0005-0000-0000-0000DC750000}"/>
    <cellStyle name="Note 2 2 2 2 4 2 5" xfId="26374" xr:uid="{00000000-0005-0000-0000-0000DD750000}"/>
    <cellStyle name="Note 2 2 2 2 4 3" xfId="3157" xr:uid="{00000000-0005-0000-0000-0000DE750000}"/>
    <cellStyle name="Note 2 2 2 2 4 3 2" xfId="23982" xr:uid="{00000000-0005-0000-0000-0000DF750000}"/>
    <cellStyle name="Note 2 2 2 2 4 3 2 2" xfId="28797" xr:uid="{00000000-0005-0000-0000-0000E0750000}"/>
    <cellStyle name="Note 2 2 2 2 4 3 2 2 2" xfId="30882" xr:uid="{00000000-0005-0000-0000-0000E1750000}"/>
    <cellStyle name="Note 2 2 2 2 4 3 2 3" xfId="32903" xr:uid="{00000000-0005-0000-0000-0000E2750000}"/>
    <cellStyle name="Note 2 2 2 2 4 3 3" xfId="20724" xr:uid="{00000000-0005-0000-0000-0000E3750000}"/>
    <cellStyle name="Note 2 2 2 2 4 3 3 2" xfId="28824" xr:uid="{00000000-0005-0000-0000-0000E4750000}"/>
    <cellStyle name="Note 2 2 2 2 4 3 4" xfId="32905" xr:uid="{00000000-0005-0000-0000-0000E5750000}"/>
    <cellStyle name="Note 2 2 2 2 4 4" xfId="24461" xr:uid="{00000000-0005-0000-0000-0000E6750000}"/>
    <cellStyle name="Note 2 2 2 2 4 4 2" xfId="10953" xr:uid="{00000000-0005-0000-0000-0000E7750000}"/>
    <cellStyle name="Note 2 2 2 2 4 4 2 2" xfId="31166" xr:uid="{00000000-0005-0000-0000-0000E8750000}"/>
    <cellStyle name="Note 2 2 2 2 4 4 3" xfId="31171" xr:uid="{00000000-0005-0000-0000-0000E9750000}"/>
    <cellStyle name="Note 2 2 2 2 4 5" xfId="5884" xr:uid="{00000000-0005-0000-0000-0000EA750000}"/>
    <cellStyle name="Note 2 2 2 2 4 5 2" xfId="31773" xr:uid="{00000000-0005-0000-0000-0000EB750000}"/>
    <cellStyle name="Note 2 2 2 2 4 6" xfId="31179" xr:uid="{00000000-0005-0000-0000-0000EC750000}"/>
    <cellStyle name="Note 2 2 2 2 5" xfId="27626" xr:uid="{00000000-0005-0000-0000-0000ED750000}"/>
    <cellStyle name="Note 2 2 2 2 5 2" xfId="31835" xr:uid="{00000000-0005-0000-0000-0000EE750000}"/>
    <cellStyle name="Note 2 2 2 2 5 2 2" xfId="31841" xr:uid="{00000000-0005-0000-0000-0000EF750000}"/>
    <cellStyle name="Note 2 2 2 2 5 2 2 2" xfId="32609" xr:uid="{00000000-0005-0000-0000-0000F0750000}"/>
    <cellStyle name="Note 2 2 2 2 5 2 2 2 2" xfId="31312" xr:uid="{00000000-0005-0000-0000-0000F1750000}"/>
    <cellStyle name="Note 2 2 2 2 5 2 2 3" xfId="9031" xr:uid="{00000000-0005-0000-0000-0000F2750000}"/>
    <cellStyle name="Note 2 2 2 2 5 2 3" xfId="11442" xr:uid="{00000000-0005-0000-0000-0000F3750000}"/>
    <cellStyle name="Note 2 2 2 2 5 2 3 2" xfId="31186" xr:uid="{00000000-0005-0000-0000-0000F4750000}"/>
    <cellStyle name="Note 2 2 2 2 5 2 4" xfId="25763" xr:uid="{00000000-0005-0000-0000-0000F5750000}"/>
    <cellStyle name="Note 2 2 2 2 5 3" xfId="26790" xr:uid="{00000000-0005-0000-0000-0000F6750000}"/>
    <cellStyle name="Note 2 2 2 2 5 3 2" xfId="3724" xr:uid="{00000000-0005-0000-0000-0000F7750000}"/>
    <cellStyle name="Note 2 2 2 2 5 3 2 2" xfId="31334" xr:uid="{00000000-0005-0000-0000-0000F8750000}"/>
    <cellStyle name="Note 2 2 2 2 5 3 3" xfId="25780" xr:uid="{00000000-0005-0000-0000-0000F9750000}"/>
    <cellStyle name="Note 2 2 2 2 5 4" xfId="5936" xr:uid="{00000000-0005-0000-0000-0000FA750000}"/>
    <cellStyle name="Note 2 2 2 2 5 4 2" xfId="25787" xr:uid="{00000000-0005-0000-0000-0000FB750000}"/>
    <cellStyle name="Note 2 2 2 2 5 5" xfId="27198" xr:uid="{00000000-0005-0000-0000-0000FC750000}"/>
    <cellStyle name="Note 2 2 2 2 6" xfId="31839" xr:uid="{00000000-0005-0000-0000-0000FD750000}"/>
    <cellStyle name="Note 2 2 2 2 6 2" xfId="29702" xr:uid="{00000000-0005-0000-0000-0000FE750000}"/>
    <cellStyle name="Note 2 2 2 2 6 2 2" xfId="3735" xr:uid="{00000000-0005-0000-0000-0000FF750000}"/>
    <cellStyle name="Note 2 2 2 2 6 2 2 2" xfId="31191" xr:uid="{00000000-0005-0000-0000-000000760000}"/>
    <cellStyle name="Note 2 2 2 2 6 2 3" xfId="25844" xr:uid="{00000000-0005-0000-0000-000001760000}"/>
    <cellStyle name="Note 2 2 2 2 6 3" xfId="31194" xr:uid="{00000000-0005-0000-0000-000002760000}"/>
    <cellStyle name="Note 2 2 2 2 6 3 2" xfId="3100" xr:uid="{00000000-0005-0000-0000-000003760000}"/>
    <cellStyle name="Note 2 2 2 2 6 4" xfId="31198" xr:uid="{00000000-0005-0000-0000-000004760000}"/>
    <cellStyle name="Note 2 2 2 2 7" xfId="30893" xr:uid="{00000000-0005-0000-0000-000005760000}"/>
    <cellStyle name="Note 2 2 2 2 7 2" xfId="5400" xr:uid="{00000000-0005-0000-0000-000006760000}"/>
    <cellStyle name="Note 2 2 2 2 7 2 2" xfId="25875" xr:uid="{00000000-0005-0000-0000-000007760000}"/>
    <cellStyle name="Note 2 2 2 2 7 3" xfId="31199" xr:uid="{00000000-0005-0000-0000-000008760000}"/>
    <cellStyle name="Note 2 2 2 2 8" xfId="31787" xr:uid="{00000000-0005-0000-0000-000009760000}"/>
    <cellStyle name="Note 2 2 2 2 8 2" xfId="31200" xr:uid="{00000000-0005-0000-0000-00000A760000}"/>
    <cellStyle name="Note 2 2 2 2 9" xfId="122" xr:uid="{00000000-0005-0000-0000-00000B760000}"/>
    <cellStyle name="Note 2 2 2 3" xfId="32681" xr:uid="{00000000-0005-0000-0000-00000C760000}"/>
    <cellStyle name="Note 2 2 2 3 2" xfId="13074" xr:uid="{00000000-0005-0000-0000-00000D760000}"/>
    <cellStyle name="Note 2 2 2 3 2 2" xfId="31209" xr:uid="{00000000-0005-0000-0000-00000E760000}"/>
    <cellStyle name="Note 2 2 2 3 2 2 2" xfId="23385" xr:uid="{00000000-0005-0000-0000-00000F760000}"/>
    <cellStyle name="Note 2 2 2 3 2 2 2 2" xfId="32161" xr:uid="{00000000-0005-0000-0000-000010760000}"/>
    <cellStyle name="Note 2 2 2 3 2 2 2 2 2" xfId="31757" xr:uid="{00000000-0005-0000-0000-000011760000}"/>
    <cellStyle name="Note 2 2 2 3 2 2 2 2 2 2" xfId="15643" xr:uid="{00000000-0005-0000-0000-000012760000}"/>
    <cellStyle name="Note 2 2 2 3 2 2 2 2 2 2 2" xfId="30137" xr:uid="{00000000-0005-0000-0000-000013760000}"/>
    <cellStyle name="Note 2 2 2 3 2 2 2 2 2 3" xfId="17329" xr:uid="{00000000-0005-0000-0000-000014760000}"/>
    <cellStyle name="Note 2 2 2 3 2 2 2 2 3" xfId="8776" xr:uid="{00000000-0005-0000-0000-000015760000}"/>
    <cellStyle name="Note 2 2 2 3 2 2 2 2 3 2" xfId="17333" xr:uid="{00000000-0005-0000-0000-000016760000}"/>
    <cellStyle name="Note 2 2 2 3 2 2 2 2 4" xfId="30630" xr:uid="{00000000-0005-0000-0000-000017760000}"/>
    <cellStyle name="Note 2 2 2 3 2 2 2 3" xfId="31218" xr:uid="{00000000-0005-0000-0000-000018760000}"/>
    <cellStyle name="Note 2 2 2 3 2 2 2 3 2" xfId="12315" xr:uid="{00000000-0005-0000-0000-000019760000}"/>
    <cellStyle name="Note 2 2 2 3 2 2 2 3 2 2" xfId="17345" xr:uid="{00000000-0005-0000-0000-00001A760000}"/>
    <cellStyle name="Note 2 2 2 3 2 2 2 3 3" xfId="13507" xr:uid="{00000000-0005-0000-0000-00001B760000}"/>
    <cellStyle name="Note 2 2 2 3 2 2 2 4" xfId="9116" xr:uid="{00000000-0005-0000-0000-00001C760000}"/>
    <cellStyle name="Note 2 2 2 3 2 2 2 4 2" xfId="13514" xr:uid="{00000000-0005-0000-0000-00001D760000}"/>
    <cellStyle name="Note 2 2 2 3 2 2 2 5" xfId="22775" xr:uid="{00000000-0005-0000-0000-00001E760000}"/>
    <cellStyle name="Note 2 2 2 3 2 2 3" xfId="23393" xr:uid="{00000000-0005-0000-0000-00001F760000}"/>
    <cellStyle name="Note 2 2 2 3 2 2 3 2" xfId="31227" xr:uid="{00000000-0005-0000-0000-000020760000}"/>
    <cellStyle name="Note 2 2 2 3 2 2 3 2 2" xfId="26464" xr:uid="{00000000-0005-0000-0000-000021760000}"/>
    <cellStyle name="Note 2 2 2 3 2 2 3 2 2 2" xfId="17363" xr:uid="{00000000-0005-0000-0000-000022760000}"/>
    <cellStyle name="Note 2 2 2 3 2 2 3 2 3" xfId="33636" xr:uid="{00000000-0005-0000-0000-000023760000}"/>
    <cellStyle name="Note 2 2 2 3 2 2 3 3" xfId="31231" xr:uid="{00000000-0005-0000-0000-000024760000}"/>
    <cellStyle name="Note 2 2 2 3 2 2 3 3 2" xfId="10406" xr:uid="{00000000-0005-0000-0000-000025760000}"/>
    <cellStyle name="Note 2 2 2 3 2 2 3 4" xfId="24043" xr:uid="{00000000-0005-0000-0000-000026760000}"/>
    <cellStyle name="Note 2 2 2 3 2 2 4" xfId="18128" xr:uid="{00000000-0005-0000-0000-000027760000}"/>
    <cellStyle name="Note 2 2 2 3 2 2 4 2" xfId="31236" xr:uid="{00000000-0005-0000-0000-000028760000}"/>
    <cellStyle name="Note 2 2 2 3 2 2 4 2 2" xfId="26487" xr:uid="{00000000-0005-0000-0000-000029760000}"/>
    <cellStyle name="Note 2 2 2 3 2 2 4 3" xfId="23769" xr:uid="{00000000-0005-0000-0000-00002A760000}"/>
    <cellStyle name="Note 2 2 2 3 2 2 5" xfId="28909" xr:uid="{00000000-0005-0000-0000-00002B760000}"/>
    <cellStyle name="Note 2 2 2 3 2 2 5 2" xfId="31247" xr:uid="{00000000-0005-0000-0000-00002C760000}"/>
    <cellStyle name="Note 2 2 2 3 2 2 6" xfId="31248" xr:uid="{00000000-0005-0000-0000-00002D760000}"/>
    <cellStyle name="Note 2 2 2 3 2 3" xfId="21460" xr:uid="{00000000-0005-0000-0000-00002E760000}"/>
    <cellStyle name="Note 2 2 2 3 2 3 2" xfId="23394" xr:uid="{00000000-0005-0000-0000-00002F760000}"/>
    <cellStyle name="Note 2 2 2 3 2 3 2 2" xfId="31215" xr:uid="{00000000-0005-0000-0000-000030760000}"/>
    <cellStyle name="Note 2 2 2 3 2 3 2 2 2" xfId="32415" xr:uid="{00000000-0005-0000-0000-000031760000}"/>
    <cellStyle name="Note 2 2 2 3 2 3 2 2 2 2" xfId="17427" xr:uid="{00000000-0005-0000-0000-000032760000}"/>
    <cellStyle name="Note 2 2 2 3 2 3 2 2 3" xfId="31256" xr:uid="{00000000-0005-0000-0000-000033760000}"/>
    <cellStyle name="Note 2 2 2 3 2 3 2 3" xfId="32390" xr:uid="{00000000-0005-0000-0000-000034760000}"/>
    <cellStyle name="Note 2 2 2 3 2 3 2 3 2" xfId="9533" xr:uid="{00000000-0005-0000-0000-000035760000}"/>
    <cellStyle name="Note 2 2 2 3 2 3 2 4" xfId="24072" xr:uid="{00000000-0005-0000-0000-000036760000}"/>
    <cellStyle name="Note 2 2 2 3 2 3 3" xfId="32499" xr:uid="{00000000-0005-0000-0000-000037760000}"/>
    <cellStyle name="Note 2 2 2 3 2 3 3 2" xfId="31229" xr:uid="{00000000-0005-0000-0000-000038760000}"/>
    <cellStyle name="Note 2 2 2 3 2 3 3 2 2" xfId="32435" xr:uid="{00000000-0005-0000-0000-000039760000}"/>
    <cellStyle name="Note 2 2 2 3 2 3 3 3" xfId="24081" xr:uid="{00000000-0005-0000-0000-00003A760000}"/>
    <cellStyle name="Note 2 2 2 3 2 3 4" xfId="32502" xr:uid="{00000000-0005-0000-0000-00003B760000}"/>
    <cellStyle name="Note 2 2 2 3 2 3 4 2" xfId="1153" xr:uid="{00000000-0005-0000-0000-00003C760000}"/>
    <cellStyle name="Note 2 2 2 3 2 3 5" xfId="28911" xr:uid="{00000000-0005-0000-0000-00003D760000}"/>
    <cellStyle name="Note 2 2 2 3 2 4" xfId="8232" xr:uid="{00000000-0005-0000-0000-00003E760000}"/>
    <cellStyle name="Note 2 2 2 3 2 4 2" xfId="2663" xr:uid="{00000000-0005-0000-0000-00003F760000}"/>
    <cellStyle name="Note 2 2 2 3 2 4 2 2" xfId="31266" xr:uid="{00000000-0005-0000-0000-000040760000}"/>
    <cellStyle name="Note 2 2 2 3 2 4 2 2 2" xfId="14827" xr:uid="{00000000-0005-0000-0000-000041760000}"/>
    <cellStyle name="Note 2 2 2 3 2 4 2 3" xfId="31271" xr:uid="{00000000-0005-0000-0000-000042760000}"/>
    <cellStyle name="Note 2 2 2 3 2 4 3" xfId="9958" xr:uid="{00000000-0005-0000-0000-000043760000}"/>
    <cellStyle name="Note 2 2 2 3 2 4 3 2" xfId="31257" xr:uid="{00000000-0005-0000-0000-000044760000}"/>
    <cellStyle name="Note 2 2 2 3 2 4 4" xfId="9963" xr:uid="{00000000-0005-0000-0000-000045760000}"/>
    <cellStyle name="Note 2 2 2 3 2 5" xfId="3755" xr:uid="{00000000-0005-0000-0000-000046760000}"/>
    <cellStyle name="Note 2 2 2 3 2 5 2" xfId="3759" xr:uid="{00000000-0005-0000-0000-000047760000}"/>
    <cellStyle name="Note 2 2 2 3 2 5 2 2" xfId="31275" xr:uid="{00000000-0005-0000-0000-000048760000}"/>
    <cellStyle name="Note 2 2 2 3 2 5 3" xfId="4477" xr:uid="{00000000-0005-0000-0000-000049760000}"/>
    <cellStyle name="Note 2 2 2 3 2 6" xfId="12942" xr:uid="{00000000-0005-0000-0000-00004A760000}"/>
    <cellStyle name="Note 2 2 2 3 2 6 2" xfId="31279" xr:uid="{00000000-0005-0000-0000-00004B760000}"/>
    <cellStyle name="Note 2 2 2 3 2 7" xfId="29298" xr:uid="{00000000-0005-0000-0000-00004C760000}"/>
    <cellStyle name="Note 2 2 2 3 3" xfId="31282" xr:uid="{00000000-0005-0000-0000-00004D760000}"/>
    <cellStyle name="Note 2 2 2 3 3 2" xfId="27094" xr:uid="{00000000-0005-0000-0000-00004E760000}"/>
    <cellStyle name="Note 2 2 2 3 3 2 2" xfId="23409" xr:uid="{00000000-0005-0000-0000-00004F760000}"/>
    <cellStyle name="Note 2 2 2 3 3 2 2 2" xfId="32966" xr:uid="{00000000-0005-0000-0000-000050760000}"/>
    <cellStyle name="Note 2 2 2 3 3 2 2 2 2" xfId="11848" xr:uid="{00000000-0005-0000-0000-000051760000}"/>
    <cellStyle name="Note 2 2 2 3 3 2 2 2 2 2" xfId="1107" xr:uid="{00000000-0005-0000-0000-000052760000}"/>
    <cellStyle name="Note 2 2 2 3 3 2 2 2 3" xfId="23714" xr:uid="{00000000-0005-0000-0000-000053760000}"/>
    <cellStyle name="Note 2 2 2 3 3 2 2 3" xfId="31357" xr:uid="{00000000-0005-0000-0000-000054760000}"/>
    <cellStyle name="Note 2 2 2 3 3 2 2 3 2" xfId="33090" xr:uid="{00000000-0005-0000-0000-000055760000}"/>
    <cellStyle name="Note 2 2 2 3 3 2 2 4" xfId="24138" xr:uid="{00000000-0005-0000-0000-000056760000}"/>
    <cellStyle name="Note 2 2 2 3 3 2 3" xfId="33979" xr:uid="{00000000-0005-0000-0000-000057760000}"/>
    <cellStyle name="Note 2 2 2 3 3 2 3 2" xfId="27483" xr:uid="{00000000-0005-0000-0000-000058760000}"/>
    <cellStyle name="Note 2 2 2 3 3 2 3 2 2" xfId="23390" xr:uid="{00000000-0005-0000-0000-000059760000}"/>
    <cellStyle name="Note 2 2 2 3 3 2 3 3" xfId="24151" xr:uid="{00000000-0005-0000-0000-00005A760000}"/>
    <cellStyle name="Note 2 2 2 3 3 2 4" xfId="31296" xr:uid="{00000000-0005-0000-0000-00005B760000}"/>
    <cellStyle name="Note 2 2 2 3 3 2 4 2" xfId="5384" xr:uid="{00000000-0005-0000-0000-00005C760000}"/>
    <cellStyle name="Note 2 2 2 3 3 2 5" xfId="31297" xr:uid="{00000000-0005-0000-0000-00005D760000}"/>
    <cellStyle name="Note 2 2 2 3 3 3" xfId="31299" xr:uid="{00000000-0005-0000-0000-00005E760000}"/>
    <cellStyle name="Note 2 2 2 3 3 3 2" xfId="32505" xr:uid="{00000000-0005-0000-0000-00005F760000}"/>
    <cellStyle name="Note 2 2 2 3 3 3 2 2" xfId="31352" xr:uid="{00000000-0005-0000-0000-000060760000}"/>
    <cellStyle name="Note 2 2 2 3 3 3 2 2 2" xfId="31304" xr:uid="{00000000-0005-0000-0000-000061760000}"/>
    <cellStyle name="Note 2 2 2 3 3 3 2 3" xfId="24171" xr:uid="{00000000-0005-0000-0000-000062760000}"/>
    <cellStyle name="Note 2 2 2 3 3 3 3" xfId="32610" xr:uid="{00000000-0005-0000-0000-000063760000}"/>
    <cellStyle name="Note 2 2 2 3 3 3 3 2" xfId="31291" xr:uid="{00000000-0005-0000-0000-000064760000}"/>
    <cellStyle name="Note 2 2 2 3 3 3 4" xfId="29064" xr:uid="{00000000-0005-0000-0000-000065760000}"/>
    <cellStyle name="Note 2 2 2 3 3 4" xfId="3770" xr:uid="{00000000-0005-0000-0000-000066760000}"/>
    <cellStyle name="Note 2 2 2 3 3 4 2" xfId="3772" xr:uid="{00000000-0005-0000-0000-000067760000}"/>
    <cellStyle name="Note 2 2 2 3 3 4 2 2" xfId="31305" xr:uid="{00000000-0005-0000-0000-000068760000}"/>
    <cellStyle name="Note 2 2 2 3 3 4 3" xfId="1647" xr:uid="{00000000-0005-0000-0000-000069760000}"/>
    <cellStyle name="Note 2 2 2 3 3 5" xfId="3775" xr:uid="{00000000-0005-0000-0000-00006A760000}"/>
    <cellStyle name="Note 2 2 2 3 3 5 2" xfId="20659" xr:uid="{00000000-0005-0000-0000-00006B760000}"/>
    <cellStyle name="Note 2 2 2 3 3 6" xfId="31326" xr:uid="{00000000-0005-0000-0000-00006C760000}"/>
    <cellStyle name="Note 2 2 2 3 4" xfId="29830" xr:uid="{00000000-0005-0000-0000-00006D760000}"/>
    <cellStyle name="Note 2 2 2 3 4 2" xfId="27488" xr:uid="{00000000-0005-0000-0000-00006E760000}"/>
    <cellStyle name="Note 2 2 2 3 4 2 2" xfId="33968" xr:uid="{00000000-0005-0000-0000-00006F760000}"/>
    <cellStyle name="Note 2 2 2 3 4 2 2 2" xfId="31595" xr:uid="{00000000-0005-0000-0000-000070760000}"/>
    <cellStyle name="Note 2 2 2 3 4 2 2 2 2" xfId="31494" xr:uid="{00000000-0005-0000-0000-000071760000}"/>
    <cellStyle name="Note 2 2 2 3 4 2 2 3" xfId="23710" xr:uid="{00000000-0005-0000-0000-000072760000}"/>
    <cellStyle name="Note 2 2 2 3 4 2 3" xfId="31329" xr:uid="{00000000-0005-0000-0000-000073760000}"/>
    <cellStyle name="Note 2 2 2 3 4 2 3 2" xfId="31505" xr:uid="{00000000-0005-0000-0000-000074760000}"/>
    <cellStyle name="Note 2 2 2 3 4 2 4" xfId="31331" xr:uid="{00000000-0005-0000-0000-000075760000}"/>
    <cellStyle name="Note 2 2 2 3 4 3" xfId="24467" xr:uid="{00000000-0005-0000-0000-000076760000}"/>
    <cellStyle name="Note 2 2 2 3 4 3 2" xfId="33182" xr:uid="{00000000-0005-0000-0000-000077760000}"/>
    <cellStyle name="Note 2 2 2 3 4 3 2 2" xfId="30977" xr:uid="{00000000-0005-0000-0000-000078760000}"/>
    <cellStyle name="Note 2 2 2 3 4 3 3" xfId="31335" xr:uid="{00000000-0005-0000-0000-000079760000}"/>
    <cellStyle name="Note 2 2 2 3 4 4" xfId="9304" xr:uid="{00000000-0005-0000-0000-00007A760000}"/>
    <cellStyle name="Note 2 2 2 3 4 4 2" xfId="31336" xr:uid="{00000000-0005-0000-0000-00007B760000}"/>
    <cellStyle name="Note 2 2 2 3 4 5" xfId="31341" xr:uid="{00000000-0005-0000-0000-00007C760000}"/>
    <cellStyle name="Note 2 2 2 3 5" xfId="30895" xr:uid="{00000000-0005-0000-0000-00007D760000}"/>
    <cellStyle name="Note 2 2 2 3 5 2" xfId="22386" xr:uid="{00000000-0005-0000-0000-00007E760000}"/>
    <cellStyle name="Note 2 2 2 3 5 2 2" xfId="5524" xr:uid="{00000000-0005-0000-0000-00007F760000}"/>
    <cellStyle name="Note 2 2 2 3 5 2 2 2" xfId="31569" xr:uid="{00000000-0005-0000-0000-000080760000}"/>
    <cellStyle name="Note 2 2 2 3 5 2 3" xfId="8762" xr:uid="{00000000-0005-0000-0000-000081760000}"/>
    <cellStyle name="Note 2 2 2 3 5 3" xfId="33262" xr:uid="{00000000-0005-0000-0000-000082760000}"/>
    <cellStyle name="Note 2 2 2 3 5 3 2" xfId="8773" xr:uid="{00000000-0005-0000-0000-000083760000}"/>
    <cellStyle name="Note 2 2 2 3 5 4" xfId="31358" xr:uid="{00000000-0005-0000-0000-000084760000}"/>
    <cellStyle name="Note 2 2 2 3 6" xfId="30901" xr:uid="{00000000-0005-0000-0000-000085760000}"/>
    <cellStyle name="Note 2 2 2 3 6 2" xfId="10987" xr:uid="{00000000-0005-0000-0000-000086760000}"/>
    <cellStyle name="Note 2 2 2 3 6 2 2" xfId="8786" xr:uid="{00000000-0005-0000-0000-000087760000}"/>
    <cellStyle name="Note 2 2 2 3 6 3" xfId="9322" xr:uid="{00000000-0005-0000-0000-000088760000}"/>
    <cellStyle name="Note 2 2 2 3 7" xfId="31798" xr:uid="{00000000-0005-0000-0000-000089760000}"/>
    <cellStyle name="Note 2 2 2 3 7 2" xfId="10990" xr:uid="{00000000-0005-0000-0000-00008A760000}"/>
    <cellStyle name="Note 2 2 2 3 8" xfId="31359" xr:uid="{00000000-0005-0000-0000-00008B760000}"/>
    <cellStyle name="Note 2 2 2 4" xfId="31361" xr:uid="{00000000-0005-0000-0000-00008C760000}"/>
    <cellStyle name="Note 2 2 2 4 2" xfId="31365" xr:uid="{00000000-0005-0000-0000-00008D760000}"/>
    <cellStyle name="Note 2 2 2 4 2 2" xfId="10699" xr:uid="{00000000-0005-0000-0000-00008E760000}"/>
    <cellStyle name="Note 2 2 2 4 2 2 2" xfId="10868" xr:uid="{00000000-0005-0000-0000-00008F760000}"/>
    <cellStyle name="Note 2 2 2 4 2 2 2 2" xfId="5860" xr:uid="{00000000-0005-0000-0000-000090760000}"/>
    <cellStyle name="Note 2 2 2 4 2 2 2 2 2" xfId="29498" xr:uid="{00000000-0005-0000-0000-000091760000}"/>
    <cellStyle name="Note 2 2 2 4 2 2 2 2 2 2" xfId="17579" xr:uid="{00000000-0005-0000-0000-000092760000}"/>
    <cellStyle name="Note 2 2 2 4 2 2 2 2 3" xfId="4606" xr:uid="{00000000-0005-0000-0000-000093760000}"/>
    <cellStyle name="Note 2 2 2 4 2 2 2 3" xfId="31366" xr:uid="{00000000-0005-0000-0000-000094760000}"/>
    <cellStyle name="Note 2 2 2 4 2 2 2 3 2" xfId="16328" xr:uid="{00000000-0005-0000-0000-000095760000}"/>
    <cellStyle name="Note 2 2 2 4 2 2 2 4" xfId="33171" xr:uid="{00000000-0005-0000-0000-000096760000}"/>
    <cellStyle name="Note 2 2 2 4 2 2 3" xfId="33223" xr:uid="{00000000-0005-0000-0000-000097760000}"/>
    <cellStyle name="Note 2 2 2 4 2 2 3 2" xfId="31367" xr:uid="{00000000-0005-0000-0000-000098760000}"/>
    <cellStyle name="Note 2 2 2 4 2 2 3 2 2" xfId="29616" xr:uid="{00000000-0005-0000-0000-000099760000}"/>
    <cellStyle name="Note 2 2 2 4 2 2 3 3" xfId="28342" xr:uid="{00000000-0005-0000-0000-00009A760000}"/>
    <cellStyle name="Note 2 2 2 4 2 2 4" xfId="31370" xr:uid="{00000000-0005-0000-0000-00009B760000}"/>
    <cellStyle name="Note 2 2 2 4 2 2 4 2" xfId="26595" xr:uid="{00000000-0005-0000-0000-00009C760000}"/>
    <cellStyle name="Note 2 2 2 4 2 2 5" xfId="31372" xr:uid="{00000000-0005-0000-0000-00009D760000}"/>
    <cellStyle name="Note 2 2 2 4 2 3" xfId="28864" xr:uid="{00000000-0005-0000-0000-00009E760000}"/>
    <cellStyle name="Note 2 2 2 4 2 3 2" xfId="32836" xr:uid="{00000000-0005-0000-0000-00009F760000}"/>
    <cellStyle name="Note 2 2 2 4 2 3 2 2" xfId="22477" xr:uid="{00000000-0005-0000-0000-0000A0760000}"/>
    <cellStyle name="Note 2 2 2 4 2 3 2 2 2" xfId="31375" xr:uid="{00000000-0005-0000-0000-0000A1760000}"/>
    <cellStyle name="Note 2 2 2 4 2 3 2 3" xfId="24308" xr:uid="{00000000-0005-0000-0000-0000A2760000}"/>
    <cellStyle name="Note 2 2 2 4 2 3 3" xfId="31379" xr:uid="{00000000-0005-0000-0000-0000A3760000}"/>
    <cellStyle name="Note 2 2 2 4 2 3 3 2" xfId="20052" xr:uid="{00000000-0005-0000-0000-0000A4760000}"/>
    <cellStyle name="Note 2 2 2 4 2 3 4" xfId="31383" xr:uid="{00000000-0005-0000-0000-0000A5760000}"/>
    <cellStyle name="Note 2 2 2 4 2 4" xfId="3889" xr:uid="{00000000-0005-0000-0000-0000A6760000}"/>
    <cellStyle name="Note 2 2 2 4 2 4 2" xfId="9369" xr:uid="{00000000-0005-0000-0000-0000A7760000}"/>
    <cellStyle name="Note 2 2 2 4 2 4 2 2" xfId="22822" xr:uid="{00000000-0005-0000-0000-0000A8760000}"/>
    <cellStyle name="Note 2 2 2 4 2 4 3" xfId="10018" xr:uid="{00000000-0005-0000-0000-0000A9760000}"/>
    <cellStyle name="Note 2 2 2 4 2 5" xfId="3893" xr:uid="{00000000-0005-0000-0000-0000AA760000}"/>
    <cellStyle name="Note 2 2 2 4 2 5 2" xfId="11160" xr:uid="{00000000-0005-0000-0000-0000AB760000}"/>
    <cellStyle name="Note 2 2 2 4 2 6" xfId="31838" xr:uid="{00000000-0005-0000-0000-0000AC760000}"/>
    <cellStyle name="Note 2 2 2 4 3" xfId="33766" xr:uid="{00000000-0005-0000-0000-0000AD760000}"/>
    <cellStyle name="Note 2 2 2 4 3 2" xfId="5626" xr:uid="{00000000-0005-0000-0000-0000AE760000}"/>
    <cellStyle name="Note 2 2 2 4 3 2 2" xfId="14571" xr:uid="{00000000-0005-0000-0000-0000AF760000}"/>
    <cellStyle name="Note 2 2 2 4 3 2 2 2" xfId="1680" xr:uid="{00000000-0005-0000-0000-0000B0760000}"/>
    <cellStyle name="Note 2 2 2 4 3 2 2 2 2" xfId="3259" xr:uid="{00000000-0005-0000-0000-0000B1760000}"/>
    <cellStyle name="Note 2 2 2 4 3 2 2 3" xfId="6273" xr:uid="{00000000-0005-0000-0000-0000B2760000}"/>
    <cellStyle name="Note 2 2 2 4 3 2 3" xfId="31423" xr:uid="{00000000-0005-0000-0000-0000B3760000}"/>
    <cellStyle name="Note 2 2 2 4 3 2 3 2" xfId="4484" xr:uid="{00000000-0005-0000-0000-0000B4760000}"/>
    <cellStyle name="Note 2 2 2 4 3 2 4" xfId="31386" xr:uid="{00000000-0005-0000-0000-0000B5760000}"/>
    <cellStyle name="Note 2 2 2 4 3 3" xfId="450" xr:uid="{00000000-0005-0000-0000-0000B6760000}"/>
    <cellStyle name="Note 2 2 2 4 3 3 2" xfId="32927" xr:uid="{00000000-0005-0000-0000-0000B7760000}"/>
    <cellStyle name="Note 2 2 2 4 3 3 2 2" xfId="9340" xr:uid="{00000000-0005-0000-0000-0000B8760000}"/>
    <cellStyle name="Note 2 2 2 4 3 3 3" xfId="17238" xr:uid="{00000000-0005-0000-0000-0000B9760000}"/>
    <cellStyle name="Note 2 2 2 4 3 4" xfId="3905" xr:uid="{00000000-0005-0000-0000-0000BA760000}"/>
    <cellStyle name="Note 2 2 2 4 3 4 2" xfId="4239" xr:uid="{00000000-0005-0000-0000-0000BB760000}"/>
    <cellStyle name="Note 2 2 2 4 3 5" xfId="27311" xr:uid="{00000000-0005-0000-0000-0000BC760000}"/>
    <cellStyle name="Note 2 2 2 4 4" xfId="27336" xr:uid="{00000000-0005-0000-0000-0000BD760000}"/>
    <cellStyle name="Note 2 2 2 4 4 2" xfId="2321" xr:uid="{00000000-0005-0000-0000-0000BE760000}"/>
    <cellStyle name="Note 2 2 2 4 4 2 2" xfId="30125" xr:uid="{00000000-0005-0000-0000-0000BF760000}"/>
    <cellStyle name="Note 2 2 2 4 4 2 2 2" xfId="9582" xr:uid="{00000000-0005-0000-0000-0000C0760000}"/>
    <cellStyle name="Note 2 2 2 4 4 2 3" xfId="30581" xr:uid="{00000000-0005-0000-0000-0000C1760000}"/>
    <cellStyle name="Note 2 2 2 4 4 3" xfId="20364" xr:uid="{00000000-0005-0000-0000-0000C2760000}"/>
    <cellStyle name="Note 2 2 2 4 4 3 2" xfId="28249" xr:uid="{00000000-0005-0000-0000-0000C3760000}"/>
    <cellStyle name="Note 2 2 2 4 4 4" xfId="30067" xr:uid="{00000000-0005-0000-0000-0000C4760000}"/>
    <cellStyle name="Note 2 2 2 4 5" xfId="41" xr:uid="{00000000-0005-0000-0000-0000C5760000}"/>
    <cellStyle name="Note 2 2 2 4 5 2" xfId="29113" xr:uid="{00000000-0005-0000-0000-0000C6760000}"/>
    <cellStyle name="Note 2 2 2 4 5 2 2" xfId="8812" xr:uid="{00000000-0005-0000-0000-0000C7760000}"/>
    <cellStyle name="Note 2 2 2 4 5 3" xfId="23875" xr:uid="{00000000-0005-0000-0000-0000C8760000}"/>
    <cellStyle name="Note 2 2 2 4 6" xfId="3828" xr:uid="{00000000-0005-0000-0000-0000C9760000}"/>
    <cellStyle name="Note 2 2 2 4 6 2" xfId="11002" xr:uid="{00000000-0005-0000-0000-0000CA760000}"/>
    <cellStyle name="Note 2 2 2 4 7" xfId="17173" xr:uid="{00000000-0005-0000-0000-0000CB760000}"/>
    <cellStyle name="Note 2 2 2 5" xfId="31399" xr:uid="{00000000-0005-0000-0000-0000CC760000}"/>
    <cellStyle name="Note 2 2 2 5 2" xfId="31403" xr:uid="{00000000-0005-0000-0000-0000CD760000}"/>
    <cellStyle name="Note 2 2 2 5 2 2" xfId="29156" xr:uid="{00000000-0005-0000-0000-0000CE760000}"/>
    <cellStyle name="Note 2 2 2 5 2 2 2" xfId="33276" xr:uid="{00000000-0005-0000-0000-0000CF760000}"/>
    <cellStyle name="Note 2 2 2 5 2 2 2 2" xfId="14562" xr:uid="{00000000-0005-0000-0000-0000D0760000}"/>
    <cellStyle name="Note 2 2 2 5 2 2 2 2 2" xfId="1732" xr:uid="{00000000-0005-0000-0000-0000D1760000}"/>
    <cellStyle name="Note 2 2 2 5 2 2 2 3" xfId="8040" xr:uid="{00000000-0005-0000-0000-0000D2760000}"/>
    <cellStyle name="Note 2 2 2 5 2 2 3" xfId="31406" xr:uid="{00000000-0005-0000-0000-0000D3760000}"/>
    <cellStyle name="Note 2 2 2 5 2 2 3 2" xfId="31407" xr:uid="{00000000-0005-0000-0000-0000D4760000}"/>
    <cellStyle name="Note 2 2 2 5 2 2 4" xfId="26281" xr:uid="{00000000-0005-0000-0000-0000D5760000}"/>
    <cellStyle name="Note 2 2 2 5 2 3" xfId="31418" xr:uid="{00000000-0005-0000-0000-0000D6760000}"/>
    <cellStyle name="Note 2 2 2 5 2 3 2" xfId="28980" xr:uid="{00000000-0005-0000-0000-0000D7760000}"/>
    <cellStyle name="Note 2 2 2 5 2 3 2 2" xfId="20996" xr:uid="{00000000-0005-0000-0000-0000D8760000}"/>
    <cellStyle name="Note 2 2 2 5 2 3 3" xfId="31424" xr:uid="{00000000-0005-0000-0000-0000D9760000}"/>
    <cellStyle name="Note 2 2 2 5 2 4" xfId="3941" xr:uid="{00000000-0005-0000-0000-0000DA760000}"/>
    <cellStyle name="Note 2 2 2 5 2 4 2" xfId="11324" xr:uid="{00000000-0005-0000-0000-0000DB760000}"/>
    <cellStyle name="Note 2 2 2 5 2 5" xfId="31844" xr:uid="{00000000-0005-0000-0000-0000DC760000}"/>
    <cellStyle name="Note 2 2 2 5 3" xfId="33780" xr:uid="{00000000-0005-0000-0000-0000DD760000}"/>
    <cellStyle name="Note 2 2 2 5 3 2" xfId="6083" xr:uid="{00000000-0005-0000-0000-0000DE760000}"/>
    <cellStyle name="Note 2 2 2 5 3 2 2" xfId="31429" xr:uid="{00000000-0005-0000-0000-0000DF760000}"/>
    <cellStyle name="Note 2 2 2 5 3 2 2 2" xfId="10000" xr:uid="{00000000-0005-0000-0000-0000E0760000}"/>
    <cellStyle name="Note 2 2 2 5 3 2 3" xfId="29184" xr:uid="{00000000-0005-0000-0000-0000E1760000}"/>
    <cellStyle name="Note 2 2 2 5 3 3" xfId="27628" xr:uid="{00000000-0005-0000-0000-0000E2760000}"/>
    <cellStyle name="Note 2 2 2 5 3 3 2" xfId="29006" xr:uid="{00000000-0005-0000-0000-0000E3760000}"/>
    <cellStyle name="Note 2 2 2 5 3 4" xfId="31431" xr:uid="{00000000-0005-0000-0000-0000E4760000}"/>
    <cellStyle name="Note 2 2 2 5 4" xfId="11841" xr:uid="{00000000-0005-0000-0000-0000E5760000}"/>
    <cellStyle name="Note 2 2 2 5 4 2" xfId="27131" xr:uid="{00000000-0005-0000-0000-0000E6760000}"/>
    <cellStyle name="Note 2 2 2 5 4 2 2" xfId="33915" xr:uid="{00000000-0005-0000-0000-0000E7760000}"/>
    <cellStyle name="Note 2 2 2 5 4 3" xfId="29319" xr:uid="{00000000-0005-0000-0000-0000E8760000}"/>
    <cellStyle name="Note 2 2 2 5 5" xfId="430" xr:uid="{00000000-0005-0000-0000-0000E9760000}"/>
    <cellStyle name="Note 2 2 2 5 5 2" xfId="2015" xr:uid="{00000000-0005-0000-0000-0000EA760000}"/>
    <cellStyle name="Note 2 2 2 5 6" xfId="31444" xr:uid="{00000000-0005-0000-0000-0000EB760000}"/>
    <cellStyle name="Note 2 2 2 6" xfId="5599" xr:uid="{00000000-0005-0000-0000-0000EC760000}"/>
    <cellStyle name="Note 2 2 2 6 2" xfId="23744" xr:uid="{00000000-0005-0000-0000-0000ED760000}"/>
    <cellStyle name="Note 2 2 2 6 2 2" xfId="31557" xr:uid="{00000000-0005-0000-0000-0000EE760000}"/>
    <cellStyle name="Note 2 2 2 6 2 2 2" xfId="31445" xr:uid="{00000000-0005-0000-0000-0000EF760000}"/>
    <cellStyle name="Note 2 2 2 6 2 2 2 2" xfId="31253" xr:uid="{00000000-0005-0000-0000-0000F0760000}"/>
    <cellStyle name="Note 2 2 2 6 2 2 3" xfId="24666" xr:uid="{00000000-0005-0000-0000-0000F1760000}"/>
    <cellStyle name="Note 2 2 2 6 2 3" xfId="27633" xr:uid="{00000000-0005-0000-0000-0000F2760000}"/>
    <cellStyle name="Note 2 2 2 6 2 3 2" xfId="258" xr:uid="{00000000-0005-0000-0000-0000F3760000}"/>
    <cellStyle name="Note 2 2 2 6 2 4" xfId="31449" xr:uid="{00000000-0005-0000-0000-0000F4760000}"/>
    <cellStyle name="Note 2 2 2 6 3" xfId="23748" xr:uid="{00000000-0005-0000-0000-0000F5760000}"/>
    <cellStyle name="Note 2 2 2 6 3 2" xfId="33892" xr:uid="{00000000-0005-0000-0000-0000F6760000}"/>
    <cellStyle name="Note 2 2 2 6 3 2 2" xfId="33459" xr:uid="{00000000-0005-0000-0000-0000F7760000}"/>
    <cellStyle name="Note 2 2 2 6 3 3" xfId="31450" xr:uid="{00000000-0005-0000-0000-0000F8760000}"/>
    <cellStyle name="Note 2 2 2 6 4" xfId="33741" xr:uid="{00000000-0005-0000-0000-0000F9760000}"/>
    <cellStyle name="Note 2 2 2 6 4 2" xfId="31116" xr:uid="{00000000-0005-0000-0000-0000FA760000}"/>
    <cellStyle name="Note 2 2 2 6 5" xfId="28172" xr:uid="{00000000-0005-0000-0000-0000FB760000}"/>
    <cellStyle name="Note 2 2 2 7" xfId="22233" xr:uid="{00000000-0005-0000-0000-0000FC760000}"/>
    <cellStyle name="Note 2 2 2 7 2" xfId="30652" xr:uid="{00000000-0005-0000-0000-0000FD760000}"/>
    <cellStyle name="Note 2 2 2 7 2 2" xfId="30660" xr:uid="{00000000-0005-0000-0000-0000FE760000}"/>
    <cellStyle name="Note 2 2 2 7 2 2 2" xfId="11596" xr:uid="{00000000-0005-0000-0000-0000FF760000}"/>
    <cellStyle name="Note 2 2 2 7 2 3" xfId="30666" xr:uid="{00000000-0005-0000-0000-000000770000}"/>
    <cellStyle name="Note 2 2 2 7 3" xfId="33717" xr:uid="{00000000-0005-0000-0000-000001770000}"/>
    <cellStyle name="Note 2 2 2 7 3 2" xfId="31454" xr:uid="{00000000-0005-0000-0000-000002770000}"/>
    <cellStyle name="Note 2 2 2 7 4" xfId="31128" xr:uid="{00000000-0005-0000-0000-000003770000}"/>
    <cellStyle name="Note 2 2 2 8" xfId="9438" xr:uid="{00000000-0005-0000-0000-000004770000}"/>
    <cellStyle name="Note 2 2 2 8 2" xfId="33189" xr:uid="{00000000-0005-0000-0000-000005770000}"/>
    <cellStyle name="Note 2 2 2 8 2 2" xfId="30675" xr:uid="{00000000-0005-0000-0000-000006770000}"/>
    <cellStyle name="Note 2 2 2 8 3" xfId="31959" xr:uid="{00000000-0005-0000-0000-000007770000}"/>
    <cellStyle name="Note 2 2 2 9" xfId="14290" xr:uid="{00000000-0005-0000-0000-000008770000}"/>
    <cellStyle name="Note 2 2 2 9 2" xfId="32996" xr:uid="{00000000-0005-0000-0000-000009770000}"/>
    <cellStyle name="Note 2 2 3" xfId="31461" xr:uid="{00000000-0005-0000-0000-00000A770000}"/>
    <cellStyle name="Note 2 2 3 2" xfId="31462" xr:uid="{00000000-0005-0000-0000-00000B770000}"/>
    <cellStyle name="Note 2 2 3 2 2" xfId="13275" xr:uid="{00000000-0005-0000-0000-00000C770000}"/>
    <cellStyle name="Note 2 2 3 2 2 2" xfId="17531" xr:uid="{00000000-0005-0000-0000-00000D770000}"/>
    <cellStyle name="Note 2 2 3 2 2 2 2" xfId="33868" xr:uid="{00000000-0005-0000-0000-00000E770000}"/>
    <cellStyle name="Note 2 2 3 2 2 2 2 2" xfId="32420" xr:uid="{00000000-0005-0000-0000-00000F770000}"/>
    <cellStyle name="Note 2 2 3 2 2 2 2 2 2" xfId="20983" xr:uid="{00000000-0005-0000-0000-000010770000}"/>
    <cellStyle name="Note 2 2 3 2 2 2 2 2 2 2" xfId="31512" xr:uid="{00000000-0005-0000-0000-000011770000}"/>
    <cellStyle name="Note 2 2 3 2 2 2 2 2 2 2 2" xfId="32913" xr:uid="{00000000-0005-0000-0000-000012770000}"/>
    <cellStyle name="Note 2 2 3 2 2 2 2 2 2 3" xfId="1079" xr:uid="{00000000-0005-0000-0000-000013770000}"/>
    <cellStyle name="Note 2 2 3 2 2 2 2 2 3" xfId="31983" xr:uid="{00000000-0005-0000-0000-000014770000}"/>
    <cellStyle name="Note 2 2 3 2 2 2 2 2 3 2" xfId="28176" xr:uid="{00000000-0005-0000-0000-000015770000}"/>
    <cellStyle name="Note 2 2 3 2 2 2 2 2 4" xfId="6380" xr:uid="{00000000-0005-0000-0000-000016770000}"/>
    <cellStyle name="Note 2 2 3 2 2 2 2 3" xfId="31874" xr:uid="{00000000-0005-0000-0000-000017770000}"/>
    <cellStyle name="Note 2 2 3 2 2 2 2 3 2" xfId="31989" xr:uid="{00000000-0005-0000-0000-000018770000}"/>
    <cellStyle name="Note 2 2 3 2 2 2 2 3 2 2" xfId="33080" xr:uid="{00000000-0005-0000-0000-000019770000}"/>
    <cellStyle name="Note 2 2 3 2 2 2 2 3 3" xfId="31463" xr:uid="{00000000-0005-0000-0000-00001A770000}"/>
    <cellStyle name="Note 2 2 3 2 2 2 2 4" xfId="26243" xr:uid="{00000000-0005-0000-0000-00001B770000}"/>
    <cellStyle name="Note 2 2 3 2 2 2 2 4 2" xfId="6770" xr:uid="{00000000-0005-0000-0000-00001C770000}"/>
    <cellStyle name="Note 2 2 3 2 2 2 2 5" xfId="30168" xr:uid="{00000000-0005-0000-0000-00001D770000}"/>
    <cellStyle name="Note 2 2 3 2 2 2 3" xfId="30162" xr:uid="{00000000-0005-0000-0000-00001E770000}"/>
    <cellStyle name="Note 2 2 3 2 2 2 3 2" xfId="31160" xr:uid="{00000000-0005-0000-0000-00001F770000}"/>
    <cellStyle name="Note 2 2 3 2 2 2 3 2 2" xfId="31478" xr:uid="{00000000-0005-0000-0000-000020770000}"/>
    <cellStyle name="Note 2 2 3 2 2 2 3 2 2 2" xfId="1631" xr:uid="{00000000-0005-0000-0000-000021770000}"/>
    <cellStyle name="Note 2 2 3 2 2 2 3 2 3" xfId="29900" xr:uid="{00000000-0005-0000-0000-000022770000}"/>
    <cellStyle name="Note 2 2 3 2 2 2 3 3" xfId="31480" xr:uid="{00000000-0005-0000-0000-000023770000}"/>
    <cellStyle name="Note 2 2 3 2 2 2 3 3 2" xfId="33833" xr:uid="{00000000-0005-0000-0000-000024770000}"/>
    <cellStyle name="Note 2 2 3 2 2 2 3 4" xfId="25380" xr:uid="{00000000-0005-0000-0000-000025770000}"/>
    <cellStyle name="Note 2 2 3 2 2 2 4" xfId="18906" xr:uid="{00000000-0005-0000-0000-000026770000}"/>
    <cellStyle name="Note 2 2 3 2 2 2 4 2" xfId="31517" xr:uid="{00000000-0005-0000-0000-000027770000}"/>
    <cellStyle name="Note 2 2 3 2 2 2 4 2 2" xfId="33211" xr:uid="{00000000-0005-0000-0000-000028770000}"/>
    <cellStyle name="Note 2 2 3 2 2 2 4 3" xfId="29596" xr:uid="{00000000-0005-0000-0000-000029770000}"/>
    <cellStyle name="Note 2 2 3 2 2 2 5" xfId="31518" xr:uid="{00000000-0005-0000-0000-00002A770000}"/>
    <cellStyle name="Note 2 2 3 2 2 2 5 2" xfId="31350" xr:uid="{00000000-0005-0000-0000-00002B770000}"/>
    <cellStyle name="Note 2 2 3 2 2 2 6" xfId="24679" xr:uid="{00000000-0005-0000-0000-00002C770000}"/>
    <cellStyle name="Note 2 2 3 2 2 3" xfId="8798" xr:uid="{00000000-0005-0000-0000-00002D770000}"/>
    <cellStyle name="Note 2 2 3 2 2 3 2" xfId="33804" xr:uid="{00000000-0005-0000-0000-00002E770000}"/>
    <cellStyle name="Note 2 2 3 2 2 3 2 2" xfId="31636" xr:uid="{00000000-0005-0000-0000-00002F770000}"/>
    <cellStyle name="Note 2 2 3 2 2 3 2 2 2" xfId="33488" xr:uid="{00000000-0005-0000-0000-000030770000}"/>
    <cellStyle name="Note 2 2 3 2 2 3 2 2 2 2" xfId="20200" xr:uid="{00000000-0005-0000-0000-000031770000}"/>
    <cellStyle name="Note 2 2 3 2 2 3 2 2 3" xfId="20101" xr:uid="{00000000-0005-0000-0000-000032770000}"/>
    <cellStyle name="Note 2 2 3 2 2 3 2 3" xfId="29441" xr:uid="{00000000-0005-0000-0000-000033770000}"/>
    <cellStyle name="Note 2 2 3 2 2 3 2 3 2" xfId="29443" xr:uid="{00000000-0005-0000-0000-000034770000}"/>
    <cellStyle name="Note 2 2 3 2 2 3 2 4" xfId="26983" xr:uid="{00000000-0005-0000-0000-000035770000}"/>
    <cellStyle name="Note 2 2 3 2 2 3 3" xfId="31640" xr:uid="{00000000-0005-0000-0000-000036770000}"/>
    <cellStyle name="Note 2 2 3 2 2 3 3 2" xfId="31469" xr:uid="{00000000-0005-0000-0000-000037770000}"/>
    <cellStyle name="Note 2 2 3 2 2 3 3 2 2" xfId="31472" xr:uid="{00000000-0005-0000-0000-000038770000}"/>
    <cellStyle name="Note 2 2 3 2 2 3 3 3" xfId="18963" xr:uid="{00000000-0005-0000-0000-000039770000}"/>
    <cellStyle name="Note 2 2 3 2 2 3 4" xfId="31523" xr:uid="{00000000-0005-0000-0000-00003A770000}"/>
    <cellStyle name="Note 2 2 3 2 2 3 4 2" xfId="8367" xr:uid="{00000000-0005-0000-0000-00003B770000}"/>
    <cellStyle name="Note 2 2 3 2 2 3 5" xfId="32493" xr:uid="{00000000-0005-0000-0000-00003C770000}"/>
    <cellStyle name="Note 2 2 3 2 2 4" xfId="8263" xr:uid="{00000000-0005-0000-0000-00003D770000}"/>
    <cellStyle name="Note 2 2 3 2 2 4 2" xfId="4140" xr:uid="{00000000-0005-0000-0000-00003E770000}"/>
    <cellStyle name="Note 2 2 3 2 2 4 2 2" xfId="23881" xr:uid="{00000000-0005-0000-0000-00003F770000}"/>
    <cellStyle name="Note 2 2 3 2 2 4 2 2 2" xfId="14209" xr:uid="{00000000-0005-0000-0000-000040770000}"/>
    <cellStyle name="Note 2 2 3 2 2 4 2 3" xfId="29512" xr:uid="{00000000-0005-0000-0000-000041770000}"/>
    <cellStyle name="Note 2 2 3 2 2 4 3" xfId="4144" xr:uid="{00000000-0005-0000-0000-000042770000}"/>
    <cellStyle name="Note 2 2 3 2 2 4 3 2" xfId="31474" xr:uid="{00000000-0005-0000-0000-000043770000}"/>
    <cellStyle name="Note 2 2 3 2 2 4 4" xfId="31475" xr:uid="{00000000-0005-0000-0000-000044770000}"/>
    <cellStyle name="Note 2 2 3 2 2 5" xfId="4151" xr:uid="{00000000-0005-0000-0000-000045770000}"/>
    <cellStyle name="Note 2 2 3 2 2 5 2" xfId="14678" xr:uid="{00000000-0005-0000-0000-000046770000}"/>
    <cellStyle name="Note 2 2 3 2 2 5 2 2" xfId="31905" xr:uid="{00000000-0005-0000-0000-000047770000}"/>
    <cellStyle name="Note 2 2 3 2 2 5 3" xfId="30908" xr:uid="{00000000-0005-0000-0000-000048770000}"/>
    <cellStyle name="Note 2 2 3 2 2 6" xfId="1252" xr:uid="{00000000-0005-0000-0000-000049770000}"/>
    <cellStyle name="Note 2 2 3 2 2 6 2" xfId="29418" xr:uid="{00000000-0005-0000-0000-00004A770000}"/>
    <cellStyle name="Note 2 2 3 2 2 7" xfId="26337" xr:uid="{00000000-0005-0000-0000-00004B770000}"/>
    <cellStyle name="Note 2 2 3 2 3" xfId="31018" xr:uid="{00000000-0005-0000-0000-00004C770000}"/>
    <cellStyle name="Note 2 2 3 2 3 2" xfId="19192" xr:uid="{00000000-0005-0000-0000-00004D770000}"/>
    <cellStyle name="Note 2 2 3 2 3 2 2" xfId="27113" xr:uid="{00000000-0005-0000-0000-00004E770000}"/>
    <cellStyle name="Note 2 2 3 2 3 2 2 2" xfId="30104" xr:uid="{00000000-0005-0000-0000-00004F770000}"/>
    <cellStyle name="Note 2 2 3 2 3 2 2 2 2" xfId="28363" xr:uid="{00000000-0005-0000-0000-000050770000}"/>
    <cellStyle name="Note 2 2 3 2 3 2 2 2 2 2" xfId="588" xr:uid="{00000000-0005-0000-0000-000051770000}"/>
    <cellStyle name="Note 2 2 3 2 3 2 2 2 3" xfId="30942" xr:uid="{00000000-0005-0000-0000-000052770000}"/>
    <cellStyle name="Note 2 2 3 2 3 2 2 3" xfId="9829" xr:uid="{00000000-0005-0000-0000-000053770000}"/>
    <cellStyle name="Note 2 2 3 2 3 2 2 3 2" xfId="31477" xr:uid="{00000000-0005-0000-0000-000054770000}"/>
    <cellStyle name="Note 2 2 3 2 3 2 2 4" xfId="23789" xr:uid="{00000000-0005-0000-0000-000055770000}"/>
    <cellStyle name="Note 2 2 3 2 3 2 3" xfId="31753" xr:uid="{00000000-0005-0000-0000-000056770000}"/>
    <cellStyle name="Note 2 2 3 2 3 2 3 2" xfId="31586" xr:uid="{00000000-0005-0000-0000-000057770000}"/>
    <cellStyle name="Note 2 2 3 2 3 2 3 2 2" xfId="31663" xr:uid="{00000000-0005-0000-0000-000058770000}"/>
    <cellStyle name="Note 2 2 3 2 3 2 3 3" xfId="24924" xr:uid="{00000000-0005-0000-0000-000059770000}"/>
    <cellStyle name="Note 2 2 3 2 3 2 4" xfId="31590" xr:uid="{00000000-0005-0000-0000-00005A770000}"/>
    <cellStyle name="Note 2 2 3 2 3 2 4 2" xfId="31479" xr:uid="{00000000-0005-0000-0000-00005B770000}"/>
    <cellStyle name="Note 2 2 3 2 3 2 5" xfId="31482" xr:uid="{00000000-0005-0000-0000-00005C770000}"/>
    <cellStyle name="Note 2 2 3 2 3 3" xfId="31593" xr:uid="{00000000-0005-0000-0000-00005D770000}"/>
    <cellStyle name="Note 2 2 3 2 3 3 2" xfId="31769" xr:uid="{00000000-0005-0000-0000-00005E770000}"/>
    <cellStyle name="Note 2 2 3 2 3 3 2 2" xfId="31483" xr:uid="{00000000-0005-0000-0000-00005F770000}"/>
    <cellStyle name="Note 2 2 3 2 3 3 2 2 2" xfId="31484" xr:uid="{00000000-0005-0000-0000-000060770000}"/>
    <cellStyle name="Note 2 2 3 2 3 3 2 3" xfId="25103" xr:uid="{00000000-0005-0000-0000-000061770000}"/>
    <cellStyle name="Note 2 2 3 2 3 3 3" xfId="31597" xr:uid="{00000000-0005-0000-0000-000062770000}"/>
    <cellStyle name="Note 2 2 3 2 3 3 3 2" xfId="31495" xr:uid="{00000000-0005-0000-0000-000063770000}"/>
    <cellStyle name="Note 2 2 3 2 3 3 4" xfId="31516" xr:uid="{00000000-0005-0000-0000-000064770000}"/>
    <cellStyle name="Note 2 2 3 2 3 4" xfId="18290" xr:uid="{00000000-0005-0000-0000-000065770000}"/>
    <cellStyle name="Note 2 2 3 2 3 4 2" xfId="4161" xr:uid="{00000000-0005-0000-0000-000066770000}"/>
    <cellStyle name="Note 2 2 3 2 3 4 2 2" xfId="31500" xr:uid="{00000000-0005-0000-0000-000067770000}"/>
    <cellStyle name="Note 2 2 3 2 3 4 3" xfId="31508" xr:uid="{00000000-0005-0000-0000-000068770000}"/>
    <cellStyle name="Note 2 2 3 2 3 5" xfId="18293" xr:uid="{00000000-0005-0000-0000-000069770000}"/>
    <cellStyle name="Note 2 2 3 2 3 5 2" xfId="26118" xr:uid="{00000000-0005-0000-0000-00006A770000}"/>
    <cellStyle name="Note 2 2 3 2 3 6" xfId="4049" xr:uid="{00000000-0005-0000-0000-00006B770000}"/>
    <cellStyle name="Note 2 2 3 2 4" xfId="31511" xr:uid="{00000000-0005-0000-0000-00006C770000}"/>
    <cellStyle name="Note 2 2 3 2 4 2" xfId="33869" xr:uid="{00000000-0005-0000-0000-00006D770000}"/>
    <cellStyle name="Note 2 2 3 2 4 2 2" xfId="32768" xr:uid="{00000000-0005-0000-0000-00006E770000}"/>
    <cellStyle name="Note 2 2 3 2 4 2 2 2" xfId="28199" xr:uid="{00000000-0005-0000-0000-00006F770000}"/>
    <cellStyle name="Note 2 2 3 2 4 2 2 2 2" xfId="30629" xr:uid="{00000000-0005-0000-0000-000070770000}"/>
    <cellStyle name="Note 2 2 3 2 4 2 2 3" xfId="27391" xr:uid="{00000000-0005-0000-0000-000071770000}"/>
    <cellStyle name="Note 2 2 3 2 4 2 3" xfId="29560" xr:uid="{00000000-0005-0000-0000-000072770000}"/>
    <cellStyle name="Note 2 2 3 2 4 2 3 2" xfId="29050" xr:uid="{00000000-0005-0000-0000-000073770000}"/>
    <cellStyle name="Note 2 2 3 2 4 2 4" xfId="29569" xr:uid="{00000000-0005-0000-0000-000074770000}"/>
    <cellStyle name="Note 2 2 3 2 4 3" xfId="24554" xr:uid="{00000000-0005-0000-0000-000075770000}"/>
    <cellStyle name="Note 2 2 3 2 4 3 2" xfId="28213" xr:uid="{00000000-0005-0000-0000-000076770000}"/>
    <cellStyle name="Note 2 2 3 2 4 3 2 2" xfId="28215" xr:uid="{00000000-0005-0000-0000-000077770000}"/>
    <cellStyle name="Note 2 2 3 2 4 3 3" xfId="30032" xr:uid="{00000000-0005-0000-0000-000078770000}"/>
    <cellStyle name="Note 2 2 3 2 4 4" xfId="18298" xr:uid="{00000000-0005-0000-0000-000079770000}"/>
    <cellStyle name="Note 2 2 3 2 4 4 2" xfId="29288" xr:uid="{00000000-0005-0000-0000-00007A770000}"/>
    <cellStyle name="Note 2 2 3 2 4 5" xfId="31522" xr:uid="{00000000-0005-0000-0000-00007B770000}"/>
    <cellStyle name="Note 2 2 3 2 5" xfId="29028" xr:uid="{00000000-0005-0000-0000-00007C770000}"/>
    <cellStyle name="Note 2 2 3 2 5 2" xfId="30937" xr:uid="{00000000-0005-0000-0000-00007D770000}"/>
    <cellStyle name="Note 2 2 3 2 5 2 2" xfId="8278" xr:uid="{00000000-0005-0000-0000-00007E770000}"/>
    <cellStyle name="Note 2 2 3 2 5 2 2 2" xfId="29523" xr:uid="{00000000-0005-0000-0000-00007F770000}"/>
    <cellStyle name="Note 2 2 3 2 5 2 3" xfId="22240" xr:uid="{00000000-0005-0000-0000-000080770000}"/>
    <cellStyle name="Note 2 2 3 2 5 3" xfId="31642" xr:uid="{00000000-0005-0000-0000-000081770000}"/>
    <cellStyle name="Note 2 2 3 2 5 3 2" xfId="26223" xr:uid="{00000000-0005-0000-0000-000082770000}"/>
    <cellStyle name="Note 2 2 3 2 5 4" xfId="31525" xr:uid="{00000000-0005-0000-0000-000083770000}"/>
    <cellStyle name="Note 2 2 3 2 6" xfId="12878" xr:uid="{00000000-0005-0000-0000-000084770000}"/>
    <cellStyle name="Note 2 2 3 2 6 2" xfId="6841" xr:uid="{00000000-0005-0000-0000-000085770000}"/>
    <cellStyle name="Note 2 2 3 2 6 2 2" xfId="26245" xr:uid="{00000000-0005-0000-0000-000086770000}"/>
    <cellStyle name="Note 2 2 3 2 6 3" xfId="15305" xr:uid="{00000000-0005-0000-0000-000087770000}"/>
    <cellStyle name="Note 2 2 3 2 7" xfId="20759" xr:uid="{00000000-0005-0000-0000-000088770000}"/>
    <cellStyle name="Note 2 2 3 2 7 2" xfId="18763" xr:uid="{00000000-0005-0000-0000-000089770000}"/>
    <cellStyle name="Note 2 2 3 2 8" xfId="781" xr:uid="{00000000-0005-0000-0000-00008A770000}"/>
    <cellStyle name="Note 2 2 3 3" xfId="29192" xr:uid="{00000000-0005-0000-0000-00008B770000}"/>
    <cellStyle name="Note 2 2 3 3 2" xfId="31536" xr:uid="{00000000-0005-0000-0000-00008C770000}"/>
    <cellStyle name="Note 2 2 3 3 2 2" xfId="22010" xr:uid="{00000000-0005-0000-0000-00008D770000}"/>
    <cellStyle name="Note 2 2 3 3 2 2 2" xfId="24024" xr:uid="{00000000-0005-0000-0000-00008E770000}"/>
    <cellStyle name="Note 2 2 3 3 2 2 2 2" xfId="31538" xr:uid="{00000000-0005-0000-0000-00008F770000}"/>
    <cellStyle name="Note 2 2 3 3 2 2 2 2 2" xfId="32266" xr:uid="{00000000-0005-0000-0000-000090770000}"/>
    <cellStyle name="Note 2 2 3 3 2 2 2 2 2 2" xfId="21187" xr:uid="{00000000-0005-0000-0000-000091770000}"/>
    <cellStyle name="Note 2 2 3 3 2 2 2 2 3" xfId="31544" xr:uid="{00000000-0005-0000-0000-000092770000}"/>
    <cellStyle name="Note 2 2 3 3 2 2 2 3" xfId="24872" xr:uid="{00000000-0005-0000-0000-000093770000}"/>
    <cellStyle name="Note 2 2 3 3 2 2 2 3 2" xfId="13722" xr:uid="{00000000-0005-0000-0000-000094770000}"/>
    <cellStyle name="Note 2 2 3 3 2 2 2 4" xfId="30743" xr:uid="{00000000-0005-0000-0000-000095770000}"/>
    <cellStyle name="Note 2 2 3 3 2 2 3" xfId="21918" xr:uid="{00000000-0005-0000-0000-000096770000}"/>
    <cellStyle name="Note 2 2 3 3 2 2 3 2" xfId="31686" xr:uid="{00000000-0005-0000-0000-000097770000}"/>
    <cellStyle name="Note 2 2 3 3 2 2 3 2 2" xfId="26342" xr:uid="{00000000-0005-0000-0000-000098770000}"/>
    <cellStyle name="Note 2 2 3 3 2 2 3 3" xfId="27964" xr:uid="{00000000-0005-0000-0000-000099770000}"/>
    <cellStyle name="Note 2 2 3 3 2 2 4" xfId="28731" xr:uid="{00000000-0005-0000-0000-00009A770000}"/>
    <cellStyle name="Note 2 2 3 3 2 2 4 2" xfId="33314" xr:uid="{00000000-0005-0000-0000-00009B770000}"/>
    <cellStyle name="Note 2 2 3 3 2 2 5" xfId="31546" xr:uid="{00000000-0005-0000-0000-00009C770000}"/>
    <cellStyle name="Note 2 2 3 3 2 3" xfId="30832" xr:uid="{00000000-0005-0000-0000-00009D770000}"/>
    <cellStyle name="Note 2 2 3 3 2 3 2" xfId="31550" xr:uid="{00000000-0005-0000-0000-00009E770000}"/>
    <cellStyle name="Note 2 2 3 3 2 3 2 2" xfId="33836" xr:uid="{00000000-0005-0000-0000-00009F770000}"/>
    <cellStyle name="Note 2 2 3 3 2 3 2 2 2" xfId="30713" xr:uid="{00000000-0005-0000-0000-0000A0770000}"/>
    <cellStyle name="Note 2 2 3 3 2 3 2 3" xfId="28644" xr:uid="{00000000-0005-0000-0000-0000A1770000}"/>
    <cellStyle name="Note 2 2 3 3 2 3 3" xfId="27923" xr:uid="{00000000-0005-0000-0000-0000A2770000}"/>
    <cellStyle name="Note 2 2 3 3 2 3 3 2" xfId="31289" xr:uid="{00000000-0005-0000-0000-0000A3770000}"/>
    <cellStyle name="Note 2 2 3 3 2 3 4" xfId="29874" xr:uid="{00000000-0005-0000-0000-0000A4770000}"/>
    <cellStyle name="Note 2 2 3 3 2 4" xfId="3805" xr:uid="{00000000-0005-0000-0000-0000A5770000}"/>
    <cellStyle name="Note 2 2 3 3 2 4 2" xfId="4305" xr:uid="{00000000-0005-0000-0000-0000A6770000}"/>
    <cellStyle name="Note 2 2 3 3 2 4 2 2" xfId="11785" xr:uid="{00000000-0005-0000-0000-0000A7770000}"/>
    <cellStyle name="Note 2 2 3 3 2 4 3" xfId="10859" xr:uid="{00000000-0005-0000-0000-0000A8770000}"/>
    <cellStyle name="Note 2 2 3 3 2 5" xfId="3628" xr:uid="{00000000-0005-0000-0000-0000A9770000}"/>
    <cellStyle name="Note 2 2 3 3 2 5 2" xfId="6484" xr:uid="{00000000-0005-0000-0000-0000AA770000}"/>
    <cellStyle name="Note 2 2 3 3 2 6" xfId="31942" xr:uid="{00000000-0005-0000-0000-0000AB770000}"/>
    <cellStyle name="Note 2 2 3 3 3" xfId="31561" xr:uid="{00000000-0005-0000-0000-0000AC770000}"/>
    <cellStyle name="Note 2 2 3 3 3 2" xfId="31729" xr:uid="{00000000-0005-0000-0000-0000AD770000}"/>
    <cellStyle name="Note 2 2 3 3 3 2 2" xfId="31562" xr:uid="{00000000-0005-0000-0000-0000AE770000}"/>
    <cellStyle name="Note 2 2 3 3 3 2 2 2" xfId="30474" xr:uid="{00000000-0005-0000-0000-0000AF770000}"/>
    <cellStyle name="Note 2 2 3 3 3 2 2 2 2" xfId="30157" xr:uid="{00000000-0005-0000-0000-0000B0770000}"/>
    <cellStyle name="Note 2 2 3 3 3 2 2 3" xfId="23830" xr:uid="{00000000-0005-0000-0000-0000B1770000}"/>
    <cellStyle name="Note 2 2 3 3 3 2 3" xfId="31733" xr:uid="{00000000-0005-0000-0000-0000B2770000}"/>
    <cellStyle name="Note 2 2 3 3 3 2 3 2" xfId="31567" xr:uid="{00000000-0005-0000-0000-0000B3770000}"/>
    <cellStyle name="Note 2 2 3 3 3 2 4" xfId="29895" xr:uid="{00000000-0005-0000-0000-0000B4770000}"/>
    <cellStyle name="Note 2 2 3 3 3 3" xfId="30840" xr:uid="{00000000-0005-0000-0000-0000B5770000}"/>
    <cellStyle name="Note 2 2 3 3 3 3 2" xfId="31740" xr:uid="{00000000-0005-0000-0000-0000B6770000}"/>
    <cellStyle name="Note 2 2 3 3 3 3 2 2" xfId="30182" xr:uid="{00000000-0005-0000-0000-0000B7770000}"/>
    <cellStyle name="Note 2 2 3 3 3 3 3" xfId="31572" xr:uid="{00000000-0005-0000-0000-0000B8770000}"/>
    <cellStyle name="Note 2 2 3 3 3 4" xfId="18300" xr:uid="{00000000-0005-0000-0000-0000B9770000}"/>
    <cellStyle name="Note 2 2 3 3 3 4 2" xfId="4957" xr:uid="{00000000-0005-0000-0000-0000BA770000}"/>
    <cellStyle name="Note 2 2 3 3 3 5" xfId="30196" xr:uid="{00000000-0005-0000-0000-0000BB770000}"/>
    <cellStyle name="Note 2 2 3 3 4" xfId="31581" xr:uid="{00000000-0005-0000-0000-0000BC770000}"/>
    <cellStyle name="Note 2 2 3 3 4 2" xfId="32591" xr:uid="{00000000-0005-0000-0000-0000BD770000}"/>
    <cellStyle name="Note 2 2 3 3 4 2 2" xfId="27541" xr:uid="{00000000-0005-0000-0000-0000BE770000}"/>
    <cellStyle name="Note 2 2 3 3 4 2 2 2" xfId="28451" xr:uid="{00000000-0005-0000-0000-0000BF770000}"/>
    <cellStyle name="Note 2 2 3 3 4 2 3" xfId="21339" xr:uid="{00000000-0005-0000-0000-0000C0770000}"/>
    <cellStyle name="Note 2 2 3 3 4 3" xfId="31755" xr:uid="{00000000-0005-0000-0000-0000C1770000}"/>
    <cellStyle name="Note 2 2 3 3 4 3 2" xfId="31588" xr:uid="{00000000-0005-0000-0000-0000C2770000}"/>
    <cellStyle name="Note 2 2 3 3 4 4" xfId="31591" xr:uid="{00000000-0005-0000-0000-0000C3770000}"/>
    <cellStyle name="Note 2 2 3 3 5" xfId="30790" xr:uid="{00000000-0005-0000-0000-0000C4770000}"/>
    <cellStyle name="Note 2 2 3 3 5 2" xfId="29496" xr:uid="{00000000-0005-0000-0000-0000C5770000}"/>
    <cellStyle name="Note 2 2 3 3 5 2 2" xfId="30824" xr:uid="{00000000-0005-0000-0000-0000C6770000}"/>
    <cellStyle name="Note 2 2 3 3 5 3" xfId="31598" xr:uid="{00000000-0005-0000-0000-0000C7770000}"/>
    <cellStyle name="Note 2 2 3 3 6" xfId="20778" xr:uid="{00000000-0005-0000-0000-0000C8770000}"/>
    <cellStyle name="Note 2 2 3 3 6 2" xfId="15956" xr:uid="{00000000-0005-0000-0000-0000C9770000}"/>
    <cellStyle name="Note 2 2 3 3 7" xfId="20788" xr:uid="{00000000-0005-0000-0000-0000CA770000}"/>
    <cellStyle name="Note 2 2 3 4" xfId="9956" xr:uid="{00000000-0005-0000-0000-0000CB770000}"/>
    <cellStyle name="Note 2 2 3 4 2" xfId="6035" xr:uid="{00000000-0005-0000-0000-0000CC770000}"/>
    <cellStyle name="Note 2 2 3 4 2 2" xfId="31600" xr:uid="{00000000-0005-0000-0000-0000CD770000}"/>
    <cellStyle name="Note 2 2 3 4 2 2 2" xfId="31603" xr:uid="{00000000-0005-0000-0000-0000CE770000}"/>
    <cellStyle name="Note 2 2 3 4 2 2 2 2" xfId="20657" xr:uid="{00000000-0005-0000-0000-0000CF770000}"/>
    <cellStyle name="Note 2 2 3 4 2 2 2 2 2" xfId="24437" xr:uid="{00000000-0005-0000-0000-0000D0770000}"/>
    <cellStyle name="Note 2 2 3 4 2 2 2 3" xfId="31605" xr:uid="{00000000-0005-0000-0000-0000D1770000}"/>
    <cellStyle name="Note 2 2 3 4 2 2 3" xfId="31781" xr:uid="{00000000-0005-0000-0000-0000D2770000}"/>
    <cellStyle name="Note 2 2 3 4 2 2 3 2" xfId="31609" xr:uid="{00000000-0005-0000-0000-0000D3770000}"/>
    <cellStyle name="Note 2 2 3 4 2 2 4" xfId="31402" xr:uid="{00000000-0005-0000-0000-0000D4770000}"/>
    <cellStyle name="Note 2 2 3 4 2 3" xfId="30863" xr:uid="{00000000-0005-0000-0000-0000D5770000}"/>
    <cellStyle name="Note 2 2 3 4 2 3 2" xfId="33505" xr:uid="{00000000-0005-0000-0000-0000D6770000}"/>
    <cellStyle name="Note 2 2 3 4 2 3 2 2" xfId="30051" xr:uid="{00000000-0005-0000-0000-0000D7770000}"/>
    <cellStyle name="Note 2 2 3 4 2 3 3" xfId="31618" xr:uid="{00000000-0005-0000-0000-0000D8770000}"/>
    <cellStyle name="Note 2 2 3 4 2 4" xfId="3821" xr:uid="{00000000-0005-0000-0000-0000D9770000}"/>
    <cellStyle name="Note 2 2 3 4 2 4 2" xfId="12254" xr:uid="{00000000-0005-0000-0000-0000DA770000}"/>
    <cellStyle name="Note 2 2 3 4 2 5" xfId="30063" xr:uid="{00000000-0005-0000-0000-0000DB770000}"/>
    <cellStyle name="Note 2 2 3 4 3" xfId="33975" xr:uid="{00000000-0005-0000-0000-0000DC770000}"/>
    <cellStyle name="Note 2 2 3 4 3 2" xfId="2348" xr:uid="{00000000-0005-0000-0000-0000DD770000}"/>
    <cellStyle name="Note 2 2 3 4 3 2 2" xfId="33882" xr:uid="{00000000-0005-0000-0000-0000DE770000}"/>
    <cellStyle name="Note 2 2 3 4 3 2 2 2" xfId="11094" xr:uid="{00000000-0005-0000-0000-0000DF770000}"/>
    <cellStyle name="Note 2 2 3 4 3 2 3" xfId="31623" xr:uid="{00000000-0005-0000-0000-0000E0770000}"/>
    <cellStyle name="Note 2 2 3 4 3 3" xfId="31852" xr:uid="{00000000-0005-0000-0000-0000E1770000}"/>
    <cellStyle name="Note 2 2 3 4 3 3 2" xfId="30209" xr:uid="{00000000-0005-0000-0000-0000E2770000}"/>
    <cellStyle name="Note 2 2 3 4 3 4" xfId="31871" xr:uid="{00000000-0005-0000-0000-0000E3770000}"/>
    <cellStyle name="Note 2 2 3 4 4" xfId="33872" xr:uid="{00000000-0005-0000-0000-0000E4770000}"/>
    <cellStyle name="Note 2 2 3 4 4 2" xfId="28091" xr:uid="{00000000-0005-0000-0000-0000E5770000}"/>
    <cellStyle name="Note 2 2 3 4 4 2 2" xfId="31648" xr:uid="{00000000-0005-0000-0000-0000E6770000}"/>
    <cellStyle name="Note 2 2 3 4 4 3" xfId="23961" xr:uid="{00000000-0005-0000-0000-0000E7770000}"/>
    <cellStyle name="Note 2 2 3 4 5" xfId="4704" xr:uid="{00000000-0005-0000-0000-0000E8770000}"/>
    <cellStyle name="Note 2 2 3 4 5 2" xfId="28109" xr:uid="{00000000-0005-0000-0000-0000E9770000}"/>
    <cellStyle name="Note 2 2 3 4 6" xfId="20805" xr:uid="{00000000-0005-0000-0000-0000EA770000}"/>
    <cellStyle name="Note 2 2 3 5" xfId="3745" xr:uid="{00000000-0005-0000-0000-0000EB770000}"/>
    <cellStyle name="Note 2 2 3 5 2" xfId="31629" xr:uid="{00000000-0005-0000-0000-0000EC770000}"/>
    <cellStyle name="Note 2 2 3 5 2 2" xfId="31631" xr:uid="{00000000-0005-0000-0000-0000ED770000}"/>
    <cellStyle name="Note 2 2 3 5 2 2 2" xfId="31823" xr:uid="{00000000-0005-0000-0000-0000EE770000}"/>
    <cellStyle name="Note 2 2 3 5 2 2 2 2" xfId="560" xr:uid="{00000000-0005-0000-0000-0000EF770000}"/>
    <cellStyle name="Note 2 2 3 5 2 2 3" xfId="31633" xr:uid="{00000000-0005-0000-0000-0000F0770000}"/>
    <cellStyle name="Note 2 2 3 5 2 3" xfId="26782" xr:uid="{00000000-0005-0000-0000-0000F1770000}"/>
    <cellStyle name="Note 2 2 3 5 2 3 2" xfId="31635" xr:uid="{00000000-0005-0000-0000-0000F2770000}"/>
    <cellStyle name="Note 2 2 3 5 2 4" xfId="33384" xr:uid="{00000000-0005-0000-0000-0000F3770000}"/>
    <cellStyle name="Note 2 2 3 5 3" xfId="33797" xr:uid="{00000000-0005-0000-0000-0000F4770000}"/>
    <cellStyle name="Note 2 2 3 5 3 2" xfId="33227" xr:uid="{00000000-0005-0000-0000-0000F5770000}"/>
    <cellStyle name="Note 2 2 3 5 3 2 2" xfId="33770" xr:uid="{00000000-0005-0000-0000-0000F6770000}"/>
    <cellStyle name="Note 2 2 3 5 3 3" xfId="31779" xr:uid="{00000000-0005-0000-0000-0000F7770000}"/>
    <cellStyle name="Note 2 2 3 5 4" xfId="23731" xr:uid="{00000000-0005-0000-0000-0000F8770000}"/>
    <cellStyle name="Note 2 2 3 5 4 2" xfId="31638" xr:uid="{00000000-0005-0000-0000-0000F9770000}"/>
    <cellStyle name="Note 2 2 3 5 5" xfId="28120" xr:uid="{00000000-0005-0000-0000-0000FA770000}"/>
    <cellStyle name="Note 2 2 3 6" xfId="22244" xr:uid="{00000000-0005-0000-0000-0000FB770000}"/>
    <cellStyle name="Note 2 2 3 6 2" xfId="23767" xr:uid="{00000000-0005-0000-0000-0000FC770000}"/>
    <cellStyle name="Note 2 2 3 6 2 2" xfId="32581" xr:uid="{00000000-0005-0000-0000-0000FD770000}"/>
    <cellStyle name="Note 2 2 3 6 2 2 2" xfId="30948" xr:uid="{00000000-0005-0000-0000-0000FE770000}"/>
    <cellStyle name="Note 2 2 3 6 2 3" xfId="29700" xr:uid="{00000000-0005-0000-0000-0000FF770000}"/>
    <cellStyle name="Note 2 2 3 6 3" xfId="25607" xr:uid="{00000000-0005-0000-0000-000000780000}"/>
    <cellStyle name="Note 2 2 3 6 3 2" xfId="33440" xr:uid="{00000000-0005-0000-0000-000001780000}"/>
    <cellStyle name="Note 2 2 3 6 4" xfId="30174" xr:uid="{00000000-0005-0000-0000-000002780000}"/>
    <cellStyle name="Note 2 2 3 7" xfId="22255" xr:uid="{00000000-0005-0000-0000-000003780000}"/>
    <cellStyle name="Note 2 2 3 7 2" xfId="33858" xr:uid="{00000000-0005-0000-0000-000004780000}"/>
    <cellStyle name="Note 2 2 3 7 2 2" xfId="29506" xr:uid="{00000000-0005-0000-0000-000005780000}"/>
    <cellStyle name="Note 2 2 3 7 3" xfId="31651" xr:uid="{00000000-0005-0000-0000-000006780000}"/>
    <cellStyle name="Note 2 2 3 8" xfId="9449" xr:uid="{00000000-0005-0000-0000-000007780000}"/>
    <cellStyle name="Note 2 2 3 8 2" xfId="33470" xr:uid="{00000000-0005-0000-0000-000008780000}"/>
    <cellStyle name="Note 2 2 3 9" xfId="28056" xr:uid="{00000000-0005-0000-0000-000009780000}"/>
    <cellStyle name="Note 2 2 4" xfId="12887" xr:uid="{00000000-0005-0000-0000-00000A780000}"/>
    <cellStyle name="Note 2 2 4 2" xfId="13735" xr:uid="{00000000-0005-0000-0000-00000B780000}"/>
    <cellStyle name="Note 2 2 4 2 2" xfId="31659" xr:uid="{00000000-0005-0000-0000-00000C780000}"/>
    <cellStyle name="Note 2 2 4 2 2 2" xfId="19199" xr:uid="{00000000-0005-0000-0000-00000D780000}"/>
    <cellStyle name="Note 2 2 4 2 2 2 2" xfId="32840" xr:uid="{00000000-0005-0000-0000-00000E780000}"/>
    <cellStyle name="Note 2 2 4 2 2 2 2 2" xfId="29907" xr:uid="{00000000-0005-0000-0000-00000F780000}"/>
    <cellStyle name="Note 2 2 4 2 2 2 2 2 2" xfId="29908" xr:uid="{00000000-0005-0000-0000-000010780000}"/>
    <cellStyle name="Note 2 2 4 2 2 2 2 2 2 2" xfId="28481" xr:uid="{00000000-0005-0000-0000-000011780000}"/>
    <cellStyle name="Note 2 2 4 2 2 2 2 2 3" xfId="31660" xr:uid="{00000000-0005-0000-0000-000012780000}"/>
    <cellStyle name="Note 2 2 4 2 2 2 2 3" xfId="23620" xr:uid="{00000000-0005-0000-0000-000013780000}"/>
    <cellStyle name="Note 2 2 4 2 2 2 2 3 2" xfId="27176" xr:uid="{00000000-0005-0000-0000-000014780000}"/>
    <cellStyle name="Note 2 2 4 2 2 2 2 4" xfId="29913" xr:uid="{00000000-0005-0000-0000-000015780000}"/>
    <cellStyle name="Note 2 2 4 2 2 2 3" xfId="32097" xr:uid="{00000000-0005-0000-0000-000016780000}"/>
    <cellStyle name="Note 2 2 4 2 2 2 3 2" xfId="33650" xr:uid="{00000000-0005-0000-0000-000017780000}"/>
    <cellStyle name="Note 2 2 4 2 2 2 3 2 2" xfId="26408" xr:uid="{00000000-0005-0000-0000-000018780000}"/>
    <cellStyle name="Note 2 2 4 2 2 2 3 3" xfId="31213" xr:uid="{00000000-0005-0000-0000-000019780000}"/>
    <cellStyle name="Note 2 2 4 2 2 2 4" xfId="33930" xr:uid="{00000000-0005-0000-0000-00001A780000}"/>
    <cellStyle name="Note 2 2 4 2 2 2 4 2" xfId="31664" xr:uid="{00000000-0005-0000-0000-00001B780000}"/>
    <cellStyle name="Note 2 2 4 2 2 2 5" xfId="29987" xr:uid="{00000000-0005-0000-0000-00001C780000}"/>
    <cellStyle name="Note 2 2 4 2 2 3" xfId="32102" xr:uid="{00000000-0005-0000-0000-00001D780000}"/>
    <cellStyle name="Note 2 2 4 2 2 3 2" xfId="28584" xr:uid="{00000000-0005-0000-0000-00001E780000}"/>
    <cellStyle name="Note 2 2 4 2 2 3 2 2" xfId="31665" xr:uid="{00000000-0005-0000-0000-00001F780000}"/>
    <cellStyle name="Note 2 2 4 2 2 3 2 2 2" xfId="25720" xr:uid="{00000000-0005-0000-0000-000020780000}"/>
    <cellStyle name="Note 2 2 4 2 2 3 2 3" xfId="29944" xr:uid="{00000000-0005-0000-0000-000021780000}"/>
    <cellStyle name="Note 2 2 4 2 2 3 3" xfId="29628" xr:uid="{00000000-0005-0000-0000-000022780000}"/>
    <cellStyle name="Note 2 2 4 2 2 3 3 2" xfId="31668" xr:uid="{00000000-0005-0000-0000-000023780000}"/>
    <cellStyle name="Note 2 2 4 2 2 3 4" xfId="31671" xr:uid="{00000000-0005-0000-0000-000024780000}"/>
    <cellStyle name="Note 2 2 4 2 2 4" xfId="4641" xr:uid="{00000000-0005-0000-0000-000025780000}"/>
    <cellStyle name="Note 2 2 4 2 2 4 2" xfId="9016" xr:uid="{00000000-0005-0000-0000-000026780000}"/>
    <cellStyle name="Note 2 2 4 2 2 4 2 2" xfId="28952" xr:uid="{00000000-0005-0000-0000-000027780000}"/>
    <cellStyle name="Note 2 2 4 2 2 4 3" xfId="31673" xr:uid="{00000000-0005-0000-0000-000028780000}"/>
    <cellStyle name="Note 2 2 4 2 2 5" xfId="4650" xr:uid="{00000000-0005-0000-0000-000029780000}"/>
    <cellStyle name="Note 2 2 4 2 2 5 2" xfId="31674" xr:uid="{00000000-0005-0000-0000-00002A780000}"/>
    <cellStyle name="Note 2 2 4 2 2 6" xfId="31968" xr:uid="{00000000-0005-0000-0000-00002B780000}"/>
    <cellStyle name="Note 2 2 4 2 3" xfId="16956" xr:uid="{00000000-0005-0000-0000-00002C780000}"/>
    <cellStyle name="Note 2 2 4 2 3 2" xfId="31676" xr:uid="{00000000-0005-0000-0000-00002D780000}"/>
    <cellStyle name="Note 2 2 4 2 3 2 2" xfId="33765" xr:uid="{00000000-0005-0000-0000-00002E780000}"/>
    <cellStyle name="Note 2 2 4 2 3 2 2 2" xfId="31678" xr:uid="{00000000-0005-0000-0000-00002F780000}"/>
    <cellStyle name="Note 2 2 4 2 3 2 2 2 2" xfId="28953" xr:uid="{00000000-0005-0000-0000-000030780000}"/>
    <cellStyle name="Note 2 2 4 2 3 2 2 3" xfId="24492" xr:uid="{00000000-0005-0000-0000-000031780000}"/>
    <cellStyle name="Note 2 2 4 2 3 2 3" xfId="31684" xr:uid="{00000000-0005-0000-0000-000032780000}"/>
    <cellStyle name="Note 2 2 4 2 3 2 3 2" xfId="31685" xr:uid="{00000000-0005-0000-0000-000033780000}"/>
    <cellStyle name="Note 2 2 4 2 3 2 4" xfId="22685" xr:uid="{00000000-0005-0000-0000-000034780000}"/>
    <cellStyle name="Note 2 2 4 2 3 3" xfId="31694" xr:uid="{00000000-0005-0000-0000-000035780000}"/>
    <cellStyle name="Note 2 2 4 2 3 3 2" xfId="31696" xr:uid="{00000000-0005-0000-0000-000036780000}"/>
    <cellStyle name="Note 2 2 4 2 3 3 2 2" xfId="31701" xr:uid="{00000000-0005-0000-0000-000037780000}"/>
    <cellStyle name="Note 2 2 4 2 3 3 3" xfId="31703" xr:uid="{00000000-0005-0000-0000-000038780000}"/>
    <cellStyle name="Note 2 2 4 2 3 4" xfId="18322" xr:uid="{00000000-0005-0000-0000-000039780000}"/>
    <cellStyle name="Note 2 2 4 2 3 4 2" xfId="26148" xr:uid="{00000000-0005-0000-0000-00003A780000}"/>
    <cellStyle name="Note 2 2 4 2 3 5" xfId="28066" xr:uid="{00000000-0005-0000-0000-00003B780000}"/>
    <cellStyle name="Note 2 2 4 2 4" xfId="29698" xr:uid="{00000000-0005-0000-0000-00003C780000}"/>
    <cellStyle name="Note 2 2 4 2 4 2" xfId="5319" xr:uid="{00000000-0005-0000-0000-00003D780000}"/>
    <cellStyle name="Note 2 2 4 2 4 2 2" xfId="15087" xr:uid="{00000000-0005-0000-0000-00003E780000}"/>
    <cellStyle name="Note 2 2 4 2 4 2 2 2" xfId="32268" xr:uid="{00000000-0005-0000-0000-00003F780000}"/>
    <cellStyle name="Note 2 2 4 2 4 2 3" xfId="15092" xr:uid="{00000000-0005-0000-0000-000040780000}"/>
    <cellStyle name="Note 2 2 4 2 4 3" xfId="5329" xr:uid="{00000000-0005-0000-0000-000041780000}"/>
    <cellStyle name="Note 2 2 4 2 4 3 2" xfId="6166" xr:uid="{00000000-0005-0000-0000-000042780000}"/>
    <cellStyle name="Note 2 2 4 2 4 4" xfId="28918" xr:uid="{00000000-0005-0000-0000-000043780000}"/>
    <cellStyle name="Note 2 2 4 2 5" xfId="29697" xr:uid="{00000000-0005-0000-0000-000044780000}"/>
    <cellStyle name="Note 2 2 4 2 5 2" xfId="5342" xr:uid="{00000000-0005-0000-0000-000045780000}"/>
    <cellStyle name="Note 2 2 4 2 5 2 2" xfId="26396" xr:uid="{00000000-0005-0000-0000-000046780000}"/>
    <cellStyle name="Note 2 2 4 2 5 3" xfId="30924" xr:uid="{00000000-0005-0000-0000-000047780000}"/>
    <cellStyle name="Note 2 2 4 2 6" xfId="20828" xr:uid="{00000000-0005-0000-0000-000048780000}"/>
    <cellStyle name="Note 2 2 4 2 6 2" xfId="17416" xr:uid="{00000000-0005-0000-0000-000049780000}"/>
    <cellStyle name="Note 2 2 4 2 7" xfId="23804" xr:uid="{00000000-0005-0000-0000-00004A780000}"/>
    <cellStyle name="Note 2 2 4 3" xfId="17253" xr:uid="{00000000-0005-0000-0000-00004B780000}"/>
    <cellStyle name="Note 2 2 4 3 2" xfId="33799" xr:uid="{00000000-0005-0000-0000-00004C780000}"/>
    <cellStyle name="Note 2 2 4 3 2 2" xfId="22038" xr:uid="{00000000-0005-0000-0000-00004D780000}"/>
    <cellStyle name="Note 2 2 4 3 2 2 2" xfId="27581" xr:uid="{00000000-0005-0000-0000-00004E780000}"/>
    <cellStyle name="Note 2 2 4 3 2 2 2 2" xfId="17825" xr:uid="{00000000-0005-0000-0000-00004F780000}"/>
    <cellStyle name="Note 2 2 4 3 2 2 2 2 2" xfId="17829" xr:uid="{00000000-0005-0000-0000-000050780000}"/>
    <cellStyle name="Note 2 2 4 3 2 2 2 3" xfId="17841" xr:uid="{00000000-0005-0000-0000-000051780000}"/>
    <cellStyle name="Note 2 2 4 3 2 2 3" xfId="26351" xr:uid="{00000000-0005-0000-0000-000052780000}"/>
    <cellStyle name="Note 2 2 4 3 2 2 3 2" xfId="17866" xr:uid="{00000000-0005-0000-0000-000053780000}"/>
    <cellStyle name="Note 2 2 4 3 2 2 4" xfId="31709" xr:uid="{00000000-0005-0000-0000-000054780000}"/>
    <cellStyle name="Note 2 2 4 3 2 3" xfId="22053" xr:uid="{00000000-0005-0000-0000-000055780000}"/>
    <cellStyle name="Note 2 2 4 3 2 3 2" xfId="24285" xr:uid="{00000000-0005-0000-0000-000056780000}"/>
    <cellStyle name="Note 2 2 4 3 2 3 2 2" xfId="18207" xr:uid="{00000000-0005-0000-0000-000057780000}"/>
    <cellStyle name="Note 2 2 4 3 2 3 3" xfId="28898" xr:uid="{00000000-0005-0000-0000-000058780000}"/>
    <cellStyle name="Note 2 2 4 3 2 4" xfId="3864" xr:uid="{00000000-0005-0000-0000-000059780000}"/>
    <cellStyle name="Note 2 2 4 3 2 4 2" xfId="4293" xr:uid="{00000000-0005-0000-0000-00005A780000}"/>
    <cellStyle name="Note 2 2 4 3 2 5" xfId="23779" xr:uid="{00000000-0005-0000-0000-00005B780000}"/>
    <cellStyle name="Note 2 2 4 3 3" xfId="33097" xr:uid="{00000000-0005-0000-0000-00005C780000}"/>
    <cellStyle name="Note 2 2 4 3 3 2" xfId="22056" xr:uid="{00000000-0005-0000-0000-00005D780000}"/>
    <cellStyle name="Note 2 2 4 3 3 2 2" xfId="31720" xr:uid="{00000000-0005-0000-0000-00005E780000}"/>
    <cellStyle name="Note 2 2 4 3 3 2 2 2" xfId="19723" xr:uid="{00000000-0005-0000-0000-00005F780000}"/>
    <cellStyle name="Note 2 2 4 3 3 2 3" xfId="32697" xr:uid="{00000000-0005-0000-0000-000060780000}"/>
    <cellStyle name="Note 2 2 4 3 3 3" xfId="31724" xr:uid="{00000000-0005-0000-0000-000061780000}"/>
    <cellStyle name="Note 2 2 4 3 3 3 2" xfId="32713" xr:uid="{00000000-0005-0000-0000-000062780000}"/>
    <cellStyle name="Note 2 2 4 3 3 4" xfId="27204" xr:uid="{00000000-0005-0000-0000-000063780000}"/>
    <cellStyle name="Note 2 2 4 3 4" xfId="31731" xr:uid="{00000000-0005-0000-0000-000064780000}"/>
    <cellStyle name="Note 2 2 4 3 4 2" xfId="5451" xr:uid="{00000000-0005-0000-0000-000065780000}"/>
    <cellStyle name="Note 2 2 4 3 4 2 2" xfId="15109" xr:uid="{00000000-0005-0000-0000-000066780000}"/>
    <cellStyle name="Note 2 2 4 3 4 3" xfId="31737" xr:uid="{00000000-0005-0000-0000-000067780000}"/>
    <cellStyle name="Note 2 2 4 3 5" xfId="20111" xr:uid="{00000000-0005-0000-0000-000068780000}"/>
    <cellStyle name="Note 2 2 4 3 5 2" xfId="31741" xr:uid="{00000000-0005-0000-0000-000069780000}"/>
    <cellStyle name="Note 2 2 4 3 6" xfId="15068" xr:uid="{00000000-0005-0000-0000-00006A780000}"/>
    <cellStyle name="Note 2 2 4 4" xfId="15027" xr:uid="{00000000-0005-0000-0000-00006B780000}"/>
    <cellStyle name="Note 2 2 4 4 2" xfId="31126" xr:uid="{00000000-0005-0000-0000-00006C780000}"/>
    <cellStyle name="Note 2 2 4 4 2 2" xfId="22158" xr:uid="{00000000-0005-0000-0000-00006D780000}"/>
    <cellStyle name="Note 2 2 4 4 2 2 2" xfId="15" xr:uid="{00000000-0005-0000-0000-00006E780000}"/>
    <cellStyle name="Note 2 2 4 4 2 2 2 2" xfId="33234" xr:uid="{00000000-0005-0000-0000-00006F780000}"/>
    <cellStyle name="Note 2 2 4 4 2 2 3" xfId="31747" xr:uid="{00000000-0005-0000-0000-000070780000}"/>
    <cellStyle name="Note 2 2 4 4 2 3" xfId="32372" xr:uid="{00000000-0005-0000-0000-000071780000}"/>
    <cellStyle name="Note 2 2 4 4 2 3 2" xfId="31783" xr:uid="{00000000-0005-0000-0000-000072780000}"/>
    <cellStyle name="Note 2 2 4 4 2 4" xfId="26267" xr:uid="{00000000-0005-0000-0000-000073780000}"/>
    <cellStyle name="Note 2 2 4 4 3" xfId="33982" xr:uid="{00000000-0005-0000-0000-000074780000}"/>
    <cellStyle name="Note 2 2 4 4 3 2" xfId="33934" xr:uid="{00000000-0005-0000-0000-000075780000}"/>
    <cellStyle name="Note 2 2 4 4 3 2 2" xfId="32864" xr:uid="{00000000-0005-0000-0000-000076780000}"/>
    <cellStyle name="Note 2 2 4 4 3 3" xfId="31801" xr:uid="{00000000-0005-0000-0000-000077780000}"/>
    <cellStyle name="Note 2 2 4 4 4" xfId="23135" xr:uid="{00000000-0005-0000-0000-000078780000}"/>
    <cellStyle name="Note 2 2 4 4 4 2" xfId="28136" xr:uid="{00000000-0005-0000-0000-000079780000}"/>
    <cellStyle name="Note 2 2 4 4 5" xfId="28143" xr:uid="{00000000-0005-0000-0000-00007A780000}"/>
    <cellStyle name="Note 2 2 4 5" xfId="26222" xr:uid="{00000000-0005-0000-0000-00007B780000}"/>
    <cellStyle name="Note 2 2 4 5 2" xfId="31758" xr:uid="{00000000-0005-0000-0000-00007C780000}"/>
    <cellStyle name="Note 2 2 4 5 2 2" xfId="34022" xr:uid="{00000000-0005-0000-0000-00007D780000}"/>
    <cellStyle name="Note 2 2 4 5 2 2 2" xfId="31763" xr:uid="{00000000-0005-0000-0000-00007E780000}"/>
    <cellStyle name="Note 2 2 4 5 2 3" xfId="31900" xr:uid="{00000000-0005-0000-0000-00007F780000}"/>
    <cellStyle name="Note 2 2 4 5 3" xfId="31765" xr:uid="{00000000-0005-0000-0000-000080780000}"/>
    <cellStyle name="Note 2 2 4 5 3 2" xfId="31767" xr:uid="{00000000-0005-0000-0000-000081780000}"/>
    <cellStyle name="Note 2 2 4 5 4" xfId="30202" xr:uid="{00000000-0005-0000-0000-000082780000}"/>
    <cellStyle name="Note 2 2 4 6" xfId="31167" xr:uid="{00000000-0005-0000-0000-000083780000}"/>
    <cellStyle name="Note 2 2 4 6 2" xfId="31772" xr:uid="{00000000-0005-0000-0000-000084780000}"/>
    <cellStyle name="Note 2 2 4 6 2 2" xfId="31775" xr:uid="{00000000-0005-0000-0000-000085780000}"/>
    <cellStyle name="Note 2 2 4 6 3" xfId="31776" xr:uid="{00000000-0005-0000-0000-000086780000}"/>
    <cellStyle name="Note 2 2 4 7" xfId="22263" xr:uid="{00000000-0005-0000-0000-000087780000}"/>
    <cellStyle name="Note 2 2 4 7 2" xfId="31778" xr:uid="{00000000-0005-0000-0000-000088780000}"/>
    <cellStyle name="Note 2 2 4 8" xfId="31221" xr:uid="{00000000-0005-0000-0000-000089780000}"/>
    <cellStyle name="Note 2 2 5" xfId="6495" xr:uid="{00000000-0005-0000-0000-00008A780000}"/>
    <cellStyle name="Note 2 2 5 2" xfId="29362" xr:uid="{00000000-0005-0000-0000-00008B780000}"/>
    <cellStyle name="Note 2 2 5 2 2" xfId="29367" xr:uid="{00000000-0005-0000-0000-00008C780000}"/>
    <cellStyle name="Note 2 2 5 2 2 2" xfId="25032" xr:uid="{00000000-0005-0000-0000-00008D780000}"/>
    <cellStyle name="Note 2 2 5 2 2 2 2" xfId="32550" xr:uid="{00000000-0005-0000-0000-00008E780000}"/>
    <cellStyle name="Note 2 2 5 2 2 2 2 2" xfId="33502" xr:uid="{00000000-0005-0000-0000-00008F780000}"/>
    <cellStyle name="Note 2 2 5 2 2 2 2 2 2" xfId="26090" xr:uid="{00000000-0005-0000-0000-000090780000}"/>
    <cellStyle name="Note 2 2 5 2 2 2 2 3" xfId="27599" xr:uid="{00000000-0005-0000-0000-000091780000}"/>
    <cellStyle name="Note 2 2 5 2 2 2 3" xfId="32276" xr:uid="{00000000-0005-0000-0000-000092780000}"/>
    <cellStyle name="Note 2 2 5 2 2 2 3 2" xfId="2294" xr:uid="{00000000-0005-0000-0000-000093780000}"/>
    <cellStyle name="Note 2 2 5 2 2 2 4" xfId="31860" xr:uid="{00000000-0005-0000-0000-000094780000}"/>
    <cellStyle name="Note 2 2 5 2 2 3" xfId="32335" xr:uid="{00000000-0005-0000-0000-000095780000}"/>
    <cellStyle name="Note 2 2 5 2 2 3 2" xfId="31850" xr:uid="{00000000-0005-0000-0000-000096780000}"/>
    <cellStyle name="Note 2 2 5 2 2 3 2 2" xfId="31856" xr:uid="{00000000-0005-0000-0000-000097780000}"/>
    <cellStyle name="Note 2 2 5 2 2 3 3" xfId="31870" xr:uid="{00000000-0005-0000-0000-000098780000}"/>
    <cellStyle name="Note 2 2 5 2 2 4" xfId="4917" xr:uid="{00000000-0005-0000-0000-000099780000}"/>
    <cellStyle name="Note 2 2 5 2 2 4 2" xfId="31876" xr:uid="{00000000-0005-0000-0000-00009A780000}"/>
    <cellStyle name="Note 2 2 5 2 2 5" xfId="32164" xr:uid="{00000000-0005-0000-0000-00009B780000}"/>
    <cellStyle name="Note 2 2 5 2 3" xfId="14542" xr:uid="{00000000-0005-0000-0000-00009C780000}"/>
    <cellStyle name="Note 2 2 5 2 3 2" xfId="32339" xr:uid="{00000000-0005-0000-0000-00009D780000}"/>
    <cellStyle name="Note 2 2 5 2 3 2 2" xfId="32193" xr:uid="{00000000-0005-0000-0000-00009E780000}"/>
    <cellStyle name="Note 2 2 5 2 3 2 2 2" xfId="31634" xr:uid="{00000000-0005-0000-0000-00009F780000}"/>
    <cellStyle name="Note 2 2 5 2 3 2 3" xfId="33385" xr:uid="{00000000-0005-0000-0000-0000A0780000}"/>
    <cellStyle name="Note 2 2 5 2 3 3" xfId="32341" xr:uid="{00000000-0005-0000-0000-0000A1780000}"/>
    <cellStyle name="Note 2 2 5 2 3 3 2" xfId="31780" xr:uid="{00000000-0005-0000-0000-0000A2780000}"/>
    <cellStyle name="Note 2 2 5 2 3 4" xfId="33703" xr:uid="{00000000-0005-0000-0000-0000A3780000}"/>
    <cellStyle name="Note 2 2 5 2 4" xfId="14875" xr:uid="{00000000-0005-0000-0000-0000A4780000}"/>
    <cellStyle name="Note 2 2 5 2 4 2" xfId="5675" xr:uid="{00000000-0005-0000-0000-0000A5780000}"/>
    <cellStyle name="Note 2 2 5 2 4 2 2" xfId="9989" xr:uid="{00000000-0005-0000-0000-0000A6780000}"/>
    <cellStyle name="Note 2 2 5 2 4 3" xfId="31782" xr:uid="{00000000-0005-0000-0000-0000A7780000}"/>
    <cellStyle name="Note 2 2 5 2 5" xfId="11724" xr:uid="{00000000-0005-0000-0000-0000A8780000}"/>
    <cellStyle name="Note 2 2 5 2 5 2" xfId="32194" xr:uid="{00000000-0005-0000-0000-0000A9780000}"/>
    <cellStyle name="Note 2 2 5 2 6" xfId="20861" xr:uid="{00000000-0005-0000-0000-0000AA780000}"/>
    <cellStyle name="Note 2 2 5 3" xfId="29198" xr:uid="{00000000-0005-0000-0000-0000AB780000}"/>
    <cellStyle name="Note 2 2 5 3 2" xfId="29371" xr:uid="{00000000-0005-0000-0000-0000AC780000}"/>
    <cellStyle name="Note 2 2 5 3 2 2" xfId="22353" xr:uid="{00000000-0005-0000-0000-0000AD780000}"/>
    <cellStyle name="Note 2 2 5 3 2 2 2" xfId="32373" xr:uid="{00000000-0005-0000-0000-0000AE780000}"/>
    <cellStyle name="Note 2 2 5 3 2 2 2 2" xfId="31784" xr:uid="{00000000-0005-0000-0000-0000AF780000}"/>
    <cellStyle name="Note 2 2 5 3 2 2 3" xfId="31791" xr:uid="{00000000-0005-0000-0000-0000B0780000}"/>
    <cellStyle name="Note 2 2 5 3 2 3" xfId="32448" xr:uid="{00000000-0005-0000-0000-0000B1780000}"/>
    <cellStyle name="Note 2 2 5 3 2 3 2" xfId="31804" xr:uid="{00000000-0005-0000-0000-0000B2780000}"/>
    <cellStyle name="Note 2 2 5 3 2 4" xfId="31807" xr:uid="{00000000-0005-0000-0000-0000B3780000}"/>
    <cellStyle name="Note 2 2 5 3 3" xfId="3154" xr:uid="{00000000-0005-0000-0000-0000B4780000}"/>
    <cellStyle name="Note 2 2 5 3 3 2" xfId="32383" xr:uid="{00000000-0005-0000-0000-0000B5780000}"/>
    <cellStyle name="Note 2 2 5 3 3 2 2" xfId="31901" xr:uid="{00000000-0005-0000-0000-0000B6780000}"/>
    <cellStyle name="Note 2 2 5 3 3 3" xfId="31808" xr:uid="{00000000-0005-0000-0000-0000B7780000}"/>
    <cellStyle name="Note 2 2 5 3 4" xfId="7779" xr:uid="{00000000-0005-0000-0000-0000B8780000}"/>
    <cellStyle name="Note 2 2 5 3 4 2" xfId="33748" xr:uid="{00000000-0005-0000-0000-0000B9780000}"/>
    <cellStyle name="Note 2 2 5 3 5" xfId="27384" xr:uid="{00000000-0005-0000-0000-0000BA780000}"/>
    <cellStyle name="Note 2 2 5 4" xfId="29839" xr:uid="{00000000-0005-0000-0000-0000BB780000}"/>
    <cellStyle name="Note 2 2 5 4 2" xfId="29977" xr:uid="{00000000-0005-0000-0000-0000BC780000}"/>
    <cellStyle name="Note 2 2 5 4 2 2" xfId="33895" xr:uid="{00000000-0005-0000-0000-0000BD780000}"/>
    <cellStyle name="Note 2 2 5 4 2 2 2" xfId="32043" xr:uid="{00000000-0005-0000-0000-0000BE780000}"/>
    <cellStyle name="Note 2 2 5 4 2 3" xfId="31327" xr:uid="{00000000-0005-0000-0000-0000BF780000}"/>
    <cellStyle name="Note 2 2 5 4 3" xfId="2906" xr:uid="{00000000-0005-0000-0000-0000C0780000}"/>
    <cellStyle name="Note 2 2 5 4 3 2" xfId="27299" xr:uid="{00000000-0005-0000-0000-0000C1780000}"/>
    <cellStyle name="Note 2 2 5 4 4" xfId="27393" xr:uid="{00000000-0005-0000-0000-0000C2780000}"/>
    <cellStyle name="Note 2 2 5 5" xfId="31226" xr:uid="{00000000-0005-0000-0000-0000C3780000}"/>
    <cellStyle name="Note 2 2 5 5 2" xfId="1586" xr:uid="{00000000-0005-0000-0000-0000C4780000}"/>
    <cellStyle name="Note 2 2 5 5 2 2" xfId="31810" xr:uid="{00000000-0005-0000-0000-0000C5780000}"/>
    <cellStyle name="Note 2 2 5 5 3" xfId="33635" xr:uid="{00000000-0005-0000-0000-0000C6780000}"/>
    <cellStyle name="Note 2 2 5 6" xfId="30756" xr:uid="{00000000-0005-0000-0000-0000C7780000}"/>
    <cellStyle name="Note 2 2 5 6 2" xfId="26469" xr:uid="{00000000-0005-0000-0000-0000C8780000}"/>
    <cellStyle name="Note 2 2 5 7" xfId="31233" xr:uid="{00000000-0005-0000-0000-0000C9780000}"/>
    <cellStyle name="Note 2 2 6" xfId="17410" xr:uid="{00000000-0005-0000-0000-0000CA780000}"/>
    <cellStyle name="Note 2 2 6 2" xfId="31812" xr:uid="{00000000-0005-0000-0000-0000CB780000}"/>
    <cellStyle name="Note 2 2 6 2 2" xfId="31815" xr:uid="{00000000-0005-0000-0000-0000CC780000}"/>
    <cellStyle name="Note 2 2 6 2 2 2" xfId="26949" xr:uid="{00000000-0005-0000-0000-0000CD780000}"/>
    <cellStyle name="Note 2 2 6 2 2 2 2" xfId="13232" xr:uid="{00000000-0005-0000-0000-0000CE780000}"/>
    <cellStyle name="Note 2 2 6 2 2 2 2 2" xfId="13236" xr:uid="{00000000-0005-0000-0000-0000CF780000}"/>
    <cellStyle name="Note 2 2 6 2 2 2 3" xfId="13242" xr:uid="{00000000-0005-0000-0000-0000D0780000}"/>
    <cellStyle name="Note 2 2 6 2 2 3" xfId="32480" xr:uid="{00000000-0005-0000-0000-0000D1780000}"/>
    <cellStyle name="Note 2 2 6 2 2 3 2" xfId="13257" xr:uid="{00000000-0005-0000-0000-0000D2780000}"/>
    <cellStyle name="Note 2 2 6 2 2 4" xfId="33483" xr:uid="{00000000-0005-0000-0000-0000D3780000}"/>
    <cellStyle name="Note 2 2 6 2 3" xfId="14530" xr:uid="{00000000-0005-0000-0000-0000D4780000}"/>
    <cellStyle name="Note 2 2 6 2 3 2" xfId="33921" xr:uid="{00000000-0005-0000-0000-0000D5780000}"/>
    <cellStyle name="Note 2 2 6 2 3 2 2" xfId="31816" xr:uid="{00000000-0005-0000-0000-0000D6780000}"/>
    <cellStyle name="Note 2 2 6 2 3 3" xfId="31817" xr:uid="{00000000-0005-0000-0000-0000D7780000}"/>
    <cellStyle name="Note 2 2 6 2 4" xfId="14536" xr:uid="{00000000-0005-0000-0000-0000D8780000}"/>
    <cellStyle name="Note 2 2 6 2 4 2" xfId="31826" xr:uid="{00000000-0005-0000-0000-0000D9780000}"/>
    <cellStyle name="Note 2 2 6 2 5" xfId="31827" xr:uid="{00000000-0005-0000-0000-0000DA780000}"/>
    <cellStyle name="Note 2 2 6 3" xfId="19654" xr:uid="{00000000-0005-0000-0000-0000DB780000}"/>
    <cellStyle name="Note 2 2 6 3 2" xfId="19014" xr:uid="{00000000-0005-0000-0000-0000DC780000}"/>
    <cellStyle name="Note 2 2 6 3 2 2" xfId="19019" xr:uid="{00000000-0005-0000-0000-0000DD780000}"/>
    <cellStyle name="Note 2 2 6 3 2 2 2" xfId="32740" xr:uid="{00000000-0005-0000-0000-0000DE780000}"/>
    <cellStyle name="Note 2 2 6 3 2 3" xfId="19023" xr:uid="{00000000-0005-0000-0000-0000DF780000}"/>
    <cellStyle name="Note 2 2 6 3 3" xfId="6001" xr:uid="{00000000-0005-0000-0000-0000E0780000}"/>
    <cellStyle name="Note 2 2 6 3 3 2" xfId="27756" xr:uid="{00000000-0005-0000-0000-0000E1780000}"/>
    <cellStyle name="Note 2 2 6 3 4" xfId="27759" xr:uid="{00000000-0005-0000-0000-0000E2780000}"/>
    <cellStyle name="Note 2 2 6 4" xfId="31945" xr:uid="{00000000-0005-0000-0000-0000E3780000}"/>
    <cellStyle name="Note 2 2 6 4 2" xfId="5755" xr:uid="{00000000-0005-0000-0000-0000E4780000}"/>
    <cellStyle name="Note 2 2 6 4 2 2" xfId="19051" xr:uid="{00000000-0005-0000-0000-0000E5780000}"/>
    <cellStyle name="Note 2 2 6 4 3" xfId="25506" xr:uid="{00000000-0005-0000-0000-0000E6780000}"/>
    <cellStyle name="Note 2 2 6 5" xfId="31235" xr:uid="{00000000-0005-0000-0000-0000E7780000}"/>
    <cellStyle name="Note 2 2 6 5 2" xfId="19056" xr:uid="{00000000-0005-0000-0000-0000E8780000}"/>
    <cellStyle name="Note 2 2 6 6" xfId="27917" xr:uid="{00000000-0005-0000-0000-0000E9780000}"/>
    <cellStyle name="Note 2 2 7" xfId="19171" xr:uid="{00000000-0005-0000-0000-0000EA780000}"/>
    <cellStyle name="Note 2 2 7 2" xfId="33718" xr:uid="{00000000-0005-0000-0000-0000EB780000}"/>
    <cellStyle name="Note 2 2 7 2 2" xfId="22613" xr:uid="{00000000-0005-0000-0000-0000EC780000}"/>
    <cellStyle name="Note 2 2 7 2 2 2" xfId="27625" xr:uid="{00000000-0005-0000-0000-0000ED780000}"/>
    <cellStyle name="Note 2 2 7 2 2 2 2" xfId="31836" xr:uid="{00000000-0005-0000-0000-0000EE780000}"/>
    <cellStyle name="Note 2 2 7 2 2 3" xfId="31840" xr:uid="{00000000-0005-0000-0000-0000EF780000}"/>
    <cellStyle name="Note 2 2 7 2 3" xfId="14540" xr:uid="{00000000-0005-0000-0000-0000F0780000}"/>
    <cellStyle name="Note 2 2 7 2 3 2" xfId="24" xr:uid="{00000000-0005-0000-0000-0000F1780000}"/>
    <cellStyle name="Note 2 2 7 2 4" xfId="28733" xr:uid="{00000000-0005-0000-0000-0000F2780000}"/>
    <cellStyle name="Note 2 2 7 3" xfId="29200" xr:uid="{00000000-0005-0000-0000-0000F3780000}"/>
    <cellStyle name="Note 2 2 7 3 2" xfId="26181" xr:uid="{00000000-0005-0000-0000-0000F4780000}"/>
    <cellStyle name="Note 2 2 7 3 2 2" xfId="29029" xr:uid="{00000000-0005-0000-0000-0000F5780000}"/>
    <cellStyle name="Note 2 2 7 3 3" xfId="29805" xr:uid="{00000000-0005-0000-0000-0000F6780000}"/>
    <cellStyle name="Note 2 2 7 4" xfId="31863" xr:uid="{00000000-0005-0000-0000-0000F7780000}"/>
    <cellStyle name="Note 2 2 7 4 2" xfId="19527" xr:uid="{00000000-0005-0000-0000-0000F8780000}"/>
    <cellStyle name="Note 2 2 7 5" xfId="31246" xr:uid="{00000000-0005-0000-0000-0000F9780000}"/>
    <cellStyle name="Note 2 2 8" xfId="3617" xr:uid="{00000000-0005-0000-0000-0000FA780000}"/>
    <cellStyle name="Note 2 2 8 2" xfId="31855" xr:uid="{00000000-0005-0000-0000-0000FB780000}"/>
    <cellStyle name="Note 2 2 8 2 2" xfId="31857" xr:uid="{00000000-0005-0000-0000-0000FC780000}"/>
    <cellStyle name="Note 2 2 8 2 2 2" xfId="29734" xr:uid="{00000000-0005-0000-0000-0000FD780000}"/>
    <cellStyle name="Note 2 2 8 2 3" xfId="30275" xr:uid="{00000000-0005-0000-0000-0000FE780000}"/>
    <cellStyle name="Note 2 2 8 3" xfId="31872" xr:uid="{00000000-0005-0000-0000-0000FF780000}"/>
    <cellStyle name="Note 2 2 8 3 2" xfId="24710" xr:uid="{00000000-0005-0000-0000-000000790000}"/>
    <cellStyle name="Note 2 2 8 4" xfId="30638" xr:uid="{00000000-0005-0000-0000-000001790000}"/>
    <cellStyle name="Note 2 2 9" xfId="31374" xr:uid="{00000000-0005-0000-0000-000002790000}"/>
    <cellStyle name="Note 2 2 9 2" xfId="31880" xr:uid="{00000000-0005-0000-0000-000003790000}"/>
    <cellStyle name="Note 2 2 9 2 2" xfId="30548" xr:uid="{00000000-0005-0000-0000-000004790000}"/>
    <cellStyle name="Note 2 2 9 3" xfId="31886" xr:uid="{00000000-0005-0000-0000-000005790000}"/>
    <cellStyle name="Note 2 3" xfId="30102" xr:uid="{00000000-0005-0000-0000-000006790000}"/>
    <cellStyle name="Note 2 3 10" xfId="8418" xr:uid="{00000000-0005-0000-0000-000007790000}"/>
    <cellStyle name="Note 2 3 2" xfId="9524" xr:uid="{00000000-0005-0000-0000-000008790000}"/>
    <cellStyle name="Note 2 3 2 2" xfId="32760" xr:uid="{00000000-0005-0000-0000-000009790000}"/>
    <cellStyle name="Note 2 3 2 2 2" xfId="15045" xr:uid="{00000000-0005-0000-0000-00000A790000}"/>
    <cellStyle name="Note 2 3 2 2 2 2" xfId="18215" xr:uid="{00000000-0005-0000-0000-00000B790000}"/>
    <cellStyle name="Note 2 3 2 2 2 2 2" xfId="32380" xr:uid="{00000000-0005-0000-0000-00000C790000}"/>
    <cellStyle name="Note 2 3 2 2 2 2 2 2" xfId="33591" xr:uid="{00000000-0005-0000-0000-00000D790000}"/>
    <cellStyle name="Note 2 3 2 2 2 2 2 2 2" xfId="25441" xr:uid="{00000000-0005-0000-0000-00000E790000}"/>
    <cellStyle name="Note 2 3 2 2 2 2 2 2 2 2" xfId="22427" xr:uid="{00000000-0005-0000-0000-00000F790000}"/>
    <cellStyle name="Note 2 3 2 2 2 2 2 2 2 2 2" xfId="6572" xr:uid="{00000000-0005-0000-0000-000010790000}"/>
    <cellStyle name="Note 2 3 2 2 2 2 2 2 2 3" xfId="6318" xr:uid="{00000000-0005-0000-0000-000011790000}"/>
    <cellStyle name="Note 2 3 2 2 2 2 2 2 3" xfId="14374" xr:uid="{00000000-0005-0000-0000-000012790000}"/>
    <cellStyle name="Note 2 3 2 2 2 2 2 2 3 2" xfId="15337" xr:uid="{00000000-0005-0000-0000-000013790000}"/>
    <cellStyle name="Note 2 3 2 2 2 2 2 2 4" xfId="31887" xr:uid="{00000000-0005-0000-0000-000014790000}"/>
    <cellStyle name="Note 2 3 2 2 2 2 2 3" xfId="23907" xr:uid="{00000000-0005-0000-0000-000015790000}"/>
    <cellStyle name="Note 2 3 2 2 2 2 2 3 2" xfId="23909" xr:uid="{00000000-0005-0000-0000-000016790000}"/>
    <cellStyle name="Note 2 3 2 2 2 2 2 3 2 2" xfId="31894" xr:uid="{00000000-0005-0000-0000-000017790000}"/>
    <cellStyle name="Note 2 3 2 2 2 2 2 3 3" xfId="30616" xr:uid="{00000000-0005-0000-0000-000018790000}"/>
    <cellStyle name="Note 2 3 2 2 2 2 2 4" xfId="23912" xr:uid="{00000000-0005-0000-0000-000019790000}"/>
    <cellStyle name="Note 2 3 2 2 2 2 2 4 2" xfId="32225" xr:uid="{00000000-0005-0000-0000-00001A790000}"/>
    <cellStyle name="Note 2 3 2 2 2 2 2 5" xfId="19586" xr:uid="{00000000-0005-0000-0000-00001B790000}"/>
    <cellStyle name="Note 2 3 2 2 2 2 3" xfId="32384" xr:uid="{00000000-0005-0000-0000-00001C790000}"/>
    <cellStyle name="Note 2 3 2 2 2 2 3 2" xfId="31902" xr:uid="{00000000-0005-0000-0000-00001D790000}"/>
    <cellStyle name="Note 2 3 2 2 2 2 3 2 2" xfId="23651" xr:uid="{00000000-0005-0000-0000-00001E790000}"/>
    <cellStyle name="Note 2 3 2 2 2 2 3 2 2 2" xfId="26394" xr:uid="{00000000-0005-0000-0000-00001F790000}"/>
    <cellStyle name="Note 2 3 2 2 2 2 3 2 3" xfId="31906" xr:uid="{00000000-0005-0000-0000-000020790000}"/>
    <cellStyle name="Note 2 3 2 2 2 2 3 3" xfId="23918" xr:uid="{00000000-0005-0000-0000-000021790000}"/>
    <cellStyle name="Note 2 3 2 2 2 2 3 3 2" xfId="26406" xr:uid="{00000000-0005-0000-0000-000022790000}"/>
    <cellStyle name="Note 2 3 2 2 2 2 3 4" xfId="31920" xr:uid="{00000000-0005-0000-0000-000023790000}"/>
    <cellStyle name="Note 2 3 2 2 2 2 4" xfId="5026" xr:uid="{00000000-0005-0000-0000-000024790000}"/>
    <cellStyle name="Note 2 3 2 2 2 2 4 2" xfId="30179" xr:uid="{00000000-0005-0000-0000-000025790000}"/>
    <cellStyle name="Note 2 3 2 2 2 2 4 2 2" xfId="29741" xr:uid="{00000000-0005-0000-0000-000026790000}"/>
    <cellStyle name="Note 2 3 2 2 2 2 4 3" xfId="25680" xr:uid="{00000000-0005-0000-0000-000027790000}"/>
    <cellStyle name="Note 2 3 2 2 2 2 5" xfId="31926" xr:uid="{00000000-0005-0000-0000-000028790000}"/>
    <cellStyle name="Note 2 3 2 2 2 2 5 2" xfId="3980" xr:uid="{00000000-0005-0000-0000-000029790000}"/>
    <cellStyle name="Note 2 3 2 2 2 2 6" xfId="32917" xr:uid="{00000000-0005-0000-0000-00002A790000}"/>
    <cellStyle name="Note 2 3 2 2 2 3" xfId="30522" xr:uid="{00000000-0005-0000-0000-00002B790000}"/>
    <cellStyle name="Note 2 3 2 2 2 3 2" xfId="32423" xr:uid="{00000000-0005-0000-0000-00002C790000}"/>
    <cellStyle name="Note 2 3 2 2 2 3 2 2" xfId="31933" xr:uid="{00000000-0005-0000-0000-00002D790000}"/>
    <cellStyle name="Note 2 3 2 2 2 3 2 2 2" xfId="20605" xr:uid="{00000000-0005-0000-0000-00002E790000}"/>
    <cellStyle name="Note 2 3 2 2 2 3 2 2 2 2" xfId="77" xr:uid="{00000000-0005-0000-0000-00002F790000}"/>
    <cellStyle name="Note 2 3 2 2 2 3 2 2 3" xfId="19379" xr:uid="{00000000-0005-0000-0000-000030790000}"/>
    <cellStyle name="Note 2 3 2 2 2 3 2 3" xfId="23929" xr:uid="{00000000-0005-0000-0000-000031790000}"/>
    <cellStyle name="Note 2 3 2 2 2 3 2 3 2" xfId="26215" xr:uid="{00000000-0005-0000-0000-000032790000}"/>
    <cellStyle name="Note 2 3 2 2 2 3 2 4" xfId="30415" xr:uid="{00000000-0005-0000-0000-000033790000}"/>
    <cellStyle name="Note 2 3 2 2 2 3 3" xfId="32587" xr:uid="{00000000-0005-0000-0000-000034790000}"/>
    <cellStyle name="Note 2 3 2 2 2 3 3 2" xfId="20817" xr:uid="{00000000-0005-0000-0000-000035790000}"/>
    <cellStyle name="Note 2 3 2 2 2 3 3 2 2" xfId="2797" xr:uid="{00000000-0005-0000-0000-000036790000}"/>
    <cellStyle name="Note 2 3 2 2 2 3 3 3" xfId="31943" xr:uid="{00000000-0005-0000-0000-000037790000}"/>
    <cellStyle name="Note 2 3 2 2 2 3 4" xfId="9184" xr:uid="{00000000-0005-0000-0000-000038790000}"/>
    <cellStyle name="Note 2 3 2 2 2 3 4 2" xfId="28724" xr:uid="{00000000-0005-0000-0000-000039790000}"/>
    <cellStyle name="Note 2 3 2 2 2 3 5" xfId="32922" xr:uid="{00000000-0005-0000-0000-00003A790000}"/>
    <cellStyle name="Note 2 3 2 2 2 4" xfId="8397" xr:uid="{00000000-0005-0000-0000-00003B790000}"/>
    <cellStyle name="Note 2 3 2 2 2 4 2" xfId="5296" xr:uid="{00000000-0005-0000-0000-00003C790000}"/>
    <cellStyle name="Note 2 3 2 2 2 4 2 2" xfId="21261" xr:uid="{00000000-0005-0000-0000-00003D790000}"/>
    <cellStyle name="Note 2 3 2 2 2 4 2 2 2" xfId="32811" xr:uid="{00000000-0005-0000-0000-00003E790000}"/>
    <cellStyle name="Note 2 3 2 2 2 4 2 3" xfId="31948" xr:uid="{00000000-0005-0000-0000-00003F790000}"/>
    <cellStyle name="Note 2 3 2 2 2 4 3" xfId="5301" xr:uid="{00000000-0005-0000-0000-000040790000}"/>
    <cellStyle name="Note 2 3 2 2 2 4 3 2" xfId="8087" xr:uid="{00000000-0005-0000-0000-000041790000}"/>
    <cellStyle name="Note 2 3 2 2 2 4 4" xfId="30515" xr:uid="{00000000-0005-0000-0000-000042790000}"/>
    <cellStyle name="Note 2 3 2 2 2 5" xfId="5304" xr:uid="{00000000-0005-0000-0000-000043790000}"/>
    <cellStyle name="Note 2 3 2 2 2 5 2" xfId="5309" xr:uid="{00000000-0005-0000-0000-000044790000}"/>
    <cellStyle name="Note 2 3 2 2 2 5 2 2" xfId="32190" xr:uid="{00000000-0005-0000-0000-000045790000}"/>
    <cellStyle name="Note 2 3 2 2 2 5 3" xfId="31953" xr:uid="{00000000-0005-0000-0000-000046790000}"/>
    <cellStyle name="Note 2 3 2 2 2 6" xfId="5311" xr:uid="{00000000-0005-0000-0000-000047790000}"/>
    <cellStyle name="Note 2 3 2 2 2 6 2" xfId="20025" xr:uid="{00000000-0005-0000-0000-000048790000}"/>
    <cellStyle name="Note 2 3 2 2 2 7" xfId="28524" xr:uid="{00000000-0005-0000-0000-000049790000}"/>
    <cellStyle name="Note 2 3 2 2 3" xfId="31503" xr:uid="{00000000-0005-0000-0000-00004A790000}"/>
    <cellStyle name="Note 2 3 2 2 3 2" xfId="31961" xr:uid="{00000000-0005-0000-0000-00004B790000}"/>
    <cellStyle name="Note 2 3 2 2 3 2 2" xfId="33307" xr:uid="{00000000-0005-0000-0000-00004C790000}"/>
    <cellStyle name="Note 2 3 2 2 3 2 2 2" xfId="31962" xr:uid="{00000000-0005-0000-0000-00004D790000}"/>
    <cellStyle name="Note 2 3 2 2 3 2 2 2 2" xfId="20841" xr:uid="{00000000-0005-0000-0000-00004E790000}"/>
    <cellStyle name="Note 2 3 2 2 3 2 2 2 2 2" xfId="17456" xr:uid="{00000000-0005-0000-0000-00004F790000}"/>
    <cellStyle name="Note 2 3 2 2 3 2 2 2 3" xfId="15117" xr:uid="{00000000-0005-0000-0000-000050790000}"/>
    <cellStyle name="Note 2 3 2 2 3 2 2 3" xfId="24272" xr:uid="{00000000-0005-0000-0000-000051790000}"/>
    <cellStyle name="Note 2 3 2 2 3 2 2 3 2" xfId="15077" xr:uid="{00000000-0005-0000-0000-000052790000}"/>
    <cellStyle name="Note 2 3 2 2 3 2 2 4" xfId="31965" xr:uid="{00000000-0005-0000-0000-000053790000}"/>
    <cellStyle name="Note 2 3 2 2 3 2 3" xfId="31966" xr:uid="{00000000-0005-0000-0000-000054790000}"/>
    <cellStyle name="Note 2 3 2 2 3 2 3 2" xfId="30351" xr:uid="{00000000-0005-0000-0000-000055790000}"/>
    <cellStyle name="Note 2 3 2 2 3 2 3 2 2" xfId="20768" xr:uid="{00000000-0005-0000-0000-000056790000}"/>
    <cellStyle name="Note 2 3 2 2 3 2 3 3" xfId="28162" xr:uid="{00000000-0005-0000-0000-000057790000}"/>
    <cellStyle name="Note 2 3 2 2 3 2 4" xfId="30335" xr:uid="{00000000-0005-0000-0000-000058790000}"/>
    <cellStyle name="Note 2 3 2 2 3 2 4 2" xfId="31972" xr:uid="{00000000-0005-0000-0000-000059790000}"/>
    <cellStyle name="Note 2 3 2 2 3 2 5" xfId="6710" xr:uid="{00000000-0005-0000-0000-00005A790000}"/>
    <cellStyle name="Note 2 3 2 2 3 3" xfId="31977" xr:uid="{00000000-0005-0000-0000-00005B790000}"/>
    <cellStyle name="Note 2 3 2 2 3 3 2" xfId="33022" xr:uid="{00000000-0005-0000-0000-00005C790000}"/>
    <cellStyle name="Note 2 3 2 2 3 3 2 2" xfId="16777" xr:uid="{00000000-0005-0000-0000-00005D790000}"/>
    <cellStyle name="Note 2 3 2 2 3 3 2 2 2" xfId="21023" xr:uid="{00000000-0005-0000-0000-00005E790000}"/>
    <cellStyle name="Note 2 3 2 2 3 3 2 3" xfId="16782" xr:uid="{00000000-0005-0000-0000-00005F790000}"/>
    <cellStyle name="Note 2 3 2 2 3 3 3" xfId="31982" xr:uid="{00000000-0005-0000-0000-000060790000}"/>
    <cellStyle name="Note 2 3 2 2 3 3 3 2" xfId="18730" xr:uid="{00000000-0005-0000-0000-000061790000}"/>
    <cellStyle name="Note 2 3 2 2 3 3 4" xfId="31986" xr:uid="{00000000-0005-0000-0000-000062790000}"/>
    <cellStyle name="Note 2 3 2 2 3 4" xfId="5322" xr:uid="{00000000-0005-0000-0000-000063790000}"/>
    <cellStyle name="Note 2 3 2 2 3 4 2" xfId="9575" xr:uid="{00000000-0005-0000-0000-000064790000}"/>
    <cellStyle name="Note 2 3 2 2 3 4 2 2" xfId="12919" xr:uid="{00000000-0005-0000-0000-000065790000}"/>
    <cellStyle name="Note 2 3 2 2 3 4 3" xfId="31108" xr:uid="{00000000-0005-0000-0000-000066790000}"/>
    <cellStyle name="Note 2 3 2 2 3 5" xfId="20908" xr:uid="{00000000-0005-0000-0000-000067790000}"/>
    <cellStyle name="Note 2 3 2 2 3 5 2" xfId="31995" xr:uid="{00000000-0005-0000-0000-000068790000}"/>
    <cellStyle name="Note 2 3 2 2 3 6" xfId="20918" xr:uid="{00000000-0005-0000-0000-000069790000}"/>
    <cellStyle name="Note 2 3 2 2 4" xfId="31997" xr:uid="{00000000-0005-0000-0000-00006A790000}"/>
    <cellStyle name="Note 2 3 2 2 4 2" xfId="31024" xr:uid="{00000000-0005-0000-0000-00006B790000}"/>
    <cellStyle name="Note 2 3 2 2 4 2 2" xfId="25977" xr:uid="{00000000-0005-0000-0000-00006C790000}"/>
    <cellStyle name="Note 2 3 2 2 4 2 2 2" xfId="19076" xr:uid="{00000000-0005-0000-0000-00006D790000}"/>
    <cellStyle name="Note 2 3 2 2 4 2 2 2 2" xfId="33744" xr:uid="{00000000-0005-0000-0000-00006E790000}"/>
    <cellStyle name="Note 2 3 2 2 4 2 2 3" xfId="25706" xr:uid="{00000000-0005-0000-0000-00006F790000}"/>
    <cellStyle name="Note 2 3 2 2 4 2 3" xfId="27238" xr:uid="{00000000-0005-0000-0000-000070790000}"/>
    <cellStyle name="Note 2 3 2 2 4 2 3 2" xfId="19093" xr:uid="{00000000-0005-0000-0000-000071790000}"/>
    <cellStyle name="Note 2 3 2 2 4 2 4" xfId="29474" xr:uid="{00000000-0005-0000-0000-000072790000}"/>
    <cellStyle name="Note 2 3 2 2 4 3" xfId="13960" xr:uid="{00000000-0005-0000-0000-000073790000}"/>
    <cellStyle name="Note 2 3 2 2 4 3 2" xfId="32011" xr:uid="{00000000-0005-0000-0000-000074790000}"/>
    <cellStyle name="Note 2 3 2 2 4 3 2 2" xfId="16795" xr:uid="{00000000-0005-0000-0000-000075790000}"/>
    <cellStyle name="Note 2 3 2 2 4 3 3" xfId="32012" xr:uid="{00000000-0005-0000-0000-000076790000}"/>
    <cellStyle name="Note 2 3 2 2 4 4" xfId="8347" xr:uid="{00000000-0005-0000-0000-000077790000}"/>
    <cellStyle name="Note 2 3 2 2 4 4 2" xfId="29373" xr:uid="{00000000-0005-0000-0000-000078790000}"/>
    <cellStyle name="Note 2 3 2 2 4 5" xfId="20920" xr:uid="{00000000-0005-0000-0000-000079790000}"/>
    <cellStyle name="Note 2 3 2 2 5" xfId="29735" xr:uid="{00000000-0005-0000-0000-00007A790000}"/>
    <cellStyle name="Note 2 3 2 2 5 2" xfId="30245" xr:uid="{00000000-0005-0000-0000-00007B790000}"/>
    <cellStyle name="Note 2 3 2 2 5 2 2" xfId="10215" xr:uid="{00000000-0005-0000-0000-00007C790000}"/>
    <cellStyle name="Note 2 3 2 2 5 2 2 2" xfId="32908" xr:uid="{00000000-0005-0000-0000-00007D790000}"/>
    <cellStyle name="Note 2 3 2 2 5 2 3" xfId="9814" xr:uid="{00000000-0005-0000-0000-00007E790000}"/>
    <cellStyle name="Note 2 3 2 2 5 3" xfId="32016" xr:uid="{00000000-0005-0000-0000-00007F790000}"/>
    <cellStyle name="Note 2 3 2 2 5 3 2" xfId="9821" xr:uid="{00000000-0005-0000-0000-000080790000}"/>
    <cellStyle name="Note 2 3 2 2 5 4" xfId="32019" xr:uid="{00000000-0005-0000-0000-000081790000}"/>
    <cellStyle name="Note 2 3 2 2 6" xfId="29736" xr:uid="{00000000-0005-0000-0000-000082790000}"/>
    <cellStyle name="Note 2 3 2 2 6 2" xfId="33447" xr:uid="{00000000-0005-0000-0000-000083790000}"/>
    <cellStyle name="Note 2 3 2 2 6 2 2" xfId="9836" xr:uid="{00000000-0005-0000-0000-000084790000}"/>
    <cellStyle name="Note 2 3 2 2 6 3" xfId="31010" xr:uid="{00000000-0005-0000-0000-000085790000}"/>
    <cellStyle name="Note 2 3 2 2 7" xfId="32044" xr:uid="{00000000-0005-0000-0000-000086790000}"/>
    <cellStyle name="Note 2 3 2 2 7 2" xfId="25631" xr:uid="{00000000-0005-0000-0000-000087790000}"/>
    <cellStyle name="Note 2 3 2 2 8" xfId="32045" xr:uid="{00000000-0005-0000-0000-000088790000}"/>
    <cellStyle name="Note 2 3 2 3" xfId="32050" xr:uid="{00000000-0005-0000-0000-000089790000}"/>
    <cellStyle name="Note 2 3 2 3 2" xfId="4974" xr:uid="{00000000-0005-0000-0000-00008A790000}"/>
    <cellStyle name="Note 2 3 2 3 2 2" xfId="13513" xr:uid="{00000000-0005-0000-0000-00008B790000}"/>
    <cellStyle name="Note 2 3 2 3 2 2 2" xfId="3696" xr:uid="{00000000-0005-0000-0000-00008C790000}"/>
    <cellStyle name="Note 2 3 2 3 2 2 2 2" xfId="9401" xr:uid="{00000000-0005-0000-0000-00008D790000}"/>
    <cellStyle name="Note 2 3 2 3 2 2 2 2 2" xfId="5029" xr:uid="{00000000-0005-0000-0000-00008E790000}"/>
    <cellStyle name="Note 2 3 2 3 2 2 2 2 2 2" xfId="11137" xr:uid="{00000000-0005-0000-0000-00008F790000}"/>
    <cellStyle name="Note 2 3 2 3 2 2 2 2 3" xfId="5038" xr:uid="{00000000-0005-0000-0000-000090790000}"/>
    <cellStyle name="Note 2 3 2 3 2 2 2 3" xfId="3140" xr:uid="{00000000-0005-0000-0000-000091790000}"/>
    <cellStyle name="Note 2 3 2 3 2 2 2 3 2" xfId="13085" xr:uid="{00000000-0005-0000-0000-000092790000}"/>
    <cellStyle name="Note 2 3 2 3 2 2 2 4" xfId="5048" xr:uid="{00000000-0005-0000-0000-000093790000}"/>
    <cellStyle name="Note 2 3 2 3 2 2 3" xfId="2802" xr:uid="{00000000-0005-0000-0000-000094790000}"/>
    <cellStyle name="Note 2 3 2 3 2 2 3 2" xfId="9416" xr:uid="{00000000-0005-0000-0000-000095790000}"/>
    <cellStyle name="Note 2 3 2 3 2 2 3 2 2" xfId="3508" xr:uid="{00000000-0005-0000-0000-000096790000}"/>
    <cellStyle name="Note 2 3 2 3 2 2 3 3" xfId="5059" xr:uid="{00000000-0005-0000-0000-000097790000}"/>
    <cellStyle name="Note 2 3 2 3 2 2 4" xfId="4394" xr:uid="{00000000-0005-0000-0000-000098790000}"/>
    <cellStyle name="Note 2 3 2 3 2 2 4 2" xfId="5073" xr:uid="{00000000-0005-0000-0000-000099790000}"/>
    <cellStyle name="Note 2 3 2 3 2 2 5" xfId="5087" xr:uid="{00000000-0005-0000-0000-00009A790000}"/>
    <cellStyle name="Note 2 3 2 3 2 3" xfId="13524" xr:uid="{00000000-0005-0000-0000-00009B790000}"/>
    <cellStyle name="Note 2 3 2 3 2 3 2" xfId="4185" xr:uid="{00000000-0005-0000-0000-00009C790000}"/>
    <cellStyle name="Note 2 3 2 3 2 3 2 2" xfId="9421" xr:uid="{00000000-0005-0000-0000-00009D790000}"/>
    <cellStyle name="Note 2 3 2 3 2 3 2 2 2" xfId="22097" xr:uid="{00000000-0005-0000-0000-00009E790000}"/>
    <cellStyle name="Note 2 3 2 3 2 3 2 3" xfId="5111" xr:uid="{00000000-0005-0000-0000-00009F790000}"/>
    <cellStyle name="Note 2 3 2 3 2 3 3" xfId="4196" xr:uid="{00000000-0005-0000-0000-0000A0790000}"/>
    <cellStyle name="Note 2 3 2 3 2 3 3 2" xfId="5121" xr:uid="{00000000-0005-0000-0000-0000A1790000}"/>
    <cellStyle name="Note 2 3 2 3 2 3 4" xfId="3992" xr:uid="{00000000-0005-0000-0000-0000A2790000}"/>
    <cellStyle name="Note 2 3 2 3 2 4" xfId="14301" xr:uid="{00000000-0005-0000-0000-0000A3790000}"/>
    <cellStyle name="Note 2 3 2 3 2 4 2" xfId="12201" xr:uid="{00000000-0005-0000-0000-0000A4790000}"/>
    <cellStyle name="Note 2 3 2 3 2 4 2 2" xfId="5141" xr:uid="{00000000-0005-0000-0000-0000A5790000}"/>
    <cellStyle name="Note 2 3 2 3 2 4 3" xfId="10191" xr:uid="{00000000-0005-0000-0000-0000A6790000}"/>
    <cellStyle name="Note 2 3 2 3 2 5" xfId="5437" xr:uid="{00000000-0005-0000-0000-0000A7790000}"/>
    <cellStyle name="Note 2 3 2 3 2 5 2" xfId="3764" xr:uid="{00000000-0005-0000-0000-0000A8790000}"/>
    <cellStyle name="Note 2 3 2 3 2 6" xfId="6793" xr:uid="{00000000-0005-0000-0000-0000A9790000}"/>
    <cellStyle name="Note 2 3 2 3 3" xfId="6296" xr:uid="{00000000-0005-0000-0000-0000AA790000}"/>
    <cellStyle name="Note 2 3 2 3 3 2" xfId="18591" xr:uid="{00000000-0005-0000-0000-0000AB790000}"/>
    <cellStyle name="Note 2 3 2 3 3 2 2" xfId="8123" xr:uid="{00000000-0005-0000-0000-0000AC790000}"/>
    <cellStyle name="Note 2 3 2 3 3 2 2 2" xfId="9442" xr:uid="{00000000-0005-0000-0000-0000AD790000}"/>
    <cellStyle name="Note 2 3 2 3 3 2 2 2 2" xfId="13485" xr:uid="{00000000-0005-0000-0000-0000AE790000}"/>
    <cellStyle name="Note 2 3 2 3 3 2 2 3" xfId="1784" xr:uid="{00000000-0005-0000-0000-0000AF790000}"/>
    <cellStyle name="Note 2 3 2 3 3 2 3" xfId="1762" xr:uid="{00000000-0005-0000-0000-0000B0790000}"/>
    <cellStyle name="Note 2 3 2 3 3 2 3 2" xfId="9175" xr:uid="{00000000-0005-0000-0000-0000B1790000}"/>
    <cellStyle name="Note 2 3 2 3 3 2 4" xfId="2257" xr:uid="{00000000-0005-0000-0000-0000B2790000}"/>
    <cellStyle name="Note 2 3 2 3 3 3" xfId="14302" xr:uid="{00000000-0005-0000-0000-0000B3790000}"/>
    <cellStyle name="Note 2 3 2 3 3 3 2" xfId="3653" xr:uid="{00000000-0005-0000-0000-0000B4790000}"/>
    <cellStyle name="Note 2 3 2 3 3 3 2 2" xfId="16807" xr:uid="{00000000-0005-0000-0000-0000B5790000}"/>
    <cellStyle name="Note 2 3 2 3 3 3 3" xfId="1798" xr:uid="{00000000-0005-0000-0000-0000B6790000}"/>
    <cellStyle name="Note 2 3 2 3 3 4" xfId="5457" xr:uid="{00000000-0005-0000-0000-0000B7790000}"/>
    <cellStyle name="Note 2 3 2 3 3 4 2" xfId="14444" xr:uid="{00000000-0005-0000-0000-0000B8790000}"/>
    <cellStyle name="Note 2 3 2 3 3 5" xfId="20952" xr:uid="{00000000-0005-0000-0000-0000B9790000}"/>
    <cellStyle name="Note 2 3 2 3 4" xfId="8620" xr:uid="{00000000-0005-0000-0000-0000BA790000}"/>
    <cellStyle name="Note 2 3 2 3 4 2" xfId="14307" xr:uid="{00000000-0005-0000-0000-0000BB790000}"/>
    <cellStyle name="Note 2 3 2 3 4 2 2" xfId="3665" xr:uid="{00000000-0005-0000-0000-0000BC790000}"/>
    <cellStyle name="Note 2 3 2 3 4 2 2 2" xfId="1891" xr:uid="{00000000-0005-0000-0000-0000BD790000}"/>
    <cellStyle name="Note 2 3 2 3 4 2 3" xfId="3273" xr:uid="{00000000-0005-0000-0000-0000BE790000}"/>
    <cellStyle name="Note 2 3 2 3 4 3" xfId="4533" xr:uid="{00000000-0005-0000-0000-0000BF790000}"/>
    <cellStyle name="Note 2 3 2 3 4 3 2" xfId="3678" xr:uid="{00000000-0005-0000-0000-0000C0790000}"/>
    <cellStyle name="Note 2 3 2 3 4 4" xfId="5157" xr:uid="{00000000-0005-0000-0000-0000C1790000}"/>
    <cellStyle name="Note 2 3 2 3 5" xfId="5167" xr:uid="{00000000-0005-0000-0000-0000C2790000}"/>
    <cellStyle name="Note 2 3 2 3 5 2" xfId="10421" xr:uid="{00000000-0005-0000-0000-0000C3790000}"/>
    <cellStyle name="Note 2 3 2 3 5 2 2" xfId="8929" xr:uid="{00000000-0005-0000-0000-0000C4790000}"/>
    <cellStyle name="Note 2 3 2 3 5 3" xfId="11362" xr:uid="{00000000-0005-0000-0000-0000C5790000}"/>
    <cellStyle name="Note 2 3 2 3 6" xfId="32051" xr:uid="{00000000-0005-0000-0000-0000C6790000}"/>
    <cellStyle name="Note 2 3 2 3 6 2" xfId="7424" xr:uid="{00000000-0005-0000-0000-0000C7790000}"/>
    <cellStyle name="Note 2 3 2 3 7" xfId="33478" xr:uid="{00000000-0005-0000-0000-0000C8790000}"/>
    <cellStyle name="Note 2 3 2 4" xfId="31796" xr:uid="{00000000-0005-0000-0000-0000C9790000}"/>
    <cellStyle name="Note 2 3 2 4 2" xfId="6055" xr:uid="{00000000-0005-0000-0000-0000CA790000}"/>
    <cellStyle name="Note 2 3 2 4 2 2" xfId="13533" xr:uid="{00000000-0005-0000-0000-0000CB790000}"/>
    <cellStyle name="Note 2 3 2 4 2 2 2" xfId="3106" xr:uid="{00000000-0005-0000-0000-0000CC790000}"/>
    <cellStyle name="Note 2 3 2 4 2 2 2 2" xfId="9466" xr:uid="{00000000-0005-0000-0000-0000CD790000}"/>
    <cellStyle name="Note 2 3 2 4 2 2 2 2 2" xfId="1515" xr:uid="{00000000-0005-0000-0000-0000CE790000}"/>
    <cellStyle name="Note 2 3 2 4 2 2 2 3" xfId="5065" xr:uid="{00000000-0005-0000-0000-0000CF790000}"/>
    <cellStyle name="Note 2 3 2 4 2 2 3" xfId="4397" xr:uid="{00000000-0005-0000-0000-0000D0790000}"/>
    <cellStyle name="Note 2 3 2 4 2 2 3 2" xfId="5081" xr:uid="{00000000-0005-0000-0000-0000D1790000}"/>
    <cellStyle name="Note 2 3 2 4 2 2 4" xfId="5089" xr:uid="{00000000-0005-0000-0000-0000D2790000}"/>
    <cellStyle name="Note 2 3 2 4 2 3" xfId="14320" xr:uid="{00000000-0005-0000-0000-0000D3790000}"/>
    <cellStyle name="Note 2 3 2 4 2 3 2" xfId="4201" xr:uid="{00000000-0005-0000-0000-0000D4790000}"/>
    <cellStyle name="Note 2 3 2 4 2 3 2 2" xfId="8683" xr:uid="{00000000-0005-0000-0000-0000D5790000}"/>
    <cellStyle name="Note 2 3 2 4 2 3 3" xfId="3995" xr:uid="{00000000-0005-0000-0000-0000D6790000}"/>
    <cellStyle name="Note 2 3 2 4 2 4" xfId="4969" xr:uid="{00000000-0005-0000-0000-0000D7790000}"/>
    <cellStyle name="Note 2 3 2 4 2 4 2" xfId="11312" xr:uid="{00000000-0005-0000-0000-0000D8790000}"/>
    <cellStyle name="Note 2 3 2 4 2 5" xfId="5944" xr:uid="{00000000-0005-0000-0000-0000D9790000}"/>
    <cellStyle name="Note 2 3 2 4 3" xfId="9112" xr:uid="{00000000-0005-0000-0000-0000DA790000}"/>
    <cellStyle name="Note 2 3 2 4 3 2" xfId="14321" xr:uid="{00000000-0005-0000-0000-0000DB790000}"/>
    <cellStyle name="Note 2 3 2 4 3 2 2" xfId="3397" xr:uid="{00000000-0005-0000-0000-0000DC790000}"/>
    <cellStyle name="Note 2 3 2 4 3 2 2 2" xfId="2804" xr:uid="{00000000-0005-0000-0000-0000DD790000}"/>
    <cellStyle name="Note 2 3 2 4 3 2 3" xfId="2254" xr:uid="{00000000-0005-0000-0000-0000DE790000}"/>
    <cellStyle name="Note 2 3 2 4 3 3" xfId="2532" xr:uid="{00000000-0005-0000-0000-0000DF790000}"/>
    <cellStyle name="Note 2 3 2 4 3 3 2" xfId="1802" xr:uid="{00000000-0005-0000-0000-0000E0790000}"/>
    <cellStyle name="Note 2 3 2 4 3 4" xfId="1050" xr:uid="{00000000-0005-0000-0000-0000E1790000}"/>
    <cellStyle name="Note 2 3 2 4 4" xfId="22773" xr:uid="{00000000-0005-0000-0000-0000E2790000}"/>
    <cellStyle name="Note 2 3 2 4 4 2" xfId="5953" xr:uid="{00000000-0005-0000-0000-0000E3790000}"/>
    <cellStyle name="Note 2 3 2 4 4 2 2" xfId="3689" xr:uid="{00000000-0005-0000-0000-0000E4790000}"/>
    <cellStyle name="Note 2 3 2 4 4 3" xfId="3468" xr:uid="{00000000-0005-0000-0000-0000E5790000}"/>
    <cellStyle name="Note 2 3 2 4 5" xfId="5956" xr:uid="{00000000-0005-0000-0000-0000E6790000}"/>
    <cellStyle name="Note 2 3 2 4 5 2" xfId="10435" xr:uid="{00000000-0005-0000-0000-0000E7790000}"/>
    <cellStyle name="Note 2 3 2 4 6" xfId="20548" xr:uid="{00000000-0005-0000-0000-0000E8790000}"/>
    <cellStyle name="Note 2 3 2 5" xfId="31938" xr:uid="{00000000-0005-0000-0000-0000E9790000}"/>
    <cellStyle name="Note 2 3 2 5 2" xfId="9124" xr:uid="{00000000-0005-0000-0000-0000EA790000}"/>
    <cellStyle name="Note 2 3 2 5 2 2" xfId="14328" xr:uid="{00000000-0005-0000-0000-0000EB790000}"/>
    <cellStyle name="Note 2 3 2 5 2 2 2" xfId="4713" xr:uid="{00000000-0005-0000-0000-0000EC790000}"/>
    <cellStyle name="Note 2 3 2 5 2 2 2 2" xfId="9229" xr:uid="{00000000-0005-0000-0000-0000ED790000}"/>
    <cellStyle name="Note 2 3 2 5 2 2 3" xfId="4807" xr:uid="{00000000-0005-0000-0000-0000EE790000}"/>
    <cellStyle name="Note 2 3 2 5 2 3" xfId="6287" xr:uid="{00000000-0005-0000-0000-0000EF790000}"/>
    <cellStyle name="Note 2 3 2 5 2 3 2" xfId="1867" xr:uid="{00000000-0005-0000-0000-0000F0790000}"/>
    <cellStyle name="Note 2 3 2 5 2 4" xfId="6290" xr:uid="{00000000-0005-0000-0000-0000F1790000}"/>
    <cellStyle name="Note 2 3 2 5 3" xfId="24046" xr:uid="{00000000-0005-0000-0000-0000F2790000}"/>
    <cellStyle name="Note 2 3 2 5 3 2" xfId="6299" xr:uid="{00000000-0005-0000-0000-0000F3790000}"/>
    <cellStyle name="Note 2 3 2 5 3 2 2" xfId="11671" xr:uid="{00000000-0005-0000-0000-0000F4790000}"/>
    <cellStyle name="Note 2 3 2 5 3 3" xfId="3497" xr:uid="{00000000-0005-0000-0000-0000F5790000}"/>
    <cellStyle name="Note 2 3 2 5 4" xfId="14994" xr:uid="{00000000-0005-0000-0000-0000F6790000}"/>
    <cellStyle name="Note 2 3 2 5 4 2" xfId="6303" xr:uid="{00000000-0005-0000-0000-0000F7790000}"/>
    <cellStyle name="Note 2 3 2 5 5" xfId="15002" xr:uid="{00000000-0005-0000-0000-0000F8790000}"/>
    <cellStyle name="Note 2 3 2 6" xfId="22269" xr:uid="{00000000-0005-0000-0000-0000F9790000}"/>
    <cellStyle name="Note 2 3 2 6 2" xfId="23772" xr:uid="{00000000-0005-0000-0000-0000FA790000}"/>
    <cellStyle name="Note 2 3 2 6 2 2" xfId="6455" xr:uid="{00000000-0005-0000-0000-0000FB790000}"/>
    <cellStyle name="Note 2 3 2 6 2 2 2" xfId="4947" xr:uid="{00000000-0005-0000-0000-0000FC790000}"/>
    <cellStyle name="Note 2 3 2 6 2 3" xfId="6459" xr:uid="{00000000-0005-0000-0000-0000FD790000}"/>
    <cellStyle name="Note 2 3 2 6 3" xfId="6462" xr:uid="{00000000-0005-0000-0000-0000FE790000}"/>
    <cellStyle name="Note 2 3 2 6 3 2" xfId="847" xr:uid="{00000000-0005-0000-0000-0000FF790000}"/>
    <cellStyle name="Note 2 3 2 6 4" xfId="15010" xr:uid="{00000000-0005-0000-0000-0000007A0000}"/>
    <cellStyle name="Note 2 3 2 7" xfId="22286" xr:uid="{00000000-0005-0000-0000-0000017A0000}"/>
    <cellStyle name="Note 2 3 2 7 2" xfId="6567" xr:uid="{00000000-0005-0000-0000-0000027A0000}"/>
    <cellStyle name="Note 2 3 2 7 2 2" xfId="6577" xr:uid="{00000000-0005-0000-0000-0000037A0000}"/>
    <cellStyle name="Note 2 3 2 7 3" xfId="6580" xr:uid="{00000000-0005-0000-0000-0000047A0000}"/>
    <cellStyle name="Note 2 3 2 8" xfId="3001" xr:uid="{00000000-0005-0000-0000-0000057A0000}"/>
    <cellStyle name="Note 2 3 2 8 2" xfId="5857" xr:uid="{00000000-0005-0000-0000-0000067A0000}"/>
    <cellStyle name="Note 2 3 2 9" xfId="33571" xr:uid="{00000000-0005-0000-0000-0000077A0000}"/>
    <cellStyle name="Note 2 3 3" xfId="33158" xr:uid="{00000000-0005-0000-0000-0000087A0000}"/>
    <cellStyle name="Note 2 3 3 2" xfId="28289" xr:uid="{00000000-0005-0000-0000-0000097A0000}"/>
    <cellStyle name="Note 2 3 3 2 2" xfId="32651" xr:uid="{00000000-0005-0000-0000-00000A7A0000}"/>
    <cellStyle name="Note 2 3 3 2 2 2" xfId="19214" xr:uid="{00000000-0005-0000-0000-00000B7A0000}"/>
    <cellStyle name="Note 2 3 3 2 2 2 2" xfId="27697" xr:uid="{00000000-0005-0000-0000-00000C7A0000}"/>
    <cellStyle name="Note 2 3 3 2 2 2 2 2" xfId="32743" xr:uid="{00000000-0005-0000-0000-00000D7A0000}"/>
    <cellStyle name="Note 2 3 3 2 2 2 2 2 2" xfId="32855" xr:uid="{00000000-0005-0000-0000-00000E7A0000}"/>
    <cellStyle name="Note 2 3 3 2 2 2 2 2 2 2" xfId="32062" xr:uid="{00000000-0005-0000-0000-00000F7A0000}"/>
    <cellStyle name="Note 2 3 3 2 2 2 2 2 3" xfId="32063" xr:uid="{00000000-0005-0000-0000-0000107A0000}"/>
    <cellStyle name="Note 2 3 3 2 2 2 2 3" xfId="32857" xr:uid="{00000000-0005-0000-0000-0000117A0000}"/>
    <cellStyle name="Note 2 3 3 2 2 2 2 3 2" xfId="32064" xr:uid="{00000000-0005-0000-0000-0000127A0000}"/>
    <cellStyle name="Note 2 3 3 2 2 2 2 4" xfId="31555" xr:uid="{00000000-0005-0000-0000-0000137A0000}"/>
    <cellStyle name="Note 2 3 3 2 2 2 3" xfId="28222" xr:uid="{00000000-0005-0000-0000-0000147A0000}"/>
    <cellStyle name="Note 2 3 3 2 2 2 3 2" xfId="28225" xr:uid="{00000000-0005-0000-0000-0000157A0000}"/>
    <cellStyle name="Note 2 3 3 2 2 2 3 2 2" xfId="32351" xr:uid="{00000000-0005-0000-0000-0000167A0000}"/>
    <cellStyle name="Note 2 3 3 2 2 2 3 3" xfId="32834" xr:uid="{00000000-0005-0000-0000-0000177A0000}"/>
    <cellStyle name="Note 2 3 3 2 2 2 4" xfId="28227" xr:uid="{00000000-0005-0000-0000-0000187A0000}"/>
    <cellStyle name="Note 2 3 3 2 2 2 4 2" xfId="32706" xr:uid="{00000000-0005-0000-0000-0000197A0000}"/>
    <cellStyle name="Note 2 3 3 2 2 2 5" xfId="32075" xr:uid="{00000000-0005-0000-0000-00001A7A0000}"/>
    <cellStyle name="Note 2 3 3 2 2 3" xfId="30770" xr:uid="{00000000-0005-0000-0000-00001B7A0000}"/>
    <cellStyle name="Note 2 3 3 2 2 3 2" xfId="28050" xr:uid="{00000000-0005-0000-0000-00001C7A0000}"/>
    <cellStyle name="Note 2 3 3 2 2 3 2 2" xfId="32862" xr:uid="{00000000-0005-0000-0000-00001D7A0000}"/>
    <cellStyle name="Note 2 3 3 2 2 3 2 2 2" xfId="33577" xr:uid="{00000000-0005-0000-0000-00001E7A0000}"/>
    <cellStyle name="Note 2 3 3 2 2 3 2 3" xfId="21862" xr:uid="{00000000-0005-0000-0000-00001F7A0000}"/>
    <cellStyle name="Note 2 3 3 2 2 3 3" xfId="27404" xr:uid="{00000000-0005-0000-0000-0000207A0000}"/>
    <cellStyle name="Note 2 3 3 2 2 3 3 2" xfId="32874" xr:uid="{00000000-0005-0000-0000-0000217A0000}"/>
    <cellStyle name="Note 2 3 3 2 2 3 4" xfId="29541" xr:uid="{00000000-0005-0000-0000-0000227A0000}"/>
    <cellStyle name="Note 2 3 3 2 2 4" xfId="5653" xr:uid="{00000000-0005-0000-0000-0000237A0000}"/>
    <cellStyle name="Note 2 3 3 2 2 4 2" xfId="5657" xr:uid="{00000000-0005-0000-0000-0000247A0000}"/>
    <cellStyle name="Note 2 3 3 2 2 4 2 2" xfId="31743" xr:uid="{00000000-0005-0000-0000-0000257A0000}"/>
    <cellStyle name="Note 2 3 3 2 2 4 3" xfId="26053" xr:uid="{00000000-0005-0000-0000-0000267A0000}"/>
    <cellStyle name="Note 2 3 3 2 2 5" xfId="5662" xr:uid="{00000000-0005-0000-0000-0000277A0000}"/>
    <cellStyle name="Note 2 3 3 2 2 5 2" xfId="32993" xr:uid="{00000000-0005-0000-0000-0000287A0000}"/>
    <cellStyle name="Note 2 3 3 2 2 6" xfId="27812" xr:uid="{00000000-0005-0000-0000-0000297A0000}"/>
    <cellStyle name="Note 2 3 3 2 3" xfId="25065" xr:uid="{00000000-0005-0000-0000-00002A7A0000}"/>
    <cellStyle name="Note 2 3 3 2 3 2" xfId="33611" xr:uid="{00000000-0005-0000-0000-00002B7A0000}"/>
    <cellStyle name="Note 2 3 3 2 3 2 2" xfId="31197" xr:uid="{00000000-0005-0000-0000-00002C7A0000}"/>
    <cellStyle name="Note 2 3 3 2 3 2 2 2" xfId="32079" xr:uid="{00000000-0005-0000-0000-00002D7A0000}"/>
    <cellStyle name="Note 2 3 3 2 3 2 2 2 2" xfId="33070" xr:uid="{00000000-0005-0000-0000-00002E7A0000}"/>
    <cellStyle name="Note 2 3 3 2 3 2 2 3" xfId="26676" xr:uid="{00000000-0005-0000-0000-00002F7A0000}"/>
    <cellStyle name="Note 2 3 3 2 3 2 3" xfId="32879" xr:uid="{00000000-0005-0000-0000-0000307A0000}"/>
    <cellStyle name="Note 2 3 3 2 3 2 3 2" xfId="34033" xr:uid="{00000000-0005-0000-0000-0000317A0000}"/>
    <cellStyle name="Note 2 3 3 2 3 2 4" xfId="32991" xr:uid="{00000000-0005-0000-0000-0000327A0000}"/>
    <cellStyle name="Note 2 3 3 2 3 3" xfId="32085" xr:uid="{00000000-0005-0000-0000-0000337A0000}"/>
    <cellStyle name="Note 2 3 3 2 3 3 2" xfId="32943" xr:uid="{00000000-0005-0000-0000-0000347A0000}"/>
    <cellStyle name="Note 2 3 3 2 3 3 2 2" xfId="2913" xr:uid="{00000000-0005-0000-0000-0000357A0000}"/>
    <cellStyle name="Note 2 3 3 2 3 3 3" xfId="33816" xr:uid="{00000000-0005-0000-0000-0000367A0000}"/>
    <cellStyle name="Note 2 3 3 2 3 4" xfId="5682" xr:uid="{00000000-0005-0000-0000-0000377A0000}"/>
    <cellStyle name="Note 2 3 3 2 3 4 2" xfId="33123" xr:uid="{00000000-0005-0000-0000-0000387A0000}"/>
    <cellStyle name="Note 2 3 3 2 3 5" xfId="21044" xr:uid="{00000000-0005-0000-0000-0000397A0000}"/>
    <cellStyle name="Note 2 3 3 2 4" xfId="20649" xr:uid="{00000000-0005-0000-0000-00003A7A0000}"/>
    <cellStyle name="Note 2 3 3 2 4 2" xfId="23597" xr:uid="{00000000-0005-0000-0000-00003B7A0000}"/>
    <cellStyle name="Note 2 3 3 2 4 2 2" xfId="33779" xr:uid="{00000000-0005-0000-0000-00003C7A0000}"/>
    <cellStyle name="Note 2 3 3 2 4 2 2 2" xfId="7100" xr:uid="{00000000-0005-0000-0000-00003D7A0000}"/>
    <cellStyle name="Note 2 3 3 2 4 2 3" xfId="23641" xr:uid="{00000000-0005-0000-0000-00003E7A0000}"/>
    <cellStyle name="Note 2 3 3 2 4 3" xfId="32100" xr:uid="{00000000-0005-0000-0000-00003F7A0000}"/>
    <cellStyle name="Note 2 3 3 2 4 3 2" xfId="33713" xr:uid="{00000000-0005-0000-0000-0000407A0000}"/>
    <cellStyle name="Note 2 3 3 2 4 4" xfId="33931" xr:uid="{00000000-0005-0000-0000-0000417A0000}"/>
    <cellStyle name="Note 2 3 3 2 5" xfId="27410" xr:uid="{00000000-0005-0000-0000-0000427A0000}"/>
    <cellStyle name="Note 2 3 3 2 5 2" xfId="33787" xr:uid="{00000000-0005-0000-0000-0000437A0000}"/>
    <cellStyle name="Note 2 3 3 2 5 2 2" xfId="10342" xr:uid="{00000000-0005-0000-0000-0000447A0000}"/>
    <cellStyle name="Note 2 3 3 2 5 3" xfId="32106" xr:uid="{00000000-0005-0000-0000-0000457A0000}"/>
    <cellStyle name="Note 2 3 3 2 6" xfId="20948" xr:uid="{00000000-0005-0000-0000-0000467A0000}"/>
    <cellStyle name="Note 2 3 3 2 6 2" xfId="22812" xr:uid="{00000000-0005-0000-0000-0000477A0000}"/>
    <cellStyle name="Note 2 3 3 2 7" xfId="20977" xr:uid="{00000000-0005-0000-0000-0000487A0000}"/>
    <cellStyle name="Note 2 3 3 3" xfId="32112" xr:uid="{00000000-0005-0000-0000-0000497A0000}"/>
    <cellStyle name="Note 2 3 3 3 2" xfId="7904" xr:uid="{00000000-0005-0000-0000-00004A7A0000}"/>
    <cellStyle name="Note 2 3 3 3 2 2" xfId="13552" xr:uid="{00000000-0005-0000-0000-00004B7A0000}"/>
    <cellStyle name="Note 2 3 3 3 2 2 2" xfId="7541" xr:uid="{00000000-0005-0000-0000-00004C7A0000}"/>
    <cellStyle name="Note 2 3 3 3 2 2 2 2" xfId="12477" xr:uid="{00000000-0005-0000-0000-00004D7A0000}"/>
    <cellStyle name="Note 2 3 3 3 2 2 2 2 2" xfId="5767" xr:uid="{00000000-0005-0000-0000-00004E7A0000}"/>
    <cellStyle name="Note 2 3 3 3 2 2 2 3" xfId="7563" xr:uid="{00000000-0005-0000-0000-00004F7A0000}"/>
    <cellStyle name="Note 2 3 3 3 2 2 3" xfId="7575" xr:uid="{00000000-0005-0000-0000-0000507A0000}"/>
    <cellStyle name="Note 2 3 3 3 2 2 3 2" xfId="7585" xr:uid="{00000000-0005-0000-0000-0000517A0000}"/>
    <cellStyle name="Note 2 3 3 3 2 2 4" xfId="5396" xr:uid="{00000000-0005-0000-0000-0000527A0000}"/>
    <cellStyle name="Note 2 3 3 3 2 3" xfId="14341" xr:uid="{00000000-0005-0000-0000-0000537A0000}"/>
    <cellStyle name="Note 2 3 3 3 2 3 2" xfId="7604" xr:uid="{00000000-0005-0000-0000-0000547A0000}"/>
    <cellStyle name="Note 2 3 3 3 2 3 2 2" xfId="9522" xr:uid="{00000000-0005-0000-0000-0000557A0000}"/>
    <cellStyle name="Note 2 3 3 3 2 3 3" xfId="7616" xr:uid="{00000000-0005-0000-0000-0000567A0000}"/>
    <cellStyle name="Note 2 3 3 3 2 4" xfId="9932" xr:uid="{00000000-0005-0000-0000-0000577A0000}"/>
    <cellStyle name="Note 2 3 3 3 2 4 2" xfId="13043" xr:uid="{00000000-0005-0000-0000-0000587A0000}"/>
    <cellStyle name="Note 2 3 3 3 2 5" xfId="7939" xr:uid="{00000000-0005-0000-0000-0000597A0000}"/>
    <cellStyle name="Note 2 3 3 3 3" xfId="8983" xr:uid="{00000000-0005-0000-0000-00005A7A0000}"/>
    <cellStyle name="Note 2 3 3 3 3 2" xfId="14345" xr:uid="{00000000-0005-0000-0000-00005B7A0000}"/>
    <cellStyle name="Note 2 3 3 3 3 2 2" xfId="5487" xr:uid="{00000000-0005-0000-0000-00005C7A0000}"/>
    <cellStyle name="Note 2 3 3 3 3 2 2 2" xfId="14176" xr:uid="{00000000-0005-0000-0000-00005D7A0000}"/>
    <cellStyle name="Note 2 3 3 3 3 2 3" xfId="7673" xr:uid="{00000000-0005-0000-0000-00005E7A0000}"/>
    <cellStyle name="Note 2 3 3 3 3 3" xfId="7959" xr:uid="{00000000-0005-0000-0000-00005F7A0000}"/>
    <cellStyle name="Note 2 3 3 3 3 3 2" xfId="7697" xr:uid="{00000000-0005-0000-0000-0000607A0000}"/>
    <cellStyle name="Note 2 3 3 3 3 4" xfId="7966" xr:uid="{00000000-0005-0000-0000-0000617A0000}"/>
    <cellStyle name="Note 2 3 3 3 4" xfId="4590" xr:uid="{00000000-0005-0000-0000-0000627A0000}"/>
    <cellStyle name="Note 2 3 3 3 4 2" xfId="7979" xr:uid="{00000000-0005-0000-0000-0000637A0000}"/>
    <cellStyle name="Note 2 3 3 3 4 2 2" xfId="5526" xr:uid="{00000000-0005-0000-0000-0000647A0000}"/>
    <cellStyle name="Note 2 3 3 3 4 3" xfId="7988" xr:uid="{00000000-0005-0000-0000-0000657A0000}"/>
    <cellStyle name="Note 2 3 3 3 5" xfId="7992" xr:uid="{00000000-0005-0000-0000-0000667A0000}"/>
    <cellStyle name="Note 2 3 3 3 5 2" xfId="10469" xr:uid="{00000000-0005-0000-0000-0000677A0000}"/>
    <cellStyle name="Note 2 3 3 3 6" xfId="20980" xr:uid="{00000000-0005-0000-0000-0000687A0000}"/>
    <cellStyle name="Note 2 3 3 4" xfId="294" xr:uid="{00000000-0005-0000-0000-0000697A0000}"/>
    <cellStyle name="Note 2 3 3 4 2" xfId="8548" xr:uid="{00000000-0005-0000-0000-00006A7A0000}"/>
    <cellStyle name="Note 2 3 3 4 2 2" xfId="2954" xr:uid="{00000000-0005-0000-0000-00006B7A0000}"/>
    <cellStyle name="Note 2 3 3 4 2 2 2" xfId="19821" xr:uid="{00000000-0005-0000-0000-00006C7A0000}"/>
    <cellStyle name="Note 2 3 3 4 2 2 2 2" xfId="7837" xr:uid="{00000000-0005-0000-0000-00006D7A0000}"/>
    <cellStyle name="Note 2 3 3 4 2 2 3" xfId="19831" xr:uid="{00000000-0005-0000-0000-00006E7A0000}"/>
    <cellStyle name="Note 2 3 3 4 2 3" xfId="7621" xr:uid="{00000000-0005-0000-0000-00006F7A0000}"/>
    <cellStyle name="Note 2 3 3 4 2 3 2" xfId="19834" xr:uid="{00000000-0005-0000-0000-0000707A0000}"/>
    <cellStyle name="Note 2 3 3 4 2 4" xfId="4526" xr:uid="{00000000-0005-0000-0000-0000717A0000}"/>
    <cellStyle name="Note 2 3 3 4 3" xfId="24067" xr:uid="{00000000-0005-0000-0000-0000727A0000}"/>
    <cellStyle name="Note 2 3 3 4 3 2" xfId="8521" xr:uid="{00000000-0005-0000-0000-0000737A0000}"/>
    <cellStyle name="Note 2 3 3 4 3 2 2" xfId="12757" xr:uid="{00000000-0005-0000-0000-0000747A0000}"/>
    <cellStyle name="Note 2 3 3 4 3 3" xfId="9169" xr:uid="{00000000-0005-0000-0000-0000757A0000}"/>
    <cellStyle name="Note 2 3 3 4 4" xfId="10298" xr:uid="{00000000-0005-0000-0000-0000767A0000}"/>
    <cellStyle name="Note 2 3 3 4 4 2" xfId="9204" xr:uid="{00000000-0005-0000-0000-0000777A0000}"/>
    <cellStyle name="Note 2 3 3 4 5" xfId="25388" xr:uid="{00000000-0005-0000-0000-0000787A0000}"/>
    <cellStyle name="Note 2 3 3 5" xfId="28988" xr:uid="{00000000-0005-0000-0000-0000797A0000}"/>
    <cellStyle name="Note 2 3 3 5 2" xfId="24076" xr:uid="{00000000-0005-0000-0000-00007A7A0000}"/>
    <cellStyle name="Note 2 3 3 5 2 2" xfId="8756" xr:uid="{00000000-0005-0000-0000-00007B7A0000}"/>
    <cellStyle name="Note 2 3 3 5 2 2 2" xfId="19861" xr:uid="{00000000-0005-0000-0000-00007C7A0000}"/>
    <cellStyle name="Note 2 3 3 5 2 3" xfId="7711" xr:uid="{00000000-0005-0000-0000-00007D7A0000}"/>
    <cellStyle name="Note 2 3 3 5 3" xfId="25029" xr:uid="{00000000-0005-0000-0000-00007E7A0000}"/>
    <cellStyle name="Note 2 3 3 5 3 2" xfId="28641" xr:uid="{00000000-0005-0000-0000-00007F7A0000}"/>
    <cellStyle name="Note 2 3 3 5 4" xfId="15013" xr:uid="{00000000-0005-0000-0000-0000807A0000}"/>
    <cellStyle name="Note 2 3 3 6" xfId="22307" xr:uid="{00000000-0005-0000-0000-0000817A0000}"/>
    <cellStyle name="Note 2 3 3 6 2" xfId="7009" xr:uid="{00000000-0005-0000-0000-0000827A0000}"/>
    <cellStyle name="Note 2 3 3 6 2 2" xfId="8924" xr:uid="{00000000-0005-0000-0000-0000837A0000}"/>
    <cellStyle name="Note 2 3 3 6 3" xfId="2577" xr:uid="{00000000-0005-0000-0000-0000847A0000}"/>
    <cellStyle name="Note 2 3 3 7" xfId="22319" xr:uid="{00000000-0005-0000-0000-0000857A0000}"/>
    <cellStyle name="Note 2 3 3 7 2" xfId="6157" xr:uid="{00000000-0005-0000-0000-0000867A0000}"/>
    <cellStyle name="Note 2 3 3 8" xfId="32119" xr:uid="{00000000-0005-0000-0000-0000877A0000}"/>
    <cellStyle name="Note 2 3 4" xfId="21065" xr:uid="{00000000-0005-0000-0000-0000887A0000}"/>
    <cellStyle name="Note 2 3 4 2" xfId="15965" xr:uid="{00000000-0005-0000-0000-0000897A0000}"/>
    <cellStyle name="Note 2 3 4 2 2" xfId="32125" xr:uid="{00000000-0005-0000-0000-00008A7A0000}"/>
    <cellStyle name="Note 2 3 4 2 2 2" xfId="32629" xr:uid="{00000000-0005-0000-0000-00008B7A0000}"/>
    <cellStyle name="Note 2 3 4 2 2 2 2" xfId="21278" xr:uid="{00000000-0005-0000-0000-00008C7A0000}"/>
    <cellStyle name="Note 2 3 4 2 2 2 2 2" xfId="28308" xr:uid="{00000000-0005-0000-0000-00008D7A0000}"/>
    <cellStyle name="Note 2 3 4 2 2 2 2 2 2" xfId="14427" xr:uid="{00000000-0005-0000-0000-00008E7A0000}"/>
    <cellStyle name="Note 2 3 4 2 2 2 2 3" xfId="21291" xr:uid="{00000000-0005-0000-0000-00008F7A0000}"/>
    <cellStyle name="Note 2 3 4 2 2 2 3" xfId="21300" xr:uid="{00000000-0005-0000-0000-0000907A0000}"/>
    <cellStyle name="Note 2 3 4 2 2 2 3 2" xfId="15751" xr:uid="{00000000-0005-0000-0000-0000917A0000}"/>
    <cellStyle name="Note 2 3 4 2 2 2 4" xfId="21306" xr:uid="{00000000-0005-0000-0000-0000927A0000}"/>
    <cellStyle name="Note 2 3 4 2 2 3" xfId="30634" xr:uid="{00000000-0005-0000-0000-0000937A0000}"/>
    <cellStyle name="Note 2 3 4 2 2 3 2" xfId="10413" xr:uid="{00000000-0005-0000-0000-0000947A0000}"/>
    <cellStyle name="Note 2 3 4 2 2 3 2 2" xfId="21311" xr:uid="{00000000-0005-0000-0000-0000957A0000}"/>
    <cellStyle name="Note 2 3 4 2 2 3 3" xfId="13376" xr:uid="{00000000-0005-0000-0000-0000967A0000}"/>
    <cellStyle name="Note 2 3 4 2 2 4" xfId="5819" xr:uid="{00000000-0005-0000-0000-0000977A0000}"/>
    <cellStyle name="Note 2 3 4 2 2 4 2" xfId="25652" xr:uid="{00000000-0005-0000-0000-0000987A0000}"/>
    <cellStyle name="Note 2 3 4 2 2 5" xfId="2521" xr:uid="{00000000-0005-0000-0000-0000997A0000}"/>
    <cellStyle name="Note 2 3 4 2 3" xfId="33952" xr:uid="{00000000-0005-0000-0000-00009A7A0000}"/>
    <cellStyle name="Note 2 3 4 2 3 2" xfId="32755" xr:uid="{00000000-0005-0000-0000-00009B7A0000}"/>
    <cellStyle name="Note 2 3 4 2 3 2 2" xfId="21432" xr:uid="{00000000-0005-0000-0000-00009C7A0000}"/>
    <cellStyle name="Note 2 3 4 2 3 2 2 2" xfId="21435" xr:uid="{00000000-0005-0000-0000-00009D7A0000}"/>
    <cellStyle name="Note 2 3 4 2 3 2 3" xfId="20199" xr:uid="{00000000-0005-0000-0000-00009E7A0000}"/>
    <cellStyle name="Note 2 3 4 2 3 3" xfId="32131" xr:uid="{00000000-0005-0000-0000-00009F7A0000}"/>
    <cellStyle name="Note 2 3 4 2 3 3 2" xfId="25672" xr:uid="{00000000-0005-0000-0000-0000A07A0000}"/>
    <cellStyle name="Note 2 3 4 2 3 4" xfId="24633" xr:uid="{00000000-0005-0000-0000-0000A17A0000}"/>
    <cellStyle name="Note 2 3 4 2 4" xfId="20692" xr:uid="{00000000-0005-0000-0000-0000A27A0000}"/>
    <cellStyle name="Note 2 3 4 2 4 2" xfId="6629" xr:uid="{00000000-0005-0000-0000-0000A37A0000}"/>
    <cellStyle name="Note 2 3 4 2 4 2 2" xfId="21534" xr:uid="{00000000-0005-0000-0000-0000A47A0000}"/>
    <cellStyle name="Note 2 3 4 2 4 3" xfId="27624" xr:uid="{00000000-0005-0000-0000-0000A57A0000}"/>
    <cellStyle name="Note 2 3 4 2 5" xfId="32153" xr:uid="{00000000-0005-0000-0000-0000A67A0000}"/>
    <cellStyle name="Note 2 3 4 2 5 2" xfId="33596" xr:uid="{00000000-0005-0000-0000-0000A77A0000}"/>
    <cellStyle name="Note 2 3 4 2 6" xfId="21008" xr:uid="{00000000-0005-0000-0000-0000A87A0000}"/>
    <cellStyle name="Note 2 3 4 3" xfId="32158" xr:uid="{00000000-0005-0000-0000-0000A97A0000}"/>
    <cellStyle name="Note 2 3 4 3 2" xfId="9870" xr:uid="{00000000-0005-0000-0000-0000AA7A0000}"/>
    <cellStyle name="Note 2 3 4 3 2 2" xfId="14356" xr:uid="{00000000-0005-0000-0000-0000AB7A0000}"/>
    <cellStyle name="Note 2 3 4 3 2 2 2" xfId="21654" xr:uid="{00000000-0005-0000-0000-0000AC7A0000}"/>
    <cellStyle name="Note 2 3 4 3 2 2 2 2" xfId="21657" xr:uid="{00000000-0005-0000-0000-0000AD7A0000}"/>
    <cellStyle name="Note 2 3 4 3 2 2 3" xfId="21665" xr:uid="{00000000-0005-0000-0000-0000AE7A0000}"/>
    <cellStyle name="Note 2 3 4 3 2 3" xfId="23345" xr:uid="{00000000-0005-0000-0000-0000AF7A0000}"/>
    <cellStyle name="Note 2 3 4 3 2 3 2" xfId="25702" xr:uid="{00000000-0005-0000-0000-0000B07A0000}"/>
    <cellStyle name="Note 2 3 4 3 2 4" xfId="24478" xr:uid="{00000000-0005-0000-0000-0000B17A0000}"/>
    <cellStyle name="Note 2 3 4 3 3" xfId="9887" xr:uid="{00000000-0005-0000-0000-0000B27A0000}"/>
    <cellStyle name="Note 2 3 4 3 3 2" xfId="23349" xr:uid="{00000000-0005-0000-0000-0000B37A0000}"/>
    <cellStyle name="Note 2 3 4 3 3 2 2" xfId="21719" xr:uid="{00000000-0005-0000-0000-0000B47A0000}"/>
    <cellStyle name="Note 2 3 4 3 3 3" xfId="1131" xr:uid="{00000000-0005-0000-0000-0000B57A0000}"/>
    <cellStyle name="Note 2 3 4 3 4" xfId="10312" xr:uid="{00000000-0005-0000-0000-0000B67A0000}"/>
    <cellStyle name="Note 2 3 4 3 4 2" xfId="9897" xr:uid="{00000000-0005-0000-0000-0000B77A0000}"/>
    <cellStyle name="Note 2 3 4 3 5" xfId="3172" xr:uid="{00000000-0005-0000-0000-0000B87A0000}"/>
    <cellStyle name="Note 2 3 4 4" xfId="32162" xr:uid="{00000000-0005-0000-0000-0000B97A0000}"/>
    <cellStyle name="Note 2 3 4 4 2" xfId="10374" xr:uid="{00000000-0005-0000-0000-0000BA7A0000}"/>
    <cellStyle name="Note 2 3 4 4 2 2" xfId="23357" xr:uid="{00000000-0005-0000-0000-0000BB7A0000}"/>
    <cellStyle name="Note 2 3 4 4 2 2 2" xfId="21789" xr:uid="{00000000-0005-0000-0000-0000BC7A0000}"/>
    <cellStyle name="Note 2 3 4 4 2 3" xfId="4680" xr:uid="{00000000-0005-0000-0000-0000BD7A0000}"/>
    <cellStyle name="Note 2 3 4 4 3" xfId="10383" xr:uid="{00000000-0005-0000-0000-0000BE7A0000}"/>
    <cellStyle name="Note 2 3 4 4 3 2" xfId="10984" xr:uid="{00000000-0005-0000-0000-0000BF7A0000}"/>
    <cellStyle name="Note 2 3 4 4 4" xfId="10389" xr:uid="{00000000-0005-0000-0000-0000C07A0000}"/>
    <cellStyle name="Note 2 3 4 5" xfId="31216" xr:uid="{00000000-0005-0000-0000-0000C17A0000}"/>
    <cellStyle name="Note 2 3 4 5 2" xfId="10606" xr:uid="{00000000-0005-0000-0000-0000C27A0000}"/>
    <cellStyle name="Note 2 3 4 5 2 2" xfId="10609" xr:uid="{00000000-0005-0000-0000-0000C37A0000}"/>
    <cellStyle name="Note 2 3 4 5 3" xfId="10614" xr:uid="{00000000-0005-0000-0000-0000C47A0000}"/>
    <cellStyle name="Note 2 3 4 6" xfId="362" xr:uid="{00000000-0005-0000-0000-0000C57A0000}"/>
    <cellStyle name="Note 2 3 4 6 2" xfId="11652" xr:uid="{00000000-0005-0000-0000-0000C67A0000}"/>
    <cellStyle name="Note 2 3 4 7" xfId="31219" xr:uid="{00000000-0005-0000-0000-0000C77A0000}"/>
    <cellStyle name="Note 2 3 5" xfId="32166" xr:uid="{00000000-0005-0000-0000-0000C87A0000}"/>
    <cellStyle name="Note 2 3 5 2" xfId="32171" xr:uid="{00000000-0005-0000-0000-0000C97A0000}"/>
    <cellStyle name="Note 2 3 5 2 2" xfId="33966" xr:uid="{00000000-0005-0000-0000-0000CA7A0000}"/>
    <cellStyle name="Note 2 3 5 2 2 2" xfId="32172" xr:uid="{00000000-0005-0000-0000-0000CB7A0000}"/>
    <cellStyle name="Note 2 3 5 2 2 2 2" xfId="22359" xr:uid="{00000000-0005-0000-0000-0000CC7A0000}"/>
    <cellStyle name="Note 2 3 5 2 2 2 2 2" xfId="22370" xr:uid="{00000000-0005-0000-0000-0000CD7A0000}"/>
    <cellStyle name="Note 2 3 5 2 2 2 3" xfId="22378" xr:uid="{00000000-0005-0000-0000-0000CE7A0000}"/>
    <cellStyle name="Note 2 3 5 2 2 3" xfId="32177" xr:uid="{00000000-0005-0000-0000-0000CF7A0000}"/>
    <cellStyle name="Note 2 3 5 2 2 3 2" xfId="25798" xr:uid="{00000000-0005-0000-0000-0000D07A0000}"/>
    <cellStyle name="Note 2 3 5 2 2 4" xfId="32178" xr:uid="{00000000-0005-0000-0000-0000D17A0000}"/>
    <cellStyle name="Note 2 3 5 2 3" xfId="14555" xr:uid="{00000000-0005-0000-0000-0000D27A0000}"/>
    <cellStyle name="Note 2 3 5 2 3 2" xfId="33285" xr:uid="{00000000-0005-0000-0000-0000D37A0000}"/>
    <cellStyle name="Note 2 3 5 2 3 2 2" xfId="28546" xr:uid="{00000000-0005-0000-0000-0000D47A0000}"/>
    <cellStyle name="Note 2 3 5 2 3 3" xfId="33134" xr:uid="{00000000-0005-0000-0000-0000D57A0000}"/>
    <cellStyle name="Note 2 3 5 2 4" xfId="19231" xr:uid="{00000000-0005-0000-0000-0000D67A0000}"/>
    <cellStyle name="Note 2 3 5 2 4 2" xfId="29359" xr:uid="{00000000-0005-0000-0000-0000D77A0000}"/>
    <cellStyle name="Note 2 3 5 2 5" xfId="32500" xr:uid="{00000000-0005-0000-0000-0000D87A0000}"/>
    <cellStyle name="Note 2 3 5 3" xfId="32179" xr:uid="{00000000-0005-0000-0000-0000D97A0000}"/>
    <cellStyle name="Note 2 3 5 3 2" xfId="11017" xr:uid="{00000000-0005-0000-0000-0000DA7A0000}"/>
    <cellStyle name="Note 2 3 5 3 2 2" xfId="12226" xr:uid="{00000000-0005-0000-0000-0000DB7A0000}"/>
    <cellStyle name="Note 2 3 5 3 2 2 2" xfId="658" xr:uid="{00000000-0005-0000-0000-0000DC7A0000}"/>
    <cellStyle name="Note 2 3 5 3 2 3" xfId="5222" xr:uid="{00000000-0005-0000-0000-0000DD7A0000}"/>
    <cellStyle name="Note 2 3 5 3 3" xfId="6479" xr:uid="{00000000-0005-0000-0000-0000DE7A0000}"/>
    <cellStyle name="Note 2 3 5 3 3 2" xfId="168" xr:uid="{00000000-0005-0000-0000-0000DF7A0000}"/>
    <cellStyle name="Note 2 3 5 3 4" xfId="2266" xr:uid="{00000000-0005-0000-0000-0000E07A0000}"/>
    <cellStyle name="Note 2 3 5 4" xfId="31225" xr:uid="{00000000-0005-0000-0000-0000E17A0000}"/>
    <cellStyle name="Note 2 3 5 4 2" xfId="972" xr:uid="{00000000-0005-0000-0000-0000E27A0000}"/>
    <cellStyle name="Note 2 3 5 4 2 2" xfId="17555" xr:uid="{00000000-0005-0000-0000-0000E37A0000}"/>
    <cellStyle name="Note 2 3 5 4 3" xfId="2194" xr:uid="{00000000-0005-0000-0000-0000E47A0000}"/>
    <cellStyle name="Note 2 3 5 5" xfId="31230" xr:uid="{00000000-0005-0000-0000-0000E57A0000}"/>
    <cellStyle name="Note 2 3 5 5 2" xfId="256" xr:uid="{00000000-0005-0000-0000-0000E67A0000}"/>
    <cellStyle name="Note 2 3 5 6" xfId="17030" xr:uid="{00000000-0005-0000-0000-0000E77A0000}"/>
    <cellStyle name="Note 2 3 6" xfId="17605" xr:uid="{00000000-0005-0000-0000-0000E87A0000}"/>
    <cellStyle name="Note 2 3 6 2" xfId="32183" xr:uid="{00000000-0005-0000-0000-0000E97A0000}"/>
    <cellStyle name="Note 2 3 6 2 2" xfId="32188" xr:uid="{00000000-0005-0000-0000-0000EA7A0000}"/>
    <cellStyle name="Note 2 3 6 2 2 2" xfId="25321" xr:uid="{00000000-0005-0000-0000-0000EB7A0000}"/>
    <cellStyle name="Note 2 3 6 2 2 2 2" xfId="1706" xr:uid="{00000000-0005-0000-0000-0000EC7A0000}"/>
    <cellStyle name="Note 2 3 6 2 2 3" xfId="9699" xr:uid="{00000000-0005-0000-0000-0000ED7A0000}"/>
    <cellStyle name="Note 2 3 6 2 3" xfId="14575" xr:uid="{00000000-0005-0000-0000-0000EE7A0000}"/>
    <cellStyle name="Note 2 3 6 2 3 2" xfId="18" xr:uid="{00000000-0005-0000-0000-0000EF7A0000}"/>
    <cellStyle name="Note 2 3 6 2 4" xfId="32507" xr:uid="{00000000-0005-0000-0000-0000F07A0000}"/>
    <cellStyle name="Note 2 3 6 3" xfId="32189" xr:uid="{00000000-0005-0000-0000-0000F17A0000}"/>
    <cellStyle name="Note 2 3 6 3 2" xfId="6489" xr:uid="{00000000-0005-0000-0000-0000F27A0000}"/>
    <cellStyle name="Note 2 3 6 3 2 2" xfId="623" xr:uid="{00000000-0005-0000-0000-0000F37A0000}"/>
    <cellStyle name="Note 2 3 6 3 3" xfId="1156" xr:uid="{00000000-0005-0000-0000-0000F47A0000}"/>
    <cellStyle name="Note 2 3 6 4" xfId="31234" xr:uid="{00000000-0005-0000-0000-0000F57A0000}"/>
    <cellStyle name="Note 2 3 6 4 2" xfId="1749" xr:uid="{00000000-0005-0000-0000-0000F67A0000}"/>
    <cellStyle name="Note 2 3 6 5" xfId="31237" xr:uid="{00000000-0005-0000-0000-0000F77A0000}"/>
    <cellStyle name="Note 2 3 7" xfId="16775" xr:uid="{00000000-0005-0000-0000-0000F87A0000}"/>
    <cellStyle name="Note 2 3 7 2" xfId="31347" xr:uid="{00000000-0005-0000-0000-0000F97A0000}"/>
    <cellStyle name="Note 2 3 7 2 2" xfId="2604" xr:uid="{00000000-0005-0000-0000-0000FA7A0000}"/>
    <cellStyle name="Note 2 3 7 2 2 2" xfId="211" xr:uid="{00000000-0005-0000-0000-0000FB7A0000}"/>
    <cellStyle name="Note 2 3 7 2 3" xfId="785" xr:uid="{00000000-0005-0000-0000-0000FC7A0000}"/>
    <cellStyle name="Note 2 3 7 3" xfId="33648" xr:uid="{00000000-0005-0000-0000-0000FD7A0000}"/>
    <cellStyle name="Note 2 3 7 3 2" xfId="15637" xr:uid="{00000000-0005-0000-0000-0000FE7A0000}"/>
    <cellStyle name="Note 2 3 7 4" xfId="31244" xr:uid="{00000000-0005-0000-0000-0000FF7A0000}"/>
    <cellStyle name="Note 2 3 8" xfId="32147" xr:uid="{00000000-0005-0000-0000-0000007B0000}"/>
    <cellStyle name="Note 2 3 8 2" xfId="32199" xr:uid="{00000000-0005-0000-0000-0000017B0000}"/>
    <cellStyle name="Note 2 3 8 2 2" xfId="862" xr:uid="{00000000-0005-0000-0000-0000027B0000}"/>
    <cellStyle name="Note 2 3 8 3" xfId="32800" xr:uid="{00000000-0005-0000-0000-0000037B0000}"/>
    <cellStyle name="Note 2 3 9" xfId="27641" xr:uid="{00000000-0005-0000-0000-0000047B0000}"/>
    <cellStyle name="Note 2 3 9 2" xfId="32200" xr:uid="{00000000-0005-0000-0000-0000057B0000}"/>
    <cellStyle name="Note 2 4" xfId="8118" xr:uid="{00000000-0005-0000-0000-0000067B0000}"/>
    <cellStyle name="Note 2 4 2" xfId="2281" xr:uid="{00000000-0005-0000-0000-0000077B0000}"/>
    <cellStyle name="Note 2 4 2 2" xfId="6375" xr:uid="{00000000-0005-0000-0000-0000087B0000}"/>
    <cellStyle name="Note 2 4 2 2 2" xfId="6377" xr:uid="{00000000-0005-0000-0000-0000097B0000}"/>
    <cellStyle name="Note 2 4 2 2 2 2" xfId="19776" xr:uid="{00000000-0005-0000-0000-00000A7B0000}"/>
    <cellStyle name="Note 2 4 2 2 2 2 2" xfId="32207" xr:uid="{00000000-0005-0000-0000-00000B7B0000}"/>
    <cellStyle name="Note 2 4 2 2 2 2 2 2" xfId="30457" xr:uid="{00000000-0005-0000-0000-00000C7B0000}"/>
    <cellStyle name="Note 2 4 2 2 2 2 2 2 2" xfId="30933" xr:uid="{00000000-0005-0000-0000-00000D7B0000}"/>
    <cellStyle name="Note 2 4 2 2 2 2 2 2 2 2" xfId="31828" xr:uid="{00000000-0005-0000-0000-00000E7B0000}"/>
    <cellStyle name="Note 2 4 2 2 2 2 2 2 3" xfId="25900" xr:uid="{00000000-0005-0000-0000-00000F7B0000}"/>
    <cellStyle name="Note 2 4 2 2 2 2 2 3" xfId="32115" xr:uid="{00000000-0005-0000-0000-0000107B0000}"/>
    <cellStyle name="Note 2 4 2 2 2 2 2 3 2" xfId="32030" xr:uid="{00000000-0005-0000-0000-0000117B0000}"/>
    <cellStyle name="Note 2 4 2 2 2 2 2 4" xfId="21305" xr:uid="{00000000-0005-0000-0000-0000127B0000}"/>
    <cellStyle name="Note 2 4 2 2 2 2 3" xfId="28078" xr:uid="{00000000-0005-0000-0000-0000137B0000}"/>
    <cellStyle name="Note 2 4 2 2 2 2 3 2" xfId="29859" xr:uid="{00000000-0005-0000-0000-0000147B0000}"/>
    <cellStyle name="Note 2 4 2 2 2 2 3 2 2" xfId="32215" xr:uid="{00000000-0005-0000-0000-0000157B0000}"/>
    <cellStyle name="Note 2 4 2 2 2 2 3 3" xfId="31338" xr:uid="{00000000-0005-0000-0000-0000167B0000}"/>
    <cellStyle name="Note 2 4 2 2 2 2 4" xfId="22734" xr:uid="{00000000-0005-0000-0000-0000177B0000}"/>
    <cellStyle name="Note 2 4 2 2 2 2 4 2" xfId="32347" xr:uid="{00000000-0005-0000-0000-0000187B0000}"/>
    <cellStyle name="Note 2 4 2 2 2 2 5" xfId="22738" xr:uid="{00000000-0005-0000-0000-0000197B0000}"/>
    <cellStyle name="Note 2 4 2 2 2 3" xfId="28718" xr:uid="{00000000-0005-0000-0000-00001A7B0000}"/>
    <cellStyle name="Note 2 4 2 2 2 3 2" xfId="31005" xr:uid="{00000000-0005-0000-0000-00001B7B0000}"/>
    <cellStyle name="Note 2 4 2 2 2 3 2 2" xfId="31011" xr:uid="{00000000-0005-0000-0000-00001C7B0000}"/>
    <cellStyle name="Note 2 4 2 2 2 3 2 2 2" xfId="32241" xr:uid="{00000000-0005-0000-0000-00001D7B0000}"/>
    <cellStyle name="Note 2 4 2 2 2 3 2 3" xfId="21434" xr:uid="{00000000-0005-0000-0000-00001E7B0000}"/>
    <cellStyle name="Note 2 4 2 2 2 3 3" xfId="28423" xr:uid="{00000000-0005-0000-0000-00001F7B0000}"/>
    <cellStyle name="Note 2 4 2 2 2 3 3 2" xfId="30553" xr:uid="{00000000-0005-0000-0000-0000207B0000}"/>
    <cellStyle name="Note 2 4 2 2 2 3 4" xfId="20655" xr:uid="{00000000-0005-0000-0000-0000217B0000}"/>
    <cellStyle name="Note 2 4 2 2 2 4" xfId="6604" xr:uid="{00000000-0005-0000-0000-0000227B0000}"/>
    <cellStyle name="Note 2 4 2 2 2 4 2" xfId="6045" xr:uid="{00000000-0005-0000-0000-0000237B0000}"/>
    <cellStyle name="Note 2 4 2 2 2 4 2 2" xfId="30559" xr:uid="{00000000-0005-0000-0000-0000247B0000}"/>
    <cellStyle name="Note 2 4 2 2 2 4 3" xfId="32259" xr:uid="{00000000-0005-0000-0000-0000257B0000}"/>
    <cellStyle name="Note 2 4 2 2 2 5" xfId="6609" xr:uid="{00000000-0005-0000-0000-0000267B0000}"/>
    <cellStyle name="Note 2 4 2 2 2 5 2" xfId="32412" xr:uid="{00000000-0005-0000-0000-0000277B0000}"/>
    <cellStyle name="Note 2 4 2 2 2 6" xfId="32260" xr:uid="{00000000-0005-0000-0000-0000287B0000}"/>
    <cellStyle name="Note 2 4 2 2 3" xfId="2075" xr:uid="{00000000-0005-0000-0000-0000297B0000}"/>
    <cellStyle name="Note 2 4 2 2 3 2" xfId="33413" xr:uid="{00000000-0005-0000-0000-00002A7B0000}"/>
    <cellStyle name="Note 2 4 2 2 3 2 2" xfId="33923" xr:uid="{00000000-0005-0000-0000-00002B7B0000}"/>
    <cellStyle name="Note 2 4 2 2 3 2 2 2" xfId="33138" xr:uid="{00000000-0005-0000-0000-00002C7B0000}"/>
    <cellStyle name="Note 2 4 2 2 3 2 2 2 2" xfId="32263" xr:uid="{00000000-0005-0000-0000-00002D7B0000}"/>
    <cellStyle name="Note 2 4 2 2 3 2 2 3" xfId="21651" xr:uid="{00000000-0005-0000-0000-00002E7B0000}"/>
    <cellStyle name="Note 2 4 2 2 3 2 3" xfId="30959" xr:uid="{00000000-0005-0000-0000-00002F7B0000}"/>
    <cellStyle name="Note 2 4 2 2 3 2 3 2" xfId="32264" xr:uid="{00000000-0005-0000-0000-0000307B0000}"/>
    <cellStyle name="Note 2 4 2 2 3 2 4" xfId="19562" xr:uid="{00000000-0005-0000-0000-0000317B0000}"/>
    <cellStyle name="Note 2 4 2 2 3 3" xfId="14467" xr:uid="{00000000-0005-0000-0000-0000327B0000}"/>
    <cellStyle name="Note 2 4 2 2 3 3 2" xfId="21149" xr:uid="{00000000-0005-0000-0000-0000337B0000}"/>
    <cellStyle name="Note 2 4 2 2 3 3 2 2" xfId="17099" xr:uid="{00000000-0005-0000-0000-0000347B0000}"/>
    <cellStyle name="Note 2 4 2 2 3 3 3" xfId="21983" xr:uid="{00000000-0005-0000-0000-0000357B0000}"/>
    <cellStyle name="Note 2 4 2 2 3 4" xfId="6634" xr:uid="{00000000-0005-0000-0000-0000367B0000}"/>
    <cellStyle name="Note 2 4 2 2 3 4 2" xfId="25959" xr:uid="{00000000-0005-0000-0000-0000377B0000}"/>
    <cellStyle name="Note 2 4 2 2 3 5" xfId="5690" xr:uid="{00000000-0005-0000-0000-0000387B0000}"/>
    <cellStyle name="Note 2 4 2 2 4" xfId="32279" xr:uid="{00000000-0005-0000-0000-0000397B0000}"/>
    <cellStyle name="Note 2 4 2 2 4 2" xfId="22774" xr:uid="{00000000-0005-0000-0000-00003A7B0000}"/>
    <cellStyle name="Note 2 4 2 2 4 2 2" xfId="32143" xr:uid="{00000000-0005-0000-0000-00003B7B0000}"/>
    <cellStyle name="Note 2 4 2 2 4 2 2 2" xfId="32281" xr:uid="{00000000-0005-0000-0000-00003C7B0000}"/>
    <cellStyle name="Note 2 4 2 2 4 2 3" xfId="27116" xr:uid="{00000000-0005-0000-0000-00003D7B0000}"/>
    <cellStyle name="Note 2 4 2 2 4 3" xfId="31499" xr:uid="{00000000-0005-0000-0000-00003E7B0000}"/>
    <cellStyle name="Note 2 4 2 2 4 3 2" xfId="20674" xr:uid="{00000000-0005-0000-0000-00003F7B0000}"/>
    <cellStyle name="Note 2 4 2 2 4 4" xfId="31419" xr:uid="{00000000-0005-0000-0000-0000407B0000}"/>
    <cellStyle name="Note 2 4 2 2 5" xfId="30372" xr:uid="{00000000-0005-0000-0000-0000417B0000}"/>
    <cellStyle name="Note 2 4 2 2 5 2" xfId="32289" xr:uid="{00000000-0005-0000-0000-0000427B0000}"/>
    <cellStyle name="Note 2 4 2 2 5 2 2" xfId="5736" xr:uid="{00000000-0005-0000-0000-0000437B0000}"/>
    <cellStyle name="Note 2 4 2 2 5 3" xfId="21713" xr:uid="{00000000-0005-0000-0000-0000447B0000}"/>
    <cellStyle name="Note 2 4 2 2 6" xfId="34028" xr:uid="{00000000-0005-0000-0000-0000457B0000}"/>
    <cellStyle name="Note 2 4 2 2 6 2" xfId="32616" xr:uid="{00000000-0005-0000-0000-0000467B0000}"/>
    <cellStyle name="Note 2 4 2 2 7" xfId="32626" xr:uid="{00000000-0005-0000-0000-0000477B0000}"/>
    <cellStyle name="Note 2 4 2 3" xfId="6120" xr:uid="{00000000-0005-0000-0000-0000487B0000}"/>
    <cellStyle name="Note 2 4 2 3 2" xfId="13039" xr:uid="{00000000-0005-0000-0000-0000497B0000}"/>
    <cellStyle name="Note 2 4 2 3 2 2" xfId="14197" xr:uid="{00000000-0005-0000-0000-00004A7B0000}"/>
    <cellStyle name="Note 2 4 2 3 2 2 2" xfId="24404" xr:uid="{00000000-0005-0000-0000-00004B7B0000}"/>
    <cellStyle name="Note 2 4 2 3 2 2 2 2" xfId="33972" xr:uid="{00000000-0005-0000-0000-00004C7B0000}"/>
    <cellStyle name="Note 2 4 2 3 2 2 2 2 2" xfId="32297" xr:uid="{00000000-0005-0000-0000-00004D7B0000}"/>
    <cellStyle name="Note 2 4 2 3 2 2 2 3" xfId="32912" xr:uid="{00000000-0005-0000-0000-00004E7B0000}"/>
    <cellStyle name="Note 2 4 2 3 2 2 3" xfId="32302" xr:uid="{00000000-0005-0000-0000-00004F7B0000}"/>
    <cellStyle name="Note 2 4 2 3 2 2 3 2" xfId="31413" xr:uid="{00000000-0005-0000-0000-0000507B0000}"/>
    <cellStyle name="Note 2 4 2 3 2 2 4" xfId="31242" xr:uid="{00000000-0005-0000-0000-0000517B0000}"/>
    <cellStyle name="Note 2 4 2 3 2 3" xfId="1733" xr:uid="{00000000-0005-0000-0000-0000527B0000}"/>
    <cellStyle name="Note 2 4 2 3 2 3 2" xfId="7430" xr:uid="{00000000-0005-0000-0000-0000537B0000}"/>
    <cellStyle name="Note 2 4 2 3 2 3 2 2" xfId="33221" xr:uid="{00000000-0005-0000-0000-0000547B0000}"/>
    <cellStyle name="Note 2 4 2 3 2 3 3" xfId="7445" xr:uid="{00000000-0005-0000-0000-0000557B0000}"/>
    <cellStyle name="Note 2 4 2 3 2 4" xfId="1350" xr:uid="{00000000-0005-0000-0000-0000567B0000}"/>
    <cellStyle name="Note 2 4 2 3 2 4 2" xfId="7729" xr:uid="{00000000-0005-0000-0000-0000577B0000}"/>
    <cellStyle name="Note 2 4 2 3 2 5" xfId="32126" xr:uid="{00000000-0005-0000-0000-0000587B0000}"/>
    <cellStyle name="Note 2 4 2 3 3" xfId="11015" xr:uid="{00000000-0005-0000-0000-0000597B0000}"/>
    <cellStyle name="Note 2 4 2 3 3 2" xfId="5117" xr:uid="{00000000-0005-0000-0000-00005A7B0000}"/>
    <cellStyle name="Note 2 4 2 3 3 2 2" xfId="32309" xr:uid="{00000000-0005-0000-0000-00005B7B0000}"/>
    <cellStyle name="Note 2 4 2 3 3 2 2 2" xfId="32047" xr:uid="{00000000-0005-0000-0000-00005C7B0000}"/>
    <cellStyle name="Note 2 4 2 3 3 2 3" xfId="32310" xr:uid="{00000000-0005-0000-0000-00005D7B0000}"/>
    <cellStyle name="Note 2 4 2 3 3 3" xfId="31384" xr:uid="{00000000-0005-0000-0000-00005E7B0000}"/>
    <cellStyle name="Note 2 4 2 3 3 3 2" xfId="4979" xr:uid="{00000000-0005-0000-0000-00005F7B0000}"/>
    <cellStyle name="Note 2 4 2 3 3 4" xfId="32312" xr:uid="{00000000-0005-0000-0000-0000607B0000}"/>
    <cellStyle name="Note 2 4 2 3 4" xfId="10141" xr:uid="{00000000-0005-0000-0000-0000617B0000}"/>
    <cellStyle name="Note 2 4 2 3 4 2" xfId="33679" xr:uid="{00000000-0005-0000-0000-0000627B0000}"/>
    <cellStyle name="Note 2 4 2 3 4 2 2" xfId="5915" xr:uid="{00000000-0005-0000-0000-0000637B0000}"/>
    <cellStyle name="Note 2 4 2 3 4 3" xfId="32314" xr:uid="{00000000-0005-0000-0000-0000647B0000}"/>
    <cellStyle name="Note 2 4 2 3 5" xfId="27200" xr:uid="{00000000-0005-0000-0000-0000657B0000}"/>
    <cellStyle name="Note 2 4 2 3 5 2" xfId="33424" xr:uid="{00000000-0005-0000-0000-0000667B0000}"/>
    <cellStyle name="Note 2 4 2 3 6" xfId="32640" xr:uid="{00000000-0005-0000-0000-0000677B0000}"/>
    <cellStyle name="Note 2 4 2 4" xfId="905" xr:uid="{00000000-0005-0000-0000-0000687B0000}"/>
    <cellStyle name="Note 2 4 2 4 2" xfId="11026" xr:uid="{00000000-0005-0000-0000-0000697B0000}"/>
    <cellStyle name="Note 2 4 2 4 2 2" xfId="33275" xr:uid="{00000000-0005-0000-0000-00006A7B0000}"/>
    <cellStyle name="Note 2 4 2 4 2 2 2" xfId="21586" xr:uid="{00000000-0005-0000-0000-00006B7B0000}"/>
    <cellStyle name="Note 2 4 2 4 2 2 2 2" xfId="31554" xr:uid="{00000000-0005-0000-0000-00006C7B0000}"/>
    <cellStyle name="Note 2 4 2 4 2 2 3" xfId="32057" xr:uid="{00000000-0005-0000-0000-00006D7B0000}"/>
    <cellStyle name="Note 2 4 2 4 2 3" xfId="32787" xr:uid="{00000000-0005-0000-0000-00006E7B0000}"/>
    <cellStyle name="Note 2 4 2 4 2 3 2" xfId="3373" xr:uid="{00000000-0005-0000-0000-00006F7B0000}"/>
    <cellStyle name="Note 2 4 2 4 2 4" xfId="28360" xr:uid="{00000000-0005-0000-0000-0000707B0000}"/>
    <cellStyle name="Note 2 4 2 4 3" xfId="24132" xr:uid="{00000000-0005-0000-0000-0000717B0000}"/>
    <cellStyle name="Note 2 4 2 4 3 2" xfId="24264" xr:uid="{00000000-0005-0000-0000-0000727B0000}"/>
    <cellStyle name="Note 2 4 2 4 3 2 2" xfId="32318" xr:uid="{00000000-0005-0000-0000-0000737B0000}"/>
    <cellStyle name="Note 2 4 2 4 3 3" xfId="26976" xr:uid="{00000000-0005-0000-0000-0000747B0000}"/>
    <cellStyle name="Note 2 4 2 4 4" xfId="26979" xr:uid="{00000000-0005-0000-0000-0000757B0000}"/>
    <cellStyle name="Note 2 4 2 4 4 2" xfId="28258" xr:uid="{00000000-0005-0000-0000-0000767B0000}"/>
    <cellStyle name="Note 2 4 2 4 5" xfId="26986" xr:uid="{00000000-0005-0000-0000-0000777B0000}"/>
    <cellStyle name="Note 2 4 2 5" xfId="29269" xr:uid="{00000000-0005-0000-0000-0000787B0000}"/>
    <cellStyle name="Note 2 4 2 5 2" xfId="24142" xr:uid="{00000000-0005-0000-0000-0000797B0000}"/>
    <cellStyle name="Note 2 4 2 5 2 2" xfId="27225" xr:uid="{00000000-0005-0000-0000-00007A7B0000}"/>
    <cellStyle name="Note 2 4 2 5 2 2 2" xfId="32877" xr:uid="{00000000-0005-0000-0000-00007B7B0000}"/>
    <cellStyle name="Note 2 4 2 5 2 3" xfId="33890" xr:uid="{00000000-0005-0000-0000-00007C7B0000}"/>
    <cellStyle name="Note 2 4 2 5 3" xfId="22816" xr:uid="{00000000-0005-0000-0000-00007D7B0000}"/>
    <cellStyle name="Note 2 4 2 5 3 2" xfId="1478" xr:uid="{00000000-0005-0000-0000-00007E7B0000}"/>
    <cellStyle name="Note 2 4 2 5 4" xfId="19387" xr:uid="{00000000-0005-0000-0000-00007F7B0000}"/>
    <cellStyle name="Note 2 4 2 6" xfId="22338" xr:uid="{00000000-0005-0000-0000-0000807B0000}"/>
    <cellStyle name="Note 2 4 2 6 2" xfId="30987" xr:uid="{00000000-0005-0000-0000-0000817B0000}"/>
    <cellStyle name="Note 2 4 2 6 2 2" xfId="26699" xr:uid="{00000000-0005-0000-0000-0000827B0000}"/>
    <cellStyle name="Note 2 4 2 6 3" xfId="26579" xr:uid="{00000000-0005-0000-0000-0000837B0000}"/>
    <cellStyle name="Note 2 4 2 7" xfId="22745" xr:uid="{00000000-0005-0000-0000-0000847B0000}"/>
    <cellStyle name="Note 2 4 2 7 2" xfId="27294" xr:uid="{00000000-0005-0000-0000-0000857B0000}"/>
    <cellStyle name="Note 2 4 2 8" xfId="27680" xr:uid="{00000000-0005-0000-0000-0000867B0000}"/>
    <cellStyle name="Note 2 4 3" xfId="27153" xr:uid="{00000000-0005-0000-0000-0000877B0000}"/>
    <cellStyle name="Note 2 4 3 2" xfId="10089" xr:uid="{00000000-0005-0000-0000-0000887B0000}"/>
    <cellStyle name="Note 2 4 3 2 2" xfId="27159" xr:uid="{00000000-0005-0000-0000-0000897B0000}"/>
    <cellStyle name="Note 2 4 3 2 2 2" xfId="25933" xr:uid="{00000000-0005-0000-0000-00008A7B0000}"/>
    <cellStyle name="Note 2 4 3 2 2 2 2" xfId="33995" xr:uid="{00000000-0005-0000-0000-00008B7B0000}"/>
    <cellStyle name="Note 2 4 3 2 2 2 2 2" xfId="30117" xr:uid="{00000000-0005-0000-0000-00008C7B0000}"/>
    <cellStyle name="Note 2 4 3 2 2 2 2 2 2" xfId="31175" xr:uid="{00000000-0005-0000-0000-00008D7B0000}"/>
    <cellStyle name="Note 2 4 3 2 2 2 2 3" xfId="30445" xr:uid="{00000000-0005-0000-0000-00008E7B0000}"/>
    <cellStyle name="Note 2 4 3 2 2 2 3" xfId="32518" xr:uid="{00000000-0005-0000-0000-00008F7B0000}"/>
    <cellStyle name="Note 2 4 3 2 2 2 3 2" xfId="17520" xr:uid="{00000000-0005-0000-0000-0000907B0000}"/>
    <cellStyle name="Note 2 4 3 2 2 2 4" xfId="19182" xr:uid="{00000000-0005-0000-0000-0000917B0000}"/>
    <cellStyle name="Note 2 4 3 2 2 3" xfId="33830" xr:uid="{00000000-0005-0000-0000-0000927B0000}"/>
    <cellStyle name="Note 2 4 3 2 2 3 2" xfId="32634" xr:uid="{00000000-0005-0000-0000-0000937B0000}"/>
    <cellStyle name="Note 2 4 3 2 2 3 2 2" xfId="32323" xr:uid="{00000000-0005-0000-0000-0000947B0000}"/>
    <cellStyle name="Note 2 4 3 2 2 3 3" xfId="32655" xr:uid="{00000000-0005-0000-0000-0000957B0000}"/>
    <cellStyle name="Note 2 4 3 2 2 4" xfId="7082" xr:uid="{00000000-0005-0000-0000-0000967B0000}"/>
    <cellStyle name="Note 2 4 3 2 2 4 2" xfId="32660" xr:uid="{00000000-0005-0000-0000-0000977B0000}"/>
    <cellStyle name="Note 2 4 3 2 2 5" xfId="34005" xr:uid="{00000000-0005-0000-0000-0000987B0000}"/>
    <cellStyle name="Note 2 4 3 2 3" xfId="33686" xr:uid="{00000000-0005-0000-0000-0000997B0000}"/>
    <cellStyle name="Note 2 4 3 2 3 2" xfId="32677" xr:uid="{00000000-0005-0000-0000-00009A7B0000}"/>
    <cellStyle name="Note 2 4 3 2 3 2 2" xfId="33654" xr:uid="{00000000-0005-0000-0000-00009B7B0000}"/>
    <cellStyle name="Note 2 4 3 2 3 2 2 2" xfId="32770" xr:uid="{00000000-0005-0000-0000-00009C7B0000}"/>
    <cellStyle name="Note 2 4 3 2 3 2 3" xfId="32687" xr:uid="{00000000-0005-0000-0000-00009D7B0000}"/>
    <cellStyle name="Note 2 4 3 2 3 3" xfId="32691" xr:uid="{00000000-0005-0000-0000-00009E7B0000}"/>
    <cellStyle name="Note 2 4 3 2 3 3 2" xfId="19165" xr:uid="{00000000-0005-0000-0000-00009F7B0000}"/>
    <cellStyle name="Note 2 4 3 2 3 4" xfId="27438" xr:uid="{00000000-0005-0000-0000-0000A07B0000}"/>
    <cellStyle name="Note 2 4 3 2 4" xfId="20863" xr:uid="{00000000-0005-0000-0000-0000A17B0000}"/>
    <cellStyle name="Note 2 4 3 2 4 2" xfId="32555" xr:uid="{00000000-0005-0000-0000-0000A27B0000}"/>
    <cellStyle name="Note 2 4 3 2 4 2 2" xfId="33659" xr:uid="{00000000-0005-0000-0000-0000A37B0000}"/>
    <cellStyle name="Note 2 4 3 2 4 3" xfId="32714" xr:uid="{00000000-0005-0000-0000-0000A47B0000}"/>
    <cellStyle name="Note 2 4 3 2 5" xfId="32337" xr:uid="{00000000-0005-0000-0000-0000A57B0000}"/>
    <cellStyle name="Note 2 4 3 2 5 2" xfId="32730" xr:uid="{00000000-0005-0000-0000-0000A67B0000}"/>
    <cellStyle name="Note 2 4 3 2 6" xfId="21067" xr:uid="{00000000-0005-0000-0000-0000A77B0000}"/>
    <cellStyle name="Note 2 4 3 3" xfId="27161" xr:uid="{00000000-0005-0000-0000-0000A87B0000}"/>
    <cellStyle name="Note 2 4 3 3 2" xfId="13890" xr:uid="{00000000-0005-0000-0000-0000A97B0000}"/>
    <cellStyle name="Note 2 4 3 3 2 2" xfId="33311" xr:uid="{00000000-0005-0000-0000-0000AA7B0000}"/>
    <cellStyle name="Note 2 4 3 3 2 2 2" xfId="33878" xr:uid="{00000000-0005-0000-0000-0000AB7B0000}"/>
    <cellStyle name="Note 2 4 3 3 2 2 2 2" xfId="4546" xr:uid="{00000000-0005-0000-0000-0000AC7B0000}"/>
    <cellStyle name="Note 2 4 3 3 2 2 3" xfId="32957" xr:uid="{00000000-0005-0000-0000-0000AD7B0000}"/>
    <cellStyle name="Note 2 4 3 3 2 3" xfId="30178" xr:uid="{00000000-0005-0000-0000-0000AE7B0000}"/>
    <cellStyle name="Note 2 4 3 3 2 3 2" xfId="23740" xr:uid="{00000000-0005-0000-0000-0000AF7B0000}"/>
    <cellStyle name="Note 2 4 3 3 2 4" xfId="32909" xr:uid="{00000000-0005-0000-0000-0000B07B0000}"/>
    <cellStyle name="Note 2 4 3 3 3" xfId="9867" xr:uid="{00000000-0005-0000-0000-0000B17B0000}"/>
    <cellStyle name="Note 2 4 3 3 3 2" xfId="33368" xr:uid="{00000000-0005-0000-0000-0000B27B0000}"/>
    <cellStyle name="Note 2 4 3 3 3 2 2" xfId="33482" xr:uid="{00000000-0005-0000-0000-0000B37B0000}"/>
    <cellStyle name="Note 2 4 3 3 3 3" xfId="32914" xr:uid="{00000000-0005-0000-0000-0000B47B0000}"/>
    <cellStyle name="Note 2 4 3 3 4" xfId="23818" xr:uid="{00000000-0005-0000-0000-0000B57B0000}"/>
    <cellStyle name="Note 2 4 3 3 4 2" xfId="33434" xr:uid="{00000000-0005-0000-0000-0000B67B0000}"/>
    <cellStyle name="Note 2 4 3 3 5" xfId="32343" xr:uid="{00000000-0005-0000-0000-0000B77B0000}"/>
    <cellStyle name="Note 2 4 3 4" xfId="26255" xr:uid="{00000000-0005-0000-0000-0000B87B0000}"/>
    <cellStyle name="Note 2 4 3 4 2" xfId="24163" xr:uid="{00000000-0005-0000-0000-0000B97B0000}"/>
    <cellStyle name="Note 2 4 3 4 2 2" xfId="33280" xr:uid="{00000000-0005-0000-0000-0000BA7B0000}"/>
    <cellStyle name="Note 2 4 3 4 2 2 2" xfId="17799" xr:uid="{00000000-0005-0000-0000-0000BB7B0000}"/>
    <cellStyle name="Note 2 4 3 4 2 3" xfId="28721" xr:uid="{00000000-0005-0000-0000-0000BC7B0000}"/>
    <cellStyle name="Note 2 4 3 4 3" xfId="23312" xr:uid="{00000000-0005-0000-0000-0000BD7B0000}"/>
    <cellStyle name="Note 2 4 3 4 3 2" xfId="26998" xr:uid="{00000000-0005-0000-0000-0000BE7B0000}"/>
    <cellStyle name="Note 2 4 3 4 4" xfId="26559" xr:uid="{00000000-0005-0000-0000-0000BF7B0000}"/>
    <cellStyle name="Note 2 4 3 5" xfId="19566" xr:uid="{00000000-0005-0000-0000-0000C07B0000}"/>
    <cellStyle name="Note 2 4 3 5 2" xfId="30983" xr:uid="{00000000-0005-0000-0000-0000C17B0000}"/>
    <cellStyle name="Note 2 4 3 5 2 2" xfId="34014" xr:uid="{00000000-0005-0000-0000-0000C27B0000}"/>
    <cellStyle name="Note 2 4 3 5 3" xfId="26597" xr:uid="{00000000-0005-0000-0000-0000C37B0000}"/>
    <cellStyle name="Note 2 4 3 6" xfId="17586" xr:uid="{00000000-0005-0000-0000-0000C47B0000}"/>
    <cellStyle name="Note 2 4 3 6 2" xfId="33594" xr:uid="{00000000-0005-0000-0000-0000C57B0000}"/>
    <cellStyle name="Note 2 4 3 7" xfId="32893" xr:uid="{00000000-0005-0000-0000-0000C67B0000}"/>
    <cellStyle name="Note 2 4 4" xfId="19117" xr:uid="{00000000-0005-0000-0000-0000C77B0000}"/>
    <cellStyle name="Note 2 4 4 2" xfId="1690" xr:uid="{00000000-0005-0000-0000-0000C87B0000}"/>
    <cellStyle name="Note 2 4 4 2 2" xfId="883" xr:uid="{00000000-0005-0000-0000-0000C97B0000}"/>
    <cellStyle name="Note 2 4 4 2 2 2" xfId="30443" xr:uid="{00000000-0005-0000-0000-0000CA7B0000}"/>
    <cellStyle name="Note 2 4 4 2 2 2 2" xfId="24084" xr:uid="{00000000-0005-0000-0000-0000CB7B0000}"/>
    <cellStyle name="Note 2 4 4 2 2 2 2 2" xfId="28127" xr:uid="{00000000-0005-0000-0000-0000CC7B0000}"/>
    <cellStyle name="Note 2 4 4 2 2 2 3" xfId="28128" xr:uid="{00000000-0005-0000-0000-0000CD7B0000}"/>
    <cellStyle name="Note 2 4 4 2 2 3" xfId="30449" xr:uid="{00000000-0005-0000-0000-0000CE7B0000}"/>
    <cellStyle name="Note 2 4 4 2 2 3 2" xfId="20314" xr:uid="{00000000-0005-0000-0000-0000CF7B0000}"/>
    <cellStyle name="Note 2 4 4 2 2 4" xfId="32449" xr:uid="{00000000-0005-0000-0000-0000D07B0000}"/>
    <cellStyle name="Note 2 4 4 2 3" xfId="30205" xr:uid="{00000000-0005-0000-0000-0000D17B0000}"/>
    <cellStyle name="Note 2 4 4 2 3 2" xfId="32359" xr:uid="{00000000-0005-0000-0000-0000D27B0000}"/>
    <cellStyle name="Note 2 4 4 2 3 2 2" xfId="22384" xr:uid="{00000000-0005-0000-0000-0000D37B0000}"/>
    <cellStyle name="Note 2 4 4 2 3 3" xfId="32360" xr:uid="{00000000-0005-0000-0000-0000D47B0000}"/>
    <cellStyle name="Note 2 4 4 2 4" xfId="32365" xr:uid="{00000000-0005-0000-0000-0000D57B0000}"/>
    <cellStyle name="Note 2 4 4 2 4 2" xfId="27207" xr:uid="{00000000-0005-0000-0000-0000D67B0000}"/>
    <cellStyle name="Note 2 4 4 2 5" xfId="31022" xr:uid="{00000000-0005-0000-0000-0000D77B0000}"/>
    <cellStyle name="Note 2 4 4 3" xfId="33107" xr:uid="{00000000-0005-0000-0000-0000D87B0000}"/>
    <cellStyle name="Note 2 4 4 3 2" xfId="10370" xr:uid="{00000000-0005-0000-0000-0000D97B0000}"/>
    <cellStyle name="Note 2 4 4 3 2 2" xfId="29395" xr:uid="{00000000-0005-0000-0000-0000DA7B0000}"/>
    <cellStyle name="Note 2 4 4 3 2 2 2" xfId="20954" xr:uid="{00000000-0005-0000-0000-0000DB7B0000}"/>
    <cellStyle name="Note 2 4 4 3 2 3" xfId="32871" xr:uid="{00000000-0005-0000-0000-0000DC7B0000}"/>
    <cellStyle name="Note 2 4 4 3 3" xfId="29402" xr:uid="{00000000-0005-0000-0000-0000DD7B0000}"/>
    <cellStyle name="Note 2 4 4 3 3 2" xfId="29406" xr:uid="{00000000-0005-0000-0000-0000DE7B0000}"/>
    <cellStyle name="Note 2 4 4 3 4" xfId="29409" xr:uid="{00000000-0005-0000-0000-0000DF7B0000}"/>
    <cellStyle name="Note 2 4 4 4" xfId="6395" xr:uid="{00000000-0005-0000-0000-0000E07B0000}"/>
    <cellStyle name="Note 2 4 4 4 2" xfId="32416" xr:uid="{00000000-0005-0000-0000-0000E17B0000}"/>
    <cellStyle name="Note 2 4 4 4 2 2" xfId="32419" xr:uid="{00000000-0005-0000-0000-0000E27B0000}"/>
    <cellStyle name="Note 2 4 4 4 3" xfId="27005" xr:uid="{00000000-0005-0000-0000-0000E37B0000}"/>
    <cellStyle name="Note 2 4 4 5" xfId="31263" xr:uid="{00000000-0005-0000-0000-0000E47B0000}"/>
    <cellStyle name="Note 2 4 4 5 2" xfId="32430" xr:uid="{00000000-0005-0000-0000-0000E57B0000}"/>
    <cellStyle name="Note 2 4 4 6" xfId="31270" xr:uid="{00000000-0005-0000-0000-0000E67B0000}"/>
    <cellStyle name="Note 2 4 5" xfId="22801" xr:uid="{00000000-0005-0000-0000-0000E77B0000}"/>
    <cellStyle name="Note 2 4 5 2" xfId="27986" xr:uid="{00000000-0005-0000-0000-0000E87B0000}"/>
    <cellStyle name="Note 2 4 5 2 2" xfId="18221" xr:uid="{00000000-0005-0000-0000-0000E97B0000}"/>
    <cellStyle name="Note 2 4 5 2 2 2" xfId="32403" xr:uid="{00000000-0005-0000-0000-0000EA7B0000}"/>
    <cellStyle name="Note 2 4 5 2 2 2 2" xfId="9674" xr:uid="{00000000-0005-0000-0000-0000EB7B0000}"/>
    <cellStyle name="Note 2 4 5 2 2 3" xfId="32404" xr:uid="{00000000-0005-0000-0000-0000EC7B0000}"/>
    <cellStyle name="Note 2 4 5 2 3" xfId="3339" xr:uid="{00000000-0005-0000-0000-0000ED7B0000}"/>
    <cellStyle name="Note 2 4 5 2 3 2" xfId="61" xr:uid="{00000000-0005-0000-0000-0000EE7B0000}"/>
    <cellStyle name="Note 2 4 5 2 4" xfId="32838" xr:uid="{00000000-0005-0000-0000-0000EF7B0000}"/>
    <cellStyle name="Note 2 4 5 3" xfId="29653" xr:uid="{00000000-0005-0000-0000-0000F07B0000}"/>
    <cellStyle name="Note 2 4 5 3 2" xfId="22832" xr:uid="{00000000-0005-0000-0000-0000F17B0000}"/>
    <cellStyle name="Note 2 4 5 3 2 2" xfId="32936" xr:uid="{00000000-0005-0000-0000-0000F27B0000}"/>
    <cellStyle name="Note 2 4 5 3 3" xfId="33310" xr:uid="{00000000-0005-0000-0000-0000F37B0000}"/>
    <cellStyle name="Note 2 4 5 4" xfId="31604" xr:uid="{00000000-0005-0000-0000-0000F47B0000}"/>
    <cellStyle name="Note 2 4 5 4 2" xfId="27590" xr:uid="{00000000-0005-0000-0000-0000F57B0000}"/>
    <cellStyle name="Note 2 4 5 5" xfId="31258" xr:uid="{00000000-0005-0000-0000-0000F67B0000}"/>
    <cellStyle name="Note 2 4 6" xfId="16778" xr:uid="{00000000-0005-0000-0000-0000F77B0000}"/>
    <cellStyle name="Note 2 4 6 2" xfId="30880" xr:uid="{00000000-0005-0000-0000-0000F87B0000}"/>
    <cellStyle name="Note 2 4 6 2 2" xfId="22895" xr:uid="{00000000-0005-0000-0000-0000F97B0000}"/>
    <cellStyle name="Note 2 4 6 2 2 2" xfId="32982" xr:uid="{00000000-0005-0000-0000-0000FA7B0000}"/>
    <cellStyle name="Note 2 4 6 2 3" xfId="32716" xr:uid="{00000000-0005-0000-0000-0000FB7B0000}"/>
    <cellStyle name="Note 2 4 6 3" xfId="31608" xr:uid="{00000000-0005-0000-0000-0000FC7B0000}"/>
    <cellStyle name="Note 2 4 6 3 2" xfId="536" xr:uid="{00000000-0005-0000-0000-0000FD7B0000}"/>
    <cellStyle name="Note 2 4 6 4" xfId="21950" xr:uid="{00000000-0005-0000-0000-0000FE7B0000}"/>
    <cellStyle name="Note 2 4 7" xfId="19646" xr:uid="{00000000-0005-0000-0000-0000FF7B0000}"/>
    <cellStyle name="Note 2 4 7 2" xfId="33008" xr:uid="{00000000-0005-0000-0000-0000007C0000}"/>
    <cellStyle name="Note 2 4 7 2 2" xfId="1271" xr:uid="{00000000-0005-0000-0000-0000017C0000}"/>
    <cellStyle name="Note 2 4 7 3" xfId="32411" xr:uid="{00000000-0005-0000-0000-0000027C0000}"/>
    <cellStyle name="Note 2 4 8" xfId="30663" xr:uid="{00000000-0005-0000-0000-0000037C0000}"/>
    <cellStyle name="Note 2 4 8 2" xfId="32890" xr:uid="{00000000-0005-0000-0000-0000047C0000}"/>
    <cellStyle name="Note 2 4 9" xfId="30525" xr:uid="{00000000-0005-0000-0000-0000057C0000}"/>
    <cellStyle name="Note 2 5" xfId="4290" xr:uid="{00000000-0005-0000-0000-0000067C0000}"/>
    <cellStyle name="Note 2 5 2" xfId="6399" xr:uid="{00000000-0005-0000-0000-0000077C0000}"/>
    <cellStyle name="Note 2 5 2 2" xfId="10033" xr:uid="{00000000-0005-0000-0000-0000087C0000}"/>
    <cellStyle name="Note 2 5 2 2 2" xfId="6401" xr:uid="{00000000-0005-0000-0000-0000097C0000}"/>
    <cellStyle name="Note 2 5 2 2 2 2" xfId="21092" xr:uid="{00000000-0005-0000-0000-00000A7C0000}"/>
    <cellStyle name="Note 2 5 2 2 2 2 2" xfId="29301" xr:uid="{00000000-0005-0000-0000-00000B7C0000}"/>
    <cellStyle name="Note 2 5 2 2 2 2 2 2" xfId="28077" xr:uid="{00000000-0005-0000-0000-00000C7C0000}"/>
    <cellStyle name="Note 2 5 2 2 2 2 2 2 2" xfId="29860" xr:uid="{00000000-0005-0000-0000-00000D7C0000}"/>
    <cellStyle name="Note 2 5 2 2 2 2 2 3" xfId="22732" xr:uid="{00000000-0005-0000-0000-00000E7C0000}"/>
    <cellStyle name="Note 2 5 2 2 2 2 3" xfId="11797" xr:uid="{00000000-0005-0000-0000-00000F7C0000}"/>
    <cellStyle name="Note 2 5 2 2 2 2 3 2" xfId="28424" xr:uid="{00000000-0005-0000-0000-0000107C0000}"/>
    <cellStyle name="Note 2 5 2 2 2 2 4" xfId="28829" xr:uid="{00000000-0005-0000-0000-0000117C0000}"/>
    <cellStyle name="Note 2 5 2 2 2 3" xfId="32432" xr:uid="{00000000-0005-0000-0000-0000127C0000}"/>
    <cellStyle name="Note 2 5 2 2 2 3 2" xfId="26220" xr:uid="{00000000-0005-0000-0000-0000137C0000}"/>
    <cellStyle name="Note 2 5 2 2 2 3 2 2" xfId="30958" xr:uid="{00000000-0005-0000-0000-0000147C0000}"/>
    <cellStyle name="Note 2 5 2 2 2 3 3" xfId="32444" xr:uid="{00000000-0005-0000-0000-0000157C0000}"/>
    <cellStyle name="Note 2 5 2 2 2 4" xfId="6327" xr:uid="{00000000-0005-0000-0000-0000167C0000}"/>
    <cellStyle name="Note 2 5 2 2 2 4 2" xfId="30978" xr:uid="{00000000-0005-0000-0000-0000177C0000}"/>
    <cellStyle name="Note 2 5 2 2 2 5" xfId="22171" xr:uid="{00000000-0005-0000-0000-0000187C0000}"/>
    <cellStyle name="Note 2 5 2 2 3" xfId="26175" xr:uid="{00000000-0005-0000-0000-0000197C0000}"/>
    <cellStyle name="Note 2 5 2 2 3 2" xfId="32453" xr:uid="{00000000-0005-0000-0000-00001A7C0000}"/>
    <cellStyle name="Note 2 5 2 2 3 2 2" xfId="32455" xr:uid="{00000000-0005-0000-0000-00001B7C0000}"/>
    <cellStyle name="Note 2 5 2 2 3 2 2 2" xfId="32301" xr:uid="{00000000-0005-0000-0000-00001C7C0000}"/>
    <cellStyle name="Note 2 5 2 2 3 2 3" xfId="33807" xr:uid="{00000000-0005-0000-0000-00001D7C0000}"/>
    <cellStyle name="Note 2 5 2 2 3 3" xfId="32457" xr:uid="{00000000-0005-0000-0000-00001E7C0000}"/>
    <cellStyle name="Note 2 5 2 2 3 3 2" xfId="29429" xr:uid="{00000000-0005-0000-0000-00001F7C0000}"/>
    <cellStyle name="Note 2 5 2 2 3 4" xfId="30760" xr:uid="{00000000-0005-0000-0000-0000207C0000}"/>
    <cellStyle name="Note 2 5 2 2 4" xfId="11887" xr:uid="{00000000-0005-0000-0000-0000217C0000}"/>
    <cellStyle name="Note 2 5 2 2 4 2" xfId="33792" xr:uid="{00000000-0005-0000-0000-0000227C0000}"/>
    <cellStyle name="Note 2 5 2 2 4 2 2" xfId="33832" xr:uid="{00000000-0005-0000-0000-0000237C0000}"/>
    <cellStyle name="Note 2 5 2 2 4 3" xfId="32459" xr:uid="{00000000-0005-0000-0000-0000247C0000}"/>
    <cellStyle name="Note 2 5 2 2 5" xfId="31897" xr:uid="{00000000-0005-0000-0000-0000257C0000}"/>
    <cellStyle name="Note 2 5 2 2 5 2" xfId="28146" xr:uid="{00000000-0005-0000-0000-0000267C0000}"/>
    <cellStyle name="Note 2 5 2 2 6" xfId="33732" xr:uid="{00000000-0005-0000-0000-0000277C0000}"/>
    <cellStyle name="Note 2 5 2 3" xfId="6406" xr:uid="{00000000-0005-0000-0000-0000287C0000}"/>
    <cellStyle name="Note 2 5 2 3 2" xfId="11061" xr:uid="{00000000-0005-0000-0000-0000297C0000}"/>
    <cellStyle name="Note 2 5 2 3 2 2" xfId="33255" xr:uid="{00000000-0005-0000-0000-00002A7C0000}"/>
    <cellStyle name="Note 2 5 2 3 2 2 2" xfId="33323" xr:uid="{00000000-0005-0000-0000-00002B7C0000}"/>
    <cellStyle name="Note 2 5 2 3 2 2 2 2" xfId="32519" xr:uid="{00000000-0005-0000-0000-00002C7C0000}"/>
    <cellStyle name="Note 2 5 2 3 2 2 3" xfId="32523" xr:uid="{00000000-0005-0000-0000-00002D7C0000}"/>
    <cellStyle name="Note 2 5 2 3 2 3" xfId="4322" xr:uid="{00000000-0005-0000-0000-00002E7C0000}"/>
    <cellStyle name="Note 2 5 2 3 2 3 2" xfId="22609" xr:uid="{00000000-0005-0000-0000-00002F7C0000}"/>
    <cellStyle name="Note 2 5 2 3 2 4" xfId="30437" xr:uid="{00000000-0005-0000-0000-0000307C0000}"/>
    <cellStyle name="Note 2 5 2 3 3" xfId="9607" xr:uid="{00000000-0005-0000-0000-0000317C0000}"/>
    <cellStyle name="Note 2 5 2 3 3 2" xfId="32463" xr:uid="{00000000-0005-0000-0000-0000327C0000}"/>
    <cellStyle name="Note 2 5 2 3 3 2 2" xfId="32465" xr:uid="{00000000-0005-0000-0000-0000337C0000}"/>
    <cellStyle name="Note 2 5 2 3 3 3" xfId="32466" xr:uid="{00000000-0005-0000-0000-0000347C0000}"/>
    <cellStyle name="Note 2 5 2 3 4" xfId="30212" xr:uid="{00000000-0005-0000-0000-0000357C0000}"/>
    <cellStyle name="Note 2 5 2 3 4 2" xfId="33328" xr:uid="{00000000-0005-0000-0000-0000367C0000}"/>
    <cellStyle name="Note 2 5 2 3 5" xfId="27648" xr:uid="{00000000-0005-0000-0000-0000377C0000}"/>
    <cellStyle name="Note 2 5 2 4" xfId="32807" xr:uid="{00000000-0005-0000-0000-0000387C0000}"/>
    <cellStyle name="Note 2 5 2 4 2" xfId="11066" xr:uid="{00000000-0005-0000-0000-0000397C0000}"/>
    <cellStyle name="Note 2 5 2 4 2 2" xfId="33997" xr:uid="{00000000-0005-0000-0000-00003A7C0000}"/>
    <cellStyle name="Note 2 5 2 4 2 2 2" xfId="33014" xr:uid="{00000000-0005-0000-0000-00003B7C0000}"/>
    <cellStyle name="Note 2 5 2 4 2 3" xfId="32539" xr:uid="{00000000-0005-0000-0000-00003C7C0000}"/>
    <cellStyle name="Note 2 5 2 4 3" xfId="27033" xr:uid="{00000000-0005-0000-0000-00003D7C0000}"/>
    <cellStyle name="Note 2 5 2 4 3 2" xfId="29390" xr:uid="{00000000-0005-0000-0000-00003E7C0000}"/>
    <cellStyle name="Note 2 5 2 4 4" xfId="22305" xr:uid="{00000000-0005-0000-0000-00003F7C0000}"/>
    <cellStyle name="Note 2 5 2 5" xfId="33063" xr:uid="{00000000-0005-0000-0000-0000407C0000}"/>
    <cellStyle name="Note 2 5 2 5 2" xfId="33397" xr:uid="{00000000-0005-0000-0000-0000417C0000}"/>
    <cellStyle name="Note 2 5 2 5 2 2" xfId="33069" xr:uid="{00000000-0005-0000-0000-0000427C0000}"/>
    <cellStyle name="Note 2 5 2 5 3" xfId="21625" xr:uid="{00000000-0005-0000-0000-0000437C0000}"/>
    <cellStyle name="Note 2 5 2 6" xfId="22527" xr:uid="{00000000-0005-0000-0000-0000447C0000}"/>
    <cellStyle name="Note 2 5 2 6 2" xfId="11997" xr:uid="{00000000-0005-0000-0000-0000457C0000}"/>
    <cellStyle name="Note 2 5 2 7" xfId="33100" xr:uid="{00000000-0005-0000-0000-0000467C0000}"/>
    <cellStyle name="Note 2 5 3" xfId="27876" xr:uid="{00000000-0005-0000-0000-0000477C0000}"/>
    <cellStyle name="Note 2 5 3 2" xfId="24494" xr:uid="{00000000-0005-0000-0000-0000487C0000}"/>
    <cellStyle name="Note 2 5 3 2 2" xfId="33898" xr:uid="{00000000-0005-0000-0000-0000497C0000}"/>
    <cellStyle name="Note 2 5 3 2 2 2" xfId="33811" xr:uid="{00000000-0005-0000-0000-00004A7C0000}"/>
    <cellStyle name="Note 2 5 3 2 2 2 2" xfId="30644" xr:uid="{00000000-0005-0000-0000-00004B7C0000}"/>
    <cellStyle name="Note 2 5 3 2 2 2 2 2" xfId="29305" xr:uid="{00000000-0005-0000-0000-00004C7C0000}"/>
    <cellStyle name="Note 2 5 3 2 2 2 3" xfId="33042" xr:uid="{00000000-0005-0000-0000-00004D7C0000}"/>
    <cellStyle name="Note 2 5 3 2 2 3" xfId="33814" xr:uid="{00000000-0005-0000-0000-00004E7C0000}"/>
    <cellStyle name="Note 2 5 3 2 2 3 2" xfId="31426" xr:uid="{00000000-0005-0000-0000-00004F7C0000}"/>
    <cellStyle name="Note 2 5 3 2 2 4" xfId="33046" xr:uid="{00000000-0005-0000-0000-0000507C0000}"/>
    <cellStyle name="Note 2 5 3 2 3" xfId="32467" xr:uid="{00000000-0005-0000-0000-0000517C0000}"/>
    <cellStyle name="Note 2 5 3 2 3 2" xfId="32468" xr:uid="{00000000-0005-0000-0000-0000527C0000}"/>
    <cellStyle name="Note 2 5 3 2 3 2 2" xfId="32475" xr:uid="{00000000-0005-0000-0000-0000537C0000}"/>
    <cellStyle name="Note 2 5 3 2 3 3" xfId="32477" xr:uid="{00000000-0005-0000-0000-0000547C0000}"/>
    <cellStyle name="Note 2 5 3 2 4" xfId="30268" xr:uid="{00000000-0005-0000-0000-0000557C0000}"/>
    <cellStyle name="Note 2 5 3 2 4 2" xfId="20434" xr:uid="{00000000-0005-0000-0000-0000567C0000}"/>
    <cellStyle name="Note 2 5 3 2 5" xfId="26896" xr:uid="{00000000-0005-0000-0000-0000577C0000}"/>
    <cellStyle name="Note 2 5 3 3" xfId="32481" xr:uid="{00000000-0005-0000-0000-0000587C0000}"/>
    <cellStyle name="Note 2 5 3 3 2" xfId="248" xr:uid="{00000000-0005-0000-0000-0000597C0000}"/>
    <cellStyle name="Note 2 5 3 3 2 2" xfId="33849" xr:uid="{00000000-0005-0000-0000-00005A7C0000}"/>
    <cellStyle name="Note 2 5 3 3 2 2 2" xfId="33082" xr:uid="{00000000-0005-0000-0000-00005B7C0000}"/>
    <cellStyle name="Note 2 5 3 3 2 3" xfId="33030" xr:uid="{00000000-0005-0000-0000-00005C7C0000}"/>
    <cellStyle name="Note 2 5 3 3 3" xfId="32482" xr:uid="{00000000-0005-0000-0000-00005D7C0000}"/>
    <cellStyle name="Note 2 5 3 3 3 2" xfId="30669" xr:uid="{00000000-0005-0000-0000-00005E7C0000}"/>
    <cellStyle name="Note 2 5 3 3 4" xfId="30468" xr:uid="{00000000-0005-0000-0000-00005F7C0000}"/>
    <cellStyle name="Note 2 5 3 4" xfId="18965" xr:uid="{00000000-0005-0000-0000-0000607C0000}"/>
    <cellStyle name="Note 2 5 3 4 2" xfId="33111" xr:uid="{00000000-0005-0000-0000-0000617C0000}"/>
    <cellStyle name="Note 2 5 3 4 2 2" xfId="33589" xr:uid="{00000000-0005-0000-0000-0000627C0000}"/>
    <cellStyle name="Note 2 5 3 4 3" xfId="22937" xr:uid="{00000000-0005-0000-0000-0000637C0000}"/>
    <cellStyle name="Note 2 5 3 5" xfId="18967" xr:uid="{00000000-0005-0000-0000-0000647C0000}"/>
    <cellStyle name="Note 2 5 3 5 2" xfId="30517" xr:uid="{00000000-0005-0000-0000-0000657C0000}"/>
    <cellStyle name="Note 2 5 3 6" xfId="18969" xr:uid="{00000000-0005-0000-0000-0000667C0000}"/>
    <cellStyle name="Note 2 5 4" xfId="19867" xr:uid="{00000000-0005-0000-0000-0000677C0000}"/>
    <cellStyle name="Note 2 5 4 2" xfId="32483" xr:uid="{00000000-0005-0000-0000-0000687C0000}"/>
    <cellStyle name="Note 2 5 4 2 2" xfId="32485" xr:uid="{00000000-0005-0000-0000-0000697C0000}"/>
    <cellStyle name="Note 2 5 4 2 2 2" xfId="18927" xr:uid="{00000000-0005-0000-0000-00006A7C0000}"/>
    <cellStyle name="Note 2 5 4 2 2 2 2" xfId="27459" xr:uid="{00000000-0005-0000-0000-00006B7C0000}"/>
    <cellStyle name="Note 2 5 4 2 2 3" xfId="18932" xr:uid="{00000000-0005-0000-0000-00006C7C0000}"/>
    <cellStyle name="Note 2 5 4 2 3" xfId="32487" xr:uid="{00000000-0005-0000-0000-00006D7C0000}"/>
    <cellStyle name="Note 2 5 4 2 3 2" xfId="20063" xr:uid="{00000000-0005-0000-0000-00006E7C0000}"/>
    <cellStyle name="Note 2 5 4 2 4" xfId="34006" xr:uid="{00000000-0005-0000-0000-00006F7C0000}"/>
    <cellStyle name="Note 2 5 4 3" xfId="32488" xr:uid="{00000000-0005-0000-0000-0000707C0000}"/>
    <cellStyle name="Note 2 5 4 3 2" xfId="32489" xr:uid="{00000000-0005-0000-0000-0000717C0000}"/>
    <cellStyle name="Note 2 5 4 3 2 2" xfId="18951" xr:uid="{00000000-0005-0000-0000-0000727C0000}"/>
    <cellStyle name="Note 2 5 4 3 3" xfId="27330" xr:uid="{00000000-0005-0000-0000-0000737C0000}"/>
    <cellStyle name="Note 2 5 4 4" xfId="1925" xr:uid="{00000000-0005-0000-0000-0000747C0000}"/>
    <cellStyle name="Note 2 5 4 4 2" xfId="32989" xr:uid="{00000000-0005-0000-0000-0000757C0000}"/>
    <cellStyle name="Note 2 5 4 5" xfId="4167" xr:uid="{00000000-0005-0000-0000-0000767C0000}"/>
    <cellStyle name="Note 2 5 5" xfId="32492" xr:uid="{00000000-0005-0000-0000-0000777C0000}"/>
    <cellStyle name="Note 2 5 5 2" xfId="20670" xr:uid="{00000000-0005-0000-0000-0000787C0000}"/>
    <cellStyle name="Note 2 5 5 2 2" xfId="22283" xr:uid="{00000000-0005-0000-0000-0000797C0000}"/>
    <cellStyle name="Note 2 5 5 2 2 2" xfId="19142" xr:uid="{00000000-0005-0000-0000-00007A7C0000}"/>
    <cellStyle name="Note 2 5 5 2 3" xfId="33342" xr:uid="{00000000-0005-0000-0000-00007B7C0000}"/>
    <cellStyle name="Note 2 5 5 3" xfId="30050" xr:uid="{00000000-0005-0000-0000-00007C7C0000}"/>
    <cellStyle name="Note 2 5 5 3 2" xfId="33336" xr:uid="{00000000-0005-0000-0000-00007D7C0000}"/>
    <cellStyle name="Note 2 5 5 4" xfId="4309" xr:uid="{00000000-0005-0000-0000-00007E7C0000}"/>
    <cellStyle name="Note 2 5 6" xfId="32873" xr:uid="{00000000-0005-0000-0000-00007F7C0000}"/>
    <cellStyle name="Note 2 5 6 2" xfId="27412" xr:uid="{00000000-0005-0000-0000-0000807C0000}"/>
    <cellStyle name="Note 2 5 6 2 2" xfId="32497" xr:uid="{00000000-0005-0000-0000-0000817C0000}"/>
    <cellStyle name="Note 2 5 6 3" xfId="32498" xr:uid="{00000000-0005-0000-0000-0000827C0000}"/>
    <cellStyle name="Note 2 5 7" xfId="33380" xr:uid="{00000000-0005-0000-0000-0000837C0000}"/>
    <cellStyle name="Note 2 5 7 2" xfId="32329" xr:uid="{00000000-0005-0000-0000-0000847C0000}"/>
    <cellStyle name="Note 2 5 8" xfId="31451" xr:uid="{00000000-0005-0000-0000-0000857C0000}"/>
    <cellStyle name="Note 2 6" xfId="12403" xr:uid="{00000000-0005-0000-0000-0000867C0000}"/>
    <cellStyle name="Note 2 6 2" xfId="1740" xr:uid="{00000000-0005-0000-0000-0000877C0000}"/>
    <cellStyle name="Note 2 6 2 2" xfId="424" xr:uid="{00000000-0005-0000-0000-0000887C0000}"/>
    <cellStyle name="Note 2 6 2 2 2" xfId="30258" xr:uid="{00000000-0005-0000-0000-0000897C0000}"/>
    <cellStyle name="Note 2 6 2 2 2 2" xfId="22206" xr:uid="{00000000-0005-0000-0000-00008A7C0000}"/>
    <cellStyle name="Note 2 6 2 2 2 2 2" xfId="32849" xr:uid="{00000000-0005-0000-0000-00008B7C0000}"/>
    <cellStyle name="Note 2 6 2 2 2 2 2 2" xfId="30260" xr:uid="{00000000-0005-0000-0000-00008C7C0000}"/>
    <cellStyle name="Note 2 6 2 2 2 2 3" xfId="30264" xr:uid="{00000000-0005-0000-0000-00008D7C0000}"/>
    <cellStyle name="Note 2 6 2 2 2 3" xfId="32501" xr:uid="{00000000-0005-0000-0000-00008E7C0000}"/>
    <cellStyle name="Note 2 6 2 2 2 3 2" xfId="30612" xr:uid="{00000000-0005-0000-0000-00008F7C0000}"/>
    <cellStyle name="Note 2 6 2 2 2 4" xfId="32504" xr:uid="{00000000-0005-0000-0000-0000907C0000}"/>
    <cellStyle name="Note 2 6 2 2 3" xfId="28514" xr:uid="{00000000-0005-0000-0000-0000917C0000}"/>
    <cellStyle name="Note 2 6 2 2 3 2" xfId="27909" xr:uid="{00000000-0005-0000-0000-0000927C0000}"/>
    <cellStyle name="Note 2 6 2 2 3 2 2" xfId="21712" xr:uid="{00000000-0005-0000-0000-0000937C0000}"/>
    <cellStyle name="Note 2 6 2 2 3 3" xfId="21720" xr:uid="{00000000-0005-0000-0000-0000947C0000}"/>
    <cellStyle name="Note 2 6 2 2 4" xfId="410" xr:uid="{00000000-0005-0000-0000-0000957C0000}"/>
    <cellStyle name="Note 2 6 2 2 4 2" xfId="28529" xr:uid="{00000000-0005-0000-0000-0000967C0000}"/>
    <cellStyle name="Note 2 6 2 2 5" xfId="28532" xr:uid="{00000000-0005-0000-0000-0000977C0000}"/>
    <cellStyle name="Note 2 6 2 3" xfId="29889" xr:uid="{00000000-0005-0000-0000-0000987C0000}"/>
    <cellStyle name="Note 2 6 2 3 2" xfId="11080" xr:uid="{00000000-0005-0000-0000-0000997C0000}"/>
    <cellStyle name="Note 2 6 2 3 2 2" xfId="32509" xr:uid="{00000000-0005-0000-0000-00009A7C0000}"/>
    <cellStyle name="Note 2 6 2 3 2 2 2" xfId="30288" xr:uid="{00000000-0005-0000-0000-00009B7C0000}"/>
    <cellStyle name="Note 2 6 2 3 2 3" xfId="32613" xr:uid="{00000000-0005-0000-0000-00009C7C0000}"/>
    <cellStyle name="Note 2 6 2 3 3" xfId="28536" xr:uid="{00000000-0005-0000-0000-00009D7C0000}"/>
    <cellStyle name="Note 2 6 2 3 3 2" xfId="21803" xr:uid="{00000000-0005-0000-0000-00009E7C0000}"/>
    <cellStyle name="Note 2 6 2 3 4" xfId="28540" xr:uid="{00000000-0005-0000-0000-00009F7C0000}"/>
    <cellStyle name="Note 2 6 2 4" xfId="29893" xr:uid="{00000000-0005-0000-0000-0000A07C0000}"/>
    <cellStyle name="Note 2 6 2 4 2" xfId="23810" xr:uid="{00000000-0005-0000-0000-0000A17C0000}"/>
    <cellStyle name="Note 2 6 2 4 2 2" xfId="30788" xr:uid="{00000000-0005-0000-0000-0000A27C0000}"/>
    <cellStyle name="Note 2 6 2 4 3" xfId="27064" xr:uid="{00000000-0005-0000-0000-0000A37C0000}"/>
    <cellStyle name="Note 2 6 2 5" xfId="32052" xr:uid="{00000000-0005-0000-0000-0000A47C0000}"/>
    <cellStyle name="Note 2 6 2 5 2" xfId="27353" xr:uid="{00000000-0005-0000-0000-0000A57C0000}"/>
    <cellStyle name="Note 2 6 2 6" xfId="29898" xr:uid="{00000000-0005-0000-0000-0000A67C0000}"/>
    <cellStyle name="Note 2 6 3" xfId="20309" xr:uid="{00000000-0005-0000-0000-0000A77C0000}"/>
    <cellStyle name="Note 2 6 3 2" xfId="29904" xr:uid="{00000000-0005-0000-0000-0000A87C0000}"/>
    <cellStyle name="Note 2 6 3 2 2" xfId="32646" xr:uid="{00000000-0005-0000-0000-0000A97C0000}"/>
    <cellStyle name="Note 2 6 3 2 2 2" xfId="31952" xr:uid="{00000000-0005-0000-0000-0000AA7C0000}"/>
    <cellStyle name="Note 2 6 3 2 2 2 2" xfId="32999" xr:uid="{00000000-0005-0000-0000-0000AB7C0000}"/>
    <cellStyle name="Note 2 6 3 2 2 3" xfId="1375" xr:uid="{00000000-0005-0000-0000-0000AC7C0000}"/>
    <cellStyle name="Note 2 6 3 2 3" xfId="26535" xr:uid="{00000000-0005-0000-0000-0000AD7C0000}"/>
    <cellStyle name="Note 2 6 3 2 3 2" xfId="22586" xr:uid="{00000000-0005-0000-0000-0000AE7C0000}"/>
    <cellStyle name="Note 2 6 3 2 4" xfId="30687" xr:uid="{00000000-0005-0000-0000-0000AF7C0000}"/>
    <cellStyle name="Note 2 6 3 3" xfId="23003" xr:uid="{00000000-0005-0000-0000-0000B07C0000}"/>
    <cellStyle name="Note 2 6 3 3 2" xfId="23835" xr:uid="{00000000-0005-0000-0000-0000B17C0000}"/>
    <cellStyle name="Note 2 6 3 3 2 2" xfId="28713" xr:uid="{00000000-0005-0000-0000-0000B27C0000}"/>
    <cellStyle name="Note 2 6 3 3 3" xfId="28557" xr:uid="{00000000-0005-0000-0000-0000B37C0000}"/>
    <cellStyle name="Note 2 6 3 4" xfId="18992" xr:uid="{00000000-0005-0000-0000-0000B47C0000}"/>
    <cellStyle name="Note 2 6 3 4 2" xfId="29910" xr:uid="{00000000-0005-0000-0000-0000B57C0000}"/>
    <cellStyle name="Note 2 6 3 5" xfId="19004" xr:uid="{00000000-0005-0000-0000-0000B67C0000}"/>
    <cellStyle name="Note 2 6 4" xfId="32863" xr:uid="{00000000-0005-0000-0000-0000B77C0000}"/>
    <cellStyle name="Note 2 6 4 2" xfId="29929" xr:uid="{00000000-0005-0000-0000-0000B87C0000}"/>
    <cellStyle name="Note 2 6 4 2 2" xfId="32123" xr:uid="{00000000-0005-0000-0000-0000B97C0000}"/>
    <cellStyle name="Note 2 6 4 2 2 2" xfId="19336" xr:uid="{00000000-0005-0000-0000-0000BA7C0000}"/>
    <cellStyle name="Note 2 6 4 2 3" xfId="26839" xr:uid="{00000000-0005-0000-0000-0000BB7C0000}"/>
    <cellStyle name="Note 2 6 4 3" xfId="27566" xr:uid="{00000000-0005-0000-0000-0000BC7C0000}"/>
    <cellStyle name="Note 2 6 4 3 2" xfId="26387" xr:uid="{00000000-0005-0000-0000-0000BD7C0000}"/>
    <cellStyle name="Note 2 6 4 4" xfId="4339" xr:uid="{00000000-0005-0000-0000-0000BE7C0000}"/>
    <cellStyle name="Note 2 6 5" xfId="32656" xr:uid="{00000000-0005-0000-0000-0000BF7C0000}"/>
    <cellStyle name="Note 2 6 5 2" xfId="11134" xr:uid="{00000000-0005-0000-0000-0000C07C0000}"/>
    <cellStyle name="Note 2 6 5 2 2" xfId="32513" xr:uid="{00000000-0005-0000-0000-0000C17C0000}"/>
    <cellStyle name="Note 2 6 5 3" xfId="31937" xr:uid="{00000000-0005-0000-0000-0000C27C0000}"/>
    <cellStyle name="Note 2 6 6" xfId="31896" xr:uid="{00000000-0005-0000-0000-0000C37C0000}"/>
    <cellStyle name="Note 2 6 6 2" xfId="32521" xr:uid="{00000000-0005-0000-0000-0000C47C0000}"/>
    <cellStyle name="Note 2 6 7" xfId="32526" xr:uid="{00000000-0005-0000-0000-0000C57C0000}"/>
    <cellStyle name="Note 2 7" xfId="15394" xr:uid="{00000000-0005-0000-0000-0000C67C0000}"/>
    <cellStyle name="Note 2 7 2" xfId="471" xr:uid="{00000000-0005-0000-0000-0000C77C0000}"/>
    <cellStyle name="Note 2 7 2 2" xfId="33675" xr:uid="{00000000-0005-0000-0000-0000C87C0000}"/>
    <cellStyle name="Note 2 7 2 2 2" xfId="374" xr:uid="{00000000-0005-0000-0000-0000C97C0000}"/>
    <cellStyle name="Note 2 7 2 2 2 2" xfId="876" xr:uid="{00000000-0005-0000-0000-0000CA7C0000}"/>
    <cellStyle name="Note 2 7 2 2 2 2 2" xfId="31809" xr:uid="{00000000-0005-0000-0000-0000CB7C0000}"/>
    <cellStyle name="Note 2 7 2 2 2 3" xfId="7321" xr:uid="{00000000-0005-0000-0000-0000CC7C0000}"/>
    <cellStyle name="Note 2 7 2 2 3" xfId="28397" xr:uid="{00000000-0005-0000-0000-0000CD7C0000}"/>
    <cellStyle name="Note 2 7 2 2 3 2" xfId="11083" xr:uid="{00000000-0005-0000-0000-0000CE7C0000}"/>
    <cellStyle name="Note 2 7 2 2 4" xfId="28604" xr:uid="{00000000-0005-0000-0000-0000CF7C0000}"/>
    <cellStyle name="Note 2 7 2 3" xfId="30134" xr:uid="{00000000-0005-0000-0000-0000D07C0000}"/>
    <cellStyle name="Note 2 7 2 3 2" xfId="33936" xr:uid="{00000000-0005-0000-0000-0000D17C0000}"/>
    <cellStyle name="Note 2 7 2 3 2 2" xfId="2066" xr:uid="{00000000-0005-0000-0000-0000D27C0000}"/>
    <cellStyle name="Note 2 7 2 3 3" xfId="28608" xr:uid="{00000000-0005-0000-0000-0000D37C0000}"/>
    <cellStyle name="Note 2 7 2 4" xfId="16743" xr:uid="{00000000-0005-0000-0000-0000D47C0000}"/>
    <cellStyle name="Note 2 7 2 4 2" xfId="4051" xr:uid="{00000000-0005-0000-0000-0000D57C0000}"/>
    <cellStyle name="Note 2 7 2 5" xfId="16752" xr:uid="{00000000-0005-0000-0000-0000D67C0000}"/>
    <cellStyle name="Note 2 7 3" xfId="22093" xr:uid="{00000000-0005-0000-0000-0000D77C0000}"/>
    <cellStyle name="Note 2 7 3 2" xfId="33733" xr:uid="{00000000-0005-0000-0000-0000D87C0000}"/>
    <cellStyle name="Note 2 7 3 2 2" xfId="33918" xr:uid="{00000000-0005-0000-0000-0000D97C0000}"/>
    <cellStyle name="Note 2 7 3 2 2 2" xfId="32732" xr:uid="{00000000-0005-0000-0000-0000DA7C0000}"/>
    <cellStyle name="Note 2 7 3 2 3" xfId="28613" xr:uid="{00000000-0005-0000-0000-0000DB7C0000}"/>
    <cellStyle name="Note 2 7 3 3" xfId="27878" xr:uid="{00000000-0005-0000-0000-0000DC7C0000}"/>
    <cellStyle name="Note 2 7 3 3 2" xfId="28632" xr:uid="{00000000-0005-0000-0000-0000DD7C0000}"/>
    <cellStyle name="Note 2 7 3 4" xfId="16761" xr:uid="{00000000-0005-0000-0000-0000DE7C0000}"/>
    <cellStyle name="Note 2 7 4" xfId="32695" xr:uid="{00000000-0005-0000-0000-0000DF7C0000}"/>
    <cellStyle name="Note 2 7 4 2" xfId="32376" xr:uid="{00000000-0005-0000-0000-0000E07C0000}"/>
    <cellStyle name="Note 2 7 4 2 2" xfId="31670" xr:uid="{00000000-0005-0000-0000-0000E17C0000}"/>
    <cellStyle name="Note 2 7 4 3" xfId="28637" xr:uid="{00000000-0005-0000-0000-0000E27C0000}"/>
    <cellStyle name="Note 2 7 5" xfId="32221" xr:uid="{00000000-0005-0000-0000-0000E37C0000}"/>
    <cellStyle name="Note 2 7 5 2" xfId="23029" xr:uid="{00000000-0005-0000-0000-0000E47C0000}"/>
    <cellStyle name="Note 2 7 6" xfId="30803" xr:uid="{00000000-0005-0000-0000-0000E57C0000}"/>
    <cellStyle name="Note 2 8" xfId="6325" xr:uid="{00000000-0005-0000-0000-0000E67C0000}"/>
    <cellStyle name="Note 2 8 2" xfId="32541" xr:uid="{00000000-0005-0000-0000-0000E77C0000}"/>
    <cellStyle name="Note 2 8 2 2" xfId="33215" xr:uid="{00000000-0005-0000-0000-0000E87C0000}"/>
    <cellStyle name="Note 2 8 2 2 2" xfId="30378" xr:uid="{00000000-0005-0000-0000-0000E97C0000}"/>
    <cellStyle name="Note 2 8 2 2 2 2" xfId="31735" xr:uid="{00000000-0005-0000-0000-0000EA7C0000}"/>
    <cellStyle name="Note 2 8 2 2 3" xfId="13087" xr:uid="{00000000-0005-0000-0000-0000EB7C0000}"/>
    <cellStyle name="Note 2 8 2 3" xfId="29657" xr:uid="{00000000-0005-0000-0000-0000EC7C0000}"/>
    <cellStyle name="Note 2 8 2 3 2" xfId="30658" xr:uid="{00000000-0005-0000-0000-0000ED7C0000}"/>
    <cellStyle name="Note 2 8 2 4" xfId="16833" xr:uid="{00000000-0005-0000-0000-0000EE7C0000}"/>
    <cellStyle name="Note 2 8 3" xfId="32559" xr:uid="{00000000-0005-0000-0000-0000EF7C0000}"/>
    <cellStyle name="Note 2 8 3 2" xfId="32777" xr:uid="{00000000-0005-0000-0000-0000F07C0000}"/>
    <cellStyle name="Note 2 8 3 2 2" xfId="32564" xr:uid="{00000000-0005-0000-0000-0000F17C0000}"/>
    <cellStyle name="Note 2 8 3 3" xfId="28646" xr:uid="{00000000-0005-0000-0000-0000F27C0000}"/>
    <cellStyle name="Note 2 8 4" xfId="32387" xr:uid="{00000000-0005-0000-0000-0000F37C0000}"/>
    <cellStyle name="Note 2 8 4 2" xfId="22515" xr:uid="{00000000-0005-0000-0000-0000F47C0000}"/>
    <cellStyle name="Note 2 8 5" xfId="27571" xr:uid="{00000000-0005-0000-0000-0000F57C0000}"/>
    <cellStyle name="Note 2 9" xfId="17573" xr:uid="{00000000-0005-0000-0000-0000F67C0000}"/>
    <cellStyle name="Note 2 9 2" xfId="26274" xr:uid="{00000000-0005-0000-0000-0000F77C0000}"/>
    <cellStyle name="Note 2 9 2 2" xfId="31563" xr:uid="{00000000-0005-0000-0000-0000F87C0000}"/>
    <cellStyle name="Note 2 9 2 2 2" xfId="22112" xr:uid="{00000000-0005-0000-0000-0000F97C0000}"/>
    <cellStyle name="Note 2 9 2 3" xfId="19266" xr:uid="{00000000-0005-0000-0000-0000FA7C0000}"/>
    <cellStyle name="Note 2 9 3" xfId="38" xr:uid="{00000000-0005-0000-0000-0000FB7C0000}"/>
    <cellStyle name="Note 2 9 3 2" xfId="27757" xr:uid="{00000000-0005-0000-0000-0000FC7C0000}"/>
    <cellStyle name="Note 2 9 4" xfId="184" xr:uid="{00000000-0005-0000-0000-0000FD7C0000}"/>
    <cellStyle name="Note 3" xfId="32579" xr:uid="{00000000-0005-0000-0000-0000FE7C0000}"/>
    <cellStyle name="Note 3 10" xfId="33939" xr:uid="{00000000-0005-0000-0000-0000FF7C0000}"/>
    <cellStyle name="Note 3 10 2" xfId="22703" xr:uid="{00000000-0005-0000-0000-0000007D0000}"/>
    <cellStyle name="Note 3 11" xfId="618" xr:uid="{00000000-0005-0000-0000-0000017D0000}"/>
    <cellStyle name="Note 3 2" xfId="32586" xr:uid="{00000000-0005-0000-0000-0000027D0000}"/>
    <cellStyle name="Note 3 2 10" xfId="32593" xr:uid="{00000000-0005-0000-0000-0000037D0000}"/>
    <cellStyle name="Note 3 2 2" xfId="10855" xr:uid="{00000000-0005-0000-0000-0000047D0000}"/>
    <cellStyle name="Note 3 2 2 2" xfId="20471" xr:uid="{00000000-0005-0000-0000-0000057D0000}"/>
    <cellStyle name="Note 3 2 2 2 2" xfId="11616" xr:uid="{00000000-0005-0000-0000-0000067D0000}"/>
    <cellStyle name="Note 3 2 2 2 2 2" xfId="14075" xr:uid="{00000000-0005-0000-0000-0000077D0000}"/>
    <cellStyle name="Note 3 2 2 2 2 2 2" xfId="5506" xr:uid="{00000000-0005-0000-0000-0000087D0000}"/>
    <cellStyle name="Note 3 2 2 2 2 2 2 2" xfId="4970" xr:uid="{00000000-0005-0000-0000-0000097D0000}"/>
    <cellStyle name="Note 3 2 2 2 2 2 2 2 2" xfId="11313" xr:uid="{00000000-0005-0000-0000-00000A7D0000}"/>
    <cellStyle name="Note 3 2 2 2 2 2 2 2 2 2" xfId="33390" xr:uid="{00000000-0005-0000-0000-00000B7D0000}"/>
    <cellStyle name="Note 3 2 2 2 2 2 2 2 2 2 2" xfId="1128" xr:uid="{00000000-0005-0000-0000-00000C7D0000}"/>
    <cellStyle name="Note 3 2 2 2 2 2 2 2 2 3" xfId="33035" xr:uid="{00000000-0005-0000-0000-00000D7D0000}"/>
    <cellStyle name="Note 3 2 2 2 2 2 2 2 3" xfId="13314" xr:uid="{00000000-0005-0000-0000-00000E7D0000}"/>
    <cellStyle name="Note 3 2 2 2 2 2 2 2 3 2" xfId="20909" xr:uid="{00000000-0005-0000-0000-00000F7D0000}"/>
    <cellStyle name="Note 3 2 2 2 2 2 2 2 4" xfId="24406" xr:uid="{00000000-0005-0000-0000-0000107D0000}"/>
    <cellStyle name="Note 3 2 2 2 2 2 2 3" xfId="5945" xr:uid="{00000000-0005-0000-0000-0000117D0000}"/>
    <cellStyle name="Note 3 2 2 2 2 2 2 3 2" xfId="11898" xr:uid="{00000000-0005-0000-0000-0000127D0000}"/>
    <cellStyle name="Note 3 2 2 2 2 2 2 3 2 2" xfId="32950" xr:uid="{00000000-0005-0000-0000-0000137D0000}"/>
    <cellStyle name="Note 3 2 2 2 2 2 2 3 3" xfId="24470" xr:uid="{00000000-0005-0000-0000-0000147D0000}"/>
    <cellStyle name="Note 3 2 2 2 2 2 2 4" xfId="4832" xr:uid="{00000000-0005-0000-0000-0000157D0000}"/>
    <cellStyle name="Note 3 2 2 2 2 2 2 4 2" xfId="24560" xr:uid="{00000000-0005-0000-0000-0000167D0000}"/>
    <cellStyle name="Note 3 2 2 2 2 2 2 5" xfId="32608" xr:uid="{00000000-0005-0000-0000-0000177D0000}"/>
    <cellStyle name="Note 3 2 2 2 2 2 3" xfId="5513" xr:uid="{00000000-0005-0000-0000-0000187D0000}"/>
    <cellStyle name="Note 3 2 2 2 2 2 3 2" xfId="1051" xr:uid="{00000000-0005-0000-0000-0000197D0000}"/>
    <cellStyle name="Note 3 2 2 2 2 2 3 2 2" xfId="11909" xr:uid="{00000000-0005-0000-0000-00001A7D0000}"/>
    <cellStyle name="Note 3 2 2 2 2 2 3 2 2 2" xfId="32381" xr:uid="{00000000-0005-0000-0000-00001B7D0000}"/>
    <cellStyle name="Note 3 2 2 2 2 2 3 2 3" xfId="24935" xr:uid="{00000000-0005-0000-0000-00001C7D0000}"/>
    <cellStyle name="Note 3 2 2 2 2 2 3 3" xfId="21012" xr:uid="{00000000-0005-0000-0000-00001D7D0000}"/>
    <cellStyle name="Note 3 2 2 2 2 2 3 3 2" xfId="21313" xr:uid="{00000000-0005-0000-0000-00001E7D0000}"/>
    <cellStyle name="Note 3 2 2 2 2 2 3 4" xfId="21019" xr:uid="{00000000-0005-0000-0000-00001F7D0000}"/>
    <cellStyle name="Note 3 2 2 2 2 2 4" xfId="13187" xr:uid="{00000000-0005-0000-0000-0000207D0000}"/>
    <cellStyle name="Note 3 2 2 2 2 2 4 2" xfId="29180" xr:uid="{00000000-0005-0000-0000-0000217D0000}"/>
    <cellStyle name="Note 3 2 2 2 2 2 4 2 2" xfId="22969" xr:uid="{00000000-0005-0000-0000-0000227D0000}"/>
    <cellStyle name="Note 3 2 2 2 2 2 4 3" xfId="16175" xr:uid="{00000000-0005-0000-0000-0000237D0000}"/>
    <cellStyle name="Note 3 2 2 2 2 2 5" xfId="30542" xr:uid="{00000000-0005-0000-0000-0000247D0000}"/>
    <cellStyle name="Note 3 2 2 2 2 2 5 2" xfId="24548" xr:uid="{00000000-0005-0000-0000-0000257D0000}"/>
    <cellStyle name="Note 3 2 2 2 2 2 6" xfId="16299" xr:uid="{00000000-0005-0000-0000-0000267D0000}"/>
    <cellStyle name="Note 3 2 2 2 2 3" xfId="14077" xr:uid="{00000000-0005-0000-0000-0000277D0000}"/>
    <cellStyle name="Note 3 2 2 2 2 3 2" xfId="5538" xr:uid="{00000000-0005-0000-0000-0000287D0000}"/>
    <cellStyle name="Note 3 2 2 2 2 3 2 2" xfId="6291" xr:uid="{00000000-0005-0000-0000-0000297D0000}"/>
    <cellStyle name="Note 3 2 2 2 2 3 2 2 2" xfId="11974" xr:uid="{00000000-0005-0000-0000-00002A7D0000}"/>
    <cellStyle name="Note 3 2 2 2 2 3 2 2 2 2" xfId="32852" xr:uid="{00000000-0005-0000-0000-00002B7D0000}"/>
    <cellStyle name="Note 3 2 2 2 2 3 2 2 3" xfId="15301" xr:uid="{00000000-0005-0000-0000-00002C7D0000}"/>
    <cellStyle name="Note 3 2 2 2 2 3 2 3" xfId="30329" xr:uid="{00000000-0005-0000-0000-00002D7D0000}"/>
    <cellStyle name="Note 3 2 2 2 2 3 2 3 2" xfId="5687" xr:uid="{00000000-0005-0000-0000-00002E7D0000}"/>
    <cellStyle name="Note 3 2 2 2 2 3 2 4" xfId="28298" xr:uid="{00000000-0005-0000-0000-00002F7D0000}"/>
    <cellStyle name="Note 3 2 2 2 2 3 3" xfId="9678" xr:uid="{00000000-0005-0000-0000-0000307D0000}"/>
    <cellStyle name="Note 3 2 2 2 2 3 3 2" xfId="29316" xr:uid="{00000000-0005-0000-0000-0000317D0000}"/>
    <cellStyle name="Note 3 2 2 2 2 3 3 2 2" xfId="8840" xr:uid="{00000000-0005-0000-0000-0000327D0000}"/>
    <cellStyle name="Note 3 2 2 2 2 3 3 3" xfId="21038" xr:uid="{00000000-0005-0000-0000-0000337D0000}"/>
    <cellStyle name="Note 3 2 2 2 2 3 4" xfId="30549" xr:uid="{00000000-0005-0000-0000-0000347D0000}"/>
    <cellStyle name="Note 3 2 2 2 2 3 4 2" xfId="30404" xr:uid="{00000000-0005-0000-0000-0000357D0000}"/>
    <cellStyle name="Note 3 2 2 2 2 3 5" xfId="30234" xr:uid="{00000000-0005-0000-0000-0000367D0000}"/>
    <cellStyle name="Note 3 2 2 2 2 4" xfId="14079" xr:uid="{00000000-0005-0000-0000-0000377D0000}"/>
    <cellStyle name="Note 3 2 2 2 2 4 2" xfId="27387" xr:uid="{00000000-0005-0000-0000-0000387D0000}"/>
    <cellStyle name="Note 3 2 2 2 2 4 2 2" xfId="20186" xr:uid="{00000000-0005-0000-0000-0000397D0000}"/>
    <cellStyle name="Note 3 2 2 2 2 4 2 2 2" xfId="21473" xr:uid="{00000000-0005-0000-0000-00003A7D0000}"/>
    <cellStyle name="Note 3 2 2 2 2 4 2 3" xfId="20201" xr:uid="{00000000-0005-0000-0000-00003B7D0000}"/>
    <cellStyle name="Note 3 2 2 2 2 4 3" xfId="32630" xr:uid="{00000000-0005-0000-0000-00003C7D0000}"/>
    <cellStyle name="Note 3 2 2 2 2 4 3 2" xfId="19882" xr:uid="{00000000-0005-0000-0000-00003D7D0000}"/>
    <cellStyle name="Note 3 2 2 2 2 4 4" xfId="30633" xr:uid="{00000000-0005-0000-0000-00003E7D0000}"/>
    <cellStyle name="Note 3 2 2 2 2 5" xfId="25929" xr:uid="{00000000-0005-0000-0000-00003F7D0000}"/>
    <cellStyle name="Note 3 2 2 2 2 5 2" xfId="32642" xr:uid="{00000000-0005-0000-0000-0000407D0000}"/>
    <cellStyle name="Note 3 2 2 2 2 5 2 2" xfId="30684" xr:uid="{00000000-0005-0000-0000-0000417D0000}"/>
    <cellStyle name="Note 3 2 2 2 2 5 3" xfId="32170" xr:uid="{00000000-0005-0000-0000-0000427D0000}"/>
    <cellStyle name="Note 3 2 2 2 2 6" xfId="20960" xr:uid="{00000000-0005-0000-0000-0000437D0000}"/>
    <cellStyle name="Note 3 2 2 2 2 6 2" xfId="32662" xr:uid="{00000000-0005-0000-0000-0000447D0000}"/>
    <cellStyle name="Note 3 2 2 2 2 7" xfId="15866" xr:uid="{00000000-0005-0000-0000-0000457D0000}"/>
    <cellStyle name="Note 3 2 2 2 3" xfId="32665" xr:uid="{00000000-0005-0000-0000-0000467D0000}"/>
    <cellStyle name="Note 3 2 2 2 3 2" xfId="14114" xr:uid="{00000000-0005-0000-0000-0000477D0000}"/>
    <cellStyle name="Note 3 2 2 2 3 2 2" xfId="2292" xr:uid="{00000000-0005-0000-0000-0000487D0000}"/>
    <cellStyle name="Note 3 2 2 2 3 2 2 2" xfId="4527" xr:uid="{00000000-0005-0000-0000-0000497D0000}"/>
    <cellStyle name="Note 3 2 2 2 3 2 2 2 2" xfId="13846" xr:uid="{00000000-0005-0000-0000-00004A7D0000}"/>
    <cellStyle name="Note 3 2 2 2 3 2 2 2 2 2" xfId="21453" xr:uid="{00000000-0005-0000-0000-00004B7D0000}"/>
    <cellStyle name="Note 3 2 2 2 3 2 2 2 3" xfId="24781" xr:uid="{00000000-0005-0000-0000-00004C7D0000}"/>
    <cellStyle name="Note 3 2 2 2 3 2 2 3" xfId="4542" xr:uid="{00000000-0005-0000-0000-00004D7D0000}"/>
    <cellStyle name="Note 3 2 2 2 3 2 2 3 2" xfId="21499" xr:uid="{00000000-0005-0000-0000-00004E7D0000}"/>
    <cellStyle name="Note 3 2 2 2 3 2 2 4" xfId="24766" xr:uid="{00000000-0005-0000-0000-00004F7D0000}"/>
    <cellStyle name="Note 3 2 2 2 3 2 3" xfId="11627" xr:uid="{00000000-0005-0000-0000-0000507D0000}"/>
    <cellStyle name="Note 3 2 2 2 3 2 3 2" xfId="9196" xr:uid="{00000000-0005-0000-0000-0000517D0000}"/>
    <cellStyle name="Note 3 2 2 2 3 2 3 2 2" xfId="27646" xr:uid="{00000000-0005-0000-0000-0000527D0000}"/>
    <cellStyle name="Note 3 2 2 2 3 2 3 3" xfId="21099" xr:uid="{00000000-0005-0000-0000-0000537D0000}"/>
    <cellStyle name="Note 3 2 2 2 3 2 4" xfId="28998" xr:uid="{00000000-0005-0000-0000-0000547D0000}"/>
    <cellStyle name="Note 3 2 2 2 3 2 4 2" xfId="31577" xr:uid="{00000000-0005-0000-0000-0000557D0000}"/>
    <cellStyle name="Note 3 2 2 2 3 2 5" xfId="29015" xr:uid="{00000000-0005-0000-0000-0000567D0000}"/>
    <cellStyle name="Note 3 2 2 2 3 3" xfId="14116" xr:uid="{00000000-0005-0000-0000-0000577D0000}"/>
    <cellStyle name="Note 3 2 2 2 3 3 2" xfId="33557" xr:uid="{00000000-0005-0000-0000-0000587D0000}"/>
    <cellStyle name="Note 3 2 2 2 3 3 2 2" xfId="5725" xr:uid="{00000000-0005-0000-0000-0000597D0000}"/>
    <cellStyle name="Note 3 2 2 2 3 3 2 2 2" xfId="30949" xr:uid="{00000000-0005-0000-0000-00005A7D0000}"/>
    <cellStyle name="Note 3 2 2 2 3 3 2 3" xfId="28849" xr:uid="{00000000-0005-0000-0000-00005B7D0000}"/>
    <cellStyle name="Note 3 2 2 2 3 3 3" xfId="31287" xr:uid="{00000000-0005-0000-0000-00005C7D0000}"/>
    <cellStyle name="Note 3 2 2 2 3 3 3 2" xfId="32074" xr:uid="{00000000-0005-0000-0000-00005D7D0000}"/>
    <cellStyle name="Note 3 2 2 2 3 3 4" xfId="30460" xr:uid="{00000000-0005-0000-0000-00005E7D0000}"/>
    <cellStyle name="Note 3 2 2 2 3 4" xfId="32682" xr:uid="{00000000-0005-0000-0000-00005F7D0000}"/>
    <cellStyle name="Note 3 2 2 2 3 4 2" xfId="27752" xr:uid="{00000000-0005-0000-0000-0000607D0000}"/>
    <cellStyle name="Note 3 2 2 2 3 4 2 2" xfId="31203" xr:uid="{00000000-0005-0000-0000-0000617D0000}"/>
    <cellStyle name="Note 3 2 2 2 3 4 3" xfId="31281" xr:uid="{00000000-0005-0000-0000-0000627D0000}"/>
    <cellStyle name="Note 3 2 2 2 3 5" xfId="31360" xr:uid="{00000000-0005-0000-0000-0000637D0000}"/>
    <cellStyle name="Note 3 2 2 2 3 5 2" xfId="31363" xr:uid="{00000000-0005-0000-0000-0000647D0000}"/>
    <cellStyle name="Note 3 2 2 2 3 6" xfId="31396" xr:uid="{00000000-0005-0000-0000-0000657D0000}"/>
    <cellStyle name="Note 3 2 2 2 4" xfId="32707" xr:uid="{00000000-0005-0000-0000-0000667D0000}"/>
    <cellStyle name="Note 3 2 2 2 4 2" xfId="15760" xr:uid="{00000000-0005-0000-0000-0000677D0000}"/>
    <cellStyle name="Note 3 2 2 2 4 2 2" xfId="32711" xr:uid="{00000000-0005-0000-0000-0000687D0000}"/>
    <cellStyle name="Note 3 2 2 2 4 2 2 2" xfId="4684" xr:uid="{00000000-0005-0000-0000-0000697D0000}"/>
    <cellStyle name="Note 3 2 2 2 4 2 2 2 2" xfId="24536" xr:uid="{00000000-0005-0000-0000-00006A7D0000}"/>
    <cellStyle name="Note 3 2 2 2 4 2 2 3" xfId="4689" xr:uid="{00000000-0005-0000-0000-00006B7D0000}"/>
    <cellStyle name="Note 3 2 2 2 4 2 3" xfId="31027" xr:uid="{00000000-0005-0000-0000-00006C7D0000}"/>
    <cellStyle name="Note 3 2 2 2 4 2 3 2" xfId="4706" xr:uid="{00000000-0005-0000-0000-00006D7D0000}"/>
    <cellStyle name="Note 3 2 2 2 4 2 4" xfId="29436" xr:uid="{00000000-0005-0000-0000-00006E7D0000}"/>
    <cellStyle name="Note 3 2 2 2 4 3" xfId="10236" xr:uid="{00000000-0005-0000-0000-00006F7D0000}"/>
    <cellStyle name="Note 3 2 2 2 4 3 2" xfId="27398" xr:uid="{00000000-0005-0000-0000-0000707D0000}"/>
    <cellStyle name="Note 3 2 2 2 4 3 2 2" xfId="4729" xr:uid="{00000000-0005-0000-0000-0000717D0000}"/>
    <cellStyle name="Note 3 2 2 2 4 3 3" xfId="31317" xr:uid="{00000000-0005-0000-0000-0000727D0000}"/>
    <cellStyle name="Note 3 2 2 2 4 4" xfId="26194" xr:uid="{00000000-0005-0000-0000-0000737D0000}"/>
    <cellStyle name="Note 3 2 2 2 4 4 2" xfId="31534" xr:uid="{00000000-0005-0000-0000-0000747D0000}"/>
    <cellStyle name="Note 3 2 2 2 4 5" xfId="32721" xr:uid="{00000000-0005-0000-0000-0000757D0000}"/>
    <cellStyle name="Note 3 2 2 2 5" xfId="32723" xr:uid="{00000000-0005-0000-0000-0000767D0000}"/>
    <cellStyle name="Note 3 2 2 2 5 2" xfId="25585" xr:uid="{00000000-0005-0000-0000-0000777D0000}"/>
    <cellStyle name="Note 3 2 2 2 5 2 2" xfId="24618" xr:uid="{00000000-0005-0000-0000-0000787D0000}"/>
    <cellStyle name="Note 3 2 2 2 5 2 2 2" xfId="4763" xr:uid="{00000000-0005-0000-0000-0000797D0000}"/>
    <cellStyle name="Note 3 2 2 2 5 2 3" xfId="31322" xr:uid="{00000000-0005-0000-0000-00007A7D0000}"/>
    <cellStyle name="Note 3 2 2 2 5 3" xfId="26494" xr:uid="{00000000-0005-0000-0000-00007B7D0000}"/>
    <cellStyle name="Note 3 2 2 2 5 3 2" xfId="24028" xr:uid="{00000000-0005-0000-0000-00007C7D0000}"/>
    <cellStyle name="Note 3 2 2 2 5 4" xfId="32731" xr:uid="{00000000-0005-0000-0000-00007D7D0000}"/>
    <cellStyle name="Note 3 2 2 2 6" xfId="32739" xr:uid="{00000000-0005-0000-0000-00007E7D0000}"/>
    <cellStyle name="Note 3 2 2 2 6 2" xfId="30808" xr:uid="{00000000-0005-0000-0000-00007F7D0000}"/>
    <cellStyle name="Note 3 2 2 2 6 2 2" xfId="27293" xr:uid="{00000000-0005-0000-0000-0000807D0000}"/>
    <cellStyle name="Note 3 2 2 2 6 3" xfId="30814" xr:uid="{00000000-0005-0000-0000-0000817D0000}"/>
    <cellStyle name="Note 3 2 2 2 7" xfId="28931" xr:uid="{00000000-0005-0000-0000-0000827D0000}"/>
    <cellStyle name="Note 3 2 2 2 7 2" xfId="32417" xr:uid="{00000000-0005-0000-0000-0000837D0000}"/>
    <cellStyle name="Note 3 2 2 2 8" xfId="33554" xr:uid="{00000000-0005-0000-0000-0000847D0000}"/>
    <cellStyle name="Note 3 2 2 3" xfId="20495" xr:uid="{00000000-0005-0000-0000-0000857D0000}"/>
    <cellStyle name="Note 3 2 2 3 2" xfId="32745" xr:uid="{00000000-0005-0000-0000-0000867D0000}"/>
    <cellStyle name="Note 3 2 2 3 2 2" xfId="712" xr:uid="{00000000-0005-0000-0000-0000877D0000}"/>
    <cellStyle name="Note 3 2 2 3 2 2 2" xfId="23226" xr:uid="{00000000-0005-0000-0000-0000887D0000}"/>
    <cellStyle name="Note 3 2 2 3 2 2 2 2" xfId="28359" xr:uid="{00000000-0005-0000-0000-0000897D0000}"/>
    <cellStyle name="Note 3 2 2 3 2 2 2 2 2" xfId="12239" xr:uid="{00000000-0005-0000-0000-00008A7D0000}"/>
    <cellStyle name="Note 3 2 2 3 2 2 2 2 2 2" xfId="32748" xr:uid="{00000000-0005-0000-0000-00008B7D0000}"/>
    <cellStyle name="Note 3 2 2 3 2 2 2 2 3" xfId="32750" xr:uid="{00000000-0005-0000-0000-00008C7D0000}"/>
    <cellStyle name="Note 3 2 2 3 2 2 2 3" xfId="29021" xr:uid="{00000000-0005-0000-0000-00008D7D0000}"/>
    <cellStyle name="Note 3 2 2 3 2 2 2 3 2" xfId="32752" xr:uid="{00000000-0005-0000-0000-00008E7D0000}"/>
    <cellStyle name="Note 3 2 2 3 2 2 2 4" xfId="32753" xr:uid="{00000000-0005-0000-0000-00008F7D0000}"/>
    <cellStyle name="Note 3 2 2 3 2 2 3" xfId="11740" xr:uid="{00000000-0005-0000-0000-0000907D0000}"/>
    <cellStyle name="Note 3 2 2 3 2 2 3 2" xfId="32899" xr:uid="{00000000-0005-0000-0000-0000917D0000}"/>
    <cellStyle name="Note 3 2 2 3 2 2 3 2 2" xfId="32901" xr:uid="{00000000-0005-0000-0000-0000927D0000}"/>
    <cellStyle name="Note 3 2 2 3 2 2 3 3" xfId="21521" xr:uid="{00000000-0005-0000-0000-0000937D0000}"/>
    <cellStyle name="Note 3 2 2 3 2 2 4" xfId="32931" xr:uid="{00000000-0005-0000-0000-0000947D0000}"/>
    <cellStyle name="Note 3 2 2 3 2 2 4 2" xfId="32425" xr:uid="{00000000-0005-0000-0000-0000957D0000}"/>
    <cellStyle name="Note 3 2 2 3 2 2 5" xfId="32394" xr:uid="{00000000-0005-0000-0000-0000967D0000}"/>
    <cellStyle name="Note 3 2 2 3 2 3" xfId="14177" xr:uid="{00000000-0005-0000-0000-0000977D0000}"/>
    <cellStyle name="Note 3 2 2 3 2 3 2" xfId="32726" xr:uid="{00000000-0005-0000-0000-0000987D0000}"/>
    <cellStyle name="Note 3 2 2 3 2 3 2 2" xfId="33907" xr:uid="{00000000-0005-0000-0000-0000997D0000}"/>
    <cellStyle name="Note 3 2 2 3 2 3 2 2 2" xfId="32756" xr:uid="{00000000-0005-0000-0000-00009A7D0000}"/>
    <cellStyle name="Note 3 2 2 3 2 3 2 3" xfId="33587" xr:uid="{00000000-0005-0000-0000-00009B7D0000}"/>
    <cellStyle name="Note 3 2 2 3 2 3 3" xfId="32727" xr:uid="{00000000-0005-0000-0000-00009C7D0000}"/>
    <cellStyle name="Note 3 2 2 3 2 3 3 2" xfId="33113" xr:uid="{00000000-0005-0000-0000-00009D7D0000}"/>
    <cellStyle name="Note 3 2 2 3 2 3 4" xfId="32437" xr:uid="{00000000-0005-0000-0000-00009E7D0000}"/>
    <cellStyle name="Note 3 2 2 3 2 4" xfId="33312" xr:uid="{00000000-0005-0000-0000-00009F7D0000}"/>
    <cellStyle name="Note 3 2 2 3 2 4 2" xfId="30537" xr:uid="{00000000-0005-0000-0000-0000A07D0000}"/>
    <cellStyle name="Note 3 2 2 3 2 4 2 2" xfId="31527" xr:uid="{00000000-0005-0000-0000-0000A17D0000}"/>
    <cellStyle name="Note 3 2 2 3 2 4 3" xfId="23665" xr:uid="{00000000-0005-0000-0000-0000A27D0000}"/>
    <cellStyle name="Note 3 2 2 3 2 5" xfId="33236" xr:uid="{00000000-0005-0000-0000-0000A37D0000}"/>
    <cellStyle name="Note 3 2 2 3 2 5 2" xfId="23525" xr:uid="{00000000-0005-0000-0000-0000A47D0000}"/>
    <cellStyle name="Note 3 2 2 3 2 6" xfId="6858" xr:uid="{00000000-0005-0000-0000-0000A57D0000}"/>
    <cellStyle name="Note 3 2 2 3 3" xfId="32856" xr:uid="{00000000-0005-0000-0000-0000A67D0000}"/>
    <cellStyle name="Note 3 2 2 3 3 2" xfId="14189" xr:uid="{00000000-0005-0000-0000-0000A77D0000}"/>
    <cellStyle name="Note 3 2 2 3 3 2 2" xfId="33750" xr:uid="{00000000-0005-0000-0000-0000A87D0000}"/>
    <cellStyle name="Note 3 2 2 3 3 2 2 2" xfId="28913" xr:uid="{00000000-0005-0000-0000-0000A97D0000}"/>
    <cellStyle name="Note 3 2 2 3 3 2 2 2 2" xfId="27888" xr:uid="{00000000-0005-0000-0000-0000AA7D0000}"/>
    <cellStyle name="Note 3 2 2 3 3 2 2 3" xfId="24782" xr:uid="{00000000-0005-0000-0000-0000AB7D0000}"/>
    <cellStyle name="Note 3 2 2 3 3 2 3" xfId="31594" xr:uid="{00000000-0005-0000-0000-0000AC7D0000}"/>
    <cellStyle name="Note 3 2 2 3 3 2 3 2" xfId="31490" xr:uid="{00000000-0005-0000-0000-0000AD7D0000}"/>
    <cellStyle name="Note 3 2 2 3 3 2 4" xfId="33190" xr:uid="{00000000-0005-0000-0000-0000AE7D0000}"/>
    <cellStyle name="Note 3 2 2 3 3 3" xfId="26278" xr:uid="{00000000-0005-0000-0000-0000AF7D0000}"/>
    <cellStyle name="Note 3 2 2 3 3 3 2" xfId="33405" xr:uid="{00000000-0005-0000-0000-0000B07D0000}"/>
    <cellStyle name="Note 3 2 2 3 3 3 2 2" xfId="4285" xr:uid="{00000000-0005-0000-0000-0000B17D0000}"/>
    <cellStyle name="Note 3 2 2 3 3 3 3" xfId="31501" xr:uid="{00000000-0005-0000-0000-0000B27D0000}"/>
    <cellStyle name="Note 3 2 2 3 3 4" xfId="32048" xr:uid="{00000000-0005-0000-0000-0000B37D0000}"/>
    <cellStyle name="Note 3 2 2 3 3 4 2" xfId="30768" xr:uid="{00000000-0005-0000-0000-0000B47D0000}"/>
    <cellStyle name="Note 3 2 2 3 3 5" xfId="31792" xr:uid="{00000000-0005-0000-0000-0000B57D0000}"/>
    <cellStyle name="Note 3 2 2 3 4" xfId="31552" xr:uid="{00000000-0005-0000-0000-0000B67D0000}"/>
    <cellStyle name="Note 3 2 2 3 4 2" xfId="19875" xr:uid="{00000000-0005-0000-0000-0000B77D0000}"/>
    <cellStyle name="Note 3 2 2 3 4 2 2" xfId="31251" xr:uid="{00000000-0005-0000-0000-0000B87D0000}"/>
    <cellStyle name="Note 3 2 2 3 4 2 2 2" xfId="32762" xr:uid="{00000000-0005-0000-0000-0000B97D0000}"/>
    <cellStyle name="Note 3 2 2 3 4 2 3" xfId="31515" xr:uid="{00000000-0005-0000-0000-0000BA7D0000}"/>
    <cellStyle name="Note 3 2 2 3 4 3" xfId="29688" xr:uid="{00000000-0005-0000-0000-0000BB7D0000}"/>
    <cellStyle name="Note 3 2 2 3 4 3 2" xfId="32652" xr:uid="{00000000-0005-0000-0000-0000BC7D0000}"/>
    <cellStyle name="Note 3 2 2 3 4 4" xfId="32110" xr:uid="{00000000-0005-0000-0000-0000BD7D0000}"/>
    <cellStyle name="Note 3 2 2 3 5" xfId="27630" xr:uid="{00000000-0005-0000-0000-0000BE7D0000}"/>
    <cellStyle name="Note 3 2 2 3 5 2" xfId="6756" xr:uid="{00000000-0005-0000-0000-0000BF7D0000}"/>
    <cellStyle name="Note 3 2 2 3 5 2 2" xfId="32685" xr:uid="{00000000-0005-0000-0000-0000C07D0000}"/>
    <cellStyle name="Note 3 2 2 3 5 3" xfId="33883" xr:uid="{00000000-0005-0000-0000-0000C17D0000}"/>
    <cellStyle name="Note 3 2 2 3 6" xfId="31448" xr:uid="{00000000-0005-0000-0000-0000C27D0000}"/>
    <cellStyle name="Note 3 2 2 3 6 2" xfId="944" xr:uid="{00000000-0005-0000-0000-0000C37D0000}"/>
    <cellStyle name="Note 3 2 2 3 7" xfId="28861" xr:uid="{00000000-0005-0000-0000-0000C47D0000}"/>
    <cellStyle name="Note 3 2 2 4" xfId="28219" xr:uid="{00000000-0005-0000-0000-0000C57D0000}"/>
    <cellStyle name="Note 3 2 2 4 2" xfId="28043" xr:uid="{00000000-0005-0000-0000-0000C67D0000}"/>
    <cellStyle name="Note 3 2 2 4 2 2" xfId="17539" xr:uid="{00000000-0005-0000-0000-0000C77D0000}"/>
    <cellStyle name="Note 3 2 2 4 2 2 2" xfId="32540" xr:uid="{00000000-0005-0000-0000-0000C87D0000}"/>
    <cellStyle name="Note 3 2 2 4 2 2 2 2" xfId="33216" xr:uid="{00000000-0005-0000-0000-0000C97D0000}"/>
    <cellStyle name="Note 3 2 2 4 2 2 2 2 2" xfId="30377" xr:uid="{00000000-0005-0000-0000-0000CA7D0000}"/>
    <cellStyle name="Note 3 2 2 4 2 2 2 3" xfId="29659" xr:uid="{00000000-0005-0000-0000-0000CB7D0000}"/>
    <cellStyle name="Note 3 2 2 4 2 2 3" xfId="32557" xr:uid="{00000000-0005-0000-0000-0000CC7D0000}"/>
    <cellStyle name="Note 3 2 2 4 2 2 3 2" xfId="32778" xr:uid="{00000000-0005-0000-0000-0000CD7D0000}"/>
    <cellStyle name="Note 3 2 2 4 2 2 4" xfId="32385" xr:uid="{00000000-0005-0000-0000-0000CE7D0000}"/>
    <cellStyle name="Note 3 2 2 4 2 3" xfId="33099" xr:uid="{00000000-0005-0000-0000-0000CF7D0000}"/>
    <cellStyle name="Note 3 2 2 4 2 3 2" xfId="26273" xr:uid="{00000000-0005-0000-0000-0000D07D0000}"/>
    <cellStyle name="Note 3 2 2 4 2 3 2 2" xfId="32570" xr:uid="{00000000-0005-0000-0000-0000D17D0000}"/>
    <cellStyle name="Note 3 2 2 4 2 3 3" xfId="31037" xr:uid="{00000000-0005-0000-0000-0000D27D0000}"/>
    <cellStyle name="Note 3 2 2 4 2 4" xfId="31040" xr:uid="{00000000-0005-0000-0000-0000D37D0000}"/>
    <cellStyle name="Note 3 2 2 4 2 4 2" xfId="12826" xr:uid="{00000000-0005-0000-0000-0000D47D0000}"/>
    <cellStyle name="Note 3 2 2 4 2 5" xfId="30772" xr:uid="{00000000-0005-0000-0000-0000D57D0000}"/>
    <cellStyle name="Note 3 2 2 4 3" xfId="32833" xr:uid="{00000000-0005-0000-0000-0000D67D0000}"/>
    <cellStyle name="Note 3 2 2 4 3 2" xfId="13560" xr:uid="{00000000-0005-0000-0000-0000D77D0000}"/>
    <cellStyle name="Note 3 2 2 4 3 2 2" xfId="5907" xr:uid="{00000000-0005-0000-0000-0000D87D0000}"/>
    <cellStyle name="Note 3 2 2 4 3 2 2 2" xfId="32806" xr:uid="{00000000-0005-0000-0000-0000D97D0000}"/>
    <cellStyle name="Note 3 2 2 4 3 2 3" xfId="31568" xr:uid="{00000000-0005-0000-0000-0000DA7D0000}"/>
    <cellStyle name="Note 3 2 2 4 3 3" xfId="4883" xr:uid="{00000000-0005-0000-0000-0000DB7D0000}"/>
    <cellStyle name="Note 3 2 2 4 3 3 2" xfId="33514" xr:uid="{00000000-0005-0000-0000-0000DC7D0000}"/>
    <cellStyle name="Note 3 2 2 4 3 4" xfId="33196" xr:uid="{00000000-0005-0000-0000-0000DD7D0000}"/>
    <cellStyle name="Note 3 2 2 4 4" xfId="31415" xr:uid="{00000000-0005-0000-0000-0000DE7D0000}"/>
    <cellStyle name="Note 3 2 2 4 4 2" xfId="4902" xr:uid="{00000000-0005-0000-0000-0000DF7D0000}"/>
    <cellStyle name="Note 3 2 2 4 4 2 2" xfId="30195" xr:uid="{00000000-0005-0000-0000-0000E07D0000}"/>
    <cellStyle name="Note 3 2 2 4 4 3" xfId="30418" xr:uid="{00000000-0005-0000-0000-0000E17D0000}"/>
    <cellStyle name="Note 3 2 2 4 5" xfId="2207" xr:uid="{00000000-0005-0000-0000-0000E27D0000}"/>
    <cellStyle name="Note 3 2 2 4 5 2" xfId="30298" xr:uid="{00000000-0005-0000-0000-0000E37D0000}"/>
    <cellStyle name="Note 3 2 2 4 6" xfId="26570" xr:uid="{00000000-0005-0000-0000-0000E47D0000}"/>
    <cellStyle name="Note 3 2 2 5" xfId="28229" xr:uid="{00000000-0005-0000-0000-0000E57D0000}"/>
    <cellStyle name="Note 3 2 2 5 2" xfId="32705" xr:uid="{00000000-0005-0000-0000-0000E67D0000}"/>
    <cellStyle name="Note 3 2 2 5 2 2" xfId="29711" xr:uid="{00000000-0005-0000-0000-0000E77D0000}"/>
    <cellStyle name="Note 3 2 2 5 2 2 2" xfId="19101" xr:uid="{00000000-0005-0000-0000-0000E87D0000}"/>
    <cellStyle name="Note 3 2 2 5 2 2 2 2" xfId="7147" xr:uid="{00000000-0005-0000-0000-0000E97D0000}"/>
    <cellStyle name="Note 3 2 2 5 2 2 3" xfId="23431" xr:uid="{00000000-0005-0000-0000-0000EA7D0000}"/>
    <cellStyle name="Note 3 2 2 5 2 3" xfId="26917" xr:uid="{00000000-0005-0000-0000-0000EB7D0000}"/>
    <cellStyle name="Note 3 2 2 5 2 3 2" xfId="23443" xr:uid="{00000000-0005-0000-0000-0000EC7D0000}"/>
    <cellStyle name="Note 3 2 2 5 2 4" xfId="34015" xr:uid="{00000000-0005-0000-0000-0000ED7D0000}"/>
    <cellStyle name="Note 3 2 2 5 3" xfId="30571" xr:uid="{00000000-0005-0000-0000-0000EE7D0000}"/>
    <cellStyle name="Note 3 2 2 5 3 2" xfId="7985" xr:uid="{00000000-0005-0000-0000-0000EF7D0000}"/>
    <cellStyle name="Note 3 2 2 5 3 2 2" xfId="23490" xr:uid="{00000000-0005-0000-0000-0000F07D0000}"/>
    <cellStyle name="Note 3 2 2 5 3 3" xfId="30447" xr:uid="{00000000-0005-0000-0000-0000F17D0000}"/>
    <cellStyle name="Note 3 2 2 5 4" xfId="29475" xr:uid="{00000000-0005-0000-0000-0000F27D0000}"/>
    <cellStyle name="Note 3 2 2 5 4 2" xfId="31430" xr:uid="{00000000-0005-0000-0000-0000F37D0000}"/>
    <cellStyle name="Note 3 2 2 5 5" xfId="24305" xr:uid="{00000000-0005-0000-0000-0000F47D0000}"/>
    <cellStyle name="Note 3 2 2 6" xfId="28103" xr:uid="{00000000-0005-0000-0000-0000F57D0000}"/>
    <cellStyle name="Note 3 2 2 6 2" xfId="25760" xr:uid="{00000000-0005-0000-0000-0000F67D0000}"/>
    <cellStyle name="Note 3 2 2 6 2 2" xfId="28020" xr:uid="{00000000-0005-0000-0000-0000F77D0000}"/>
    <cellStyle name="Note 3 2 2 6 2 2 2" xfId="23673" xr:uid="{00000000-0005-0000-0000-0000F87D0000}"/>
    <cellStyle name="Note 3 2 2 6 2 3" xfId="33065" xr:uid="{00000000-0005-0000-0000-0000F97D0000}"/>
    <cellStyle name="Note 3 2 2 6 3" xfId="33626" xr:uid="{00000000-0005-0000-0000-0000FA7D0000}"/>
    <cellStyle name="Note 3 2 2 6 3 2" xfId="33903" xr:uid="{00000000-0005-0000-0000-0000FB7D0000}"/>
    <cellStyle name="Note 3 2 2 6 4" xfId="31441" xr:uid="{00000000-0005-0000-0000-0000FC7D0000}"/>
    <cellStyle name="Note 3 2 2 7" xfId="22397" xr:uid="{00000000-0005-0000-0000-0000FD7D0000}"/>
    <cellStyle name="Note 3 2 2 7 2" xfId="33332" xr:uid="{00000000-0005-0000-0000-0000FE7D0000}"/>
    <cellStyle name="Note 3 2 2 7 2 2" xfId="28032" xr:uid="{00000000-0005-0000-0000-0000FF7D0000}"/>
    <cellStyle name="Note 3 2 2 7 3" xfId="32972" xr:uid="{00000000-0005-0000-0000-0000007E0000}"/>
    <cellStyle name="Note 3 2 2 8" xfId="9476" xr:uid="{00000000-0005-0000-0000-0000017E0000}"/>
    <cellStyle name="Note 3 2 2 8 2" xfId="32788" xr:uid="{00000000-0005-0000-0000-0000027E0000}"/>
    <cellStyle name="Note 3 2 2 9" xfId="32797" xr:uid="{00000000-0005-0000-0000-0000037E0000}"/>
    <cellStyle name="Note 3 2 3" xfId="12695" xr:uid="{00000000-0005-0000-0000-0000047E0000}"/>
    <cellStyle name="Note 3 2 3 2" xfId="28568" xr:uid="{00000000-0005-0000-0000-0000057E0000}"/>
    <cellStyle name="Note 3 2 3 2 2" xfId="13700" xr:uid="{00000000-0005-0000-0000-0000067E0000}"/>
    <cellStyle name="Note 3 2 3 2 2 2" xfId="19238" xr:uid="{00000000-0005-0000-0000-0000077E0000}"/>
    <cellStyle name="Note 3 2 3 2 2 2 2" xfId="32186" xr:uid="{00000000-0005-0000-0000-0000087E0000}"/>
    <cellStyle name="Note 3 2 3 2 2 2 2 2" xfId="32804" xr:uid="{00000000-0005-0000-0000-0000097E0000}"/>
    <cellStyle name="Note 3 2 3 2 2 2 2 2 2" xfId="7172" xr:uid="{00000000-0005-0000-0000-00000A7E0000}"/>
    <cellStyle name="Note 3 2 3 2 2 2 2 2 2 2" xfId="4880" xr:uid="{00000000-0005-0000-0000-00000B7E0000}"/>
    <cellStyle name="Note 3 2 3 2 2 2 2 2 3" xfId="6988" xr:uid="{00000000-0005-0000-0000-00000C7E0000}"/>
    <cellStyle name="Note 3 2 3 2 2 2 2 3" xfId="32321" xr:uid="{00000000-0005-0000-0000-00000D7E0000}"/>
    <cellStyle name="Note 3 2 3 2 2 2 2 3 2" xfId="6994" xr:uid="{00000000-0005-0000-0000-00000E7E0000}"/>
    <cellStyle name="Note 3 2 3 2 2 2 2 4" xfId="32133" xr:uid="{00000000-0005-0000-0000-00000F7E0000}"/>
    <cellStyle name="Note 3 2 3 2 2 2 3" xfId="9446" xr:uid="{00000000-0005-0000-0000-0000107E0000}"/>
    <cellStyle name="Note 3 2 3 2 2 2 3 2" xfId="33149" xr:uid="{00000000-0005-0000-0000-0000117E0000}"/>
    <cellStyle name="Note 3 2 3 2 2 2 3 2 2" xfId="7000" xr:uid="{00000000-0005-0000-0000-0000127E0000}"/>
    <cellStyle name="Note 3 2 3 2 2 2 3 3" xfId="22190" xr:uid="{00000000-0005-0000-0000-0000137E0000}"/>
    <cellStyle name="Note 3 2 3 2 2 2 4" xfId="32506" xr:uid="{00000000-0005-0000-0000-0000147E0000}"/>
    <cellStyle name="Note 3 2 3 2 2 2 4 2" xfId="33861" xr:uid="{00000000-0005-0000-0000-0000157E0000}"/>
    <cellStyle name="Note 3 2 3 2 2 2 5" xfId="33855" xr:uid="{00000000-0005-0000-0000-0000167E0000}"/>
    <cellStyle name="Note 3 2 3 2 2 3" xfId="9709" xr:uid="{00000000-0005-0000-0000-0000177E0000}"/>
    <cellStyle name="Note 3 2 3 2 2 3 2" xfId="30926" xr:uid="{00000000-0005-0000-0000-0000187E0000}"/>
    <cellStyle name="Note 3 2 3 2 2 3 2 2" xfId="32815" xr:uid="{00000000-0005-0000-0000-0000197E0000}"/>
    <cellStyle name="Note 3 2 3 2 2 3 2 2 2" xfId="7816" xr:uid="{00000000-0005-0000-0000-00001A7E0000}"/>
    <cellStyle name="Note 3 2 3 2 2 3 2 3" xfId="32766" xr:uid="{00000000-0005-0000-0000-00001B7E0000}"/>
    <cellStyle name="Note 3 2 3 2 2 3 3" xfId="33114" xr:uid="{00000000-0005-0000-0000-00001C7E0000}"/>
    <cellStyle name="Note 3 2 3 2 2 3 3 2" xfId="32824" xr:uid="{00000000-0005-0000-0000-00001D7E0000}"/>
    <cellStyle name="Note 3 2 3 2 2 3 4" xfId="34003" xr:uid="{00000000-0005-0000-0000-00001E7E0000}"/>
    <cellStyle name="Note 3 2 3 2 2 4" xfId="7756" xr:uid="{00000000-0005-0000-0000-00001F7E0000}"/>
    <cellStyle name="Note 3 2 3 2 2 4 2" xfId="32828" xr:uid="{00000000-0005-0000-0000-0000207E0000}"/>
    <cellStyle name="Note 3 2 3 2 2 4 2 2" xfId="32830" xr:uid="{00000000-0005-0000-0000-0000217E0000}"/>
    <cellStyle name="Note 3 2 3 2 2 4 3" xfId="30442" xr:uid="{00000000-0005-0000-0000-0000227E0000}"/>
    <cellStyle name="Note 3 2 3 2 2 5" xfId="3050" xr:uid="{00000000-0005-0000-0000-0000237E0000}"/>
    <cellStyle name="Note 3 2 3 2 2 5 2" xfId="32832" xr:uid="{00000000-0005-0000-0000-0000247E0000}"/>
    <cellStyle name="Note 3 2 3 2 2 6" xfId="21581" xr:uid="{00000000-0005-0000-0000-0000257E0000}"/>
    <cellStyle name="Note 3 2 3 2 3" xfId="32844" xr:uid="{00000000-0005-0000-0000-0000267E0000}"/>
    <cellStyle name="Note 3 2 3 2 3 2" xfId="31346" xr:uid="{00000000-0005-0000-0000-0000277E0000}"/>
    <cellStyle name="Note 3 2 3 2 3 2 2" xfId="33162" xr:uid="{00000000-0005-0000-0000-0000287E0000}"/>
    <cellStyle name="Note 3 2 3 2 3 2 2 2" xfId="32442" xr:uid="{00000000-0005-0000-0000-0000297E0000}"/>
    <cellStyle name="Note 3 2 3 2 3 2 2 2 2" xfId="17996" xr:uid="{00000000-0005-0000-0000-00002A7E0000}"/>
    <cellStyle name="Note 3 2 3 2 3 2 2 3" xfId="23950" xr:uid="{00000000-0005-0000-0000-00002B7E0000}"/>
    <cellStyle name="Note 3 2 3 2 3 2 3" xfId="33169" xr:uid="{00000000-0005-0000-0000-00002C7E0000}"/>
    <cellStyle name="Note 3 2 3 2 3 2 3 2" xfId="25206" xr:uid="{00000000-0005-0000-0000-00002D7E0000}"/>
    <cellStyle name="Note 3 2 3 2 3 2 4" xfId="32069" xr:uid="{00000000-0005-0000-0000-00002E7E0000}"/>
    <cellStyle name="Note 3 2 3 2 3 3" xfId="3519" xr:uid="{00000000-0005-0000-0000-00002F7E0000}"/>
    <cellStyle name="Note 3 2 3 2 3 3 2" xfId="33519" xr:uid="{00000000-0005-0000-0000-0000307E0000}"/>
    <cellStyle name="Note 3 2 3 2 3 3 2 2" xfId="32847" xr:uid="{00000000-0005-0000-0000-0000317E0000}"/>
    <cellStyle name="Note 3 2 3 2 3 3 3" xfId="32664" xr:uid="{00000000-0005-0000-0000-0000327E0000}"/>
    <cellStyle name="Note 3 2 3 2 3 4" xfId="20151" xr:uid="{00000000-0005-0000-0000-0000337E0000}"/>
    <cellStyle name="Note 3 2 3 2 3 4 2" xfId="20155" xr:uid="{00000000-0005-0000-0000-0000347E0000}"/>
    <cellStyle name="Note 3 2 3 2 3 5" xfId="20159" xr:uid="{00000000-0005-0000-0000-0000357E0000}"/>
    <cellStyle name="Note 3 2 3 2 4" xfId="32146" xr:uid="{00000000-0005-0000-0000-0000367E0000}"/>
    <cellStyle name="Note 3 2 3 2 4 2" xfId="32196" xr:uid="{00000000-0005-0000-0000-0000377E0000}"/>
    <cellStyle name="Note 3 2 3 2 4 2 2" xfId="33697" xr:uid="{00000000-0005-0000-0000-0000387E0000}"/>
    <cellStyle name="Note 3 2 3 2 4 2 2 2" xfId="26865" xr:uid="{00000000-0005-0000-0000-0000397E0000}"/>
    <cellStyle name="Note 3 2 3 2 4 2 3" xfId="32860" xr:uid="{00000000-0005-0000-0000-00003A7E0000}"/>
    <cellStyle name="Note 3 2 3 2 4 3" xfId="26516" xr:uid="{00000000-0005-0000-0000-00003B7E0000}"/>
    <cellStyle name="Note 3 2 3 2 4 3 2" xfId="32067" xr:uid="{00000000-0005-0000-0000-00003C7E0000}"/>
    <cellStyle name="Note 3 2 3 2 4 4" xfId="20163" xr:uid="{00000000-0005-0000-0000-00003D7E0000}"/>
    <cellStyle name="Note 3 2 3 2 5" xfId="10007" xr:uid="{00000000-0005-0000-0000-00003E7E0000}"/>
    <cellStyle name="Note 3 2 3 2 5 2" xfId="2170" xr:uid="{00000000-0005-0000-0000-00003F7E0000}"/>
    <cellStyle name="Note 3 2 3 2 5 2 2" xfId="24323" xr:uid="{00000000-0005-0000-0000-0000407E0000}"/>
    <cellStyle name="Note 3 2 3 2 5 3" xfId="32869" xr:uid="{00000000-0005-0000-0000-0000417E0000}"/>
    <cellStyle name="Note 3 2 3 2 6" xfId="21353" xr:uid="{00000000-0005-0000-0000-0000427E0000}"/>
    <cellStyle name="Note 3 2 3 2 6 2" xfId="27425" xr:uid="{00000000-0005-0000-0000-0000437E0000}"/>
    <cellStyle name="Note 3 2 3 2 7" xfId="21367" xr:uid="{00000000-0005-0000-0000-0000447E0000}"/>
    <cellStyle name="Note 3 2 3 3" xfId="28046" xr:uid="{00000000-0005-0000-0000-0000457E0000}"/>
    <cellStyle name="Note 3 2 3 3 2" xfId="32861" xr:uid="{00000000-0005-0000-0000-0000467E0000}"/>
    <cellStyle name="Note 3 2 3 3 2 2" xfId="33576" xr:uid="{00000000-0005-0000-0000-0000477E0000}"/>
    <cellStyle name="Note 3 2 3 3 2 2 2" xfId="32556" xr:uid="{00000000-0005-0000-0000-0000487E0000}"/>
    <cellStyle name="Note 3 2 3 3 2 2 2 2" xfId="10062" xr:uid="{00000000-0005-0000-0000-0000497E0000}"/>
    <cellStyle name="Note 3 2 3 3 2 2 2 2 2" xfId="7363" xr:uid="{00000000-0005-0000-0000-00004A7E0000}"/>
    <cellStyle name="Note 3 2 3 3 2 2 2 3" xfId="29434" xr:uid="{00000000-0005-0000-0000-00004B7E0000}"/>
    <cellStyle name="Note 3 2 3 3 2 2 3" xfId="32717" xr:uid="{00000000-0005-0000-0000-00004C7E0000}"/>
    <cellStyle name="Note 3 2 3 3 2 2 3 2" xfId="32566" xr:uid="{00000000-0005-0000-0000-00004D7E0000}"/>
    <cellStyle name="Note 3 2 3 3 2 2 4" xfId="32567" xr:uid="{00000000-0005-0000-0000-00004E7E0000}"/>
    <cellStyle name="Note 3 2 3 3 2 3" xfId="3555" xr:uid="{00000000-0005-0000-0000-00004F7E0000}"/>
    <cellStyle name="Note 3 2 3 3 2 3 2" xfId="33846" xr:uid="{00000000-0005-0000-0000-0000507E0000}"/>
    <cellStyle name="Note 3 2 3 3 2 3 2 2" xfId="32573" xr:uid="{00000000-0005-0000-0000-0000517E0000}"/>
    <cellStyle name="Note 3 2 3 3 2 3 3" xfId="27505" xr:uid="{00000000-0005-0000-0000-0000527E0000}"/>
    <cellStyle name="Note 3 2 3 3 2 4" xfId="3070" xr:uid="{00000000-0005-0000-0000-0000537E0000}"/>
    <cellStyle name="Note 3 2 3 3 2 4 2" xfId="5634" xr:uid="{00000000-0005-0000-0000-0000547E0000}"/>
    <cellStyle name="Note 3 2 3 3 2 5" xfId="32028" xr:uid="{00000000-0005-0000-0000-0000557E0000}"/>
    <cellStyle name="Note 3 2 3 3 3" xfId="30716" xr:uid="{00000000-0005-0000-0000-0000567E0000}"/>
    <cellStyle name="Note 3 2 3 3 3 2" xfId="33007" xr:uid="{00000000-0005-0000-0000-0000577E0000}"/>
    <cellStyle name="Note 3 2 3 3 3 2 2" xfId="33363" xr:uid="{00000000-0005-0000-0000-0000587E0000}"/>
    <cellStyle name="Note 3 2 3 3 3 2 2 2" xfId="33401" xr:uid="{00000000-0005-0000-0000-0000597E0000}"/>
    <cellStyle name="Note 3 2 3 3 3 2 3" xfId="33430" xr:uid="{00000000-0005-0000-0000-00005A7E0000}"/>
    <cellStyle name="Note 3 2 3 3 3 3" xfId="5014" xr:uid="{00000000-0005-0000-0000-00005B7E0000}"/>
    <cellStyle name="Note 3 2 3 3 3 3 2" xfId="29144" xr:uid="{00000000-0005-0000-0000-00005C7E0000}"/>
    <cellStyle name="Note 3 2 3 3 3 4" xfId="20164" xr:uid="{00000000-0005-0000-0000-00005D7E0000}"/>
    <cellStyle name="Note 3 2 3 3 4" xfId="30662" xr:uid="{00000000-0005-0000-0000-00005E7E0000}"/>
    <cellStyle name="Note 3 2 3 3 4 2" xfId="32889" xr:uid="{00000000-0005-0000-0000-00005F7E0000}"/>
    <cellStyle name="Note 3 2 3 3 4 2 2" xfId="32077" xr:uid="{00000000-0005-0000-0000-0000607E0000}"/>
    <cellStyle name="Note 3 2 3 3 4 3" xfId="32882" xr:uid="{00000000-0005-0000-0000-0000617E0000}"/>
    <cellStyle name="Note 3 2 3 3 5" xfId="30665" xr:uid="{00000000-0005-0000-0000-0000627E0000}"/>
    <cellStyle name="Note 3 2 3 3 5 2" xfId="33439" xr:uid="{00000000-0005-0000-0000-0000637E0000}"/>
    <cellStyle name="Note 3 2 3 3 6" xfId="21379" xr:uid="{00000000-0005-0000-0000-0000647E0000}"/>
    <cellStyle name="Note 3 2 3 4" xfId="14977" xr:uid="{00000000-0005-0000-0000-0000657E0000}"/>
    <cellStyle name="Note 3 2 3 4 2" xfId="32872" xr:uid="{00000000-0005-0000-0000-0000667E0000}"/>
    <cellStyle name="Note 3 2 3 4 2 2" xfId="27411" xr:uid="{00000000-0005-0000-0000-0000677E0000}"/>
    <cellStyle name="Note 3 2 3 4 2 2 2" xfId="32496" xr:uid="{00000000-0005-0000-0000-0000687E0000}"/>
    <cellStyle name="Note 3 2 3 4 2 2 2 2" xfId="31070" xr:uid="{00000000-0005-0000-0000-0000697E0000}"/>
    <cellStyle name="Note 3 2 3 4 2 2 3" xfId="33643" xr:uid="{00000000-0005-0000-0000-00006A7E0000}"/>
    <cellStyle name="Note 3 2 3 4 2 3" xfId="3579" xr:uid="{00000000-0005-0000-0000-00006B7E0000}"/>
    <cellStyle name="Note 3 2 3 4 2 3 2" xfId="33929" xr:uid="{00000000-0005-0000-0000-00006C7E0000}"/>
    <cellStyle name="Note 3 2 3 4 2 4" xfId="32900" xr:uid="{00000000-0005-0000-0000-00006D7E0000}"/>
    <cellStyle name="Note 3 2 3 4 3" xfId="33381" xr:uid="{00000000-0005-0000-0000-00006E7E0000}"/>
    <cellStyle name="Note 3 2 3 4 3 2" xfId="5066" xr:uid="{00000000-0005-0000-0000-00006F7E0000}"/>
    <cellStyle name="Note 3 2 3 4 3 2 2" xfId="32140" xr:uid="{00000000-0005-0000-0000-0000707E0000}"/>
    <cellStyle name="Note 3 2 3 4 3 3" xfId="32892" xr:uid="{00000000-0005-0000-0000-0000717E0000}"/>
    <cellStyle name="Note 3 2 3 4 4" xfId="31452" xr:uid="{00000000-0005-0000-0000-0000727E0000}"/>
    <cellStyle name="Note 3 2 3 4 4 2" xfId="28278" xr:uid="{00000000-0005-0000-0000-0000737E0000}"/>
    <cellStyle name="Note 3 2 3 4 5" xfId="26588" xr:uid="{00000000-0005-0000-0000-0000747E0000}"/>
    <cellStyle name="Note 3 2 3 5" xfId="30826" xr:uid="{00000000-0005-0000-0000-0000757E0000}"/>
    <cellStyle name="Note 3 2 3 5 2" xfId="31895" xr:uid="{00000000-0005-0000-0000-0000767E0000}"/>
    <cellStyle name="Note 3 2 3 5 2 2" xfId="32520" xr:uid="{00000000-0005-0000-0000-0000777E0000}"/>
    <cellStyle name="Note 3 2 3 5 2 2 2" xfId="7811" xr:uid="{00000000-0005-0000-0000-0000787E0000}"/>
    <cellStyle name="Note 3 2 3 5 2 3" xfId="32895" xr:uid="{00000000-0005-0000-0000-0000797E0000}"/>
    <cellStyle name="Note 3 2 3 5 3" xfId="32525" xr:uid="{00000000-0005-0000-0000-00007A7E0000}"/>
    <cellStyle name="Note 3 2 3 5 3 2" xfId="33645" xr:uid="{00000000-0005-0000-0000-00007B7E0000}"/>
    <cellStyle name="Note 3 2 3 5 4" xfId="30325" xr:uid="{00000000-0005-0000-0000-00007C7E0000}"/>
    <cellStyle name="Note 3 2 3 6" xfId="25736" xr:uid="{00000000-0005-0000-0000-00007D7E0000}"/>
    <cellStyle name="Note 3 2 3 6 2" xfId="32536" xr:uid="{00000000-0005-0000-0000-00007E7E0000}"/>
    <cellStyle name="Note 3 2 3 6 2 2" xfId="32896" xr:uid="{00000000-0005-0000-0000-00007F7E0000}"/>
    <cellStyle name="Note 3 2 3 6 3" xfId="28946" xr:uid="{00000000-0005-0000-0000-0000807E0000}"/>
    <cellStyle name="Note 3 2 3 7" xfId="28958" xr:uid="{00000000-0005-0000-0000-0000817E0000}"/>
    <cellStyle name="Note 3 2 3 7 2" xfId="24763" xr:uid="{00000000-0005-0000-0000-0000827E0000}"/>
    <cellStyle name="Note 3 2 3 8" xfId="30607" xr:uid="{00000000-0005-0000-0000-0000837E0000}"/>
    <cellStyle name="Note 3 2 4" xfId="24868" xr:uid="{00000000-0005-0000-0000-0000847E0000}"/>
    <cellStyle name="Note 3 2 4 2" xfId="32867" xr:uid="{00000000-0005-0000-0000-0000857E0000}"/>
    <cellStyle name="Note 3 2 4 2 2" xfId="30490" xr:uid="{00000000-0005-0000-0000-0000867E0000}"/>
    <cellStyle name="Note 3 2 4 2 2 2" xfId="32155" xr:uid="{00000000-0005-0000-0000-0000877E0000}"/>
    <cellStyle name="Note 3 2 4 2 2 2 2" xfId="32092" xr:uid="{00000000-0005-0000-0000-0000887E0000}"/>
    <cellStyle name="Note 3 2 4 2 2 2 2 2" xfId="30180" xr:uid="{00000000-0005-0000-0000-0000897E0000}"/>
    <cellStyle name="Note 3 2 4 2 2 2 2 2 2" xfId="15065" xr:uid="{00000000-0005-0000-0000-00008A7E0000}"/>
    <cellStyle name="Note 3 2 4 2 2 2 2 3" xfId="25679" xr:uid="{00000000-0005-0000-0000-00008B7E0000}"/>
    <cellStyle name="Note 3 2 4 2 2 2 3" xfId="15347" xr:uid="{00000000-0005-0000-0000-00008C7E0000}"/>
    <cellStyle name="Note 3 2 4 2 2 2 3 2" xfId="32916" xr:uid="{00000000-0005-0000-0000-00008D7E0000}"/>
    <cellStyle name="Note 3 2 4 2 2 2 4" xfId="32918" xr:uid="{00000000-0005-0000-0000-00008E7E0000}"/>
    <cellStyle name="Note 3 2 4 2 2 3" xfId="2640" xr:uid="{00000000-0005-0000-0000-00008F7E0000}"/>
    <cellStyle name="Note 3 2 4 2 2 3 2" xfId="31205" xr:uid="{00000000-0005-0000-0000-0000907E0000}"/>
    <cellStyle name="Note 3 2 4 2 2 3 2 2" xfId="28726" xr:uid="{00000000-0005-0000-0000-0000917E0000}"/>
    <cellStyle name="Note 3 2 4 2 2 3 3" xfId="32923" xr:uid="{00000000-0005-0000-0000-0000927E0000}"/>
    <cellStyle name="Note 3 2 4 2 2 4" xfId="3219" xr:uid="{00000000-0005-0000-0000-0000937E0000}"/>
    <cellStyle name="Note 3 2 4 2 2 4 2" xfId="30514" xr:uid="{00000000-0005-0000-0000-0000947E0000}"/>
    <cellStyle name="Note 3 2 4 2 2 5" xfId="138" xr:uid="{00000000-0005-0000-0000-0000957E0000}"/>
    <cellStyle name="Note 3 2 4 2 3" xfId="31064" xr:uid="{00000000-0005-0000-0000-0000967E0000}"/>
    <cellStyle name="Note 3 2 4 2 3 2" xfId="33468" xr:uid="{00000000-0005-0000-0000-0000977E0000}"/>
    <cellStyle name="Note 3 2 4 2 3 2 2" xfId="30334" xr:uid="{00000000-0005-0000-0000-0000987E0000}"/>
    <cellStyle name="Note 3 2 4 2 3 2 2 2" xfId="31971" xr:uid="{00000000-0005-0000-0000-0000997E0000}"/>
    <cellStyle name="Note 3 2 4 2 3 2 3" xfId="13663" xr:uid="{00000000-0005-0000-0000-00009A7E0000}"/>
    <cellStyle name="Note 3 2 4 2 3 3" xfId="5145" xr:uid="{00000000-0005-0000-0000-00009B7E0000}"/>
    <cellStyle name="Note 3 2 4 2 3 3 2" xfId="31985" xr:uid="{00000000-0005-0000-0000-00009C7E0000}"/>
    <cellStyle name="Note 3 2 4 2 3 4" xfId="20214" xr:uid="{00000000-0005-0000-0000-00009D7E0000}"/>
    <cellStyle name="Note 3 2 4 2 4" xfId="32562" xr:uid="{00000000-0005-0000-0000-00009E7E0000}"/>
    <cellStyle name="Note 3 2 4 2 4 2" xfId="4269" xr:uid="{00000000-0005-0000-0000-00009F7E0000}"/>
    <cellStyle name="Note 3 2 4 2 4 2 2" xfId="15835" xr:uid="{00000000-0005-0000-0000-0000A07E0000}"/>
    <cellStyle name="Note 3 2 4 2 4 3" xfId="14442" xr:uid="{00000000-0005-0000-0000-0000A17E0000}"/>
    <cellStyle name="Note 3 2 4 2 5" xfId="33058" xr:uid="{00000000-0005-0000-0000-0000A27E0000}"/>
    <cellStyle name="Note 3 2 4 2 5 2" xfId="590" xr:uid="{00000000-0005-0000-0000-0000A37E0000}"/>
    <cellStyle name="Note 3 2 4 2 6" xfId="21404" xr:uid="{00000000-0005-0000-0000-0000A47E0000}"/>
    <cellStyle name="Note 3 2 4 3" xfId="28057" xr:uid="{00000000-0005-0000-0000-0000A57E0000}"/>
    <cellStyle name="Note 3 2 4 3 2" xfId="31439" xr:uid="{00000000-0005-0000-0000-0000A67E0000}"/>
    <cellStyle name="Note 3 2 4 3 2 2" xfId="33426" xr:uid="{00000000-0005-0000-0000-0000A77E0000}"/>
    <cellStyle name="Note 3 2 4 3 2 2 2" xfId="24409" xr:uid="{00000000-0005-0000-0000-0000A87E0000}"/>
    <cellStyle name="Note 3 2 4 3 2 2 2 2" xfId="32080" xr:uid="{00000000-0005-0000-0000-0000A97E0000}"/>
    <cellStyle name="Note 3 2 4 3 2 2 3" xfId="33036" xr:uid="{00000000-0005-0000-0000-0000AA7E0000}"/>
    <cellStyle name="Note 3 2 4 3 2 3" xfId="6703" xr:uid="{00000000-0005-0000-0000-0000AB7E0000}"/>
    <cellStyle name="Note 3 2 4 3 2 3 2" xfId="33038" xr:uid="{00000000-0005-0000-0000-0000AC7E0000}"/>
    <cellStyle name="Note 3 2 4 3 2 4" xfId="32594" xr:uid="{00000000-0005-0000-0000-0000AD7E0000}"/>
    <cellStyle name="Note 3 2 4 3 3" xfId="32949" xr:uid="{00000000-0005-0000-0000-0000AE7E0000}"/>
    <cellStyle name="Note 3 2 4 3 3 2" xfId="33361" xr:uid="{00000000-0005-0000-0000-0000AF7E0000}"/>
    <cellStyle name="Note 3 2 4 3 3 2 2" xfId="32952" xr:uid="{00000000-0005-0000-0000-0000B07E0000}"/>
    <cellStyle name="Note 3 2 4 3 3 3" xfId="32596" xr:uid="{00000000-0005-0000-0000-0000B17E0000}"/>
    <cellStyle name="Note 3 2 4 3 4" xfId="30674" xr:uid="{00000000-0005-0000-0000-0000B27E0000}"/>
    <cellStyle name="Note 3 2 4 3 4 2" xfId="12683" xr:uid="{00000000-0005-0000-0000-0000B37E0000}"/>
    <cellStyle name="Note 3 2 4 3 5" xfId="32607" xr:uid="{00000000-0005-0000-0000-0000B47E0000}"/>
    <cellStyle name="Note 3 2 4 4" xfId="24173" xr:uid="{00000000-0005-0000-0000-0000B57E0000}"/>
    <cellStyle name="Note 3 2 4 4 2" xfId="27452" xr:uid="{00000000-0005-0000-0000-0000B67E0000}"/>
    <cellStyle name="Note 3 2 4 4 2 2" xfId="32963" xr:uid="{00000000-0005-0000-0000-0000B77E0000}"/>
    <cellStyle name="Note 3 2 4 4 2 2 2" xfId="14312" xr:uid="{00000000-0005-0000-0000-0000B87E0000}"/>
    <cellStyle name="Note 3 2 4 4 2 3" xfId="32964" xr:uid="{00000000-0005-0000-0000-0000B97E0000}"/>
    <cellStyle name="Note 3 2 4 4 3" xfId="30585" xr:uid="{00000000-0005-0000-0000-0000BA7E0000}"/>
    <cellStyle name="Note 3 2 4 4 3 2" xfId="33669" xr:uid="{00000000-0005-0000-0000-0000BB7E0000}"/>
    <cellStyle name="Note 3 2 4 4 4" xfId="28317" xr:uid="{00000000-0005-0000-0000-0000BC7E0000}"/>
    <cellStyle name="Note 3 2 4 5" xfId="32968" xr:uid="{00000000-0005-0000-0000-0000BD7E0000}"/>
    <cellStyle name="Note 3 2 4 5 2" xfId="33400" xr:uid="{00000000-0005-0000-0000-0000BE7E0000}"/>
    <cellStyle name="Note 3 2 4 5 2 2" xfId="32970" xr:uid="{00000000-0005-0000-0000-0000BF7E0000}"/>
    <cellStyle name="Note 3 2 4 5 3" xfId="31284" xr:uid="{00000000-0005-0000-0000-0000C07E0000}"/>
    <cellStyle name="Note 3 2 4 6" xfId="24508" xr:uid="{00000000-0005-0000-0000-0000C17E0000}"/>
    <cellStyle name="Note 3 2 4 6 2" xfId="32974" xr:uid="{00000000-0005-0000-0000-0000C27E0000}"/>
    <cellStyle name="Note 3 2 4 7" xfId="32667" xr:uid="{00000000-0005-0000-0000-0000C37E0000}"/>
    <cellStyle name="Note 3 2 5" xfId="32827" xr:uid="{00000000-0005-0000-0000-0000C47E0000}"/>
    <cellStyle name="Note 3 2 5 2" xfId="32829" xr:uid="{00000000-0005-0000-0000-0000C57E0000}"/>
    <cellStyle name="Note 3 2 5 2 2" xfId="27925" xr:uid="{00000000-0005-0000-0000-0000C67E0000}"/>
    <cellStyle name="Note 3 2 5 2 2 2" xfId="29529" xr:uid="{00000000-0005-0000-0000-0000C77E0000}"/>
    <cellStyle name="Note 3 2 5 2 2 2 2" xfId="27576" xr:uid="{00000000-0005-0000-0000-0000C87E0000}"/>
    <cellStyle name="Note 3 2 5 2 2 2 2 2" xfId="135" xr:uid="{00000000-0005-0000-0000-0000C97E0000}"/>
    <cellStyle name="Note 3 2 5 2 2 2 3" xfId="32073" xr:uid="{00000000-0005-0000-0000-0000CA7E0000}"/>
    <cellStyle name="Note 3 2 5 2 2 3" xfId="1536" xr:uid="{00000000-0005-0000-0000-0000CB7E0000}"/>
    <cellStyle name="Note 3 2 5 2 2 3 2" xfId="29542" xr:uid="{00000000-0005-0000-0000-0000CC7E0000}"/>
    <cellStyle name="Note 3 2 5 2 2 4" xfId="29544" xr:uid="{00000000-0005-0000-0000-0000CD7E0000}"/>
    <cellStyle name="Note 3 2 5 2 3" xfId="28208" xr:uid="{00000000-0005-0000-0000-0000CE7E0000}"/>
    <cellStyle name="Note 3 2 5 2 3 2" xfId="31262" xr:uid="{00000000-0005-0000-0000-0000CF7E0000}"/>
    <cellStyle name="Note 3 2 5 2 3 2 2" xfId="32992" xr:uid="{00000000-0005-0000-0000-0000D07E0000}"/>
    <cellStyle name="Note 3 2 5 2 3 3" xfId="31269" xr:uid="{00000000-0005-0000-0000-0000D17E0000}"/>
    <cellStyle name="Note 3 2 5 2 4" xfId="14592" xr:uid="{00000000-0005-0000-0000-0000D27E0000}"/>
    <cellStyle name="Note 3 2 5 2 4 2" xfId="14462" xr:uid="{00000000-0005-0000-0000-0000D37E0000}"/>
    <cellStyle name="Note 3 2 5 2 5" xfId="33251" xr:uid="{00000000-0005-0000-0000-0000D47E0000}"/>
    <cellStyle name="Note 3 2 5 3" xfId="31189" xr:uid="{00000000-0005-0000-0000-0000D57E0000}"/>
    <cellStyle name="Note 3 2 5 3 2" xfId="33416" xr:uid="{00000000-0005-0000-0000-0000D67E0000}"/>
    <cellStyle name="Note 3 2 5 3 2 2" xfId="32976" xr:uid="{00000000-0005-0000-0000-0000D77E0000}"/>
    <cellStyle name="Note 3 2 5 3 2 2 2" xfId="32851" xr:uid="{00000000-0005-0000-0000-0000D87E0000}"/>
    <cellStyle name="Note 3 2 5 3 2 3" xfId="32286" xr:uid="{00000000-0005-0000-0000-0000D97E0000}"/>
    <cellStyle name="Note 3 2 5 3 3" xfId="2264" xr:uid="{00000000-0005-0000-0000-0000DA7E0000}"/>
    <cellStyle name="Note 3 2 5 3 3 2" xfId="31273" xr:uid="{00000000-0005-0000-0000-0000DB7E0000}"/>
    <cellStyle name="Note 3 2 5 3 4" xfId="28236" xr:uid="{00000000-0005-0000-0000-0000DC7E0000}"/>
    <cellStyle name="Note 3 2 5 4" xfId="32733" xr:uid="{00000000-0005-0000-0000-0000DD7E0000}"/>
    <cellStyle name="Note 3 2 5 4 2" xfId="26722" xr:uid="{00000000-0005-0000-0000-0000DE7E0000}"/>
    <cellStyle name="Note 3 2 5 4 2 2" xfId="26804" xr:uid="{00000000-0005-0000-0000-0000DF7E0000}"/>
    <cellStyle name="Note 3 2 5 4 3" xfId="31277" xr:uid="{00000000-0005-0000-0000-0000E07E0000}"/>
    <cellStyle name="Note 3 2 5 5" xfId="21946" xr:uid="{00000000-0005-0000-0000-0000E17E0000}"/>
    <cellStyle name="Note 3 2 5 5 2" xfId="30407" xr:uid="{00000000-0005-0000-0000-0000E27E0000}"/>
    <cellStyle name="Note 3 2 5 6" xfId="29948" xr:uid="{00000000-0005-0000-0000-0000E37E0000}"/>
    <cellStyle name="Note 3 2 6" xfId="19179" xr:uid="{00000000-0005-0000-0000-0000E47E0000}"/>
    <cellStyle name="Note 3 2 6 2" xfId="29337" xr:uid="{00000000-0005-0000-0000-0000E57E0000}"/>
    <cellStyle name="Note 3 2 6 2 2" xfId="30928" xr:uid="{00000000-0005-0000-0000-0000E67E0000}"/>
    <cellStyle name="Note 3 2 6 2 2 2" xfId="33383" xr:uid="{00000000-0005-0000-0000-0000E77E0000}"/>
    <cellStyle name="Note 3 2 6 2 2 2 2" xfId="21309" xr:uid="{00000000-0005-0000-0000-0000E87E0000}"/>
    <cellStyle name="Note 3 2 6 2 2 3" xfId="32839" xr:uid="{00000000-0005-0000-0000-0000E97E0000}"/>
    <cellStyle name="Note 3 2 6 2 3" xfId="13493" xr:uid="{00000000-0005-0000-0000-0000EA7E0000}"/>
    <cellStyle name="Note 3 2 6 2 3 2" xfId="31320" xr:uid="{00000000-0005-0000-0000-0000EB7E0000}"/>
    <cellStyle name="Note 3 2 6 2 4" xfId="32742" xr:uid="{00000000-0005-0000-0000-0000EC7E0000}"/>
    <cellStyle name="Note 3 2 6 3" xfId="29231" xr:uid="{00000000-0005-0000-0000-0000ED7E0000}"/>
    <cellStyle name="Note 3 2 6 3 2" xfId="25312" xr:uid="{00000000-0005-0000-0000-0000EE7E0000}"/>
    <cellStyle name="Note 3 2 6 3 2 2" xfId="29589" xr:uid="{00000000-0005-0000-0000-0000EF7E0000}"/>
    <cellStyle name="Note 3 2 6 3 3" xfId="31325" xr:uid="{00000000-0005-0000-0000-0000F07E0000}"/>
    <cellStyle name="Note 3 2 6 4" xfId="32627" xr:uid="{00000000-0005-0000-0000-0000F17E0000}"/>
    <cellStyle name="Note 3 2 6 4 2" xfId="19648" xr:uid="{00000000-0005-0000-0000-0000F27E0000}"/>
    <cellStyle name="Note 3 2 6 5" xfId="30222" xr:uid="{00000000-0005-0000-0000-0000F37E0000}"/>
    <cellStyle name="Note 3 2 7" xfId="25658" xr:uid="{00000000-0005-0000-0000-0000F47E0000}"/>
    <cellStyle name="Note 3 2 7 2" xfId="30318" xr:uid="{00000000-0005-0000-0000-0000F57E0000}"/>
    <cellStyle name="Note 3 2 7 2 2" xfId="29132" xr:uid="{00000000-0005-0000-0000-0000F67E0000}"/>
    <cellStyle name="Note 3 2 7 2 2 2" xfId="32605" xr:uid="{00000000-0005-0000-0000-0000F77E0000}"/>
    <cellStyle name="Note 3 2 7 2 3" xfId="28211" xr:uid="{00000000-0005-0000-0000-0000F87E0000}"/>
    <cellStyle name="Note 3 2 7 3" xfId="29238" xr:uid="{00000000-0005-0000-0000-0000F97E0000}"/>
    <cellStyle name="Note 3 2 7 3 2" xfId="30682" xr:uid="{00000000-0005-0000-0000-0000FA7E0000}"/>
    <cellStyle name="Note 3 2 7 4" xfId="32168" xr:uid="{00000000-0005-0000-0000-0000FB7E0000}"/>
    <cellStyle name="Note 3 2 8" xfId="25663" xr:uid="{00000000-0005-0000-0000-0000FC7E0000}"/>
    <cellStyle name="Note 3 2 8 2" xfId="32997" xr:uid="{00000000-0005-0000-0000-0000FD7E0000}"/>
    <cellStyle name="Note 3 2 8 2 2" xfId="12915" xr:uid="{00000000-0005-0000-0000-0000FE7E0000}"/>
    <cellStyle name="Note 3 2 8 3" xfId="2433" xr:uid="{00000000-0005-0000-0000-0000FF7E0000}"/>
    <cellStyle name="Note 3 2 9" xfId="20055" xr:uid="{00000000-0005-0000-0000-0000007F0000}"/>
    <cellStyle name="Note 3 2 9 2" xfId="20209" xr:uid="{00000000-0005-0000-0000-0000017F0000}"/>
    <cellStyle name="Note 3 3" xfId="30107" xr:uid="{00000000-0005-0000-0000-0000027F0000}"/>
    <cellStyle name="Note 3 3 2" xfId="13842" xr:uid="{00000000-0005-0000-0000-0000037F0000}"/>
    <cellStyle name="Note 3 3 2 2" xfId="20736" xr:uid="{00000000-0005-0000-0000-0000047F0000}"/>
    <cellStyle name="Note 3 3 2 2 2" xfId="30747" xr:uid="{00000000-0005-0000-0000-0000057F0000}"/>
    <cellStyle name="Note 3 3 2 2 2 2" xfId="31392" xr:uid="{00000000-0005-0000-0000-0000067F0000}"/>
    <cellStyle name="Note 3 3 2 2 2 2 2" xfId="31400" xr:uid="{00000000-0005-0000-0000-0000077F0000}"/>
    <cellStyle name="Note 3 3 2 2 2 2 2 2" xfId="33016" xr:uid="{00000000-0005-0000-0000-0000087F0000}"/>
    <cellStyle name="Note 3 3 2 2 2 2 2 2 2" xfId="33018" xr:uid="{00000000-0005-0000-0000-0000097F0000}"/>
    <cellStyle name="Note 3 3 2 2 2 2 2 2 2 2" xfId="32689" xr:uid="{00000000-0005-0000-0000-00000A7F0000}"/>
    <cellStyle name="Note 3 3 2 2 2 2 2 2 3" xfId="10888" xr:uid="{00000000-0005-0000-0000-00000B7F0000}"/>
    <cellStyle name="Note 3 3 2 2 2 2 2 3" xfId="32436" xr:uid="{00000000-0005-0000-0000-00000C7F0000}"/>
    <cellStyle name="Note 3 3 2 2 2 2 2 3 2" xfId="33020" xr:uid="{00000000-0005-0000-0000-00000D7F0000}"/>
    <cellStyle name="Note 3 3 2 2 2 2 2 4" xfId="33023" xr:uid="{00000000-0005-0000-0000-00000E7F0000}"/>
    <cellStyle name="Note 3 3 2 2 2 2 3" xfId="7881" xr:uid="{00000000-0005-0000-0000-00000F7F0000}"/>
    <cellStyle name="Note 3 3 2 2 2 2 3 2" xfId="33024" xr:uid="{00000000-0005-0000-0000-0000107F0000}"/>
    <cellStyle name="Note 3 3 2 2 2 2 3 2 2" xfId="33029" xr:uid="{00000000-0005-0000-0000-0000117F0000}"/>
    <cellStyle name="Note 3 3 2 2 2 2 3 3" xfId="23851" xr:uid="{00000000-0005-0000-0000-0000127F0000}"/>
    <cellStyle name="Note 3 3 2 2 2 2 4" xfId="27134" xr:uid="{00000000-0005-0000-0000-0000137F0000}"/>
    <cellStyle name="Note 3 3 2 2 2 2 4 2" xfId="24037" xr:uid="{00000000-0005-0000-0000-0000147F0000}"/>
    <cellStyle name="Note 3 3 2 2 2 2 5" xfId="19459" xr:uid="{00000000-0005-0000-0000-0000157F0000}"/>
    <cellStyle name="Note 3 3 2 2 2 3" xfId="19729" xr:uid="{00000000-0005-0000-0000-0000167F0000}"/>
    <cellStyle name="Note 3 3 2 2 2 3 2" xfId="25600" xr:uid="{00000000-0005-0000-0000-0000177F0000}"/>
    <cellStyle name="Note 3 3 2 2 2 3 2 2" xfId="26361" xr:uid="{00000000-0005-0000-0000-0000187F0000}"/>
    <cellStyle name="Note 3 3 2 2 2 3 2 2 2" xfId="29845" xr:uid="{00000000-0005-0000-0000-0000197F0000}"/>
    <cellStyle name="Note 3 3 2 2 2 3 2 3" xfId="12931" xr:uid="{00000000-0005-0000-0000-00001A7F0000}"/>
    <cellStyle name="Note 3 3 2 2 2 3 3" xfId="23761" xr:uid="{00000000-0005-0000-0000-00001B7F0000}"/>
    <cellStyle name="Note 3 3 2 2 2 3 3 2" xfId="30492" xr:uid="{00000000-0005-0000-0000-00001C7F0000}"/>
    <cellStyle name="Note 3 3 2 2 2 3 4" xfId="22603" xr:uid="{00000000-0005-0000-0000-00001D7F0000}"/>
    <cellStyle name="Note 3 3 2 2 2 4" xfId="27855" xr:uid="{00000000-0005-0000-0000-00001E7F0000}"/>
    <cellStyle name="Note 3 3 2 2 2 4 2" xfId="20618" xr:uid="{00000000-0005-0000-0000-00001F7F0000}"/>
    <cellStyle name="Note 3 3 2 2 2 4 2 2" xfId="32163" xr:uid="{00000000-0005-0000-0000-0000207F0000}"/>
    <cellStyle name="Note 3 3 2 2 2 4 3" xfId="28554" xr:uid="{00000000-0005-0000-0000-0000217F0000}"/>
    <cellStyle name="Note 3 3 2 2 2 5" xfId="27861" xr:uid="{00000000-0005-0000-0000-0000227F0000}"/>
    <cellStyle name="Note 3 3 2 2 2 5 2" xfId="19312" xr:uid="{00000000-0005-0000-0000-0000237F0000}"/>
    <cellStyle name="Note 3 3 2 2 2 6" xfId="27983" xr:uid="{00000000-0005-0000-0000-0000247F0000}"/>
    <cellStyle name="Note 3 3 2 2 3" xfId="30749" xr:uid="{00000000-0005-0000-0000-0000257F0000}"/>
    <cellStyle name="Note 3 3 2 2 3 2" xfId="26670" xr:uid="{00000000-0005-0000-0000-0000267F0000}"/>
    <cellStyle name="Note 3 3 2 2 3 2 2" xfId="31627" xr:uid="{00000000-0005-0000-0000-0000277F0000}"/>
    <cellStyle name="Note 3 3 2 2 3 2 2 2" xfId="20304" xr:uid="{00000000-0005-0000-0000-0000287F0000}"/>
    <cellStyle name="Note 3 3 2 2 3 2 2 2 2" xfId="3926" xr:uid="{00000000-0005-0000-0000-0000297F0000}"/>
    <cellStyle name="Note 3 3 2 2 3 2 2 3" xfId="27891" xr:uid="{00000000-0005-0000-0000-00002A7F0000}"/>
    <cellStyle name="Note 3 3 2 2 3 2 3" xfId="30155" xr:uid="{00000000-0005-0000-0000-00002B7F0000}"/>
    <cellStyle name="Note 3 3 2 2 3 2 3 2" xfId="30159" xr:uid="{00000000-0005-0000-0000-00002C7F0000}"/>
    <cellStyle name="Note 3 3 2 2 3 2 4" xfId="22806" xr:uid="{00000000-0005-0000-0000-00002D7F0000}"/>
    <cellStyle name="Note 3 3 2 2 3 3" xfId="19678" xr:uid="{00000000-0005-0000-0000-00002E7F0000}"/>
    <cellStyle name="Note 3 3 2 2 3 3 2" xfId="25609" xr:uid="{00000000-0005-0000-0000-00002F7F0000}"/>
    <cellStyle name="Note 3 3 2 2 3 3 2 2" xfId="13269" xr:uid="{00000000-0005-0000-0000-0000307F0000}"/>
    <cellStyle name="Note 3 3 2 2 3 3 3" xfId="28174" xr:uid="{00000000-0005-0000-0000-0000317F0000}"/>
    <cellStyle name="Note 3 3 2 2 3 4" xfId="19682" xr:uid="{00000000-0005-0000-0000-0000327F0000}"/>
    <cellStyle name="Note 3 3 2 2 3 4 2" xfId="31129" xr:uid="{00000000-0005-0000-0000-0000337F0000}"/>
    <cellStyle name="Note 3 3 2 2 3 5" xfId="22167" xr:uid="{00000000-0005-0000-0000-0000347F0000}"/>
    <cellStyle name="Note 3 3 2 2 4" xfId="31661" xr:uid="{00000000-0005-0000-0000-0000357F0000}"/>
    <cellStyle name="Note 3 3 2 2 4 2" xfId="30167" xr:uid="{00000000-0005-0000-0000-0000367F0000}"/>
    <cellStyle name="Note 3 3 2 2 4 2 2" xfId="6781" xr:uid="{00000000-0005-0000-0000-0000377F0000}"/>
    <cellStyle name="Note 3 3 2 2 4 2 2 2" xfId="30177" xr:uid="{00000000-0005-0000-0000-0000387F0000}"/>
    <cellStyle name="Note 3 3 2 2 4 2 3" xfId="21317" xr:uid="{00000000-0005-0000-0000-0000397F0000}"/>
    <cellStyle name="Note 3 3 2 2 4 3" xfId="14699" xr:uid="{00000000-0005-0000-0000-00003A7F0000}"/>
    <cellStyle name="Note 3 3 2 2 4 3 2" xfId="30172" xr:uid="{00000000-0005-0000-0000-00003B7F0000}"/>
    <cellStyle name="Note 3 3 2 2 4 4" xfId="29954" xr:uid="{00000000-0005-0000-0000-00003C7F0000}"/>
    <cellStyle name="Note 3 3 2 2 5" xfId="29832" xr:uid="{00000000-0005-0000-0000-00003D7F0000}"/>
    <cellStyle name="Note 3 3 2 2 5 2" xfId="30198" xr:uid="{00000000-0005-0000-0000-00003E7F0000}"/>
    <cellStyle name="Note 3 3 2 2 5 2 2" xfId="30203" xr:uid="{00000000-0005-0000-0000-00003F7F0000}"/>
    <cellStyle name="Note 3 3 2 2 5 3" xfId="31899" xr:uid="{00000000-0005-0000-0000-0000407F0000}"/>
    <cellStyle name="Note 3 3 2 2 6" xfId="33059" xr:uid="{00000000-0005-0000-0000-0000417F0000}"/>
    <cellStyle name="Note 3 3 2 2 6 2" xfId="30214" xr:uid="{00000000-0005-0000-0000-0000427F0000}"/>
    <cellStyle name="Note 3 3 2 2 7" xfId="33060" xr:uid="{00000000-0005-0000-0000-0000437F0000}"/>
    <cellStyle name="Note 3 3 2 3" xfId="32930" xr:uid="{00000000-0005-0000-0000-0000447F0000}"/>
    <cellStyle name="Note 3 3 2 3 2" xfId="32078" xr:uid="{00000000-0005-0000-0000-0000457F0000}"/>
    <cellStyle name="Note 3 3 2 3 2 2" xfId="32657" xr:uid="{00000000-0005-0000-0000-0000467F0000}"/>
    <cellStyle name="Note 3 3 2 3 2 2 2" xfId="33072" xr:uid="{00000000-0005-0000-0000-0000477F0000}"/>
    <cellStyle name="Note 3 3 2 3 2 2 2 2" xfId="33073" xr:uid="{00000000-0005-0000-0000-0000487F0000}"/>
    <cellStyle name="Note 3 3 2 3 2 2 2 2 2" xfId="29054" xr:uid="{00000000-0005-0000-0000-0000497F0000}"/>
    <cellStyle name="Note 3 3 2 3 2 2 2 3" xfId="32542" xr:uid="{00000000-0005-0000-0000-00004A7F0000}"/>
    <cellStyle name="Note 3 3 2 3 2 2 3" xfId="33074" xr:uid="{00000000-0005-0000-0000-00004B7F0000}"/>
    <cellStyle name="Note 3 3 2 3 2 2 3 2" xfId="33075" xr:uid="{00000000-0005-0000-0000-00004C7F0000}"/>
    <cellStyle name="Note 3 3 2 3 2 2 4" xfId="32216" xr:uid="{00000000-0005-0000-0000-00004D7F0000}"/>
    <cellStyle name="Note 3 3 2 3 2 3" xfId="27883" xr:uid="{00000000-0005-0000-0000-00004E7F0000}"/>
    <cellStyle name="Note 3 3 2 3 2 3 2" xfId="25618" xr:uid="{00000000-0005-0000-0000-00004F7F0000}"/>
    <cellStyle name="Note 3 3 2 3 2 3 2 2" xfId="33077" xr:uid="{00000000-0005-0000-0000-0000507F0000}"/>
    <cellStyle name="Note 3 3 2 3 2 3 3" xfId="33079" xr:uid="{00000000-0005-0000-0000-0000517F0000}"/>
    <cellStyle name="Note 3 3 2 3 2 4" xfId="19300" xr:uid="{00000000-0005-0000-0000-0000527F0000}"/>
    <cellStyle name="Note 3 3 2 3 2 4 2" xfId="32906" xr:uid="{00000000-0005-0000-0000-0000537F0000}"/>
    <cellStyle name="Note 3 3 2 3 2 5" xfId="26415" xr:uid="{00000000-0005-0000-0000-0000547F0000}"/>
    <cellStyle name="Note 3 3 2 3 3" xfId="26674" xr:uid="{00000000-0005-0000-0000-0000557F0000}"/>
    <cellStyle name="Note 3 3 2 3 3 2" xfId="19615" xr:uid="{00000000-0005-0000-0000-0000567F0000}"/>
    <cellStyle name="Note 3 3 2 3 3 2 2" xfId="26928" xr:uid="{00000000-0005-0000-0000-0000577F0000}"/>
    <cellStyle name="Note 3 3 2 3 3 2 2 2" xfId="30247" xr:uid="{00000000-0005-0000-0000-0000587F0000}"/>
    <cellStyle name="Note 3 3 2 3 3 2 3" xfId="26932" xr:uid="{00000000-0005-0000-0000-0000597F0000}"/>
    <cellStyle name="Note 3 3 2 3 3 3" xfId="27899" xr:uid="{00000000-0005-0000-0000-00005A7F0000}"/>
    <cellStyle name="Note 3 3 2 3 3 3 2" xfId="26937" xr:uid="{00000000-0005-0000-0000-00005B7F0000}"/>
    <cellStyle name="Note 3 3 2 3 3 4" xfId="30252" xr:uid="{00000000-0005-0000-0000-00005C7F0000}"/>
    <cellStyle name="Note 3 3 2 3 4" xfId="32580" xr:uid="{00000000-0005-0000-0000-00005D7F0000}"/>
    <cellStyle name="Note 3 3 2 3 4 2" xfId="29619" xr:uid="{00000000-0005-0000-0000-00005E7F0000}"/>
    <cellStyle name="Note 3 3 2 3 4 2 2" xfId="28692" xr:uid="{00000000-0005-0000-0000-00005F7F0000}"/>
    <cellStyle name="Note 3 3 2 3 4 3" xfId="31932" xr:uid="{00000000-0005-0000-0000-0000607F0000}"/>
    <cellStyle name="Note 3 3 2 3 5" xfId="33003" xr:uid="{00000000-0005-0000-0000-0000617F0000}"/>
    <cellStyle name="Note 3 3 2 3 5 2" xfId="30270" xr:uid="{00000000-0005-0000-0000-0000627F0000}"/>
    <cellStyle name="Note 3 3 2 3 6" xfId="32845" xr:uid="{00000000-0005-0000-0000-0000637F0000}"/>
    <cellStyle name="Note 3 3 2 4" xfId="29140" xr:uid="{00000000-0005-0000-0000-0000647F0000}"/>
    <cellStyle name="Note 3 3 2 4 2" xfId="9022" xr:uid="{00000000-0005-0000-0000-0000657F0000}"/>
    <cellStyle name="Note 3 3 2 4 2 2" xfId="26213" xr:uid="{00000000-0005-0000-0000-0000667F0000}"/>
    <cellStyle name="Note 3 3 2 4 2 2 2" xfId="19812" xr:uid="{00000000-0005-0000-0000-0000677F0000}"/>
    <cellStyle name="Note 3 3 2 4 2 2 2 2" xfId="32134" xr:uid="{00000000-0005-0000-0000-0000687F0000}"/>
    <cellStyle name="Note 3 3 2 4 2 2 3" xfId="32583" xr:uid="{00000000-0005-0000-0000-0000697F0000}"/>
    <cellStyle name="Note 3 3 2 4 2 3" xfId="27622" xr:uid="{00000000-0005-0000-0000-00006A7F0000}"/>
    <cellStyle name="Note 3 3 2 4 2 3 2" xfId="29804" xr:uid="{00000000-0005-0000-0000-00006B7F0000}"/>
    <cellStyle name="Note 3 3 2 4 2 4" xfId="32803" xr:uid="{00000000-0005-0000-0000-00006C7F0000}"/>
    <cellStyle name="Note 3 3 2 4 3" xfId="3083" xr:uid="{00000000-0005-0000-0000-00006D7F0000}"/>
    <cellStyle name="Note 3 3 2 4 3 2" xfId="4577" xr:uid="{00000000-0005-0000-0000-00006E7F0000}"/>
    <cellStyle name="Note 3 3 2 4 3 2 2" xfId="19382" xr:uid="{00000000-0005-0000-0000-00006F7F0000}"/>
    <cellStyle name="Note 3 3 2 4 3 3" xfId="30283" xr:uid="{00000000-0005-0000-0000-0000707F0000}"/>
    <cellStyle name="Note 3 3 2 4 4" xfId="30966" xr:uid="{00000000-0005-0000-0000-0000717F0000}"/>
    <cellStyle name="Note 3 3 2 4 4 2" xfId="31183" xr:uid="{00000000-0005-0000-0000-0000727F0000}"/>
    <cellStyle name="Note 3 3 2 4 5" xfId="32454" xr:uid="{00000000-0005-0000-0000-0000737F0000}"/>
    <cellStyle name="Note 3 3 2 5" xfId="26299" xr:uid="{00000000-0005-0000-0000-0000747F0000}"/>
    <cellStyle name="Note 3 3 2 5 2" xfId="28344" xr:uid="{00000000-0005-0000-0000-0000757F0000}"/>
    <cellStyle name="Note 3 3 2 5 2 2" xfId="29818" xr:uid="{00000000-0005-0000-0000-0000767F0000}"/>
    <cellStyle name="Note 3 3 2 5 2 2 2" xfId="14265" xr:uid="{00000000-0005-0000-0000-0000777F0000}"/>
    <cellStyle name="Note 3 3 2 5 2 3" xfId="25482" xr:uid="{00000000-0005-0000-0000-0000787F0000}"/>
    <cellStyle name="Note 3 3 2 5 3" xfId="29413" xr:uid="{00000000-0005-0000-0000-0000797F0000}"/>
    <cellStyle name="Note 3 3 2 5 3 2" xfId="26207" xr:uid="{00000000-0005-0000-0000-00007A7F0000}"/>
    <cellStyle name="Note 3 3 2 5 4" xfId="11787" xr:uid="{00000000-0005-0000-0000-00007B7F0000}"/>
    <cellStyle name="Note 3 3 2 6" xfId="22414" xr:uid="{00000000-0005-0000-0000-00007C7F0000}"/>
    <cellStyle name="Note 3 3 2 6 2" xfId="34034" xr:uid="{00000000-0005-0000-0000-00007D7F0000}"/>
    <cellStyle name="Note 3 3 2 6 2 2" xfId="29074" xr:uid="{00000000-0005-0000-0000-00007E7F0000}"/>
    <cellStyle name="Note 3 3 2 6 3" xfId="33652" xr:uid="{00000000-0005-0000-0000-00007F7F0000}"/>
    <cellStyle name="Note 3 3 2 7" xfId="22423" xr:uid="{00000000-0005-0000-0000-0000807F0000}"/>
    <cellStyle name="Note 3 3 2 7 2" xfId="33109" xr:uid="{00000000-0005-0000-0000-0000817F0000}"/>
    <cellStyle name="Note 3 3 2 8" xfId="14693" xr:uid="{00000000-0005-0000-0000-0000827F0000}"/>
    <cellStyle name="Note 3 3 3" xfId="30943" xr:uid="{00000000-0005-0000-0000-0000837F0000}"/>
    <cellStyle name="Note 3 3 3 2" xfId="32880" xr:uid="{00000000-0005-0000-0000-0000847F0000}"/>
    <cellStyle name="Note 3 3 3 2 2" xfId="30866" xr:uid="{00000000-0005-0000-0000-0000857F0000}"/>
    <cellStyle name="Note 3 3 3 2 2 2" xfId="30872" xr:uid="{00000000-0005-0000-0000-0000867F0000}"/>
    <cellStyle name="Note 3 3 3 2 2 2 2" xfId="30478" xr:uid="{00000000-0005-0000-0000-0000877F0000}"/>
    <cellStyle name="Note 3 3 3 2 2 2 2 2" xfId="30764" xr:uid="{00000000-0005-0000-0000-0000887F0000}"/>
    <cellStyle name="Note 3 3 3 2 2 2 2 2 2" xfId="28595" xr:uid="{00000000-0005-0000-0000-0000897F0000}"/>
    <cellStyle name="Note 3 3 3 2 2 2 2 3" xfId="28402" xr:uid="{00000000-0005-0000-0000-00008A7F0000}"/>
    <cellStyle name="Note 3 3 3 2 2 2 3" xfId="26151" xr:uid="{00000000-0005-0000-0000-00008B7F0000}"/>
    <cellStyle name="Note 3 3 3 2 2 2 3 2" xfId="16963" xr:uid="{00000000-0005-0000-0000-00008C7F0000}"/>
    <cellStyle name="Note 3 3 3 2 2 2 4" xfId="1206" xr:uid="{00000000-0005-0000-0000-00008D7F0000}"/>
    <cellStyle name="Note 3 3 3 2 2 3" xfId="4122" xr:uid="{00000000-0005-0000-0000-00008E7F0000}"/>
    <cellStyle name="Note 3 3 3 2 2 3 2" xfId="27101" xr:uid="{00000000-0005-0000-0000-00008F7F0000}"/>
    <cellStyle name="Note 3 3 3 2 2 3 2 2" xfId="33121" xr:uid="{00000000-0005-0000-0000-0000907F0000}"/>
    <cellStyle name="Note 3 3 3 2 2 3 3" xfId="28070" xr:uid="{00000000-0005-0000-0000-0000917F0000}"/>
    <cellStyle name="Note 3 3 3 2 2 4" xfId="4125" xr:uid="{00000000-0005-0000-0000-0000927F0000}"/>
    <cellStyle name="Note 3 3 3 2 2 4 2" xfId="28807" xr:uid="{00000000-0005-0000-0000-0000937F0000}"/>
    <cellStyle name="Note 3 3 3 2 2 5" xfId="901" xr:uid="{00000000-0005-0000-0000-0000947F0000}"/>
    <cellStyle name="Note 3 3 3 2 3" xfId="30875" xr:uid="{00000000-0005-0000-0000-0000957F0000}"/>
    <cellStyle name="Note 3 3 3 2 3 2" xfId="21102" xr:uid="{00000000-0005-0000-0000-0000967F0000}"/>
    <cellStyle name="Note 3 3 3 2 3 2 2" xfId="29477" xr:uid="{00000000-0005-0000-0000-0000977F0000}"/>
    <cellStyle name="Note 3 3 3 2 3 2 2 2" xfId="25454" xr:uid="{00000000-0005-0000-0000-0000987F0000}"/>
    <cellStyle name="Note 3 3 3 2 3 2 3" xfId="24301" xr:uid="{00000000-0005-0000-0000-0000997F0000}"/>
    <cellStyle name="Note 3 3 3 2 3 3" xfId="4134" xr:uid="{00000000-0005-0000-0000-00009A7F0000}"/>
    <cellStyle name="Note 3 3 3 2 3 3 2" xfId="30303" xr:uid="{00000000-0005-0000-0000-00009B7F0000}"/>
    <cellStyle name="Note 3 3 3 2 3 4" xfId="20306" xr:uid="{00000000-0005-0000-0000-00009C7F0000}"/>
    <cellStyle name="Note 3 3 3 2 4" xfId="28311" xr:uid="{00000000-0005-0000-0000-00009D7F0000}"/>
    <cellStyle name="Note 3 3 3 2 4 2" xfId="18954" xr:uid="{00000000-0005-0000-0000-00009E7F0000}"/>
    <cellStyle name="Note 3 3 3 2 4 2 2" xfId="30326" xr:uid="{00000000-0005-0000-0000-00009F7F0000}"/>
    <cellStyle name="Note 3 3 3 2 4 3" xfId="30218" xr:uid="{00000000-0005-0000-0000-0000A07F0000}"/>
    <cellStyle name="Note 3 3 3 2 5" xfId="29493" xr:uid="{00000000-0005-0000-0000-0000A17F0000}"/>
    <cellStyle name="Note 3 3 3 2 5 2" xfId="30306" xr:uid="{00000000-0005-0000-0000-0000A27F0000}"/>
    <cellStyle name="Note 3 3 3 2 6" xfId="21481" xr:uid="{00000000-0005-0000-0000-0000A37F0000}"/>
    <cellStyle name="Note 3 3 3 3" xfId="32944" xr:uid="{00000000-0005-0000-0000-0000A47F0000}"/>
    <cellStyle name="Note 3 3 3 3 2" xfId="24688" xr:uid="{00000000-0005-0000-0000-0000A57F0000}"/>
    <cellStyle name="Note 3 3 3 3 2 2" xfId="26124" xr:uid="{00000000-0005-0000-0000-0000A67F0000}"/>
    <cellStyle name="Note 3 3 3 3 2 2 2" xfId="30913" xr:uid="{00000000-0005-0000-0000-0000A77F0000}"/>
    <cellStyle name="Note 3 3 3 3 2 2 2 2" xfId="31723" xr:uid="{00000000-0005-0000-0000-0000A87F0000}"/>
    <cellStyle name="Note 3 3 3 3 2 2 3" xfId="34030" xr:uid="{00000000-0005-0000-0000-0000A97F0000}"/>
    <cellStyle name="Note 3 3 3 3 2 3" xfId="4154" xr:uid="{00000000-0005-0000-0000-0000AA7F0000}"/>
    <cellStyle name="Note 3 3 3 3 2 3 2" xfId="33019" xr:uid="{00000000-0005-0000-0000-0000AB7F0000}"/>
    <cellStyle name="Note 3 3 3 3 2 4" xfId="31936" xr:uid="{00000000-0005-0000-0000-0000AC7F0000}"/>
    <cellStyle name="Note 3 3 3 3 3" xfId="23141" xr:uid="{00000000-0005-0000-0000-0000AD7F0000}"/>
    <cellStyle name="Note 3 3 3 3 3 2" xfId="29501" xr:uid="{00000000-0005-0000-0000-0000AE7F0000}"/>
    <cellStyle name="Note 3 3 3 3 3 2 2" xfId="20518" xr:uid="{00000000-0005-0000-0000-0000AF7F0000}"/>
    <cellStyle name="Note 3 3 3 3 3 3" xfId="24966" xr:uid="{00000000-0005-0000-0000-0000B07F0000}"/>
    <cellStyle name="Note 3 3 3 3 4" xfId="27585" xr:uid="{00000000-0005-0000-0000-0000B17F0000}"/>
    <cellStyle name="Note 3 3 3 3 4 2" xfId="29648" xr:uid="{00000000-0005-0000-0000-0000B27F0000}"/>
    <cellStyle name="Note 3 3 3 3 5" xfId="32130" xr:uid="{00000000-0005-0000-0000-0000B37F0000}"/>
    <cellStyle name="Note 3 3 3 4" xfId="28789" xr:uid="{00000000-0005-0000-0000-0000B47F0000}"/>
    <cellStyle name="Note 3 3 3 4 2" xfId="24311" xr:uid="{00000000-0005-0000-0000-0000B57F0000}"/>
    <cellStyle name="Note 3 3 3 4 2 2" xfId="538" xr:uid="{00000000-0005-0000-0000-0000B67F0000}"/>
    <cellStyle name="Note 3 3 3 4 2 2 2" xfId="10893" xr:uid="{00000000-0005-0000-0000-0000B77F0000}"/>
    <cellStyle name="Note 3 3 3 4 2 3" xfId="31947" xr:uid="{00000000-0005-0000-0000-0000B87F0000}"/>
    <cellStyle name="Note 3 3 3 4 3" xfId="20178" xr:uid="{00000000-0005-0000-0000-0000B97F0000}"/>
    <cellStyle name="Note 3 3 3 4 3 2" xfId="30527" xr:uid="{00000000-0005-0000-0000-0000BA7F0000}"/>
    <cellStyle name="Note 3 3 3 4 4" xfId="24391" xr:uid="{00000000-0005-0000-0000-0000BB7F0000}"/>
    <cellStyle name="Note 3 3 3 5" xfId="33789" xr:uid="{00000000-0005-0000-0000-0000BC7F0000}"/>
    <cellStyle name="Note 3 3 3 5 2" xfId="33796" xr:uid="{00000000-0005-0000-0000-0000BD7F0000}"/>
    <cellStyle name="Note 3 3 3 5 2 2" xfId="18933" xr:uid="{00000000-0005-0000-0000-0000BE7F0000}"/>
    <cellStyle name="Note 3 3 3 5 3" xfId="27143" xr:uid="{00000000-0005-0000-0000-0000BF7F0000}"/>
    <cellStyle name="Note 3 3 3 6" xfId="22425" xr:uid="{00000000-0005-0000-0000-0000C07F0000}"/>
    <cellStyle name="Note 3 3 3 6 2" xfId="20526" xr:uid="{00000000-0005-0000-0000-0000C17F0000}"/>
    <cellStyle name="Note 3 3 3 7" xfId="33740" xr:uid="{00000000-0005-0000-0000-0000C27F0000}"/>
    <cellStyle name="Note 3 3 4" xfId="34032" xr:uid="{00000000-0005-0000-0000-0000C37F0000}"/>
    <cellStyle name="Note 3 3 4 2" xfId="33203" xr:uid="{00000000-0005-0000-0000-0000C47F0000}"/>
    <cellStyle name="Note 3 3 4 2 2" xfId="32025" xr:uid="{00000000-0005-0000-0000-0000C57F0000}"/>
    <cellStyle name="Note 3 3 4 2 2 2" xfId="20505" xr:uid="{00000000-0005-0000-0000-0000C67F0000}"/>
    <cellStyle name="Note 3 3 4 2 2 2 2" xfId="22733" xr:uid="{00000000-0005-0000-0000-0000C77F0000}"/>
    <cellStyle name="Note 3 3 4 2 2 2 2 2" xfId="32346" xr:uid="{00000000-0005-0000-0000-0000C87F0000}"/>
    <cellStyle name="Note 3 3 4 2 2 2 3" xfId="22737" xr:uid="{00000000-0005-0000-0000-0000C97F0000}"/>
    <cellStyle name="Note 3 3 4 2 2 3" xfId="3264" xr:uid="{00000000-0005-0000-0000-0000CA7F0000}"/>
    <cellStyle name="Note 3 3 4 2 2 3 2" xfId="7915" xr:uid="{00000000-0005-0000-0000-0000CB7F0000}"/>
    <cellStyle name="Note 3 3 4 2 2 4" xfId="20665" xr:uid="{00000000-0005-0000-0000-0000CC7F0000}"/>
    <cellStyle name="Note 3 3 4 2 3" xfId="32037" xr:uid="{00000000-0005-0000-0000-0000CD7F0000}"/>
    <cellStyle name="Note 3 3 4 2 3 2" xfId="24235" xr:uid="{00000000-0005-0000-0000-0000CE7F0000}"/>
    <cellStyle name="Note 3 3 4 2 3 2 2" xfId="28001" xr:uid="{00000000-0005-0000-0000-0000CF7F0000}"/>
    <cellStyle name="Note 3 3 4 2 3 3" xfId="30349" xr:uid="{00000000-0005-0000-0000-0000D07F0000}"/>
    <cellStyle name="Note 3 3 4 2 4" xfId="29538" xr:uid="{00000000-0005-0000-0000-0000D17F0000}"/>
    <cellStyle name="Note 3 3 4 2 4 2" xfId="14476" xr:uid="{00000000-0005-0000-0000-0000D27F0000}"/>
    <cellStyle name="Note 3 3 4 2 5" xfId="32679" xr:uid="{00000000-0005-0000-0000-0000D37F0000}"/>
    <cellStyle name="Note 3 3 4 3" xfId="33125" xr:uid="{00000000-0005-0000-0000-0000D47F0000}"/>
    <cellStyle name="Note 3 3 4 3 2" xfId="19500" xr:uid="{00000000-0005-0000-0000-0000D57F0000}"/>
    <cellStyle name="Note 3 3 4 3 2 2" xfId="6467" xr:uid="{00000000-0005-0000-0000-0000D67F0000}"/>
    <cellStyle name="Note 3 3 4 3 2 2 2" xfId="31241" xr:uid="{00000000-0005-0000-0000-0000D77F0000}"/>
    <cellStyle name="Note 3 3 4 3 2 3" xfId="20860" xr:uid="{00000000-0005-0000-0000-0000D87F0000}"/>
    <cellStyle name="Note 3 3 4 3 3" xfId="20619" xr:uid="{00000000-0005-0000-0000-0000D97F0000}"/>
    <cellStyle name="Note 3 3 4 3 3 2" xfId="30359" xr:uid="{00000000-0005-0000-0000-0000DA7F0000}"/>
    <cellStyle name="Note 3 3 4 3 4" xfId="27650" xr:uid="{00000000-0005-0000-0000-0000DB7F0000}"/>
    <cellStyle name="Note 3 3 4 4" xfId="32808" xr:uid="{00000000-0005-0000-0000-0000DC7F0000}"/>
    <cellStyle name="Note 3 3 4 4 2" xfId="32258" xr:uid="{00000000-0005-0000-0000-0000DD7F0000}"/>
    <cellStyle name="Note 3 3 4 4 2 2" xfId="19129" xr:uid="{00000000-0005-0000-0000-0000DE7F0000}"/>
    <cellStyle name="Note 3 3 4 4 3" xfId="31283" xr:uid="{00000000-0005-0000-0000-0000DF7F0000}"/>
    <cellStyle name="Note 3 3 4 5" xfId="21960" xr:uid="{00000000-0005-0000-0000-0000E07F0000}"/>
    <cellStyle name="Note 3 3 4 5 2" xfId="27503" xr:uid="{00000000-0005-0000-0000-0000E17F0000}"/>
    <cellStyle name="Note 3 3 4 6" xfId="31307" xr:uid="{00000000-0005-0000-0000-0000E27F0000}"/>
    <cellStyle name="Note 3 3 5" xfId="32831" xr:uid="{00000000-0005-0000-0000-0000E37F0000}"/>
    <cellStyle name="Note 3 3 5 2" xfId="33550" xr:uid="{00000000-0005-0000-0000-0000E47F0000}"/>
    <cellStyle name="Note 3 3 5 2 2" xfId="30957" xr:uid="{00000000-0005-0000-0000-0000E57F0000}"/>
    <cellStyle name="Note 3 3 5 2 2 2" xfId="21390" xr:uid="{00000000-0005-0000-0000-0000E67F0000}"/>
    <cellStyle name="Note 3 3 5 2 2 2 2" xfId="19181" xr:uid="{00000000-0005-0000-0000-0000E77F0000}"/>
    <cellStyle name="Note 3 3 5 2 2 3" xfId="21283" xr:uid="{00000000-0005-0000-0000-0000E87F0000}"/>
    <cellStyle name="Note 3 3 5 2 3" xfId="14611" xr:uid="{00000000-0005-0000-0000-0000E97F0000}"/>
    <cellStyle name="Note 3 3 5 2 3 2" xfId="31091" xr:uid="{00000000-0005-0000-0000-0000EA7F0000}"/>
    <cellStyle name="Note 3 3 5 2 4" xfId="24499" xr:uid="{00000000-0005-0000-0000-0000EB7F0000}"/>
    <cellStyle name="Note 3 3 5 3" xfId="24999" xr:uid="{00000000-0005-0000-0000-0000EC7F0000}"/>
    <cellStyle name="Note 3 3 5 3 2" xfId="32273" xr:uid="{00000000-0005-0000-0000-0000ED7F0000}"/>
    <cellStyle name="Note 3 3 5 3 2 2" xfId="27515" xr:uid="{00000000-0005-0000-0000-0000EE7F0000}"/>
    <cellStyle name="Note 3 3 5 3 3" xfId="32794" xr:uid="{00000000-0005-0000-0000-0000EF7F0000}"/>
    <cellStyle name="Note 3 3 5 4" xfId="31285" xr:uid="{00000000-0005-0000-0000-0000F07F0000}"/>
    <cellStyle name="Note 3 3 5 4 2" xfId="32898" xr:uid="{00000000-0005-0000-0000-0000F17F0000}"/>
    <cellStyle name="Note 3 3 5 5" xfId="24364" xr:uid="{00000000-0005-0000-0000-0000F27F0000}"/>
    <cellStyle name="Note 3 3 6" xfId="16787" xr:uid="{00000000-0005-0000-0000-0000F37F0000}"/>
    <cellStyle name="Note 3 3 6 2" xfId="32154" xr:uid="{00000000-0005-0000-0000-0000F47F0000}"/>
    <cellStyle name="Note 3 3 6 2 2" xfId="32094" xr:uid="{00000000-0005-0000-0000-0000F57F0000}"/>
    <cellStyle name="Note 3 3 6 2 2 2" xfId="25038" xr:uid="{00000000-0005-0000-0000-0000F67F0000}"/>
    <cellStyle name="Note 3 3 6 2 3" xfId="33176" xr:uid="{00000000-0005-0000-0000-0000F77F0000}"/>
    <cellStyle name="Note 3 3 6 3" xfId="33465" xr:uid="{00000000-0005-0000-0000-0000F87F0000}"/>
    <cellStyle name="Note 3 3 6 3 2" xfId="31208" xr:uid="{00000000-0005-0000-0000-0000F97F0000}"/>
    <cellStyle name="Note 3 3 6 4" xfId="31280" xr:uid="{00000000-0005-0000-0000-0000FA7F0000}"/>
    <cellStyle name="Note 3 3 7" xfId="19802" xr:uid="{00000000-0005-0000-0000-0000FB7F0000}"/>
    <cellStyle name="Note 3 3 7 2" xfId="33469" xr:uid="{00000000-0005-0000-0000-0000FC7F0000}"/>
    <cellStyle name="Note 3 3 7 2 2" xfId="9117" xr:uid="{00000000-0005-0000-0000-0000FD7F0000}"/>
    <cellStyle name="Note 3 3 7 3" xfId="31364" xr:uid="{00000000-0005-0000-0000-0000FE7F0000}"/>
    <cellStyle name="Note 3 3 8" xfId="32563" xr:uid="{00000000-0005-0000-0000-0000FF7F0000}"/>
    <cellStyle name="Note 3 3 8 2" xfId="33181" xr:uid="{00000000-0005-0000-0000-000000800000}"/>
    <cellStyle name="Note 3 3 9" xfId="7631" xr:uid="{00000000-0005-0000-0000-000001800000}"/>
    <cellStyle name="Note 3 4" xfId="1766" xr:uid="{00000000-0005-0000-0000-000002800000}"/>
    <cellStyle name="Note 3 4 2" xfId="6410" xr:uid="{00000000-0005-0000-0000-000003800000}"/>
    <cellStyle name="Note 3 4 2 2" xfId="5973" xr:uid="{00000000-0005-0000-0000-000004800000}"/>
    <cellStyle name="Note 3 4 2 2 2" xfId="6413" xr:uid="{00000000-0005-0000-0000-000005800000}"/>
    <cellStyle name="Note 3 4 2 2 2 2" xfId="22022" xr:uid="{00000000-0005-0000-0000-000006800000}"/>
    <cellStyle name="Note 3 4 2 2 2 2 2" xfId="5070" xr:uid="{00000000-0005-0000-0000-000007800000}"/>
    <cellStyle name="Note 3 4 2 2 2 2 2 2" xfId="33187" xr:uid="{00000000-0005-0000-0000-000008800000}"/>
    <cellStyle name="Note 3 4 2 2 2 2 2 2 2" xfId="21676" xr:uid="{00000000-0005-0000-0000-000009800000}"/>
    <cellStyle name="Note 3 4 2 2 2 2 2 3" xfId="31695" xr:uid="{00000000-0005-0000-0000-00000A800000}"/>
    <cellStyle name="Note 3 4 2 2 2 2 3" xfId="30259" xr:uid="{00000000-0005-0000-0000-00000B800000}"/>
    <cellStyle name="Note 3 4 2 2 2 2 3 2" xfId="32371" xr:uid="{00000000-0005-0000-0000-00000C800000}"/>
    <cellStyle name="Note 3 4 2 2 2 2 4" xfId="28313" xr:uid="{00000000-0005-0000-0000-00000D800000}"/>
    <cellStyle name="Note 3 4 2 2 2 3" xfId="22719" xr:uid="{00000000-0005-0000-0000-00000E800000}"/>
    <cellStyle name="Note 3 4 2 2 2 3 2" xfId="28376" xr:uid="{00000000-0005-0000-0000-00000F800000}"/>
    <cellStyle name="Note 3 4 2 2 2 3 2 2" xfId="33678" xr:uid="{00000000-0005-0000-0000-000010800000}"/>
    <cellStyle name="Note 3 4 2 2 2 3 3" xfId="30146" xr:uid="{00000000-0005-0000-0000-000011800000}"/>
    <cellStyle name="Note 3 4 2 2 2 4" xfId="28379" xr:uid="{00000000-0005-0000-0000-000012800000}"/>
    <cellStyle name="Note 3 4 2 2 2 4 2" xfId="33200" xr:uid="{00000000-0005-0000-0000-000013800000}"/>
    <cellStyle name="Note 3 4 2 2 2 5" xfId="14161" xr:uid="{00000000-0005-0000-0000-000014800000}"/>
    <cellStyle name="Note 3 4 2 2 3" xfId="33141" xr:uid="{00000000-0005-0000-0000-000015800000}"/>
    <cellStyle name="Note 3 4 2 2 3 2" xfId="33202" xr:uid="{00000000-0005-0000-0000-000016800000}"/>
    <cellStyle name="Note 3 4 2 2 3 2 2" xfId="9133" xr:uid="{00000000-0005-0000-0000-000017800000}"/>
    <cellStyle name="Note 3 4 2 2 3 2 2 2" xfId="25145" xr:uid="{00000000-0005-0000-0000-000018800000}"/>
    <cellStyle name="Note 3 4 2 2 3 2 3" xfId="9616" xr:uid="{00000000-0005-0000-0000-000019800000}"/>
    <cellStyle name="Note 3 4 2 2 3 3" xfId="28384" xr:uid="{00000000-0005-0000-0000-00001A800000}"/>
    <cellStyle name="Note 3 4 2 2 3 3 2" xfId="9641" xr:uid="{00000000-0005-0000-0000-00001B800000}"/>
    <cellStyle name="Note 3 4 2 2 3 4" xfId="33053" xr:uid="{00000000-0005-0000-0000-00001C800000}"/>
    <cellStyle name="Note 3 4 2 2 4" xfId="33207" xr:uid="{00000000-0005-0000-0000-00001D800000}"/>
    <cellStyle name="Note 3 4 2 2 4 2" xfId="26684" xr:uid="{00000000-0005-0000-0000-00001E800000}"/>
    <cellStyle name="Note 3 4 2 2 4 2 2" xfId="9925" xr:uid="{00000000-0005-0000-0000-00001F800000}"/>
    <cellStyle name="Note 3 4 2 2 4 3" xfId="33271" xr:uid="{00000000-0005-0000-0000-000020800000}"/>
    <cellStyle name="Note 3 4 2 2 5" xfId="26399" xr:uid="{00000000-0005-0000-0000-000021800000}"/>
    <cellStyle name="Note 3 4 2 2 5 2" xfId="26088" xr:uid="{00000000-0005-0000-0000-000022800000}"/>
    <cellStyle name="Note 3 4 2 2 6" xfId="32826" xr:uid="{00000000-0005-0000-0000-000023800000}"/>
    <cellStyle name="Note 3 4 2 3" xfId="6416" xr:uid="{00000000-0005-0000-0000-000024800000}"/>
    <cellStyle name="Note 3 4 2 3 2" xfId="9551" xr:uid="{00000000-0005-0000-0000-000025800000}"/>
    <cellStyle name="Note 3 4 2 3 2 2" xfId="22042" xr:uid="{00000000-0005-0000-0000-000026800000}"/>
    <cellStyle name="Note 3 4 2 3 2 2 2" xfId="24275" xr:uid="{00000000-0005-0000-0000-000027800000}"/>
    <cellStyle name="Note 3 4 2 3 2 2 2 2" xfId="33228" xr:uid="{00000000-0005-0000-0000-000028800000}"/>
    <cellStyle name="Note 3 4 2 3 2 2 3" xfId="29740" xr:uid="{00000000-0005-0000-0000-000029800000}"/>
    <cellStyle name="Note 3 4 2 3 2 3" xfId="25920" xr:uid="{00000000-0005-0000-0000-00002A800000}"/>
    <cellStyle name="Note 3 4 2 3 2 3 2" xfId="14294" xr:uid="{00000000-0005-0000-0000-00002B800000}"/>
    <cellStyle name="Note 3 4 2 3 2 4" xfId="11475" xr:uid="{00000000-0005-0000-0000-00002C800000}"/>
    <cellStyle name="Note 3 4 2 3 3" xfId="11398" xr:uid="{00000000-0005-0000-0000-00002D800000}"/>
    <cellStyle name="Note 3 4 2 3 3 2" xfId="29295" xr:uid="{00000000-0005-0000-0000-00002E800000}"/>
    <cellStyle name="Note 3 4 2 3 3 2 2" xfId="9777" xr:uid="{00000000-0005-0000-0000-00002F800000}"/>
    <cellStyle name="Note 3 4 2 3 3 3" xfId="28037" xr:uid="{00000000-0005-0000-0000-000030800000}"/>
    <cellStyle name="Note 3 4 2 3 4" xfId="31774" xr:uid="{00000000-0005-0000-0000-000031800000}"/>
    <cellStyle name="Note 3 4 2 3 4 2" xfId="28880" xr:uid="{00000000-0005-0000-0000-000032800000}"/>
    <cellStyle name="Note 3 4 2 3 5" xfId="33238" xr:uid="{00000000-0005-0000-0000-000033800000}"/>
    <cellStyle name="Note 3 4 2 4" xfId="28067" xr:uid="{00000000-0005-0000-0000-000034800000}"/>
    <cellStyle name="Note 3 4 2 4 2" xfId="19914" xr:uid="{00000000-0005-0000-0000-000035800000}"/>
    <cellStyle name="Note 3 4 2 4 2 2" xfId="33753" xr:uid="{00000000-0005-0000-0000-000036800000}"/>
    <cellStyle name="Note 3 4 2 4 2 2 2" xfId="11150" xr:uid="{00000000-0005-0000-0000-000037800000}"/>
    <cellStyle name="Note 3 4 2 4 2 3" xfId="29869" xr:uid="{00000000-0005-0000-0000-000038800000}"/>
    <cellStyle name="Note 3 4 2 4 3" xfId="19917" xr:uid="{00000000-0005-0000-0000-000039800000}"/>
    <cellStyle name="Note 3 4 2 4 3 2" xfId="27092" xr:uid="{00000000-0005-0000-0000-00003A800000}"/>
    <cellStyle name="Note 3 4 2 4 4" xfId="6255" xr:uid="{00000000-0005-0000-0000-00003B800000}"/>
    <cellStyle name="Note 3 4 2 5" xfId="30342" xr:uid="{00000000-0005-0000-0000-00003C800000}"/>
    <cellStyle name="Note 3 4 2 5 2" xfId="33847" xr:uid="{00000000-0005-0000-0000-00003D800000}"/>
    <cellStyle name="Note 3 4 2 5 2 2" xfId="29884" xr:uid="{00000000-0005-0000-0000-00003E800000}"/>
    <cellStyle name="Note 3 4 2 5 3" xfId="26646" xr:uid="{00000000-0005-0000-0000-00003F800000}"/>
    <cellStyle name="Note 3 4 2 6" xfId="22436" xr:uid="{00000000-0005-0000-0000-000040800000}"/>
    <cellStyle name="Note 3 4 2 6 2" xfId="33835" xr:uid="{00000000-0005-0000-0000-000041800000}"/>
    <cellStyle name="Note 3 4 2 7" xfId="30619" xr:uid="{00000000-0005-0000-0000-000042800000}"/>
    <cellStyle name="Note 3 4 3" xfId="6419" xr:uid="{00000000-0005-0000-0000-000043800000}"/>
    <cellStyle name="Note 3 4 3 2" xfId="6426" xr:uid="{00000000-0005-0000-0000-000044800000}"/>
    <cellStyle name="Note 3 4 3 2 2" xfId="33157" xr:uid="{00000000-0005-0000-0000-000045800000}"/>
    <cellStyle name="Note 3 4 3 2 2 2" xfId="25513" xr:uid="{00000000-0005-0000-0000-000046800000}"/>
    <cellStyle name="Note 3 4 3 2 2 2 2" xfId="21210" xr:uid="{00000000-0005-0000-0000-000047800000}"/>
    <cellStyle name="Note 3 4 3 2 2 2 2 2" xfId="23496" xr:uid="{00000000-0005-0000-0000-000048800000}"/>
    <cellStyle name="Note 3 4 3 2 2 2 3" xfId="33250" xr:uid="{00000000-0005-0000-0000-000049800000}"/>
    <cellStyle name="Note 3 4 3 2 2 3" xfId="4632" xr:uid="{00000000-0005-0000-0000-00004A800000}"/>
    <cellStyle name="Note 3 4 3 2 2 3 2" xfId="32809" xr:uid="{00000000-0005-0000-0000-00004B800000}"/>
    <cellStyle name="Note 3 4 3 2 2 4" xfId="33254" xr:uid="{00000000-0005-0000-0000-00004C800000}"/>
    <cellStyle name="Note 3 4 3 2 3" xfId="29610" xr:uid="{00000000-0005-0000-0000-00004D800000}"/>
    <cellStyle name="Note 3 4 3 2 3 2" xfId="26450" xr:uid="{00000000-0005-0000-0000-00004E800000}"/>
    <cellStyle name="Note 3 4 3 2 3 2 2" xfId="3955" xr:uid="{00000000-0005-0000-0000-00004F800000}"/>
    <cellStyle name="Note 3 4 3 2 3 3" xfId="33266" xr:uid="{00000000-0005-0000-0000-000050800000}"/>
    <cellStyle name="Note 3 4 3 2 4" xfId="26647" xr:uid="{00000000-0005-0000-0000-000051800000}"/>
    <cellStyle name="Note 3 4 3 2 4 2" xfId="23101" xr:uid="{00000000-0005-0000-0000-000052800000}"/>
    <cellStyle name="Note 3 4 3 2 5" xfId="32175" xr:uid="{00000000-0005-0000-0000-000053800000}"/>
    <cellStyle name="Note 3 4 3 3" xfId="33714" xr:uid="{00000000-0005-0000-0000-000054800000}"/>
    <cellStyle name="Note 3 4 3 3 2" xfId="12880" xr:uid="{00000000-0005-0000-0000-000055800000}"/>
    <cellStyle name="Note 3 4 3 3 2 2" xfId="24891" xr:uid="{00000000-0005-0000-0000-000056800000}"/>
    <cellStyle name="Note 3 4 3 3 2 2 2" xfId="19533" xr:uid="{00000000-0005-0000-0000-000057800000}"/>
    <cellStyle name="Note 3 4 3 3 2 3" xfId="33133" xr:uid="{00000000-0005-0000-0000-000058800000}"/>
    <cellStyle name="Note 3 4 3 3 3" xfId="22873" xr:uid="{00000000-0005-0000-0000-000059800000}"/>
    <cellStyle name="Note 3 4 3 3 3 2" xfId="30588" xr:uid="{00000000-0005-0000-0000-00005A800000}"/>
    <cellStyle name="Note 3 4 3 3 4" xfId="33286" xr:uid="{00000000-0005-0000-0000-00005B800000}"/>
    <cellStyle name="Note 3 4 3 4" xfId="33737" xr:uid="{00000000-0005-0000-0000-00005C800000}"/>
    <cellStyle name="Note 3 4 3 4 2" xfId="33245" xr:uid="{00000000-0005-0000-0000-00005D800000}"/>
    <cellStyle name="Note 3 4 3 4 2 2" xfId="19571" xr:uid="{00000000-0005-0000-0000-00005E800000}"/>
    <cellStyle name="Note 3 4 3 4 3" xfId="27276" xr:uid="{00000000-0005-0000-0000-00005F800000}"/>
    <cellStyle name="Note 3 4 3 5" xfId="21965" xr:uid="{00000000-0005-0000-0000-000060800000}"/>
    <cellStyle name="Note 3 4 3 5 2" xfId="26129" xr:uid="{00000000-0005-0000-0000-000061800000}"/>
    <cellStyle name="Note 3 4 3 6" xfId="32631" xr:uid="{00000000-0005-0000-0000-000062800000}"/>
    <cellStyle name="Note 3 4 4" xfId="6430" xr:uid="{00000000-0005-0000-0000-000063800000}"/>
    <cellStyle name="Note 3 4 4 2" xfId="33617" xr:uid="{00000000-0005-0000-0000-000064800000}"/>
    <cellStyle name="Note 3 4 4 2 2" xfId="32298" xr:uid="{00000000-0005-0000-0000-000065800000}"/>
    <cellStyle name="Note 3 4 4 2 2 2" xfId="30615" xr:uid="{00000000-0005-0000-0000-000066800000}"/>
    <cellStyle name="Note 3 4 4 2 2 2 2" xfId="28831" xr:uid="{00000000-0005-0000-0000-000067800000}"/>
    <cellStyle name="Note 3 4 4 2 2 3" xfId="7561" xr:uid="{00000000-0005-0000-0000-000068800000}"/>
    <cellStyle name="Note 3 4 4 2 3" xfId="30036" xr:uid="{00000000-0005-0000-0000-000069800000}"/>
    <cellStyle name="Note 3 4 4 2 3 2" xfId="31680" xr:uid="{00000000-0005-0000-0000-00006A800000}"/>
    <cellStyle name="Note 3 4 4 2 4" xfId="33585" xr:uid="{00000000-0005-0000-0000-00006B800000}"/>
    <cellStyle name="Note 3 4 4 3" xfId="32710" xr:uid="{00000000-0005-0000-0000-00006C800000}"/>
    <cellStyle name="Note 3 4 4 3 2" xfId="33321" xr:uid="{00000000-0005-0000-0000-00006D800000}"/>
    <cellStyle name="Note 3 4 4 3 2 2" xfId="25118" xr:uid="{00000000-0005-0000-0000-00006E800000}"/>
    <cellStyle name="Note 3 4 4 3 3" xfId="33527" xr:uid="{00000000-0005-0000-0000-00006F800000}"/>
    <cellStyle name="Note 3 4 4 4" xfId="32511" xr:uid="{00000000-0005-0000-0000-000070800000}"/>
    <cellStyle name="Note 3 4 4 4 2" xfId="31303" xr:uid="{00000000-0005-0000-0000-000071800000}"/>
    <cellStyle name="Note 3 4 4 5" xfId="31306" xr:uid="{00000000-0005-0000-0000-000072800000}"/>
    <cellStyle name="Note 3 4 5" xfId="33492" xr:uid="{00000000-0005-0000-0000-000073800000}"/>
    <cellStyle name="Note 3 4 5 2" xfId="20697" xr:uid="{00000000-0005-0000-0000-000074800000}"/>
    <cellStyle name="Note 3 4 5 2 2" xfId="22392" xr:uid="{00000000-0005-0000-0000-000075800000}"/>
    <cellStyle name="Note 3 4 5 2 2 2" xfId="21285" xr:uid="{00000000-0005-0000-0000-000076800000}"/>
    <cellStyle name="Note 3 4 5 2 3" xfId="33354" xr:uid="{00000000-0005-0000-0000-000077800000}"/>
    <cellStyle name="Note 3 4 5 3" xfId="33327" xr:uid="{00000000-0005-0000-0000-000078800000}"/>
    <cellStyle name="Note 3 4 5 3 2" xfId="33540" xr:uid="{00000000-0005-0000-0000-000079800000}"/>
    <cellStyle name="Note 3 4 5 4" xfId="31315" xr:uid="{00000000-0005-0000-0000-00007A800000}"/>
    <cellStyle name="Note 3 4 6" xfId="31745" xr:uid="{00000000-0005-0000-0000-00007B800000}"/>
    <cellStyle name="Note 3 4 6 2" xfId="33425" xr:uid="{00000000-0005-0000-0000-00007C800000}"/>
    <cellStyle name="Note 3 4 6 2 2" xfId="22141" xr:uid="{00000000-0005-0000-0000-00007D800000}"/>
    <cellStyle name="Note 3 4 6 3" xfId="31535" xr:uid="{00000000-0005-0000-0000-00007E800000}"/>
    <cellStyle name="Note 3 4 7" xfId="32946" xr:uid="{00000000-0005-0000-0000-00007F800000}"/>
    <cellStyle name="Note 3 4 7 2" xfId="33359" xr:uid="{00000000-0005-0000-0000-000080800000}"/>
    <cellStyle name="Note 3 4 8" xfId="28750" xr:uid="{00000000-0005-0000-0000-000081800000}"/>
    <cellStyle name="Note 3 5" xfId="6433" xr:uid="{00000000-0005-0000-0000-000082800000}"/>
    <cellStyle name="Note 3 5 2" xfId="6437" xr:uid="{00000000-0005-0000-0000-000083800000}"/>
    <cellStyle name="Note 3 5 2 2" xfId="19001" xr:uid="{00000000-0005-0000-0000-000084800000}"/>
    <cellStyle name="Note 3 5 2 2 2" xfId="21046" xr:uid="{00000000-0005-0000-0000-000085800000}"/>
    <cellStyle name="Note 3 5 2 2 2 2" xfId="33206" xr:uid="{00000000-0005-0000-0000-000086800000}"/>
    <cellStyle name="Note 3 5 2 2 2 2 2" xfId="32001" xr:uid="{00000000-0005-0000-0000-000087800000}"/>
    <cellStyle name="Note 3 5 2 2 2 2 2 2" xfId="8145" xr:uid="{00000000-0005-0000-0000-000088800000}"/>
    <cellStyle name="Note 3 5 2 2 2 2 3" xfId="27841" xr:uid="{00000000-0005-0000-0000-000089800000}"/>
    <cellStyle name="Note 3 5 2 2 2 3" xfId="31687" xr:uid="{00000000-0005-0000-0000-00008A800000}"/>
    <cellStyle name="Note 3 5 2 2 2 3 2" xfId="33299" xr:uid="{00000000-0005-0000-0000-00008B800000}"/>
    <cellStyle name="Note 3 5 2 2 2 4" xfId="30229" xr:uid="{00000000-0005-0000-0000-00008C800000}"/>
    <cellStyle name="Note 3 5 2 2 3" xfId="33339" xr:uid="{00000000-0005-0000-0000-00008D800000}"/>
    <cellStyle name="Note 3 5 2 2 3 2" xfId="28092" xr:uid="{00000000-0005-0000-0000-00008E800000}"/>
    <cellStyle name="Note 3 5 2 2 3 2 2" xfId="11519" xr:uid="{00000000-0005-0000-0000-00008F800000}"/>
    <cellStyle name="Note 3 5 2 2 3 3" xfId="23958" xr:uid="{00000000-0005-0000-0000-000090800000}"/>
    <cellStyle name="Note 3 5 2 2 4" xfId="33347" xr:uid="{00000000-0005-0000-0000-000091800000}"/>
    <cellStyle name="Note 3 5 2 2 4 2" xfId="28107" xr:uid="{00000000-0005-0000-0000-000092800000}"/>
    <cellStyle name="Note 3 5 2 2 5" xfId="27661" xr:uid="{00000000-0005-0000-0000-000093800000}"/>
    <cellStyle name="Note 3 5 2 3" xfId="33584" xr:uid="{00000000-0005-0000-0000-000094800000}"/>
    <cellStyle name="Note 3 5 2 3 2" xfId="2878" xr:uid="{00000000-0005-0000-0000-000095800000}"/>
    <cellStyle name="Note 3 5 2 3 2 2" xfId="30941" xr:uid="{00000000-0005-0000-0000-000096800000}"/>
    <cellStyle name="Note 3 5 2 3 2 2 2" xfId="33388" xr:uid="{00000000-0005-0000-0000-000097800000}"/>
    <cellStyle name="Note 3 5 2 3 2 3" xfId="33926" xr:uid="{00000000-0005-0000-0000-000098800000}"/>
    <cellStyle name="Note 3 5 2 3 3" xfId="33348" xr:uid="{00000000-0005-0000-0000-000099800000}"/>
    <cellStyle name="Note 3 5 2 3 3 2" xfId="30656" xr:uid="{00000000-0005-0000-0000-00009A800000}"/>
    <cellStyle name="Note 3 5 2 3 4" xfId="33349" xr:uid="{00000000-0005-0000-0000-00009B800000}"/>
    <cellStyle name="Note 3 5 2 4" xfId="33352" xr:uid="{00000000-0005-0000-0000-00009C800000}"/>
    <cellStyle name="Note 3 5 2 4 2" xfId="32242" xr:uid="{00000000-0005-0000-0000-00009D800000}"/>
    <cellStyle name="Note 3 5 2 4 2 2" xfId="33365" xr:uid="{00000000-0005-0000-0000-00009E800000}"/>
    <cellStyle name="Note 3 5 2 4 3" xfId="27112" xr:uid="{00000000-0005-0000-0000-00009F800000}"/>
    <cellStyle name="Note 3 5 2 5" xfId="33619" xr:uid="{00000000-0005-0000-0000-0000A0800000}"/>
    <cellStyle name="Note 3 5 2 5 2" xfId="33369" xr:uid="{00000000-0005-0000-0000-0000A1800000}"/>
    <cellStyle name="Note 3 5 2 6" xfId="33224" xr:uid="{00000000-0005-0000-0000-0000A2800000}"/>
    <cellStyle name="Note 3 5 3" xfId="24945" xr:uid="{00000000-0005-0000-0000-0000A3800000}"/>
    <cellStyle name="Note 3 5 3 2" xfId="33759" xr:uid="{00000000-0005-0000-0000-0000A4800000}"/>
    <cellStyle name="Note 3 5 3 2 2" xfId="27014" xr:uid="{00000000-0005-0000-0000-0000A5800000}"/>
    <cellStyle name="Note 3 5 3 2 2 2" xfId="26735" xr:uid="{00000000-0005-0000-0000-0000A6800000}"/>
    <cellStyle name="Note 3 5 3 2 2 2 2" xfId="31833" xr:uid="{00000000-0005-0000-0000-0000A7800000}"/>
    <cellStyle name="Note 3 5 3 2 2 3" xfId="30695" xr:uid="{00000000-0005-0000-0000-0000A8800000}"/>
    <cellStyle name="Note 3 5 3 2 3" xfId="15629" xr:uid="{00000000-0005-0000-0000-0000A9800000}"/>
    <cellStyle name="Note 3 5 3 2 3 2" xfId="28134" xr:uid="{00000000-0005-0000-0000-0000AA800000}"/>
    <cellStyle name="Note 3 5 3 2 4" xfId="15634" xr:uid="{00000000-0005-0000-0000-0000AB800000}"/>
    <cellStyle name="Note 3 5 3 3" xfId="33406" xr:uid="{00000000-0005-0000-0000-0000AC800000}"/>
    <cellStyle name="Note 3 5 3 3 2" xfId="27047" xr:uid="{00000000-0005-0000-0000-0000AD800000}"/>
    <cellStyle name="Note 3 5 3 3 2 2" xfId="31845" xr:uid="{00000000-0005-0000-0000-0000AE800000}"/>
    <cellStyle name="Note 3 5 3 3 3" xfId="4382" xr:uid="{00000000-0005-0000-0000-0000AF800000}"/>
    <cellStyle name="Note 3 5 3 4" xfId="19030" xr:uid="{00000000-0005-0000-0000-0000B0800000}"/>
    <cellStyle name="Note 3 5 3 4 2" xfId="33458" xr:uid="{00000000-0005-0000-0000-0000B1800000}"/>
    <cellStyle name="Note 3 5 3 5" xfId="19032" xr:uid="{00000000-0005-0000-0000-0000B2800000}"/>
    <cellStyle name="Note 3 5 4" xfId="29468" xr:uid="{00000000-0005-0000-0000-0000B3800000}"/>
    <cellStyle name="Note 3 5 4 2" xfId="2147" xr:uid="{00000000-0005-0000-0000-0000B4800000}"/>
    <cellStyle name="Note 3 5 4 2 2" xfId="32315" xr:uid="{00000000-0005-0000-0000-0000B5800000}"/>
    <cellStyle name="Note 3 5 4 2 2 2" xfId="21080" xr:uid="{00000000-0005-0000-0000-0000B6800000}"/>
    <cellStyle name="Note 3 5 4 2 3" xfId="15647" xr:uid="{00000000-0005-0000-0000-0000B7800000}"/>
    <cellStyle name="Note 3 5 4 3" xfId="5031" xr:uid="{00000000-0005-0000-0000-0000B8800000}"/>
    <cellStyle name="Note 3 5 4 3 2" xfId="30703" xr:uid="{00000000-0005-0000-0000-0000B9800000}"/>
    <cellStyle name="Note 3 5 4 4" xfId="5669" xr:uid="{00000000-0005-0000-0000-0000BA800000}"/>
    <cellStyle name="Note 3 5 5" xfId="33219" xr:uid="{00000000-0005-0000-0000-0000BB800000}"/>
    <cellStyle name="Note 3 5 5 2" xfId="2165" xr:uid="{00000000-0005-0000-0000-0000BC800000}"/>
    <cellStyle name="Note 3 5 5 2 2" xfId="6730" xr:uid="{00000000-0005-0000-0000-0000BD800000}"/>
    <cellStyle name="Note 3 5 5 3" xfId="31658" xr:uid="{00000000-0005-0000-0000-0000BE800000}"/>
    <cellStyle name="Note 3 5 6" xfId="16923" xr:uid="{00000000-0005-0000-0000-0000BF800000}"/>
    <cellStyle name="Note 3 5 6 2" xfId="16925" xr:uid="{00000000-0005-0000-0000-0000C0800000}"/>
    <cellStyle name="Note 3 5 7" xfId="16983" xr:uid="{00000000-0005-0000-0000-0000C1800000}"/>
    <cellStyle name="Note 3 6" xfId="12435" xr:uid="{00000000-0005-0000-0000-0000C2800000}"/>
    <cellStyle name="Note 3 6 2" xfId="11890" xr:uid="{00000000-0005-0000-0000-0000C3800000}"/>
    <cellStyle name="Note 3 6 2 2" xfId="32694" xr:uid="{00000000-0005-0000-0000-0000C4800000}"/>
    <cellStyle name="Note 3 6 2 2 2" xfId="32375" xr:uid="{00000000-0005-0000-0000-0000C5800000}"/>
    <cellStyle name="Note 3 6 2 2 2 2" xfId="31669" xr:uid="{00000000-0005-0000-0000-0000C6800000}"/>
    <cellStyle name="Note 3 6 2 2 2 2 2" xfId="31136" xr:uid="{00000000-0005-0000-0000-0000C7800000}"/>
    <cellStyle name="Note 3 6 2 2 2 3" xfId="19659" xr:uid="{00000000-0005-0000-0000-0000C8800000}"/>
    <cellStyle name="Note 3 6 2 2 3" xfId="28636" xr:uid="{00000000-0005-0000-0000-0000C9800000}"/>
    <cellStyle name="Note 3 6 2 2 3 2" xfId="31139" xr:uid="{00000000-0005-0000-0000-0000CA800000}"/>
    <cellStyle name="Note 3 6 2 2 4" xfId="27466" xr:uid="{00000000-0005-0000-0000-0000CB800000}"/>
    <cellStyle name="Note 3 6 2 3" xfId="32220" xr:uid="{00000000-0005-0000-0000-0000CC800000}"/>
    <cellStyle name="Note 3 6 2 3 2" xfId="23030" xr:uid="{00000000-0005-0000-0000-0000CD800000}"/>
    <cellStyle name="Note 3 6 2 3 2 2" xfId="33393" xr:uid="{00000000-0005-0000-0000-0000CE800000}"/>
    <cellStyle name="Note 3 6 2 3 3" xfId="20688" xr:uid="{00000000-0005-0000-0000-0000CF800000}"/>
    <cellStyle name="Note 3 6 2 4" xfId="30804" xr:uid="{00000000-0005-0000-0000-0000D0800000}"/>
    <cellStyle name="Note 3 6 2 4 2" xfId="19756" xr:uid="{00000000-0005-0000-0000-0000D1800000}"/>
    <cellStyle name="Note 3 6 2 5" xfId="31201" xr:uid="{00000000-0005-0000-0000-0000D2800000}"/>
    <cellStyle name="Note 3 6 3" xfId="11993" xr:uid="{00000000-0005-0000-0000-0000D3800000}"/>
    <cellStyle name="Note 3 6 3 2" xfId="32386" xr:uid="{00000000-0005-0000-0000-0000D4800000}"/>
    <cellStyle name="Note 3 6 3 2 2" xfId="22514" xr:uid="{00000000-0005-0000-0000-0000D5800000}"/>
    <cellStyle name="Note 3 6 3 2 2 2" xfId="20122" xr:uid="{00000000-0005-0000-0000-0000D6800000}"/>
    <cellStyle name="Note 3 6 3 2 3" xfId="15676" xr:uid="{00000000-0005-0000-0000-0000D7800000}"/>
    <cellStyle name="Note 3 6 3 3" xfId="27572" xr:uid="{00000000-0005-0000-0000-0000D8800000}"/>
    <cellStyle name="Note 3 6 3 3 2" xfId="14253" xr:uid="{00000000-0005-0000-0000-0000D9800000}"/>
    <cellStyle name="Note 3 6 3 4" xfId="28759" xr:uid="{00000000-0005-0000-0000-0000DA800000}"/>
    <cellStyle name="Note 3 6 4" xfId="33237" xr:uid="{00000000-0005-0000-0000-0000DB800000}"/>
    <cellStyle name="Note 3 6 4 2" xfId="185" xr:uid="{00000000-0005-0000-0000-0000DC800000}"/>
    <cellStyle name="Note 3 6 4 2 2" xfId="31388" xr:uid="{00000000-0005-0000-0000-0000DD800000}"/>
    <cellStyle name="Note 3 6 4 3" xfId="30811" xr:uid="{00000000-0005-0000-0000-0000DE800000}"/>
    <cellStyle name="Note 3 6 5" xfId="31914" xr:uid="{00000000-0005-0000-0000-0000DF800000}"/>
    <cellStyle name="Note 3 6 5 2" xfId="31457" xr:uid="{00000000-0005-0000-0000-0000E0800000}"/>
    <cellStyle name="Note 3 6 6" xfId="17024" xr:uid="{00000000-0005-0000-0000-0000E1800000}"/>
    <cellStyle name="Note 3 7" xfId="15395" xr:uid="{00000000-0005-0000-0000-0000E2800000}"/>
    <cellStyle name="Note 3 7 2" xfId="12004" xr:uid="{00000000-0005-0000-0000-0000E3800000}"/>
    <cellStyle name="Note 3 7 2 2" xfId="26335" xr:uid="{00000000-0005-0000-0000-0000E4800000}"/>
    <cellStyle name="Note 3 7 2 2 2" xfId="31904" xr:uid="{00000000-0005-0000-0000-0000E5800000}"/>
    <cellStyle name="Note 3 7 2 2 2 2" xfId="31925" xr:uid="{00000000-0005-0000-0000-0000E6800000}"/>
    <cellStyle name="Note 3 7 2 2 3" xfId="28976" xr:uid="{00000000-0005-0000-0000-0000E7800000}"/>
    <cellStyle name="Note 3 7 2 3" xfId="30910" xr:uid="{00000000-0005-0000-0000-0000E8800000}"/>
    <cellStyle name="Note 3 7 2 3 2" xfId="31520" xr:uid="{00000000-0005-0000-0000-0000E9800000}"/>
    <cellStyle name="Note 3 7 2 4" xfId="2570" xr:uid="{00000000-0005-0000-0000-0000EA800000}"/>
    <cellStyle name="Note 3 7 3" xfId="31180" xr:uid="{00000000-0005-0000-0000-0000EB800000}"/>
    <cellStyle name="Note 3 7 3 2" xfId="29420" xr:uid="{00000000-0005-0000-0000-0000EC800000}"/>
    <cellStyle name="Note 3 7 3 2 2" xfId="29424" xr:uid="{00000000-0005-0000-0000-0000ED800000}"/>
    <cellStyle name="Note 3 7 3 3" xfId="28891" xr:uid="{00000000-0005-0000-0000-0000EE800000}"/>
    <cellStyle name="Note 3 7 4" xfId="26336" xr:uid="{00000000-0005-0000-0000-0000EF800000}"/>
    <cellStyle name="Note 3 7 4 2" xfId="31903" xr:uid="{00000000-0005-0000-0000-0000F0800000}"/>
    <cellStyle name="Note 3 7 5" xfId="30909" xr:uid="{00000000-0005-0000-0000-0000F1800000}"/>
    <cellStyle name="Note 3 8" xfId="6366" xr:uid="{00000000-0005-0000-0000-0000F2800000}"/>
    <cellStyle name="Note 3 8 2" xfId="33144" xr:uid="{00000000-0005-0000-0000-0000F3800000}"/>
    <cellStyle name="Note 3 8 2 2" xfId="26116" xr:uid="{00000000-0005-0000-0000-0000F4800000}"/>
    <cellStyle name="Note 3 8 2 2 2" xfId="31969" xr:uid="{00000000-0005-0000-0000-0000F5800000}"/>
    <cellStyle name="Note 3 8 2 3" xfId="29668" xr:uid="{00000000-0005-0000-0000-0000F6800000}"/>
    <cellStyle name="Note 3 8 3" xfId="29444" xr:uid="{00000000-0005-0000-0000-0000F7800000}"/>
    <cellStyle name="Note 3 8 3 2" xfId="29449" xr:uid="{00000000-0005-0000-0000-0000F8800000}"/>
    <cellStyle name="Note 3 8 4" xfId="29419" xr:uid="{00000000-0005-0000-0000-0000F9800000}"/>
    <cellStyle name="Note 3 9" xfId="30414" xr:uid="{00000000-0005-0000-0000-0000FA800000}"/>
    <cellStyle name="Note 3 9 2" xfId="31521" xr:uid="{00000000-0005-0000-0000-0000FB800000}"/>
    <cellStyle name="Note 3 9 2 2" xfId="31467" xr:uid="{00000000-0005-0000-0000-0000FC800000}"/>
    <cellStyle name="Note 3 9 3" xfId="6218" xr:uid="{00000000-0005-0000-0000-0000FD800000}"/>
    <cellStyle name="Note 4" xfId="33436" xr:uid="{00000000-0005-0000-0000-0000FE800000}"/>
    <cellStyle name="Note 4 10" xfId="23814" xr:uid="{00000000-0005-0000-0000-0000FF800000}"/>
    <cellStyle name="Note 4 2" xfId="33441" xr:uid="{00000000-0005-0000-0000-000000810000}"/>
    <cellStyle name="Note 4 2 2" xfId="21884" xr:uid="{00000000-0005-0000-0000-000001810000}"/>
    <cellStyle name="Note 4 2 2 2" xfId="32399" xr:uid="{00000000-0005-0000-0000-000002810000}"/>
    <cellStyle name="Note 4 2 2 2 2" xfId="32935" xr:uid="{00000000-0005-0000-0000-000003810000}"/>
    <cellStyle name="Note 4 2 2 2 2 2" xfId="19552" xr:uid="{00000000-0005-0000-0000-000004810000}"/>
    <cellStyle name="Note 4 2 2 2 2 2 2" xfId="27740" xr:uid="{00000000-0005-0000-0000-000005810000}"/>
    <cellStyle name="Note 4 2 2 2 2 2 2 2" xfId="30073" xr:uid="{00000000-0005-0000-0000-000006810000}"/>
    <cellStyle name="Note 4 2 2 2 2 2 2 2 2" xfId="25012" xr:uid="{00000000-0005-0000-0000-000007810000}"/>
    <cellStyle name="Note 4 2 2 2 2 2 2 2 2 2" xfId="33667" xr:uid="{00000000-0005-0000-0000-000008810000}"/>
    <cellStyle name="Note 4 2 2 2 2 2 2 2 3" xfId="33760" xr:uid="{00000000-0005-0000-0000-000009810000}"/>
    <cellStyle name="Note 4 2 2 2 2 2 2 3" xfId="19561" xr:uid="{00000000-0005-0000-0000-00000A810000}"/>
    <cellStyle name="Note 4 2 2 2 2 2 2 3 2" xfId="33689" xr:uid="{00000000-0005-0000-0000-00000B810000}"/>
    <cellStyle name="Note 4 2 2 2 2 2 2 4" xfId="21735" xr:uid="{00000000-0005-0000-0000-00000C810000}"/>
    <cellStyle name="Note 4 2 2 2 2 2 3" xfId="13749" xr:uid="{00000000-0005-0000-0000-00000D810000}"/>
    <cellStyle name="Note 4 2 2 2 2 2 3 2" xfId="29422" xr:uid="{00000000-0005-0000-0000-00000E810000}"/>
    <cellStyle name="Note 4 2 2 2 2 2 3 2 2" xfId="33913" xr:uid="{00000000-0005-0000-0000-00000F810000}"/>
    <cellStyle name="Note 4 2 2 2 2 2 3 3" xfId="31756" xr:uid="{00000000-0005-0000-0000-000010810000}"/>
    <cellStyle name="Note 4 2 2 2 2 2 4" xfId="19332" xr:uid="{00000000-0005-0000-0000-000011810000}"/>
    <cellStyle name="Note 4 2 2 2 2 2 4 2" xfId="9143" xr:uid="{00000000-0005-0000-0000-000012810000}"/>
    <cellStyle name="Note 4 2 2 2 2 2 5" xfId="3356" xr:uid="{00000000-0005-0000-0000-000013810000}"/>
    <cellStyle name="Note 4 2 2 2 2 3" xfId="24923" xr:uid="{00000000-0005-0000-0000-000014810000}"/>
    <cellStyle name="Note 4 2 2 2 2 3 2" xfId="30578" xr:uid="{00000000-0005-0000-0000-000015810000}"/>
    <cellStyle name="Note 4 2 2 2 2 3 2 2" xfId="19569" xr:uid="{00000000-0005-0000-0000-000016810000}"/>
    <cellStyle name="Note 4 2 2 2 2 3 2 2 2" xfId="33854" xr:uid="{00000000-0005-0000-0000-000017810000}"/>
    <cellStyle name="Note 4 2 2 2 2 3 2 3" xfId="33859" xr:uid="{00000000-0005-0000-0000-000018810000}"/>
    <cellStyle name="Note 4 2 2 2 2 3 3" xfId="33445" xr:uid="{00000000-0005-0000-0000-000019810000}"/>
    <cellStyle name="Note 4 2 2 2 2 3 3 2" xfId="33449" xr:uid="{00000000-0005-0000-0000-00001A810000}"/>
    <cellStyle name="Note 4 2 2 2 2 3 4" xfId="2100" xr:uid="{00000000-0005-0000-0000-00001B810000}"/>
    <cellStyle name="Note 4 2 2 2 2 4" xfId="33246" xr:uid="{00000000-0005-0000-0000-00001C810000}"/>
    <cellStyle name="Note 4 2 2 2 2 4 2" xfId="19573" xr:uid="{00000000-0005-0000-0000-00001D810000}"/>
    <cellStyle name="Note 4 2 2 2 2 4 2 2" xfId="28082" xr:uid="{00000000-0005-0000-0000-00001E810000}"/>
    <cellStyle name="Note 4 2 2 2 2 4 3" xfId="30434" xr:uid="{00000000-0005-0000-0000-00001F810000}"/>
    <cellStyle name="Note 4 2 2 2 2 5" xfId="27273" xr:uid="{00000000-0005-0000-0000-000020810000}"/>
    <cellStyle name="Note 4 2 2 2 2 5 2" xfId="14554" xr:uid="{00000000-0005-0000-0000-000021810000}"/>
    <cellStyle name="Note 4 2 2 2 2 6" xfId="33252" xr:uid="{00000000-0005-0000-0000-000022810000}"/>
    <cellStyle name="Note 4 2 2 2 3" xfId="16587" xr:uid="{00000000-0005-0000-0000-000023810000}"/>
    <cellStyle name="Note 4 2 2 2 3 2" xfId="19580" xr:uid="{00000000-0005-0000-0000-000024810000}"/>
    <cellStyle name="Note 4 2 2 2 3 2 2" xfId="30995" xr:uid="{00000000-0005-0000-0000-000025810000}"/>
    <cellStyle name="Note 4 2 2 2 3 2 2 2" xfId="15456" xr:uid="{00000000-0005-0000-0000-000026810000}"/>
    <cellStyle name="Note 4 2 2 2 3 2 2 2 2" xfId="26071" xr:uid="{00000000-0005-0000-0000-000027810000}"/>
    <cellStyle name="Note 4 2 2 2 3 2 2 3" xfId="26074" xr:uid="{00000000-0005-0000-0000-000028810000}"/>
    <cellStyle name="Note 4 2 2 2 3 2 3" xfId="19335" xr:uid="{00000000-0005-0000-0000-000029810000}"/>
    <cellStyle name="Note 4 2 2 2 3 2 3 2" xfId="15478" xr:uid="{00000000-0005-0000-0000-00002A810000}"/>
    <cellStyle name="Note 4 2 2 2 3 2 4" xfId="2226" xr:uid="{00000000-0005-0000-0000-00002B810000}"/>
    <cellStyle name="Note 4 2 2 2 3 3" xfId="24319" xr:uid="{00000000-0005-0000-0000-00002C810000}"/>
    <cellStyle name="Note 4 2 2 2 3 3 2" xfId="20427" xr:uid="{00000000-0005-0000-0000-00002D810000}"/>
    <cellStyle name="Note 4 2 2 2 3 3 2 2" xfId="26127" xr:uid="{00000000-0005-0000-0000-00002E810000}"/>
    <cellStyle name="Note 4 2 2 2 3 3 3" xfId="31854" xr:uid="{00000000-0005-0000-0000-00002F810000}"/>
    <cellStyle name="Note 4 2 2 2 3 4" xfId="26131" xr:uid="{00000000-0005-0000-0000-000030810000}"/>
    <cellStyle name="Note 4 2 2 2 3 4 2" xfId="30453" xr:uid="{00000000-0005-0000-0000-000031810000}"/>
    <cellStyle name="Note 4 2 2 2 3 5" xfId="33464" xr:uid="{00000000-0005-0000-0000-000032810000}"/>
    <cellStyle name="Note 4 2 2 2 4" xfId="6114" xr:uid="{00000000-0005-0000-0000-000033810000}"/>
    <cellStyle name="Note 4 2 2 2 4 2" xfId="33486" xr:uid="{00000000-0005-0000-0000-000034810000}"/>
    <cellStyle name="Note 4 2 2 2 4 2 2" xfId="20450" xr:uid="{00000000-0005-0000-0000-000035810000}"/>
    <cellStyle name="Note 4 2 2 2 4 2 2 2" xfId="26340" xr:uid="{00000000-0005-0000-0000-000036810000}"/>
    <cellStyle name="Note 4 2 2 2 4 2 3" xfId="27963" xr:uid="{00000000-0005-0000-0000-000037810000}"/>
    <cellStyle name="Note 4 2 2 2 4 3" xfId="19793" xr:uid="{00000000-0005-0000-0000-000038810000}"/>
    <cellStyle name="Note 4 2 2 2 4 3 2" xfId="33313" xr:uid="{00000000-0005-0000-0000-000039810000}"/>
    <cellStyle name="Note 4 2 2 2 4 4" xfId="31545" xr:uid="{00000000-0005-0000-0000-00003A810000}"/>
    <cellStyle name="Note 4 2 2 2 5" xfId="33005" xr:uid="{00000000-0005-0000-0000-00003B810000}"/>
    <cellStyle name="Note 4 2 2 2 5 2" xfId="27921" xr:uid="{00000000-0005-0000-0000-00003C810000}"/>
    <cellStyle name="Note 4 2 2 2 5 2 2" xfId="31288" xr:uid="{00000000-0005-0000-0000-00003D810000}"/>
    <cellStyle name="Note 4 2 2 2 5 3" xfId="29873" xr:uid="{00000000-0005-0000-0000-00003E810000}"/>
    <cellStyle name="Note 4 2 2 2 6" xfId="32408" xr:uid="{00000000-0005-0000-0000-00003F810000}"/>
    <cellStyle name="Note 4 2 2 2 6 2" xfId="30990" xr:uid="{00000000-0005-0000-0000-000040810000}"/>
    <cellStyle name="Note 4 2 2 2 7" xfId="34013" xr:uid="{00000000-0005-0000-0000-000041810000}"/>
    <cellStyle name="Note 4 2 2 3" xfId="33201" xr:uid="{00000000-0005-0000-0000-000042810000}"/>
    <cellStyle name="Note 4 2 2 3 2" xfId="9134" xr:uid="{00000000-0005-0000-0000-000043810000}"/>
    <cellStyle name="Note 4 2 2 3 2 2" xfId="25146" xr:uid="{00000000-0005-0000-0000-000044810000}"/>
    <cellStyle name="Note 4 2 2 3 2 2 2" xfId="8365" xr:uid="{00000000-0005-0000-0000-000045810000}"/>
    <cellStyle name="Note 4 2 2 3 2 2 2 2" xfId="25149" xr:uid="{00000000-0005-0000-0000-000046810000}"/>
    <cellStyle name="Note 4 2 2 3 2 2 2 2 2" xfId="2314" xr:uid="{00000000-0005-0000-0000-000047810000}"/>
    <cellStyle name="Note 4 2 2 3 2 2 2 3" xfId="33329" xr:uid="{00000000-0005-0000-0000-000048810000}"/>
    <cellStyle name="Note 4 2 2 3 2 2 3" xfId="19360" xr:uid="{00000000-0005-0000-0000-000049810000}"/>
    <cellStyle name="Note 4 2 2 3 2 2 3 2" xfId="33517" xr:uid="{00000000-0005-0000-0000-00004A810000}"/>
    <cellStyle name="Note 4 2 2 3 2 2 4" xfId="2684" xr:uid="{00000000-0005-0000-0000-00004B810000}"/>
    <cellStyle name="Note 4 2 2 3 2 3" xfId="21111" xr:uid="{00000000-0005-0000-0000-00004C810000}"/>
    <cellStyle name="Note 4 2 2 3 2 3 2" xfId="25177" xr:uid="{00000000-0005-0000-0000-00004D810000}"/>
    <cellStyle name="Note 4 2 2 3 2 3 2 2" xfId="33660" xr:uid="{00000000-0005-0000-0000-00004E810000}"/>
    <cellStyle name="Note 4 2 2 3 2 3 3" xfId="33567" xr:uid="{00000000-0005-0000-0000-00004F810000}"/>
    <cellStyle name="Note 4 2 2 3 2 4" xfId="31302" xr:uid="{00000000-0005-0000-0000-000050810000}"/>
    <cellStyle name="Note 4 2 2 3 2 4 2" xfId="25304" xr:uid="{00000000-0005-0000-0000-000051810000}"/>
    <cellStyle name="Note 4 2 2 3 2 5" xfId="33015" xr:uid="{00000000-0005-0000-0000-000052810000}"/>
    <cellStyle name="Note 4 2 2 3 3" xfId="9617" xr:uid="{00000000-0005-0000-0000-000053810000}"/>
    <cellStyle name="Note 4 2 2 3 3 2" xfId="19693" xr:uid="{00000000-0005-0000-0000-000054810000}"/>
    <cellStyle name="Note 4 2 2 3 3 2 2" xfId="12583" xr:uid="{00000000-0005-0000-0000-000055810000}"/>
    <cellStyle name="Note 4 2 2 3 3 2 2 2" xfId="14785" xr:uid="{00000000-0005-0000-0000-000056810000}"/>
    <cellStyle name="Note 4 2 2 3 3 2 3" xfId="19364" xr:uid="{00000000-0005-0000-0000-000057810000}"/>
    <cellStyle name="Note 4 2 2 3 3 3" xfId="26132" xr:uid="{00000000-0005-0000-0000-000058810000}"/>
    <cellStyle name="Note 4 2 2 3 3 3 2" xfId="11425" xr:uid="{00000000-0005-0000-0000-000059810000}"/>
    <cellStyle name="Note 4 2 2 3 3 4" xfId="33559" xr:uid="{00000000-0005-0000-0000-00005A810000}"/>
    <cellStyle name="Note 4 2 2 3 4" xfId="11296" xr:uid="{00000000-0005-0000-0000-00005B810000}"/>
    <cellStyle name="Note 4 2 2 3 4 2" xfId="25234" xr:uid="{00000000-0005-0000-0000-00005C810000}"/>
    <cellStyle name="Note 4 2 2 3 4 2 2" xfId="31566" xr:uid="{00000000-0005-0000-0000-00005D810000}"/>
    <cellStyle name="Note 4 2 2 3 4 3" xfId="29894" xr:uid="{00000000-0005-0000-0000-00005E810000}"/>
    <cellStyle name="Note 4 2 2 3 5" xfId="8325" xr:uid="{00000000-0005-0000-0000-00005F810000}"/>
    <cellStyle name="Note 4 2 2 3 5 2" xfId="31571" xr:uid="{00000000-0005-0000-0000-000060810000}"/>
    <cellStyle name="Note 4 2 2 3 6" xfId="8327" xr:uid="{00000000-0005-0000-0000-000061810000}"/>
    <cellStyle name="Note 4 2 2 4" xfId="28383" xr:uid="{00000000-0005-0000-0000-000062810000}"/>
    <cellStyle name="Note 4 2 2 4 2" xfId="9643" xr:uid="{00000000-0005-0000-0000-000063810000}"/>
    <cellStyle name="Note 4 2 2 4 2 2" xfId="32783" xr:uid="{00000000-0005-0000-0000-000064810000}"/>
    <cellStyle name="Note 4 2 2 4 2 2 2" xfId="18813" xr:uid="{00000000-0005-0000-0000-000065810000}"/>
    <cellStyle name="Note 4 2 2 4 2 2 2 2" xfId="21715" xr:uid="{00000000-0005-0000-0000-000066810000}"/>
    <cellStyle name="Note 4 2 2 4 2 2 3" xfId="19373" xr:uid="{00000000-0005-0000-0000-000067810000}"/>
    <cellStyle name="Note 4 2 2 4 2 3" xfId="29397" xr:uid="{00000000-0005-0000-0000-000068810000}"/>
    <cellStyle name="Note 4 2 2 4 2 3 2" xfId="26750" xr:uid="{00000000-0005-0000-0000-000069810000}"/>
    <cellStyle name="Note 4 2 2 4 2 4" xfId="26360" xr:uid="{00000000-0005-0000-0000-00006A810000}"/>
    <cellStyle name="Note 4 2 2 4 3" xfId="11302" xr:uid="{00000000-0005-0000-0000-00006B810000}"/>
    <cellStyle name="Note 4 2 2 4 3 2" xfId="6080" xr:uid="{00000000-0005-0000-0000-00006C810000}"/>
    <cellStyle name="Note 4 2 2 4 3 2 2" xfId="21806" xr:uid="{00000000-0005-0000-0000-00006D810000}"/>
    <cellStyle name="Note 4 2 2 4 3 3" xfId="8495" xr:uid="{00000000-0005-0000-0000-00006E810000}"/>
    <cellStyle name="Note 4 2 2 4 4" xfId="11306" xr:uid="{00000000-0005-0000-0000-00006F810000}"/>
    <cellStyle name="Note 4 2 2 4 4 2" xfId="8504" xr:uid="{00000000-0005-0000-0000-000070810000}"/>
    <cellStyle name="Note 4 2 2 4 5" xfId="7134" xr:uid="{00000000-0005-0000-0000-000071810000}"/>
    <cellStyle name="Note 4 2 2 5" xfId="33054" xr:uid="{00000000-0005-0000-0000-000072810000}"/>
    <cellStyle name="Note 4 2 2 5 2" xfId="5024" xr:uid="{00000000-0005-0000-0000-000073810000}"/>
    <cellStyle name="Note 4 2 2 5 2 2" xfId="25551" xr:uid="{00000000-0005-0000-0000-000074810000}"/>
    <cellStyle name="Note 4 2 2 5 2 2 2" xfId="22589" xr:uid="{00000000-0005-0000-0000-000075810000}"/>
    <cellStyle name="Note 4 2 2 5 2 3" xfId="32120" xr:uid="{00000000-0005-0000-0000-000076810000}"/>
    <cellStyle name="Note 4 2 2 5 3" xfId="16533" xr:uid="{00000000-0005-0000-0000-000077810000}"/>
    <cellStyle name="Note 4 2 2 5 3 2" xfId="10453" xr:uid="{00000000-0005-0000-0000-000078810000}"/>
    <cellStyle name="Note 4 2 2 5 4" xfId="30346" xr:uid="{00000000-0005-0000-0000-000079810000}"/>
    <cellStyle name="Note 4 2 2 6" xfId="22456" xr:uid="{00000000-0005-0000-0000-00007A810000}"/>
    <cellStyle name="Note 4 2 2 6 2" xfId="14202" xr:uid="{00000000-0005-0000-0000-00007B810000}"/>
    <cellStyle name="Note 4 2 2 6 2 2" xfId="12607" xr:uid="{00000000-0005-0000-0000-00007C810000}"/>
    <cellStyle name="Note 4 2 2 6 3" xfId="14211" xr:uid="{00000000-0005-0000-0000-00007D810000}"/>
    <cellStyle name="Note 4 2 2 7" xfId="22461" xr:uid="{00000000-0005-0000-0000-00007E810000}"/>
    <cellStyle name="Note 4 2 2 7 2" xfId="2543" xr:uid="{00000000-0005-0000-0000-00007F810000}"/>
    <cellStyle name="Note 4 2 2 8" xfId="14217" xr:uid="{00000000-0005-0000-0000-000080810000}"/>
    <cellStyle name="Note 4 2 3" xfId="33185" xr:uid="{00000000-0005-0000-0000-000081810000}"/>
    <cellStyle name="Note 4 2 3 2" xfId="30744" xr:uid="{00000000-0005-0000-0000-000082810000}"/>
    <cellStyle name="Note 4 2 3 2 2" xfId="1607" xr:uid="{00000000-0005-0000-0000-000083810000}"/>
    <cellStyle name="Note 4 2 3 2 2 2" xfId="31996" xr:uid="{00000000-0005-0000-0000-000084810000}"/>
    <cellStyle name="Note 4 2 3 2 2 2 2" xfId="22069" xr:uid="{00000000-0005-0000-0000-000085810000}"/>
    <cellStyle name="Note 4 2 3 2 2 2 2 2" xfId="26758" xr:uid="{00000000-0005-0000-0000-000086810000}"/>
    <cellStyle name="Note 4 2 3 2 2 2 2 2 2" xfId="15153" xr:uid="{00000000-0005-0000-0000-000087810000}"/>
    <cellStyle name="Note 4 2 3 2 2 2 2 3" xfId="32320" xr:uid="{00000000-0005-0000-0000-000088810000}"/>
    <cellStyle name="Note 4 2 3 2 2 2 3" xfId="22078" xr:uid="{00000000-0005-0000-0000-000089810000}"/>
    <cellStyle name="Note 4 2 3 2 2 2 3 2" xfId="32799" xr:uid="{00000000-0005-0000-0000-00008A810000}"/>
    <cellStyle name="Note 4 2 3 2 2 2 4" xfId="5667" xr:uid="{00000000-0005-0000-0000-00008B810000}"/>
    <cellStyle name="Note 4 2 3 2 2 3" xfId="5279" xr:uid="{00000000-0005-0000-0000-00008C810000}"/>
    <cellStyle name="Note 4 2 3 2 2 3 2" xfId="8243" xr:uid="{00000000-0005-0000-0000-00008D810000}"/>
    <cellStyle name="Note 4 2 3 2 2 3 2 2" xfId="27443" xr:uid="{00000000-0005-0000-0000-00008E810000}"/>
    <cellStyle name="Note 4 2 3 2 2 3 3" xfId="14028" xr:uid="{00000000-0005-0000-0000-00008F810000}"/>
    <cellStyle name="Note 4 2 3 2 2 4" xfId="2629" xr:uid="{00000000-0005-0000-0000-000090810000}"/>
    <cellStyle name="Note 4 2 3 2 2 4 2" xfId="32512" xr:uid="{00000000-0005-0000-0000-000091810000}"/>
    <cellStyle name="Note 4 2 3 2 2 5" xfId="33156" xr:uid="{00000000-0005-0000-0000-000092810000}"/>
    <cellStyle name="Note 4 2 3 2 3" xfId="32290" xr:uid="{00000000-0005-0000-0000-000093810000}"/>
    <cellStyle name="Note 4 2 3 2 3 2" xfId="26793" xr:uid="{00000000-0005-0000-0000-000094810000}"/>
    <cellStyle name="Note 4 2 3 2 3 2 2" xfId="20503" xr:uid="{00000000-0005-0000-0000-000095810000}"/>
    <cellStyle name="Note 4 2 3 2 3 2 2 2" xfId="25830" xr:uid="{00000000-0005-0000-0000-000096810000}"/>
    <cellStyle name="Note 4 2 3 2 3 2 3" xfId="19405" xr:uid="{00000000-0005-0000-0000-000097810000}"/>
    <cellStyle name="Note 4 2 3 2 3 3" xfId="19071" xr:uid="{00000000-0005-0000-0000-000098810000}"/>
    <cellStyle name="Note 4 2 3 2 3 3 2" xfId="28858" xr:uid="{00000000-0005-0000-0000-000099810000}"/>
    <cellStyle name="Note 4 2 3 2 3 4" xfId="18500" xr:uid="{00000000-0005-0000-0000-00009A810000}"/>
    <cellStyle name="Note 4 2 3 2 4" xfId="31051" xr:uid="{00000000-0005-0000-0000-00009B810000}"/>
    <cellStyle name="Note 4 2 3 2 4 2" xfId="26623" xr:uid="{00000000-0005-0000-0000-00009C810000}"/>
    <cellStyle name="Note 4 2 3 2 4 2 2" xfId="4116" xr:uid="{00000000-0005-0000-0000-00009D810000}"/>
    <cellStyle name="Note 4 2 3 2 4 3" xfId="31401" xr:uid="{00000000-0005-0000-0000-00009E810000}"/>
    <cellStyle name="Note 4 2 3 2 5" xfId="32328" xr:uid="{00000000-0005-0000-0000-00009F810000}"/>
    <cellStyle name="Note 4 2 3 2 5 2" xfId="31617" xr:uid="{00000000-0005-0000-0000-0000A0810000}"/>
    <cellStyle name="Note 4 2 3 2 6" xfId="19509" xr:uid="{00000000-0005-0000-0000-0000A1810000}"/>
    <cellStyle name="Note 4 2 3 3" xfId="26685" xr:uid="{00000000-0005-0000-0000-0000A2810000}"/>
    <cellStyle name="Note 4 2 3 3 2" xfId="9926" xr:uid="{00000000-0005-0000-0000-0000A3810000}"/>
    <cellStyle name="Note 4 2 3 3 2 2" xfId="26903" xr:uid="{00000000-0005-0000-0000-0000A4810000}"/>
    <cellStyle name="Note 4 2 3 3 2 2 2" xfId="27692" xr:uid="{00000000-0005-0000-0000-0000A5810000}"/>
    <cellStyle name="Note 4 2 3 3 2 2 2 2" xfId="33521" xr:uid="{00000000-0005-0000-0000-0000A6810000}"/>
    <cellStyle name="Note 4 2 3 3 2 2 3" xfId="30574" xr:uid="{00000000-0005-0000-0000-0000A7810000}"/>
    <cellStyle name="Note 4 2 3 3 2 3" xfId="5306" xr:uid="{00000000-0005-0000-0000-0000A8810000}"/>
    <cellStyle name="Note 4 2 3 3 2 3 2" xfId="33495" xr:uid="{00000000-0005-0000-0000-0000A9810000}"/>
    <cellStyle name="Note 4 2 3 3 2 4" xfId="31558" xr:uid="{00000000-0005-0000-0000-0000AA810000}"/>
    <cellStyle name="Note 4 2 3 3 3" xfId="11323" xr:uid="{00000000-0005-0000-0000-0000AB810000}"/>
    <cellStyle name="Note 4 2 3 3 3 2" xfId="27267" xr:uid="{00000000-0005-0000-0000-0000AC810000}"/>
    <cellStyle name="Note 4 2 3 3 3 2 2" xfId="31849" xr:uid="{00000000-0005-0000-0000-0000AD810000}"/>
    <cellStyle name="Note 4 2 3 3 3 3" xfId="32702" xr:uid="{00000000-0005-0000-0000-0000AE810000}"/>
    <cellStyle name="Note 4 2 3 3 4" xfId="10396" xr:uid="{00000000-0005-0000-0000-0000AF810000}"/>
    <cellStyle name="Note 4 2 3 3 4 2" xfId="31622" xr:uid="{00000000-0005-0000-0000-0000B0810000}"/>
    <cellStyle name="Note 4 2 3 3 5" xfId="8337" xr:uid="{00000000-0005-0000-0000-0000B1810000}"/>
    <cellStyle name="Note 4 2 3 4" xfId="33272" xr:uid="{00000000-0005-0000-0000-0000B2810000}"/>
    <cellStyle name="Note 4 2 3 4 2" xfId="11328" xr:uid="{00000000-0005-0000-0000-0000B3810000}"/>
    <cellStyle name="Note 4 2 3 4 2 2" xfId="24703" xr:uid="{00000000-0005-0000-0000-0000B4810000}"/>
    <cellStyle name="Note 4 2 3 4 2 2 2" xfId="21873" xr:uid="{00000000-0005-0000-0000-0000B5810000}"/>
    <cellStyle name="Note 4 2 3 4 2 3" xfId="21876" xr:uid="{00000000-0005-0000-0000-0000B6810000}"/>
    <cellStyle name="Note 4 2 3 4 3" xfId="11331" xr:uid="{00000000-0005-0000-0000-0000B7810000}"/>
    <cellStyle name="Note 4 2 3 4 3 2" xfId="8512" xr:uid="{00000000-0005-0000-0000-0000B8810000}"/>
    <cellStyle name="Note 4 2 3 4 4" xfId="28601" xr:uid="{00000000-0005-0000-0000-0000B9810000}"/>
    <cellStyle name="Note 4 2 3 5" xfId="33130" xr:uid="{00000000-0005-0000-0000-0000BA810000}"/>
    <cellStyle name="Note 4 2 3 5 2" xfId="5102" xr:uid="{00000000-0005-0000-0000-0000BB810000}"/>
    <cellStyle name="Note 4 2 3 5 2 2" xfId="30469" xr:uid="{00000000-0005-0000-0000-0000BC810000}"/>
    <cellStyle name="Note 4 2 3 5 3" xfId="26586" xr:uid="{00000000-0005-0000-0000-0000BD810000}"/>
    <cellStyle name="Note 4 2 3 6" xfId="22472" xr:uid="{00000000-0005-0000-0000-0000BE810000}"/>
    <cellStyle name="Note 4 2 3 6 2" xfId="14222" xr:uid="{00000000-0005-0000-0000-0000BF810000}"/>
    <cellStyle name="Note 4 2 3 7" xfId="5611" xr:uid="{00000000-0005-0000-0000-0000C0810000}"/>
    <cellStyle name="Note 4 2 4" xfId="30544" xr:uid="{00000000-0005-0000-0000-0000C1810000}"/>
    <cellStyle name="Note 4 2 4 2" xfId="30546" xr:uid="{00000000-0005-0000-0000-0000C2810000}"/>
    <cellStyle name="Note 4 2 4 2 2" xfId="30340" xr:uid="{00000000-0005-0000-0000-0000C3810000}"/>
    <cellStyle name="Note 4 2 4 2 2 2" xfId="31672" xr:uid="{00000000-0005-0000-0000-0000C4810000}"/>
    <cellStyle name="Note 4 2 4 2 2 2 2" xfId="21155" xr:uid="{00000000-0005-0000-0000-0000C5810000}"/>
    <cellStyle name="Note 4 2 4 2 2 2 2 2" xfId="24038" xr:uid="{00000000-0005-0000-0000-0000C6810000}"/>
    <cellStyle name="Note 4 2 4 2 2 2 3" xfId="19462" xr:uid="{00000000-0005-0000-0000-0000C7810000}"/>
    <cellStyle name="Note 4 2 4 2 2 3" xfId="2928" xr:uid="{00000000-0005-0000-0000-0000C8810000}"/>
    <cellStyle name="Note 4 2 4 2 2 3 2" xfId="22604" xr:uid="{00000000-0005-0000-0000-0000C9810000}"/>
    <cellStyle name="Note 4 2 4 2 2 4" xfId="22655" xr:uid="{00000000-0005-0000-0000-0000CA810000}"/>
    <cellStyle name="Note 4 2 4 2 3" xfId="24977" xr:uid="{00000000-0005-0000-0000-0000CB810000}"/>
    <cellStyle name="Note 4 2 4 2 3 2" xfId="20168" xr:uid="{00000000-0005-0000-0000-0000CC810000}"/>
    <cellStyle name="Note 4 2 4 2 3 2 2" xfId="22807" xr:uid="{00000000-0005-0000-0000-0000CD810000}"/>
    <cellStyle name="Note 4 2 4 2 3 3" xfId="22839" xr:uid="{00000000-0005-0000-0000-0000CE810000}"/>
    <cellStyle name="Note 4 2 4 2 4" xfId="29265" xr:uid="{00000000-0005-0000-0000-0000CF810000}"/>
    <cellStyle name="Note 4 2 4 2 4 2" xfId="14591" xr:uid="{00000000-0005-0000-0000-0000D0810000}"/>
    <cellStyle name="Note 4 2 4 2 5" xfId="33233" xr:uid="{00000000-0005-0000-0000-0000D1810000}"/>
    <cellStyle name="Note 4 2 4 3" xfId="26087" xr:uid="{00000000-0005-0000-0000-0000D2810000}"/>
    <cellStyle name="Note 4 2 4 3 2" xfId="2462" xr:uid="{00000000-0005-0000-0000-0000D3810000}"/>
    <cellStyle name="Note 4 2 4 3 2 2" xfId="21121" xr:uid="{00000000-0005-0000-0000-0000D4810000}"/>
    <cellStyle name="Note 4 2 4 3 2 2 2" xfId="32217" xr:uid="{00000000-0005-0000-0000-0000D5810000}"/>
    <cellStyle name="Note 4 2 4 3 2 3" xfId="24949" xr:uid="{00000000-0005-0000-0000-0000D6810000}"/>
    <cellStyle name="Note 4 2 4 3 3" xfId="4732" xr:uid="{00000000-0005-0000-0000-0000D7810000}"/>
    <cellStyle name="Note 4 2 4 3 3 2" xfId="25142" xr:uid="{00000000-0005-0000-0000-0000D8810000}"/>
    <cellStyle name="Note 4 2 4 3 4" xfId="27673" xr:uid="{00000000-0005-0000-0000-0000D9810000}"/>
    <cellStyle name="Note 4 2 4 4" xfId="33561" xr:uid="{00000000-0005-0000-0000-0000DA810000}"/>
    <cellStyle name="Note 4 2 4 4 2" xfId="11343" xr:uid="{00000000-0005-0000-0000-0000DB810000}"/>
    <cellStyle name="Note 4 2 4 4 2 2" xfId="23954" xr:uid="{00000000-0005-0000-0000-0000DC810000}"/>
    <cellStyle name="Note 4 2 4 4 3" xfId="33569" xr:uid="{00000000-0005-0000-0000-0000DD810000}"/>
    <cellStyle name="Note 4 2 4 5" xfId="28478" xr:uid="{00000000-0005-0000-0000-0000DE810000}"/>
    <cellStyle name="Note 4 2 4 5 2" xfId="31492" xr:uid="{00000000-0005-0000-0000-0000DF810000}"/>
    <cellStyle name="Note 4 2 4 6" xfId="14239" xr:uid="{00000000-0005-0000-0000-0000E0810000}"/>
    <cellStyle name="Note 4 2 5" xfId="28042" xr:uid="{00000000-0005-0000-0000-0000E1810000}"/>
    <cellStyle name="Note 4 2 5 2" xfId="33159" xr:uid="{00000000-0005-0000-0000-0000E2810000}"/>
    <cellStyle name="Note 4 2 5 2 2" xfId="26574" xr:uid="{00000000-0005-0000-0000-0000E3810000}"/>
    <cellStyle name="Note 4 2 5 2 2 2" xfId="52" xr:uid="{00000000-0005-0000-0000-0000E4810000}"/>
    <cellStyle name="Note 4 2 5 2 2 2 2" xfId="29553" xr:uid="{00000000-0005-0000-0000-0000E5810000}"/>
    <cellStyle name="Note 4 2 5 2 2 3" xfId="1317" xr:uid="{00000000-0005-0000-0000-0000E6810000}"/>
    <cellStyle name="Note 4 2 5 2 3" xfId="14622" xr:uid="{00000000-0005-0000-0000-0000E7810000}"/>
    <cellStyle name="Note 4 2 5 2 3 2" xfId="27902" xr:uid="{00000000-0005-0000-0000-0000E8810000}"/>
    <cellStyle name="Note 4 2 5 2 4" xfId="24811" xr:uid="{00000000-0005-0000-0000-0000E9810000}"/>
    <cellStyle name="Note 4 2 5 3" xfId="28862" xr:uid="{00000000-0005-0000-0000-0000EA810000}"/>
    <cellStyle name="Note 4 2 5 3 2" xfId="11350" xr:uid="{00000000-0005-0000-0000-0000EB810000}"/>
    <cellStyle name="Note 4 2 5 3 2 2" xfId="27244" xr:uid="{00000000-0005-0000-0000-0000EC810000}"/>
    <cellStyle name="Note 4 2 5 3 3" xfId="25992" xr:uid="{00000000-0005-0000-0000-0000ED810000}"/>
    <cellStyle name="Note 4 2 5 4" xfId="32728" xr:uid="{00000000-0005-0000-0000-0000EE810000}"/>
    <cellStyle name="Note 4 2 5 4 2" xfId="26927" xr:uid="{00000000-0005-0000-0000-0000EF810000}"/>
    <cellStyle name="Note 4 2 5 5" xfId="31057" xr:uid="{00000000-0005-0000-0000-0000F0810000}"/>
    <cellStyle name="Note 4 2 6" xfId="1441" xr:uid="{00000000-0005-0000-0000-0000F1810000}"/>
    <cellStyle name="Note 4 2 6 2" xfId="30521" xr:uid="{00000000-0005-0000-0000-0000F2810000}"/>
    <cellStyle name="Note 4 2 6 2 2" xfId="32422" xr:uid="{00000000-0005-0000-0000-0000F3810000}"/>
    <cellStyle name="Note 4 2 6 2 2 2" xfId="26846" xr:uid="{00000000-0005-0000-0000-0000F4810000}"/>
    <cellStyle name="Note 4 2 6 2 3" xfId="32588" xr:uid="{00000000-0005-0000-0000-0000F5810000}"/>
    <cellStyle name="Note 4 2 6 3" xfId="33729" xr:uid="{00000000-0005-0000-0000-0000F6810000}"/>
    <cellStyle name="Note 4 2 6 3 2" xfId="30314" xr:uid="{00000000-0005-0000-0000-0000F7810000}"/>
    <cellStyle name="Note 4 2 6 4" xfId="33910" xr:uid="{00000000-0005-0000-0000-0000F8810000}"/>
    <cellStyle name="Note 4 2 7" xfId="17749" xr:uid="{00000000-0005-0000-0000-0000F9810000}"/>
    <cellStyle name="Note 4 2 7 2" xfId="31976" xr:uid="{00000000-0005-0000-0000-0000FA810000}"/>
    <cellStyle name="Note 4 2 7 2 2" xfId="33021" xr:uid="{00000000-0005-0000-0000-0000FB810000}"/>
    <cellStyle name="Note 4 2 7 3" xfId="32759" xr:uid="{00000000-0005-0000-0000-0000FC810000}"/>
    <cellStyle name="Note 4 2 8" xfId="31708" xr:uid="{00000000-0005-0000-0000-0000FD810000}"/>
    <cellStyle name="Note 4 2 8 2" xfId="25061" xr:uid="{00000000-0005-0000-0000-0000FE810000}"/>
    <cellStyle name="Note 4 2 9" xfId="19772" xr:uid="{00000000-0005-0000-0000-0000FF810000}"/>
    <cellStyle name="Note 4 3" xfId="32886" xr:uid="{00000000-0005-0000-0000-000000820000}"/>
    <cellStyle name="Note 4 3 2" xfId="31476" xr:uid="{00000000-0005-0000-0000-000001820000}"/>
    <cellStyle name="Note 4 3 2 2" xfId="32598" xr:uid="{00000000-0005-0000-0000-000002820000}"/>
    <cellStyle name="Note 4 3 2 2 2" xfId="29292" xr:uid="{00000000-0005-0000-0000-000003820000}"/>
    <cellStyle name="Note 4 3 2 2 2 2" xfId="27994" xr:uid="{00000000-0005-0000-0000-000004820000}"/>
    <cellStyle name="Note 4 3 2 2 2 2 2" xfId="22173" xr:uid="{00000000-0005-0000-0000-000005820000}"/>
    <cellStyle name="Note 4 3 2 2 2 2 2 2" xfId="22178" xr:uid="{00000000-0005-0000-0000-000006820000}"/>
    <cellStyle name="Note 4 3 2 2 2 2 2 2 2" xfId="25164" xr:uid="{00000000-0005-0000-0000-000007820000}"/>
    <cellStyle name="Note 4 3 2 2 2 2 2 3" xfId="24349" xr:uid="{00000000-0005-0000-0000-000008820000}"/>
    <cellStyle name="Note 4 3 2 2 2 2 3" xfId="19474" xr:uid="{00000000-0005-0000-0000-000009820000}"/>
    <cellStyle name="Note 4 3 2 2 2 2 3 2" xfId="22185" xr:uid="{00000000-0005-0000-0000-00000A820000}"/>
    <cellStyle name="Note 4 3 2 2 2 2 4" xfId="19481" xr:uid="{00000000-0005-0000-0000-00000B820000}"/>
    <cellStyle name="Note 4 3 2 2 2 3" xfId="22188" xr:uid="{00000000-0005-0000-0000-00000C820000}"/>
    <cellStyle name="Note 4 3 2 2 2 3 2" xfId="31212" xr:uid="{00000000-0005-0000-0000-00000D820000}"/>
    <cellStyle name="Note 4 3 2 2 2 3 2 2" xfId="33556" xr:uid="{00000000-0005-0000-0000-00000E820000}"/>
    <cellStyle name="Note 4 3 2 2 2 3 3" xfId="19848" xr:uid="{00000000-0005-0000-0000-00000F820000}"/>
    <cellStyle name="Note 4 3 2 2 2 4" xfId="33374" xr:uid="{00000000-0005-0000-0000-000010820000}"/>
    <cellStyle name="Note 4 3 2 2 2 4 2" xfId="23528" xr:uid="{00000000-0005-0000-0000-000011820000}"/>
    <cellStyle name="Note 4 3 2 2 2 5" xfId="26445" xr:uid="{00000000-0005-0000-0000-000012820000}"/>
    <cellStyle name="Note 4 3 2 2 3" xfId="26900" xr:uid="{00000000-0005-0000-0000-000013820000}"/>
    <cellStyle name="Note 4 3 2 2 3 2" xfId="27227" xr:uid="{00000000-0005-0000-0000-000014820000}"/>
    <cellStyle name="Note 4 3 2 2 3 2 2" xfId="22198" xr:uid="{00000000-0005-0000-0000-000015820000}"/>
    <cellStyle name="Note 4 3 2 2 3 2 2 2" xfId="2478" xr:uid="{00000000-0005-0000-0000-000016820000}"/>
    <cellStyle name="Note 4 3 2 2 3 2 3" xfId="19484" xr:uid="{00000000-0005-0000-0000-000017820000}"/>
    <cellStyle name="Note 4 3 2 2 3 3" xfId="22202" xr:uid="{00000000-0005-0000-0000-000018820000}"/>
    <cellStyle name="Note 4 3 2 2 3 3 2" xfId="22907" xr:uid="{00000000-0005-0000-0000-000019820000}"/>
    <cellStyle name="Note 4 3 2 2 3 4" xfId="22207" xr:uid="{00000000-0005-0000-0000-00001A820000}"/>
    <cellStyle name="Note 4 3 2 2 4" xfId="33098" xr:uid="{00000000-0005-0000-0000-00001B820000}"/>
    <cellStyle name="Note 4 3 2 2 4 2" xfId="27486" xr:uid="{00000000-0005-0000-0000-00001C820000}"/>
    <cellStyle name="Note 4 3 2 2 4 2 2" xfId="22210" xr:uid="{00000000-0005-0000-0000-00001D820000}"/>
    <cellStyle name="Note 4 3 2 2 4 3" xfId="26038" xr:uid="{00000000-0005-0000-0000-00001E820000}"/>
    <cellStyle name="Note 4 3 2 2 5" xfId="29651" xr:uid="{00000000-0005-0000-0000-00001F820000}"/>
    <cellStyle name="Note 4 3 2 2 5 2" xfId="33988" xr:uid="{00000000-0005-0000-0000-000020820000}"/>
    <cellStyle name="Note 4 3 2 2 6" xfId="33599" xr:uid="{00000000-0005-0000-0000-000021820000}"/>
    <cellStyle name="Note 4 3 2 3" xfId="29296" xr:uid="{00000000-0005-0000-0000-000022820000}"/>
    <cellStyle name="Note 4 3 2 3 2" xfId="9779" xr:uid="{00000000-0005-0000-0000-000023820000}"/>
    <cellStyle name="Note 4 3 2 3 2 2" xfId="22473" xr:uid="{00000000-0005-0000-0000-000024820000}"/>
    <cellStyle name="Note 4 3 2 3 2 2 2" xfId="22478" xr:uid="{00000000-0005-0000-0000-000025820000}"/>
    <cellStyle name="Note 4 3 2 3 2 2 2 2" xfId="22483" xr:uid="{00000000-0005-0000-0000-000026820000}"/>
    <cellStyle name="Note 4 3 2 3 2 2 3" xfId="23645" xr:uid="{00000000-0005-0000-0000-000027820000}"/>
    <cellStyle name="Note 4 3 2 3 2 3" xfId="23968" xr:uid="{00000000-0005-0000-0000-000028820000}"/>
    <cellStyle name="Note 4 3 2 3 2 3 2" xfId="27848" xr:uid="{00000000-0005-0000-0000-000029820000}"/>
    <cellStyle name="Note 4 3 2 3 2 4" xfId="31890" xr:uid="{00000000-0005-0000-0000-00002A820000}"/>
    <cellStyle name="Note 4 3 2 3 3" xfId="18876" xr:uid="{00000000-0005-0000-0000-00002B820000}"/>
    <cellStyle name="Note 4 3 2 3 3 2" xfId="27669" xr:uid="{00000000-0005-0000-0000-00002C820000}"/>
    <cellStyle name="Note 4 3 2 3 3 2 2" xfId="23659" xr:uid="{00000000-0005-0000-0000-00002D820000}"/>
    <cellStyle name="Note 4 3 2 3 3 3" xfId="25417" xr:uid="{00000000-0005-0000-0000-00002E820000}"/>
    <cellStyle name="Note 4 3 2 3 4" xfId="11385" xr:uid="{00000000-0005-0000-0000-00002F820000}"/>
    <cellStyle name="Note 4 3 2 3 4 2" xfId="26054" xr:uid="{00000000-0005-0000-0000-000030820000}"/>
    <cellStyle name="Note 4 3 2 3 5" xfId="6329" xr:uid="{00000000-0005-0000-0000-000031820000}"/>
    <cellStyle name="Note 4 3 2 4" xfId="28036" xr:uid="{00000000-0005-0000-0000-000032820000}"/>
    <cellStyle name="Note 4 3 2 4 2" xfId="3797" xr:uid="{00000000-0005-0000-0000-000033820000}"/>
    <cellStyle name="Note 4 3 2 4 2 2" xfId="8383" xr:uid="{00000000-0005-0000-0000-000034820000}"/>
    <cellStyle name="Note 4 3 2 4 2 2 2" xfId="22590" xr:uid="{00000000-0005-0000-0000-000035820000}"/>
    <cellStyle name="Note 4 3 2 4 2 3" xfId="22596" xr:uid="{00000000-0005-0000-0000-000036820000}"/>
    <cellStyle name="Note 4 3 2 4 3" xfId="18402" xr:uid="{00000000-0005-0000-0000-000037820000}"/>
    <cellStyle name="Note 4 3 2 4 3 2" xfId="18407" xr:uid="{00000000-0005-0000-0000-000038820000}"/>
    <cellStyle name="Note 4 3 2 4 4" xfId="28886" xr:uid="{00000000-0005-0000-0000-000039820000}"/>
    <cellStyle name="Note 4 3 2 5" xfId="4082" xr:uid="{00000000-0005-0000-0000-00003A820000}"/>
    <cellStyle name="Note 4 3 2 5 2" xfId="10071" xr:uid="{00000000-0005-0000-0000-00003B820000}"/>
    <cellStyle name="Note 4 3 2 5 2 2" xfId="22648" xr:uid="{00000000-0005-0000-0000-00003C820000}"/>
    <cellStyle name="Note 4 3 2 5 3" xfId="26753" xr:uid="{00000000-0005-0000-0000-00003D820000}"/>
    <cellStyle name="Note 4 3 2 6" xfId="22485" xr:uid="{00000000-0005-0000-0000-00003E820000}"/>
    <cellStyle name="Note 4 3 2 6 2" xfId="30848" xr:uid="{00000000-0005-0000-0000-00003F820000}"/>
    <cellStyle name="Note 4 3 2 7" xfId="29307" xr:uid="{00000000-0005-0000-0000-000040820000}"/>
    <cellStyle name="Note 4 3 3" xfId="32236" xr:uid="{00000000-0005-0000-0000-000041820000}"/>
    <cellStyle name="Note 4 3 3 2" xfId="30777" xr:uid="{00000000-0005-0000-0000-000042820000}"/>
    <cellStyle name="Note 4 3 3 2 2" xfId="23925" xr:uid="{00000000-0005-0000-0000-000043820000}"/>
    <cellStyle name="Note 4 3 3 2 2 2" xfId="20644" xr:uid="{00000000-0005-0000-0000-000044820000}"/>
    <cellStyle name="Note 4 3 3 2 2 2 2" xfId="20650" xr:uid="{00000000-0005-0000-0000-000045820000}"/>
    <cellStyle name="Note 4 3 3 2 2 2 2 2" xfId="23598" xr:uid="{00000000-0005-0000-0000-000046820000}"/>
    <cellStyle name="Note 4 3 3 2 2 2 3" xfId="27409" xr:uid="{00000000-0005-0000-0000-000047820000}"/>
    <cellStyle name="Note 4 3 3 2 2 3" xfId="5641" xr:uid="{00000000-0005-0000-0000-000048820000}"/>
    <cellStyle name="Note 4 3 3 2 2 3 2" xfId="4591" xr:uid="{00000000-0005-0000-0000-000049820000}"/>
    <cellStyle name="Note 4 3 3 2 2 4" xfId="20678" xr:uid="{00000000-0005-0000-0000-00004A820000}"/>
    <cellStyle name="Note 4 3 3 2 3" xfId="20452" xr:uid="{00000000-0005-0000-0000-00004B820000}"/>
    <cellStyle name="Note 4 3 3 2 3 2" xfId="20684" xr:uid="{00000000-0005-0000-0000-00004C820000}"/>
    <cellStyle name="Note 4 3 3 2 3 2 2" xfId="20693" xr:uid="{00000000-0005-0000-0000-00004D820000}"/>
    <cellStyle name="Note 4 3 3 2 3 3" xfId="20704" xr:uid="{00000000-0005-0000-0000-00004E820000}"/>
    <cellStyle name="Note 4 3 3 2 4" xfId="29715" xr:uid="{00000000-0005-0000-0000-00004F820000}"/>
    <cellStyle name="Note 4 3 3 2 4 2" xfId="20712" xr:uid="{00000000-0005-0000-0000-000050820000}"/>
    <cellStyle name="Note 4 3 3 2 5" xfId="26666" xr:uid="{00000000-0005-0000-0000-000051820000}"/>
    <cellStyle name="Note 4 3 3 3" xfId="28879" xr:uid="{00000000-0005-0000-0000-000052820000}"/>
    <cellStyle name="Note 4 3 3 3 2" xfId="15467" xr:uid="{00000000-0005-0000-0000-000053820000}"/>
    <cellStyle name="Note 4 3 3 3 2 2" xfId="20855" xr:uid="{00000000-0005-0000-0000-000054820000}"/>
    <cellStyle name="Note 4 3 3 3 2 2 2" xfId="20864" xr:uid="{00000000-0005-0000-0000-000055820000}"/>
    <cellStyle name="Note 4 3 3 3 2 3" xfId="20875" xr:uid="{00000000-0005-0000-0000-000056820000}"/>
    <cellStyle name="Note 4 3 3 3 3" xfId="19537" xr:uid="{00000000-0005-0000-0000-000057820000}"/>
    <cellStyle name="Note 4 3 3 3 3 2" xfId="20882" xr:uid="{00000000-0005-0000-0000-000058820000}"/>
    <cellStyle name="Note 4 3 3 3 4" xfId="28901" xr:uid="{00000000-0005-0000-0000-000059820000}"/>
    <cellStyle name="Note 4 3 3 4" xfId="33301" xr:uid="{00000000-0005-0000-0000-00005A820000}"/>
    <cellStyle name="Note 4 3 3 4 2" xfId="18791" xr:uid="{00000000-0005-0000-0000-00005B820000}"/>
    <cellStyle name="Note 4 3 3 4 2 2" xfId="21029" xr:uid="{00000000-0005-0000-0000-00005C820000}"/>
    <cellStyle name="Note 4 3 3 4 3" xfId="33888" xr:uid="{00000000-0005-0000-0000-00005D820000}"/>
    <cellStyle name="Note 4 3 3 5" xfId="23560" xr:uid="{00000000-0005-0000-0000-00005E820000}"/>
    <cellStyle name="Note 4 3 3 5 2" xfId="33925" xr:uid="{00000000-0005-0000-0000-00005F820000}"/>
    <cellStyle name="Note 4 3 3 6" xfId="33529" xr:uid="{00000000-0005-0000-0000-000060820000}"/>
    <cellStyle name="Note 4 3 4" xfId="33346" xr:uid="{00000000-0005-0000-0000-000061820000}"/>
    <cellStyle name="Note 4 3 4 2" xfId="31697" xr:uid="{00000000-0005-0000-0000-000062820000}"/>
    <cellStyle name="Note 4 3 4 2 2" xfId="25024" xr:uid="{00000000-0005-0000-0000-000063820000}"/>
    <cellStyle name="Note 4 3 4 2 2 2" xfId="21277" xr:uid="{00000000-0005-0000-0000-000064820000}"/>
    <cellStyle name="Note 4 3 4 2 2 2 2" xfId="28312" xr:uid="{00000000-0005-0000-0000-000065820000}"/>
    <cellStyle name="Note 4 3 4 2 2 3" xfId="21302" xr:uid="{00000000-0005-0000-0000-000066820000}"/>
    <cellStyle name="Note 4 3 4 2 3" xfId="28018" xr:uid="{00000000-0005-0000-0000-000067820000}"/>
    <cellStyle name="Note 4 3 4 2 3 2" xfId="28023" xr:uid="{00000000-0005-0000-0000-000068820000}"/>
    <cellStyle name="Note 4 3 4 2 4" xfId="29283" xr:uid="{00000000-0005-0000-0000-000069820000}"/>
    <cellStyle name="Note 4 3 4 3" xfId="28496" xr:uid="{00000000-0005-0000-0000-00006A820000}"/>
    <cellStyle name="Note 4 3 4 3 2" xfId="22194" xr:uid="{00000000-0005-0000-0000-00006B820000}"/>
    <cellStyle name="Note 4 3 4 3 2 2" xfId="21427" xr:uid="{00000000-0005-0000-0000-00006C820000}"/>
    <cellStyle name="Note 4 3 4 3 3" xfId="28502" xr:uid="{00000000-0005-0000-0000-00006D820000}"/>
    <cellStyle name="Note 4 3 4 4" xfId="29326" xr:uid="{00000000-0005-0000-0000-00006E820000}"/>
    <cellStyle name="Note 4 3 4 4 2" xfId="31489" xr:uid="{00000000-0005-0000-0000-00006F820000}"/>
    <cellStyle name="Note 4 3 4 5" xfId="30976" xr:uid="{00000000-0005-0000-0000-000070820000}"/>
    <cellStyle name="Note 4 3 5" xfId="28458" xr:uid="{00000000-0005-0000-0000-000071820000}"/>
    <cellStyle name="Note 4 3 5 2" xfId="26538" xr:uid="{00000000-0005-0000-0000-000072820000}"/>
    <cellStyle name="Note 4 3 5 2 2" xfId="30010" xr:uid="{00000000-0005-0000-0000-000073820000}"/>
    <cellStyle name="Note 4 3 5 2 2 2" xfId="24206" xr:uid="{00000000-0005-0000-0000-000074820000}"/>
    <cellStyle name="Note 4 3 5 2 3" xfId="27375" xr:uid="{00000000-0005-0000-0000-000075820000}"/>
    <cellStyle name="Note 4 3 5 3" xfId="28513" xr:uid="{00000000-0005-0000-0000-000076820000}"/>
    <cellStyle name="Note 4 3 5 3 2" xfId="28517" xr:uid="{00000000-0005-0000-0000-000077820000}"/>
    <cellStyle name="Note 4 3 5 4" xfId="29342" xr:uid="{00000000-0005-0000-0000-000078820000}"/>
    <cellStyle name="Note 4 3 6" xfId="31539" xr:uid="{00000000-0005-0000-0000-000079820000}"/>
    <cellStyle name="Note 4 3 6 2" xfId="29528" xr:uid="{00000000-0005-0000-0000-00007A820000}"/>
    <cellStyle name="Note 4 3 6 2 2" xfId="32357" xr:uid="{00000000-0005-0000-0000-00007B820000}"/>
    <cellStyle name="Note 4 3 6 3" xfId="28535" xr:uid="{00000000-0005-0000-0000-00007C820000}"/>
    <cellStyle name="Note 4 3 7" xfId="34009" xr:uid="{00000000-0005-0000-0000-00007D820000}"/>
    <cellStyle name="Note 4 3 7 2" xfId="31260" xr:uid="{00000000-0005-0000-0000-00007E820000}"/>
    <cellStyle name="Note 4 3 8" xfId="33043" xr:uid="{00000000-0005-0000-0000-00007F820000}"/>
    <cellStyle name="Note 4 4" xfId="6446" xr:uid="{00000000-0005-0000-0000-000080820000}"/>
    <cellStyle name="Note 4 4 2" xfId="4580" xr:uid="{00000000-0005-0000-0000-000081820000}"/>
    <cellStyle name="Note 4 4 2 2" xfId="4585" xr:uid="{00000000-0005-0000-0000-000082820000}"/>
    <cellStyle name="Note 4 4 2 2 2" xfId="33395" xr:uid="{00000000-0005-0000-0000-000083820000}"/>
    <cellStyle name="Note 4 4 2 2 2 2" xfId="15052" xr:uid="{00000000-0005-0000-0000-000084820000}"/>
    <cellStyle name="Note 4 4 2 2 2 2 2" xfId="13379" xr:uid="{00000000-0005-0000-0000-000085820000}"/>
    <cellStyle name="Note 4 4 2 2 2 2 2 2" xfId="17710" xr:uid="{00000000-0005-0000-0000-000086820000}"/>
    <cellStyle name="Note 4 4 2 2 2 2 3" xfId="17715" xr:uid="{00000000-0005-0000-0000-000087820000}"/>
    <cellStyle name="Note 4 4 2 2 2 3" xfId="14258" xr:uid="{00000000-0005-0000-0000-000088820000}"/>
    <cellStyle name="Note 4 4 2 2 2 3 2" xfId="13386" xr:uid="{00000000-0005-0000-0000-000089820000}"/>
    <cellStyle name="Note 4 4 2 2 2 4" xfId="18188" xr:uid="{00000000-0005-0000-0000-00008A820000}"/>
    <cellStyle name="Note 4 4 2 2 3" xfId="34004" xr:uid="{00000000-0005-0000-0000-00008B820000}"/>
    <cellStyle name="Note 4 4 2 2 3 2" xfId="15063" xr:uid="{00000000-0005-0000-0000-00008C820000}"/>
    <cellStyle name="Note 4 4 2 2 3 2 2" xfId="17808" xr:uid="{00000000-0005-0000-0000-00008D820000}"/>
    <cellStyle name="Note 4 4 2 2 3 3" xfId="13812" xr:uid="{00000000-0005-0000-0000-00008E820000}"/>
    <cellStyle name="Note 4 4 2 2 4" xfId="29567" xr:uid="{00000000-0005-0000-0000-00008F820000}"/>
    <cellStyle name="Note 4 4 2 2 4 2" xfId="24834" xr:uid="{00000000-0005-0000-0000-000090820000}"/>
    <cellStyle name="Note 4 4 2 2 5" xfId="32883" xr:uid="{00000000-0005-0000-0000-000091820000}"/>
    <cellStyle name="Note 4 4 2 3" xfId="27093" xr:uid="{00000000-0005-0000-0000-000092820000}"/>
    <cellStyle name="Note 4 4 2 3 2" xfId="11428" xr:uid="{00000000-0005-0000-0000-000093820000}"/>
    <cellStyle name="Note 4 4 2 3 2 2" xfId="3877" xr:uid="{00000000-0005-0000-0000-000094820000}"/>
    <cellStyle name="Note 4 4 2 3 2 2 2" xfId="18157" xr:uid="{00000000-0005-0000-0000-000095820000}"/>
    <cellStyle name="Note 4 4 2 3 2 3" xfId="13820" xr:uid="{00000000-0005-0000-0000-000096820000}"/>
    <cellStyle name="Note 4 4 2 3 3" xfId="14609" xr:uid="{00000000-0005-0000-0000-000097820000}"/>
    <cellStyle name="Note 4 4 2 3 3 2" xfId="15100" xr:uid="{00000000-0005-0000-0000-000098820000}"/>
    <cellStyle name="Note 4 4 2 3 4" xfId="33646" xr:uid="{00000000-0005-0000-0000-000099820000}"/>
    <cellStyle name="Note 4 4 2 4" xfId="32835" xr:uid="{00000000-0005-0000-0000-00009A820000}"/>
    <cellStyle name="Note 4 4 2 4 2" xfId="11430" xr:uid="{00000000-0005-0000-0000-00009B820000}"/>
    <cellStyle name="Note 4 4 2 4 2 2" xfId="6061" xr:uid="{00000000-0005-0000-0000-00009C820000}"/>
    <cellStyle name="Note 4 4 2 4 3" xfId="27128" xr:uid="{00000000-0005-0000-0000-00009D820000}"/>
    <cellStyle name="Note 4 4 2 5" xfId="32565" xr:uid="{00000000-0005-0000-0000-00009E820000}"/>
    <cellStyle name="Note 4 4 2 5 2" xfId="29240" xr:uid="{00000000-0005-0000-0000-00009F820000}"/>
    <cellStyle name="Note 4 4 2 6" xfId="33263" xr:uid="{00000000-0005-0000-0000-0000A0820000}"/>
    <cellStyle name="Note 4 4 3" xfId="4861" xr:uid="{00000000-0005-0000-0000-0000A1820000}"/>
    <cellStyle name="Note 4 4 3 2" xfId="33399" xr:uid="{00000000-0005-0000-0000-0000A2820000}"/>
    <cellStyle name="Note 4 4 3 2 2" xfId="33673" xr:uid="{00000000-0005-0000-0000-0000A3820000}"/>
    <cellStyle name="Note 4 4 3 2 2 2" xfId="15139" xr:uid="{00000000-0005-0000-0000-0000A4820000}"/>
    <cellStyle name="Note 4 4 3 2 2 2 2" xfId="14779" xr:uid="{00000000-0005-0000-0000-0000A5820000}"/>
    <cellStyle name="Note 4 4 3 2 2 3" xfId="4379" xr:uid="{00000000-0005-0000-0000-0000A6820000}"/>
    <cellStyle name="Note 4 4 3 2 3" xfId="26757" xr:uid="{00000000-0005-0000-0000-0000A7820000}"/>
    <cellStyle name="Note 4 4 3 2 3 2" xfId="15151" xr:uid="{00000000-0005-0000-0000-0000A8820000}"/>
    <cellStyle name="Note 4 4 3 2 4" xfId="32319" xr:uid="{00000000-0005-0000-0000-0000A9820000}"/>
    <cellStyle name="Note 4 4 3 3" xfId="33575" xr:uid="{00000000-0005-0000-0000-0000AA820000}"/>
    <cellStyle name="Note 4 4 3 3 2" xfId="18836" xr:uid="{00000000-0005-0000-0000-0000AB820000}"/>
    <cellStyle name="Note 4 4 3 3 2 2" xfId="22153" xr:uid="{00000000-0005-0000-0000-0000AC820000}"/>
    <cellStyle name="Note 4 4 3 3 3" xfId="32798" xr:uid="{00000000-0005-0000-0000-0000AD820000}"/>
    <cellStyle name="Note 4 4 3 4" xfId="33663" xr:uid="{00000000-0005-0000-0000-0000AE820000}"/>
    <cellStyle name="Note 4 4 3 4 2" xfId="33373" xr:uid="{00000000-0005-0000-0000-0000AF820000}"/>
    <cellStyle name="Note 4 4 3 5" xfId="33822" xr:uid="{00000000-0005-0000-0000-0000B0820000}"/>
    <cellStyle name="Note 4 4 4" xfId="33680" xr:uid="{00000000-0005-0000-0000-0000B1820000}"/>
    <cellStyle name="Note 4 4 4 2" xfId="33691" xr:uid="{00000000-0005-0000-0000-0000B2820000}"/>
    <cellStyle name="Note 4 4 4 2 2" xfId="32956" xr:uid="{00000000-0005-0000-0000-0000B3820000}"/>
    <cellStyle name="Note 4 4 4 2 2 2" xfId="15193" xr:uid="{00000000-0005-0000-0000-0000B4820000}"/>
    <cellStyle name="Note 4 4 4 2 3" xfId="27441" xr:uid="{00000000-0005-0000-0000-0000B5820000}"/>
    <cellStyle name="Note 4 4 4 3" xfId="32622" xr:uid="{00000000-0005-0000-0000-0000B6820000}"/>
    <cellStyle name="Note 4 4 4 3 2" xfId="27188" xr:uid="{00000000-0005-0000-0000-0000B7820000}"/>
    <cellStyle name="Note 4 4 4 4" xfId="30557" xr:uid="{00000000-0005-0000-0000-0000B8820000}"/>
    <cellStyle name="Note 4 4 5" xfId="33498" xr:uid="{00000000-0005-0000-0000-0000B9820000}"/>
    <cellStyle name="Note 4 4 5 2" xfId="33698" xr:uid="{00000000-0005-0000-0000-0000BA820000}"/>
    <cellStyle name="Note 4 4 5 2 2" xfId="18845" xr:uid="{00000000-0005-0000-0000-0000BB820000}"/>
    <cellStyle name="Note 4 4 5 3" xfId="28552" xr:uid="{00000000-0005-0000-0000-0000BC820000}"/>
    <cellStyle name="Note 4 4 6" xfId="30828" xr:uid="{00000000-0005-0000-0000-0000BD820000}"/>
    <cellStyle name="Note 4 4 6 2" xfId="32977" xr:uid="{00000000-0005-0000-0000-0000BE820000}"/>
    <cellStyle name="Note 4 4 7" xfId="33044" xr:uid="{00000000-0005-0000-0000-0000BF820000}"/>
    <cellStyle name="Note 4 5" xfId="10792" xr:uid="{00000000-0005-0000-0000-0000C0820000}"/>
    <cellStyle name="Note 4 5 2" xfId="4887" xr:uid="{00000000-0005-0000-0000-0000C1820000}"/>
    <cellStyle name="Note 4 5 2 2" xfId="30171" xr:uid="{00000000-0005-0000-0000-0000C2820000}"/>
    <cellStyle name="Note 4 5 2 2 2" xfId="25729" xr:uid="{00000000-0005-0000-0000-0000C3820000}"/>
    <cellStyle name="Note 4 5 2 2 2 2" xfId="32884" xr:uid="{00000000-0005-0000-0000-0000C4820000}"/>
    <cellStyle name="Note 4 5 2 2 2 2 2" xfId="32551" xr:uid="{00000000-0005-0000-0000-0000C5820000}"/>
    <cellStyle name="Note 4 5 2 2 2 3" xfId="32684" xr:uid="{00000000-0005-0000-0000-0000C6820000}"/>
    <cellStyle name="Note 4 5 2 2 3" xfId="16381" xr:uid="{00000000-0005-0000-0000-0000C7820000}"/>
    <cellStyle name="Note 4 5 2 2 3 2" xfId="33712" xr:uid="{00000000-0005-0000-0000-0000C8820000}"/>
    <cellStyle name="Note 4 5 2 2 4" xfId="25744" xr:uid="{00000000-0005-0000-0000-0000C9820000}"/>
    <cellStyle name="Note 4 5 2 3" xfId="28530" xr:uid="{00000000-0005-0000-0000-0000CA820000}"/>
    <cellStyle name="Note 4 5 2 3 2" xfId="11444" xr:uid="{00000000-0005-0000-0000-0000CB820000}"/>
    <cellStyle name="Note 4 5 2 3 2 2" xfId="31185" xr:uid="{00000000-0005-0000-0000-0000CC820000}"/>
    <cellStyle name="Note 4 5 2 3 3" xfId="25764" xr:uid="{00000000-0005-0000-0000-0000CD820000}"/>
    <cellStyle name="Note 4 5 2 4" xfId="21162" xr:uid="{00000000-0005-0000-0000-0000CE820000}"/>
    <cellStyle name="Note 4 5 2 4 2" xfId="25781" xr:uid="{00000000-0005-0000-0000-0000CF820000}"/>
    <cellStyle name="Note 4 5 2 5" xfId="33279" xr:uid="{00000000-0005-0000-0000-0000D0820000}"/>
    <cellStyle name="Note 4 5 3" xfId="33726" xr:uid="{00000000-0005-0000-0000-0000D1820000}"/>
    <cellStyle name="Note 4 5 3 2" xfId="28538" xr:uid="{00000000-0005-0000-0000-0000D2820000}"/>
    <cellStyle name="Note 4 5 3 2 2" xfId="25824" xr:uid="{00000000-0005-0000-0000-0000D3820000}"/>
    <cellStyle name="Note 4 5 3 2 2 2" xfId="25887" xr:uid="{00000000-0005-0000-0000-0000D4820000}"/>
    <cellStyle name="Note 4 5 3 2 3" xfId="25828" xr:uid="{00000000-0005-0000-0000-0000D5820000}"/>
    <cellStyle name="Note 4 5 3 3" xfId="21177" xr:uid="{00000000-0005-0000-0000-0000D6820000}"/>
    <cellStyle name="Note 4 5 3 3 2" xfId="25846" xr:uid="{00000000-0005-0000-0000-0000D7820000}"/>
    <cellStyle name="Note 4 5 3 4" xfId="28522" xr:uid="{00000000-0005-0000-0000-0000D8820000}"/>
    <cellStyle name="Note 4 5 4" xfId="26813" xr:uid="{00000000-0005-0000-0000-0000D9820000}"/>
    <cellStyle name="Note 4 5 4 2" xfId="56" xr:uid="{00000000-0005-0000-0000-0000DA820000}"/>
    <cellStyle name="Note 4 5 4 2 2" xfId="25866" xr:uid="{00000000-0005-0000-0000-0000DB820000}"/>
    <cellStyle name="Note 4 5 4 3" xfId="28562" xr:uid="{00000000-0005-0000-0000-0000DC820000}"/>
    <cellStyle name="Note 4 5 5" xfId="26712" xr:uid="{00000000-0005-0000-0000-0000DD820000}"/>
    <cellStyle name="Note 4 5 5 2" xfId="33834" xr:uid="{00000000-0005-0000-0000-0000DE820000}"/>
    <cellStyle name="Note 4 5 6" xfId="17091" xr:uid="{00000000-0005-0000-0000-0000DF820000}"/>
    <cellStyle name="Note 4 6" xfId="2846" xr:uid="{00000000-0005-0000-0000-0000E0820000}"/>
    <cellStyle name="Note 4 6 2" xfId="10977" xr:uid="{00000000-0005-0000-0000-0000E1820000}"/>
    <cellStyle name="Note 4 6 2 2" xfId="21679" xr:uid="{00000000-0005-0000-0000-0000E2820000}"/>
    <cellStyle name="Note 4 6 2 2 2" xfId="10931" xr:uid="{00000000-0005-0000-0000-0000E3820000}"/>
    <cellStyle name="Note 4 6 2 2 2 2" xfId="31993" xr:uid="{00000000-0005-0000-0000-0000E4820000}"/>
    <cellStyle name="Note 4 6 2 2 3" xfId="21990" xr:uid="{00000000-0005-0000-0000-0000E5820000}"/>
    <cellStyle name="Note 4 6 2 3" xfId="14550" xr:uid="{00000000-0005-0000-0000-0000E6820000}"/>
    <cellStyle name="Note 4 6 2 3 2" xfId="8764" xr:uid="{00000000-0005-0000-0000-0000E7820000}"/>
    <cellStyle name="Note 4 6 2 4" xfId="13450" xr:uid="{00000000-0005-0000-0000-0000E8820000}"/>
    <cellStyle name="Note 4 6 3" xfId="33284" xr:uid="{00000000-0005-0000-0000-0000E9820000}"/>
    <cellStyle name="Note 4 6 3 2" xfId="22857" xr:uid="{00000000-0005-0000-0000-0000EA820000}"/>
    <cellStyle name="Note 4 6 3 2 2" xfId="25996" xr:uid="{00000000-0005-0000-0000-0000EB820000}"/>
    <cellStyle name="Note 4 6 3 3" xfId="13457" xr:uid="{00000000-0005-0000-0000-0000EC820000}"/>
    <cellStyle name="Note 4 6 4" xfId="30600" xr:uid="{00000000-0005-0000-0000-0000ED820000}"/>
    <cellStyle name="Note 4 6 4 2" xfId="31125" xr:uid="{00000000-0005-0000-0000-0000EE820000}"/>
    <cellStyle name="Note 4 6 5" xfId="32669" xr:uid="{00000000-0005-0000-0000-0000EF820000}"/>
    <cellStyle name="Note 4 7" xfId="15399" xr:uid="{00000000-0005-0000-0000-0000F0820000}"/>
    <cellStyle name="Note 4 7 2" xfId="10011" xr:uid="{00000000-0005-0000-0000-0000F1820000}"/>
    <cellStyle name="Note 4 7 2 2" xfId="21844" xr:uid="{00000000-0005-0000-0000-0000F2820000}"/>
    <cellStyle name="Note 4 7 2 2 2" xfId="11194" xr:uid="{00000000-0005-0000-0000-0000F3820000}"/>
    <cellStyle name="Note 4 7 2 3" xfId="13471" xr:uid="{00000000-0005-0000-0000-0000F4820000}"/>
    <cellStyle name="Note 4 7 3" xfId="31941" xr:uid="{00000000-0005-0000-0000-0000F5820000}"/>
    <cellStyle name="Note 4 7 3 2" xfId="30186" xr:uid="{00000000-0005-0000-0000-0000F6820000}"/>
    <cellStyle name="Note 4 7 4" xfId="26115" xr:uid="{00000000-0005-0000-0000-0000F7820000}"/>
    <cellStyle name="Note 4 8" xfId="28048" xr:uid="{00000000-0005-0000-0000-0000F8820000}"/>
    <cellStyle name="Note 4 8 2" xfId="30197" xr:uid="{00000000-0005-0000-0000-0000F9820000}"/>
    <cellStyle name="Note 4 8 2 2" xfId="30201" xr:uid="{00000000-0005-0000-0000-0000FA820000}"/>
    <cellStyle name="Note 4 8 3" xfId="29461" xr:uid="{00000000-0005-0000-0000-0000FB820000}"/>
    <cellStyle name="Note 4 9" xfId="30420" xr:uid="{00000000-0005-0000-0000-0000FC820000}"/>
    <cellStyle name="Note 4 9 2" xfId="30718" xr:uid="{00000000-0005-0000-0000-0000FD820000}"/>
    <cellStyle name="Note 5" xfId="33838" xr:uid="{00000000-0005-0000-0000-0000FE820000}"/>
    <cellStyle name="Note 5 2" xfId="33757" xr:uid="{00000000-0005-0000-0000-0000FF820000}"/>
    <cellStyle name="Note 5 2 2" xfId="34008" xr:uid="{00000000-0005-0000-0000-000000830000}"/>
    <cellStyle name="Note 5 2 2 2" xfId="31267" xr:uid="{00000000-0005-0000-0000-000001830000}"/>
    <cellStyle name="Note 5 2 2 2 2" xfId="33218" xr:uid="{00000000-0005-0000-0000-000002830000}"/>
    <cellStyle name="Note 5 2 2 2 2 2" xfId="33194" xr:uid="{00000000-0005-0000-0000-000003830000}"/>
    <cellStyle name="Note 5 2 2 2 2 2 2" xfId="33900" xr:uid="{00000000-0005-0000-0000-000004830000}"/>
    <cellStyle name="Note 5 2 2 2 2 2 2 2" xfId="21821" xr:uid="{00000000-0005-0000-0000-000005830000}"/>
    <cellStyle name="Note 5 2 2 2 2 2 2 2 2" xfId="28614" xr:uid="{00000000-0005-0000-0000-000006830000}"/>
    <cellStyle name="Note 5 2 2 2 2 2 2 3" xfId="28981" xr:uid="{00000000-0005-0000-0000-000007830000}"/>
    <cellStyle name="Note 5 2 2 2 2 2 3" xfId="10262" xr:uid="{00000000-0005-0000-0000-000008830000}"/>
    <cellStyle name="Note 5 2 2 2 2 2 3 2" xfId="14040" xr:uid="{00000000-0005-0000-0000-000009830000}"/>
    <cellStyle name="Note 5 2 2 2 2 2 4" xfId="12142" xr:uid="{00000000-0005-0000-0000-00000A830000}"/>
    <cellStyle name="Note 5 2 2 2 2 3" xfId="15226" xr:uid="{00000000-0005-0000-0000-00000B830000}"/>
    <cellStyle name="Note 5 2 2 2 2 3 2" xfId="21858" xr:uid="{00000000-0005-0000-0000-00000C830000}"/>
    <cellStyle name="Note 5 2 2 2 2 3 2 2" xfId="30115" xr:uid="{00000000-0005-0000-0000-00000D830000}"/>
    <cellStyle name="Note 5 2 2 2 2 3 3" xfId="271" xr:uid="{00000000-0005-0000-0000-00000E830000}"/>
    <cellStyle name="Note 5 2 2 2 2 4" xfId="24752" xr:uid="{00000000-0005-0000-0000-00000F830000}"/>
    <cellStyle name="Note 5 2 2 2 2 4 2" xfId="33991" xr:uid="{00000000-0005-0000-0000-000010830000}"/>
    <cellStyle name="Note 5 2 2 2 2 5" xfId="20426" xr:uid="{00000000-0005-0000-0000-000011830000}"/>
    <cellStyle name="Note 5 2 2 2 3" xfId="33773" xr:uid="{00000000-0005-0000-0000-000012830000}"/>
    <cellStyle name="Note 5 2 2 2 3 2" xfId="33781" xr:uid="{00000000-0005-0000-0000-000013830000}"/>
    <cellStyle name="Note 5 2 2 2 3 2 2" xfId="22651" xr:uid="{00000000-0005-0000-0000-000014830000}"/>
    <cellStyle name="Note 5 2 2 2 3 2 2 2" xfId="244" xr:uid="{00000000-0005-0000-0000-000015830000}"/>
    <cellStyle name="Note 5 2 2 2 3 2 3" xfId="126" xr:uid="{00000000-0005-0000-0000-000016830000}"/>
    <cellStyle name="Note 5 2 2 2 3 3" xfId="8605" xr:uid="{00000000-0005-0000-0000-000017830000}"/>
    <cellStyle name="Note 5 2 2 2 3 3 2" xfId="34021" xr:uid="{00000000-0005-0000-0000-000018830000}"/>
    <cellStyle name="Note 5 2 2 2 3 4" xfId="30452" xr:uid="{00000000-0005-0000-0000-000019830000}"/>
    <cellStyle name="Note 5 2 2 2 4" xfId="33793" xr:uid="{00000000-0005-0000-0000-00001A830000}"/>
    <cellStyle name="Note 5 2 2 2 4 2" xfId="28388" xr:uid="{00000000-0005-0000-0000-00001B830000}"/>
    <cellStyle name="Note 5 2 2 2 4 2 2" xfId="33724" xr:uid="{00000000-0005-0000-0000-00001C830000}"/>
    <cellStyle name="Note 5 2 2 2 4 3" xfId="33055" xr:uid="{00000000-0005-0000-0000-00001D830000}"/>
    <cellStyle name="Note 5 2 2 2 5" xfId="33794" xr:uid="{00000000-0005-0000-0000-00001E830000}"/>
    <cellStyle name="Note 5 2 2 2 5 2" xfId="30762" xr:uid="{00000000-0005-0000-0000-00001F830000}"/>
    <cellStyle name="Note 5 2 2 2 6" xfId="29210" xr:uid="{00000000-0005-0000-0000-000020830000}"/>
    <cellStyle name="Note 5 2 2 3" xfId="26451" xr:uid="{00000000-0005-0000-0000-000021830000}"/>
    <cellStyle name="Note 5 2 2 3 2" xfId="3956" xr:uid="{00000000-0005-0000-0000-000022830000}"/>
    <cellStyle name="Note 5 2 2 3 2 2" xfId="31458" xr:uid="{00000000-0005-0000-0000-000023830000}"/>
    <cellStyle name="Note 5 2 2 3 2 2 2" xfId="10304" xr:uid="{00000000-0005-0000-0000-000024830000}"/>
    <cellStyle name="Note 5 2 2 3 2 2 2 2" xfId="24472" xr:uid="{00000000-0005-0000-0000-000025830000}"/>
    <cellStyle name="Note 5 2 2 3 2 2 3" xfId="12326" xr:uid="{00000000-0005-0000-0000-000026830000}"/>
    <cellStyle name="Note 5 2 2 3 2 3" xfId="32814" xr:uid="{00000000-0005-0000-0000-000027830000}"/>
    <cellStyle name="Note 5 2 2 3 2 3 2" xfId="24564" xr:uid="{00000000-0005-0000-0000-000028830000}"/>
    <cellStyle name="Note 5 2 2 3 2 4" xfId="32764" xr:uid="{00000000-0005-0000-0000-000029830000}"/>
    <cellStyle name="Note 5 2 2 3 3" xfId="4223" xr:uid="{00000000-0005-0000-0000-00002A830000}"/>
    <cellStyle name="Note 5 2 2 3 3 2" xfId="33798" xr:uid="{00000000-0005-0000-0000-00002B830000}"/>
    <cellStyle name="Note 5 2 2 3 3 2 2" xfId="24970" xr:uid="{00000000-0005-0000-0000-00002C830000}"/>
    <cellStyle name="Note 5 2 2 3 3 3" xfId="29974" xr:uid="{00000000-0005-0000-0000-00002D830000}"/>
    <cellStyle name="Note 5 2 2 3 4" xfId="11575" xr:uid="{00000000-0005-0000-0000-00002E830000}"/>
    <cellStyle name="Note 5 2 2 3 4 2" xfId="32089" xr:uid="{00000000-0005-0000-0000-00002F830000}"/>
    <cellStyle name="Note 5 2 2 3 5" xfId="8720" xr:uid="{00000000-0005-0000-0000-000030830000}"/>
    <cellStyle name="Note 5 2 2 4" xfId="33267" xr:uid="{00000000-0005-0000-0000-000031830000}"/>
    <cellStyle name="Note 5 2 2 4 2" xfId="4687" xr:uid="{00000000-0005-0000-0000-000032830000}"/>
    <cellStyle name="Note 5 2 2 4 2 2" xfId="33983" xr:uid="{00000000-0005-0000-0000-000033830000}"/>
    <cellStyle name="Note 5 2 2 4 2 2 2" xfId="26498" xr:uid="{00000000-0005-0000-0000-000034830000}"/>
    <cellStyle name="Note 5 2 2 4 2 3" xfId="33630" xr:uid="{00000000-0005-0000-0000-000035830000}"/>
    <cellStyle name="Note 5 2 2 4 3" xfId="11577" xr:uid="{00000000-0005-0000-0000-000036830000}"/>
    <cellStyle name="Note 5 2 2 4 3 2" xfId="2788" xr:uid="{00000000-0005-0000-0000-000037830000}"/>
    <cellStyle name="Note 5 2 2 4 4" xfId="27805" xr:uid="{00000000-0005-0000-0000-000038830000}"/>
    <cellStyle name="Note 5 2 2 5" xfId="33806" xr:uid="{00000000-0005-0000-0000-000039830000}"/>
    <cellStyle name="Note 5 2 2 5 2" xfId="15569" xr:uid="{00000000-0005-0000-0000-00003A830000}"/>
    <cellStyle name="Note 5 2 2 5 2 2" xfId="3983" xr:uid="{00000000-0005-0000-0000-00003B830000}"/>
    <cellStyle name="Note 5 2 2 5 3" xfId="20290" xr:uid="{00000000-0005-0000-0000-00003C830000}"/>
    <cellStyle name="Note 5 2 2 6" xfId="22489" xr:uid="{00000000-0005-0000-0000-00003D830000}"/>
    <cellStyle name="Note 5 2 2 6 2" xfId="33117" xr:uid="{00000000-0005-0000-0000-00003E830000}"/>
    <cellStyle name="Note 5 2 2 7" xfId="33808" xr:uid="{00000000-0005-0000-0000-00003F830000}"/>
    <cellStyle name="Note 5 2 3" xfId="30725" xr:uid="{00000000-0005-0000-0000-000040830000}"/>
    <cellStyle name="Note 5 2 3 2" xfId="33661" xr:uid="{00000000-0005-0000-0000-000041830000}"/>
    <cellStyle name="Note 5 2 3 2 2" xfId="26710" xr:uid="{00000000-0005-0000-0000-000042830000}"/>
    <cellStyle name="Note 5 2 3 2 2 2" xfId="12593" xr:uid="{00000000-0005-0000-0000-000043830000}"/>
    <cellStyle name="Note 5 2 3 2 2 2 2" xfId="4612" xr:uid="{00000000-0005-0000-0000-000044830000}"/>
    <cellStyle name="Note 5 2 3 2 2 2 2 2" xfId="20990" xr:uid="{00000000-0005-0000-0000-000045830000}"/>
    <cellStyle name="Note 5 2 3 2 2 2 3" xfId="2188" xr:uid="{00000000-0005-0000-0000-000046830000}"/>
    <cellStyle name="Note 5 2 3 2 2 3" xfId="12603" xr:uid="{00000000-0005-0000-0000-000047830000}"/>
    <cellStyle name="Note 5 2 3 2 2 3 2" xfId="21027" xr:uid="{00000000-0005-0000-0000-000048830000}"/>
    <cellStyle name="Note 5 2 3 2 2 4" xfId="12608" xr:uid="{00000000-0005-0000-0000-000049830000}"/>
    <cellStyle name="Note 5 2 3 2 3" xfId="33593" xr:uid="{00000000-0005-0000-0000-00004A830000}"/>
    <cellStyle name="Note 5 2 3 2 3 2" xfId="6316" xr:uid="{00000000-0005-0000-0000-00004B830000}"/>
    <cellStyle name="Note 5 2 3 2 3 2 2" xfId="21088" xr:uid="{00000000-0005-0000-0000-00004C830000}"/>
    <cellStyle name="Note 5 2 3 2 3 3" xfId="6320" xr:uid="{00000000-0005-0000-0000-00004D830000}"/>
    <cellStyle name="Note 5 2 3 2 4" xfId="23589" xr:uid="{00000000-0005-0000-0000-00004E830000}"/>
    <cellStyle name="Note 5 2 3 2 4 2" xfId="11662" xr:uid="{00000000-0005-0000-0000-00004F830000}"/>
    <cellStyle name="Note 5 2 3 2 5" xfId="30659" xr:uid="{00000000-0005-0000-0000-000050830000}"/>
    <cellStyle name="Note 5 2 3 3" xfId="23102" xr:uid="{00000000-0005-0000-0000-000051830000}"/>
    <cellStyle name="Note 5 2 3 3 2" xfId="4257" xr:uid="{00000000-0005-0000-0000-000052830000}"/>
    <cellStyle name="Note 5 2 3 3 2 2" xfId="8391" xr:uid="{00000000-0005-0000-0000-000053830000}"/>
    <cellStyle name="Note 5 2 3 3 2 2 2" xfId="18981" xr:uid="{00000000-0005-0000-0000-000054830000}"/>
    <cellStyle name="Note 5 2 3 3 2 3" xfId="1075" xr:uid="{00000000-0005-0000-0000-000055830000}"/>
    <cellStyle name="Note 5 2 3 3 3" xfId="11582" xr:uid="{00000000-0005-0000-0000-000056830000}"/>
    <cellStyle name="Note 5 2 3 3 3 2" xfId="6393" xr:uid="{00000000-0005-0000-0000-000057830000}"/>
    <cellStyle name="Note 5 2 3 3 4" xfId="30111" xr:uid="{00000000-0005-0000-0000-000058830000}"/>
    <cellStyle name="Note 5 2 3 4" xfId="3080" xr:uid="{00000000-0005-0000-0000-000059830000}"/>
    <cellStyle name="Note 5 2 3 4 2" xfId="14269" xr:uid="{00000000-0005-0000-0000-00005A830000}"/>
    <cellStyle name="Note 5 2 3 4 2 2" xfId="7790" xr:uid="{00000000-0005-0000-0000-00005B830000}"/>
    <cellStyle name="Note 5 2 3 4 3" xfId="10096" xr:uid="{00000000-0005-0000-0000-00005C830000}"/>
    <cellStyle name="Note 5 2 3 5" xfId="3112" xr:uid="{00000000-0005-0000-0000-00005D830000}"/>
    <cellStyle name="Note 5 2 3 5 2" xfId="8535" xr:uid="{00000000-0005-0000-0000-00005E830000}"/>
    <cellStyle name="Note 5 2 3 6" xfId="9824" xr:uid="{00000000-0005-0000-0000-00005F830000}"/>
    <cellStyle name="Note 5 2 4" xfId="30551" xr:uid="{00000000-0005-0000-0000-000060830000}"/>
    <cellStyle name="Note 5 2 4 2" xfId="31847" xr:uid="{00000000-0005-0000-0000-000061830000}"/>
    <cellStyle name="Note 5 2 4 2 2" xfId="20014" xr:uid="{00000000-0005-0000-0000-000062830000}"/>
    <cellStyle name="Note 5 2 4 2 2 2" xfId="12644" xr:uid="{00000000-0005-0000-0000-000063830000}"/>
    <cellStyle name="Note 5 2 4 2 2 2 2" xfId="5678" xr:uid="{00000000-0005-0000-0000-000064830000}"/>
    <cellStyle name="Note 5 2 4 2 2 3" xfId="12649" xr:uid="{00000000-0005-0000-0000-000065830000}"/>
    <cellStyle name="Note 5 2 4 2 3" xfId="20018" xr:uid="{00000000-0005-0000-0000-000066830000}"/>
    <cellStyle name="Note 5 2 4 2 3 2" xfId="6492" xr:uid="{00000000-0005-0000-0000-000067830000}"/>
    <cellStyle name="Note 5 2 4 2 4" xfId="18726" xr:uid="{00000000-0005-0000-0000-000068830000}"/>
    <cellStyle name="Note 5 2 4 3" xfId="33180" xr:uid="{00000000-0005-0000-0000-000069830000}"/>
    <cellStyle name="Note 5 2 4 3 2" xfId="20036" xr:uid="{00000000-0005-0000-0000-00006A830000}"/>
    <cellStyle name="Note 5 2 4 3 2 2" xfId="7858" xr:uid="{00000000-0005-0000-0000-00006B830000}"/>
    <cellStyle name="Note 5 2 4 3 3" xfId="20038" xr:uid="{00000000-0005-0000-0000-00006C830000}"/>
    <cellStyle name="Note 5 2 4 4" xfId="4146" xr:uid="{00000000-0005-0000-0000-00006D830000}"/>
    <cellStyle name="Note 5 2 4 4 2" xfId="20042" xr:uid="{00000000-0005-0000-0000-00006E830000}"/>
    <cellStyle name="Note 5 2 4 5" xfId="3188" xr:uid="{00000000-0005-0000-0000-00006F830000}"/>
    <cellStyle name="Note 5 2 5" xfId="32672" xr:uid="{00000000-0005-0000-0000-000070830000}"/>
    <cellStyle name="Note 5 2 5 2" xfId="30719" xr:uid="{00000000-0005-0000-0000-000071830000}"/>
    <cellStyle name="Note 5 2 5 2 2" xfId="23726" xr:uid="{00000000-0005-0000-0000-000072830000}"/>
    <cellStyle name="Note 5 2 5 2 2 2" xfId="12678" xr:uid="{00000000-0005-0000-0000-000073830000}"/>
    <cellStyle name="Note 5 2 5 2 3" xfId="10197" xr:uid="{00000000-0005-0000-0000-000074830000}"/>
    <cellStyle name="Note 5 2 5 3" xfId="32686" xr:uid="{00000000-0005-0000-0000-000075830000}"/>
    <cellStyle name="Note 5 2 5 3 2" xfId="19779" xr:uid="{00000000-0005-0000-0000-000076830000}"/>
    <cellStyle name="Note 5 2 5 4" xfId="3196" xr:uid="{00000000-0005-0000-0000-000077830000}"/>
    <cellStyle name="Note 5 2 6" xfId="31715" xr:uid="{00000000-0005-0000-0000-000078830000}"/>
    <cellStyle name="Note 5 2 6 2" xfId="30769" xr:uid="{00000000-0005-0000-0000-000079830000}"/>
    <cellStyle name="Note 5 2 6 2 2" xfId="20082" xr:uid="{00000000-0005-0000-0000-00007A830000}"/>
    <cellStyle name="Note 5 2 6 3" xfId="33815" xr:uid="{00000000-0005-0000-0000-00007B830000}"/>
    <cellStyle name="Note 5 2 7" xfId="19452" xr:uid="{00000000-0005-0000-0000-00007C830000}"/>
    <cellStyle name="Note 5 2 7 2" xfId="32082" xr:uid="{00000000-0005-0000-0000-00007D830000}"/>
    <cellStyle name="Note 5 2 8" xfId="31565" xr:uid="{00000000-0005-0000-0000-00007E830000}"/>
    <cellStyle name="Note 5 3" xfId="33108" xr:uid="{00000000-0005-0000-0000-00007F830000}"/>
    <cellStyle name="Note 5 3 2" xfId="34007" xr:uid="{00000000-0005-0000-0000-000080830000}"/>
    <cellStyle name="Note 5 3 2 2" xfId="33331" xr:uid="{00000000-0005-0000-0000-000081830000}"/>
    <cellStyle name="Note 5 3 2 2 2" xfId="32291" xr:uid="{00000000-0005-0000-0000-000082830000}"/>
    <cellStyle name="Note 5 3 2 2 2 2" xfId="29045" xr:uid="{00000000-0005-0000-0000-000083830000}"/>
    <cellStyle name="Note 5 3 2 2 2 2 2" xfId="33174" xr:uid="{00000000-0005-0000-0000-000084830000}"/>
    <cellStyle name="Note 5 3 2 2 2 2 2 2" xfId="23535" xr:uid="{00000000-0005-0000-0000-000085830000}"/>
    <cellStyle name="Note 5 3 2 2 2 2 3" xfId="6018" xr:uid="{00000000-0005-0000-0000-000086830000}"/>
    <cellStyle name="Note 5 3 2 2 2 3" xfId="29769" xr:uid="{00000000-0005-0000-0000-000087830000}"/>
    <cellStyle name="Note 5 3 2 2 2 3 2" xfId="27021" xr:uid="{00000000-0005-0000-0000-000088830000}"/>
    <cellStyle name="Note 5 3 2 2 2 4" xfId="29771" xr:uid="{00000000-0005-0000-0000-000089830000}"/>
    <cellStyle name="Note 5 3 2 2 3" xfId="26212" xr:uid="{00000000-0005-0000-0000-00008A830000}"/>
    <cellStyle name="Note 5 3 2 2 3 2" xfId="28866" xr:uid="{00000000-0005-0000-0000-00008B830000}"/>
    <cellStyle name="Note 5 3 2 2 3 2 2" xfId="33993" xr:uid="{00000000-0005-0000-0000-00008C830000}"/>
    <cellStyle name="Note 5 3 2 2 3 3" xfId="29775" xr:uid="{00000000-0005-0000-0000-00008D830000}"/>
    <cellStyle name="Note 5 3 2 2 4" xfId="17901" xr:uid="{00000000-0005-0000-0000-00008E830000}"/>
    <cellStyle name="Note 5 3 2 2 4 2" xfId="28868" xr:uid="{00000000-0005-0000-0000-00008F830000}"/>
    <cellStyle name="Note 5 3 2 2 5" xfId="17903" xr:uid="{00000000-0005-0000-0000-000090830000}"/>
    <cellStyle name="Note 5 3 2 3" xfId="30587" xr:uid="{00000000-0005-0000-0000-000091830000}"/>
    <cellStyle name="Note 5 3 2 3 2" xfId="4475" xr:uid="{00000000-0005-0000-0000-000092830000}"/>
    <cellStyle name="Note 5 3 2 3 2 2" xfId="28877" xr:uid="{00000000-0005-0000-0000-000093830000}"/>
    <cellStyle name="Note 5 3 2 3 2 2 2" xfId="26170" xr:uid="{00000000-0005-0000-0000-000094830000}"/>
    <cellStyle name="Note 5 3 2 3 2 3" xfId="29782" xr:uid="{00000000-0005-0000-0000-000095830000}"/>
    <cellStyle name="Note 5 3 2 3 3" xfId="11604" xr:uid="{00000000-0005-0000-0000-000096830000}"/>
    <cellStyle name="Note 5 3 2 3 3 2" xfId="30711" xr:uid="{00000000-0005-0000-0000-000097830000}"/>
    <cellStyle name="Note 5 3 2 3 4" xfId="17907" xr:uid="{00000000-0005-0000-0000-000098830000}"/>
    <cellStyle name="Note 5 3 2 4" xfId="26576" xr:uid="{00000000-0005-0000-0000-000099830000}"/>
    <cellStyle name="Note 5 3 2 4 2" xfId="11608" xr:uid="{00000000-0005-0000-0000-00009A830000}"/>
    <cellStyle name="Note 5 3 2 4 2 2" xfId="21048" xr:uid="{00000000-0005-0000-0000-00009B830000}"/>
    <cellStyle name="Note 5 3 2 4 3" xfId="24630" xr:uid="{00000000-0005-0000-0000-00009C830000}"/>
    <cellStyle name="Note 5 3 2 5" xfId="32571" xr:uid="{00000000-0005-0000-0000-00009D830000}"/>
    <cellStyle name="Note 5 3 2 5 2" xfId="23217" xr:uid="{00000000-0005-0000-0000-00009E830000}"/>
    <cellStyle name="Note 5 3 2 6" xfId="25370" xr:uid="{00000000-0005-0000-0000-00009F830000}"/>
    <cellStyle name="Note 5 3 3" xfId="33191" xr:uid="{00000000-0005-0000-0000-0000A0830000}"/>
    <cellStyle name="Note 5 3 3 2" xfId="26791" xr:uid="{00000000-0005-0000-0000-0000A1830000}"/>
    <cellStyle name="Note 5 3 3 2 2" xfId="31955" xr:uid="{00000000-0005-0000-0000-0000A2830000}"/>
    <cellStyle name="Note 5 3 3 2 2 2" xfId="27721" xr:uid="{00000000-0005-0000-0000-0000A3830000}"/>
    <cellStyle name="Note 5 3 3 2 2 2 2" xfId="23556" xr:uid="{00000000-0005-0000-0000-0000A4830000}"/>
    <cellStyle name="Note 5 3 3 2 2 3" xfId="12707" xr:uid="{00000000-0005-0000-0000-0000A5830000}"/>
    <cellStyle name="Note 5 3 3 2 3" xfId="27634" xr:uid="{00000000-0005-0000-0000-0000A6830000}"/>
    <cellStyle name="Note 5 3 3 2 3 2" xfId="8799" xr:uid="{00000000-0005-0000-0000-0000A7830000}"/>
    <cellStyle name="Note 5 3 3 2 4" xfId="6040" xr:uid="{00000000-0005-0000-0000-0000A8830000}"/>
    <cellStyle name="Note 5 3 3 3" xfId="28026" xr:uid="{00000000-0005-0000-0000-0000A9830000}"/>
    <cellStyle name="Note 5 3 3 3 2" xfId="16966" xr:uid="{00000000-0005-0000-0000-0000AA830000}"/>
    <cellStyle name="Note 5 3 3 3 2 2" xfId="10285" xr:uid="{00000000-0005-0000-0000-0000AB830000}"/>
    <cellStyle name="Note 5 3 3 3 3" xfId="33843" xr:uid="{00000000-0005-0000-0000-0000AC830000}"/>
    <cellStyle name="Note 5 3 3 4" xfId="3223" xr:uid="{00000000-0005-0000-0000-0000AD830000}"/>
    <cellStyle name="Note 5 3 3 4 2" xfId="7565" xr:uid="{00000000-0005-0000-0000-0000AE830000}"/>
    <cellStyle name="Note 5 3 3 5" xfId="3228" xr:uid="{00000000-0005-0000-0000-0000AF830000}"/>
    <cellStyle name="Note 5 3 4" xfId="32796" xr:uid="{00000000-0005-0000-0000-0000B0830000}"/>
    <cellStyle name="Note 5 3 4 2" xfId="33845" xr:uid="{00000000-0005-0000-0000-0000B1830000}"/>
    <cellStyle name="Note 5 3 4 2 2" xfId="20232" xr:uid="{00000000-0005-0000-0000-0000B2830000}"/>
    <cellStyle name="Note 5 3 4 2 2 2" xfId="12758" xr:uid="{00000000-0005-0000-0000-0000B3830000}"/>
    <cellStyle name="Note 5 3 4 2 3" xfId="25068" xr:uid="{00000000-0005-0000-0000-0000B4830000}"/>
    <cellStyle name="Note 5 3 4 3" xfId="29810" xr:uid="{00000000-0005-0000-0000-0000B5830000}"/>
    <cellStyle name="Note 5 3 4 3 2" xfId="20250" xr:uid="{00000000-0005-0000-0000-0000B6830000}"/>
    <cellStyle name="Note 5 3 4 4" xfId="5671" xr:uid="{00000000-0005-0000-0000-0000B7830000}"/>
    <cellStyle name="Note 5 3 5" xfId="18732" xr:uid="{00000000-0005-0000-0000-0000B8830000}"/>
    <cellStyle name="Note 5 3 5 2" xfId="30845" xr:uid="{00000000-0005-0000-0000-0000B9830000}"/>
    <cellStyle name="Note 5 3 5 2 2" xfId="20263" xr:uid="{00000000-0005-0000-0000-0000BA830000}"/>
    <cellStyle name="Note 5 3 5 3" xfId="28504" xr:uid="{00000000-0005-0000-0000-0000BB830000}"/>
    <cellStyle name="Note 5 3 6" xfId="30929" xr:uid="{00000000-0005-0000-0000-0000BC830000}"/>
    <cellStyle name="Note 5 3 6 2" xfId="33382" xr:uid="{00000000-0005-0000-0000-0000BD830000}"/>
    <cellStyle name="Note 5 3 7" xfId="30932" xr:uid="{00000000-0005-0000-0000-0000BE830000}"/>
    <cellStyle name="Note 5 4" xfId="6456" xr:uid="{00000000-0005-0000-0000-0000BF830000}"/>
    <cellStyle name="Note 5 4 2" xfId="4948" xr:uid="{00000000-0005-0000-0000-0000C0830000}"/>
    <cellStyle name="Note 5 4 2 2" xfId="33860" xr:uid="{00000000-0005-0000-0000-0000C1830000}"/>
    <cellStyle name="Note 5 4 2 2 2" xfId="29440" xr:uid="{00000000-0005-0000-0000-0000C2830000}"/>
    <cellStyle name="Note 5 4 2 2 2 2" xfId="29442" xr:uid="{00000000-0005-0000-0000-0000C3830000}"/>
    <cellStyle name="Note 5 4 2 2 2 2 2" xfId="29448" xr:uid="{00000000-0005-0000-0000-0000C4830000}"/>
    <cellStyle name="Note 5 4 2 2 2 3" xfId="27953" xr:uid="{00000000-0005-0000-0000-0000C5830000}"/>
    <cellStyle name="Note 5 4 2 2 3" xfId="12083" xr:uid="{00000000-0005-0000-0000-0000C6830000}"/>
    <cellStyle name="Note 5 4 2 2 3 2" xfId="6931" xr:uid="{00000000-0005-0000-0000-0000C7830000}"/>
    <cellStyle name="Note 5 4 2 2 4" xfId="17941" xr:uid="{00000000-0005-0000-0000-0000C8830000}"/>
    <cellStyle name="Note 5 4 2 3" xfId="26600" xr:uid="{00000000-0005-0000-0000-0000C9830000}"/>
    <cellStyle name="Note 5 4 2 3 2" xfId="11613" xr:uid="{00000000-0005-0000-0000-0000CA830000}"/>
    <cellStyle name="Note 5 4 2 3 2 2" xfId="29460" xr:uid="{00000000-0005-0000-0000-0000CB830000}"/>
    <cellStyle name="Note 5 4 2 3 3" xfId="32975" xr:uid="{00000000-0005-0000-0000-0000CC830000}"/>
    <cellStyle name="Note 5 4 2 4" xfId="26582" xr:uid="{00000000-0005-0000-0000-0000CD830000}"/>
    <cellStyle name="Note 5 4 2 4 2" xfId="33716" xr:uid="{00000000-0005-0000-0000-0000CE830000}"/>
    <cellStyle name="Note 5 4 2 5" xfId="29497" xr:uid="{00000000-0005-0000-0000-0000CF830000}"/>
    <cellStyle name="Note 5 4 3" xfId="27777" xr:uid="{00000000-0005-0000-0000-0000D0830000}"/>
    <cellStyle name="Note 5 4 3 2" xfId="33150" xr:uid="{00000000-0005-0000-0000-0000D1830000}"/>
    <cellStyle name="Note 5 4 3 2 2" xfId="29511" xr:uid="{00000000-0005-0000-0000-0000D2830000}"/>
    <cellStyle name="Note 5 4 3 2 2 2" xfId="12819" xr:uid="{00000000-0005-0000-0000-0000D3830000}"/>
    <cellStyle name="Note 5 4 3 2 3" xfId="33520" xr:uid="{00000000-0005-0000-0000-0000D4830000}"/>
    <cellStyle name="Note 5 4 3 3" xfId="26607" xr:uid="{00000000-0005-0000-0000-0000D5830000}"/>
    <cellStyle name="Note 5 4 3 3 2" xfId="29521" xr:uid="{00000000-0005-0000-0000-0000D6830000}"/>
    <cellStyle name="Note 5 4 3 4" xfId="12738" xr:uid="{00000000-0005-0000-0000-0000D7830000}"/>
    <cellStyle name="Note 5 4 4" xfId="29548" xr:uid="{00000000-0005-0000-0000-0000D8830000}"/>
    <cellStyle name="Note 5 4 4 2" xfId="33649" xr:uid="{00000000-0005-0000-0000-0000D9830000}"/>
    <cellStyle name="Note 5 4 4 2 2" xfId="3591" xr:uid="{00000000-0005-0000-0000-0000DA830000}"/>
    <cellStyle name="Note 5 4 4 3" xfId="5194" xr:uid="{00000000-0005-0000-0000-0000DB830000}"/>
    <cellStyle name="Note 5 4 5" xfId="30853" xr:uid="{00000000-0005-0000-0000-0000DC830000}"/>
    <cellStyle name="Note 5 4 5 2" xfId="29580" xr:uid="{00000000-0005-0000-0000-0000DD830000}"/>
    <cellStyle name="Note 5 4 6" xfId="32619" xr:uid="{00000000-0005-0000-0000-0000DE830000}"/>
    <cellStyle name="Note 5 5" xfId="6460" xr:uid="{00000000-0005-0000-0000-0000DF830000}"/>
    <cellStyle name="Note 5 5 2" xfId="17625" xr:uid="{00000000-0005-0000-0000-0000E0830000}"/>
    <cellStyle name="Note 5 5 2 2" xfId="33164" xr:uid="{00000000-0005-0000-0000-0000E1830000}"/>
    <cellStyle name="Note 5 5 2 2 2" xfId="26205" xr:uid="{00000000-0005-0000-0000-0000E2830000}"/>
    <cellStyle name="Note 5 5 2 2 2 2" xfId="29593" xr:uid="{00000000-0005-0000-0000-0000E3830000}"/>
    <cellStyle name="Note 5 5 2 2 3" xfId="2420" xr:uid="{00000000-0005-0000-0000-0000E4830000}"/>
    <cellStyle name="Note 5 5 2 3" xfId="21329" xr:uid="{00000000-0005-0000-0000-0000E5830000}"/>
    <cellStyle name="Note 5 5 2 3 2" xfId="22241" xr:uid="{00000000-0005-0000-0000-0000E6830000}"/>
    <cellStyle name="Note 5 5 2 4" xfId="3644" xr:uid="{00000000-0005-0000-0000-0000E7830000}"/>
    <cellStyle name="Note 5 5 3" xfId="11999" xr:uid="{00000000-0005-0000-0000-0000E8830000}"/>
    <cellStyle name="Note 5 5 3 2" xfId="21332" xr:uid="{00000000-0005-0000-0000-0000E9830000}"/>
    <cellStyle name="Note 5 5 3 2 2" xfId="22462" xr:uid="{00000000-0005-0000-0000-0000EA830000}"/>
    <cellStyle name="Note 5 5 3 3" xfId="28787" xr:uid="{00000000-0005-0000-0000-0000EB830000}"/>
    <cellStyle name="Note 5 5 4" xfId="12005" xr:uid="{00000000-0005-0000-0000-0000EC830000}"/>
    <cellStyle name="Note 5 5 4 2" xfId="27106" xr:uid="{00000000-0005-0000-0000-0000ED830000}"/>
    <cellStyle name="Note 5 5 5" xfId="20016" xr:uid="{00000000-0005-0000-0000-0000EE830000}"/>
    <cellStyle name="Note 5 6" xfId="20187" xr:uid="{00000000-0005-0000-0000-0000EF830000}"/>
    <cellStyle name="Note 5 6 2" xfId="21474" xr:uid="{00000000-0005-0000-0000-0000F0830000}"/>
    <cellStyle name="Note 5 6 2 2" xfId="30243" xr:uid="{00000000-0005-0000-0000-0000F1830000}"/>
    <cellStyle name="Note 5 6 2 2 2" xfId="28105" xr:uid="{00000000-0005-0000-0000-0000F2830000}"/>
    <cellStyle name="Note 5 6 2 3" xfId="13506" xr:uid="{00000000-0005-0000-0000-0000F3830000}"/>
    <cellStyle name="Note 5 6 3" xfId="12601" xr:uid="{00000000-0005-0000-0000-0000F4830000}"/>
    <cellStyle name="Note 5 6 3 2" xfId="22694" xr:uid="{00000000-0005-0000-0000-0000F5830000}"/>
    <cellStyle name="Note 5 6 4" xfId="27364" xr:uid="{00000000-0005-0000-0000-0000F6830000}"/>
    <cellStyle name="Note 5 7" xfId="20202" xr:uid="{00000000-0005-0000-0000-0000F7830000}"/>
    <cellStyle name="Note 5 7 2" xfId="30062" xr:uid="{00000000-0005-0000-0000-0000F8830000}"/>
    <cellStyle name="Note 5 7 2 2" xfId="29655" xr:uid="{00000000-0005-0000-0000-0000F9830000}"/>
    <cellStyle name="Note 5 7 3" xfId="29661" xr:uid="{00000000-0005-0000-0000-0000FA830000}"/>
    <cellStyle name="Note 5 8" xfId="30427" xr:uid="{00000000-0005-0000-0000-0000FB830000}"/>
    <cellStyle name="Note 5 8 2" xfId="29635" xr:uid="{00000000-0005-0000-0000-0000FC830000}"/>
    <cellStyle name="Note 5 9" xfId="29674" xr:uid="{00000000-0005-0000-0000-0000FD830000}"/>
    <cellStyle name="Note 6" xfId="23766" xr:uid="{00000000-0005-0000-0000-0000FE830000}"/>
    <cellStyle name="Note 6 2" xfId="10958" xr:uid="{00000000-0005-0000-0000-0000FF830000}"/>
    <cellStyle name="Note 6 2 2" xfId="30947" xr:uid="{00000000-0005-0000-0000-000000840000}"/>
    <cellStyle name="Note 6 2 2 2" xfId="33764" xr:uid="{00000000-0005-0000-0000-000001840000}"/>
    <cellStyle name="Note 6 2 2 2 2" xfId="31677" xr:uid="{00000000-0005-0000-0000-000002840000}"/>
    <cellStyle name="Note 6 2 2 2 2 2" xfId="30426" xr:uid="{00000000-0005-0000-0000-000003840000}"/>
    <cellStyle name="Note 6 2 2 2 2 2 2" xfId="9740" xr:uid="{00000000-0005-0000-0000-000004840000}"/>
    <cellStyle name="Note 6 2 2 2 2 2 2 2" xfId="31447" xr:uid="{00000000-0005-0000-0000-000005840000}"/>
    <cellStyle name="Note 6 2 2 2 2 2 3" xfId="8091" xr:uid="{00000000-0005-0000-0000-000006840000}"/>
    <cellStyle name="Note 6 2 2 2 2 3" xfId="30432" xr:uid="{00000000-0005-0000-0000-000007840000}"/>
    <cellStyle name="Note 6 2 2 2 2 3 2" xfId="9745" xr:uid="{00000000-0005-0000-0000-000008840000}"/>
    <cellStyle name="Note 6 2 2 2 2 4" xfId="30423" xr:uid="{00000000-0005-0000-0000-000009840000}"/>
    <cellStyle name="Note 6 2 2 2 3" xfId="27730" xr:uid="{00000000-0005-0000-0000-00000A840000}"/>
    <cellStyle name="Note 6 2 2 2 3 2" xfId="23559" xr:uid="{00000000-0005-0000-0000-00000B840000}"/>
    <cellStyle name="Note 6 2 2 2 3 2 2" xfId="9760" xr:uid="{00000000-0005-0000-0000-00000C840000}"/>
    <cellStyle name="Note 6 2 2 2 3 3" xfId="7018" xr:uid="{00000000-0005-0000-0000-00000D840000}"/>
    <cellStyle name="Note 6 2 2 2 4" xfId="12980" xr:uid="{00000000-0005-0000-0000-00000E840000}"/>
    <cellStyle name="Note 6 2 2 2 4 2" xfId="23367" xr:uid="{00000000-0005-0000-0000-00000F840000}"/>
    <cellStyle name="Note 6 2 2 2 5" xfId="7150" xr:uid="{00000000-0005-0000-0000-000010840000}"/>
    <cellStyle name="Note 6 2 2 3" xfId="31681" xr:uid="{00000000-0005-0000-0000-000011840000}"/>
    <cellStyle name="Note 6 2 2 3 2" xfId="16997" xr:uid="{00000000-0005-0000-0000-000012840000}"/>
    <cellStyle name="Note 6 2 2 3 2 2" xfId="30455" xr:uid="{00000000-0005-0000-0000-000013840000}"/>
    <cellStyle name="Note 6 2 2 3 2 2 2" xfId="12147" xr:uid="{00000000-0005-0000-0000-000014840000}"/>
    <cellStyle name="Note 6 2 2 3 2 3" xfId="25801" xr:uid="{00000000-0005-0000-0000-000015840000}"/>
    <cellStyle name="Note 6 2 2 3 3" xfId="11706" xr:uid="{00000000-0005-0000-0000-000016840000}"/>
    <cellStyle name="Note 6 2 2 3 3 2" xfId="23568" xr:uid="{00000000-0005-0000-0000-000017840000}"/>
    <cellStyle name="Note 6 2 2 3 4" xfId="7158" xr:uid="{00000000-0005-0000-0000-000018840000}"/>
    <cellStyle name="Note 6 2 2 4" xfId="22947" xr:uid="{00000000-0005-0000-0000-000019840000}"/>
    <cellStyle name="Note 6 2 2 4 2" xfId="21730" xr:uid="{00000000-0005-0000-0000-00001A840000}"/>
    <cellStyle name="Note 6 2 2 4 2 2" xfId="33536" xr:uid="{00000000-0005-0000-0000-00001B840000}"/>
    <cellStyle name="Note 6 2 2 4 3" xfId="25666" xr:uid="{00000000-0005-0000-0000-00001C840000}"/>
    <cellStyle name="Note 6 2 2 5" xfId="26104" xr:uid="{00000000-0005-0000-0000-00001D840000}"/>
    <cellStyle name="Note 6 2 2 5 2" xfId="25675" xr:uid="{00000000-0005-0000-0000-00001E840000}"/>
    <cellStyle name="Note 6 2 2 6" xfId="9774" xr:uid="{00000000-0005-0000-0000-00001F840000}"/>
    <cellStyle name="Note 6 2 3" xfId="31693" xr:uid="{00000000-0005-0000-0000-000020840000}"/>
    <cellStyle name="Note 6 2 3 2" xfId="1062" xr:uid="{00000000-0005-0000-0000-000021840000}"/>
    <cellStyle name="Note 6 2 3 2 2" xfId="24415" xr:uid="{00000000-0005-0000-0000-000022840000}"/>
    <cellStyle name="Note 6 2 3 2 2 2" xfId="12911" xr:uid="{00000000-0005-0000-0000-000023840000}"/>
    <cellStyle name="Note 6 2 3 2 2 2 2" xfId="9786" xr:uid="{00000000-0005-0000-0000-000024840000}"/>
    <cellStyle name="Note 6 2 3 2 2 3" xfId="12913" xr:uid="{00000000-0005-0000-0000-000025840000}"/>
    <cellStyle name="Note 6 2 3 2 3" xfId="30369" xr:uid="{00000000-0005-0000-0000-000026840000}"/>
    <cellStyle name="Note 6 2 3 2 3 2" xfId="26160" xr:uid="{00000000-0005-0000-0000-000027840000}"/>
    <cellStyle name="Note 6 2 3 2 4" xfId="12994" xr:uid="{00000000-0005-0000-0000-000028840000}"/>
    <cellStyle name="Note 6 2 3 3" xfId="31702" xr:uid="{00000000-0005-0000-0000-000029840000}"/>
    <cellStyle name="Note 6 2 3 3 2" xfId="15794" xr:uid="{00000000-0005-0000-0000-00002A840000}"/>
    <cellStyle name="Note 6 2 3 3 2 2" xfId="12374" xr:uid="{00000000-0005-0000-0000-00002B840000}"/>
    <cellStyle name="Note 6 2 3 3 3" xfId="156" xr:uid="{00000000-0005-0000-0000-00002C840000}"/>
    <cellStyle name="Note 6 2 3 4" xfId="2384" xr:uid="{00000000-0005-0000-0000-00002D840000}"/>
    <cellStyle name="Note 6 2 3 4 2" xfId="25715" xr:uid="{00000000-0005-0000-0000-00002E840000}"/>
    <cellStyle name="Note 6 2 3 5" xfId="681" xr:uid="{00000000-0005-0000-0000-00002F840000}"/>
    <cellStyle name="Note 6 2 4" xfId="27401" xr:uid="{00000000-0005-0000-0000-000030840000}"/>
    <cellStyle name="Note 6 2 4 2" xfId="26150" xr:uid="{00000000-0005-0000-0000-000031840000}"/>
    <cellStyle name="Note 6 2 4 2 2" xfId="27546" xr:uid="{00000000-0005-0000-0000-000032840000}"/>
    <cellStyle name="Note 6 2 4 2 2 2" xfId="12932" xr:uid="{00000000-0005-0000-0000-000033840000}"/>
    <cellStyle name="Note 6 2 4 2 3" xfId="25017" xr:uid="{00000000-0005-0000-0000-000034840000}"/>
    <cellStyle name="Note 6 2 4 3" xfId="22885" xr:uid="{00000000-0005-0000-0000-000035840000}"/>
    <cellStyle name="Note 6 2 4 3 2" xfId="17502" xr:uid="{00000000-0005-0000-0000-000036840000}"/>
    <cellStyle name="Note 6 2 4 4" xfId="3268" xr:uid="{00000000-0005-0000-0000-000037840000}"/>
    <cellStyle name="Note 6 2 5" xfId="28065" xr:uid="{00000000-0005-0000-0000-000038840000}"/>
    <cellStyle name="Note 6 2 5 2" xfId="22493" xr:uid="{00000000-0005-0000-0000-000039840000}"/>
    <cellStyle name="Note 6 2 5 2 2" xfId="14564" xr:uid="{00000000-0005-0000-0000-00003A840000}"/>
    <cellStyle name="Note 6 2 5 3" xfId="29304" xr:uid="{00000000-0005-0000-0000-00003B840000}"/>
    <cellStyle name="Note 6 2 6" xfId="28414" xr:uid="{00000000-0005-0000-0000-00003C840000}"/>
    <cellStyle name="Note 6 2 6 2" xfId="30636" xr:uid="{00000000-0005-0000-0000-00003D840000}"/>
    <cellStyle name="Note 6 2 7" xfId="30670" xr:uid="{00000000-0005-0000-0000-00003E840000}"/>
    <cellStyle name="Note 6 3" xfId="29701" xr:uid="{00000000-0005-0000-0000-00003F840000}"/>
    <cellStyle name="Note 6 3 2" xfId="33914" xr:uid="{00000000-0005-0000-0000-000040840000}"/>
    <cellStyle name="Note 6 3 2 2" xfId="32865" xr:uid="{00000000-0005-0000-0000-000041840000}"/>
    <cellStyle name="Note 6 3 2 2 2" xfId="32267" xr:uid="{00000000-0005-0000-0000-000042840000}"/>
    <cellStyle name="Note 6 3 2 2 2 2" xfId="9855" xr:uid="{00000000-0005-0000-0000-000043840000}"/>
    <cellStyle name="Note 6 3 2 2 2 2 2" xfId="23331" xr:uid="{00000000-0005-0000-0000-000044840000}"/>
    <cellStyle name="Note 6 3 2 2 2 3" xfId="9871" xr:uid="{00000000-0005-0000-0000-000045840000}"/>
    <cellStyle name="Note 6 3 2 2 3" xfId="24087" xr:uid="{00000000-0005-0000-0000-000046840000}"/>
    <cellStyle name="Note 6 3 2 2 3 2" xfId="10364" xr:uid="{00000000-0005-0000-0000-000047840000}"/>
    <cellStyle name="Note 6 3 2 2 4" xfId="17964" xr:uid="{00000000-0005-0000-0000-000048840000}"/>
    <cellStyle name="Note 6 3 2 3" xfId="28062" xr:uid="{00000000-0005-0000-0000-000049840000}"/>
    <cellStyle name="Note 6 3 2 3 2" xfId="23889" xr:uid="{00000000-0005-0000-0000-00004A840000}"/>
    <cellStyle name="Note 6 3 2 3 2 2" xfId="2173" xr:uid="{00000000-0005-0000-0000-00004B840000}"/>
    <cellStyle name="Note 6 3 2 3 3" xfId="10506" xr:uid="{00000000-0005-0000-0000-00004C840000}"/>
    <cellStyle name="Note 6 3 2 4" xfId="28596" xr:uid="{00000000-0005-0000-0000-00004D840000}"/>
    <cellStyle name="Note 6 3 2 4 2" xfId="25799" xr:uid="{00000000-0005-0000-0000-00004E840000}"/>
    <cellStyle name="Note 6 3 2 5" xfId="31391" xr:uid="{00000000-0005-0000-0000-00004F840000}"/>
    <cellStyle name="Note 6 3 3" xfId="33824" xr:uid="{00000000-0005-0000-0000-000050840000}"/>
    <cellStyle name="Note 6 3 3 2" xfId="33512" xr:uid="{00000000-0005-0000-0000-000051840000}"/>
    <cellStyle name="Note 6 3 3 2 2" xfId="31628" xr:uid="{00000000-0005-0000-0000-000052840000}"/>
    <cellStyle name="Note 6 3 3 2 2 2" xfId="25878" xr:uid="{00000000-0005-0000-0000-000053840000}"/>
    <cellStyle name="Note 6 3 3 2 3" xfId="24175" xr:uid="{00000000-0005-0000-0000-000054840000}"/>
    <cellStyle name="Note 6 3 3 3" xfId="30604" xr:uid="{00000000-0005-0000-0000-000055840000}"/>
    <cellStyle name="Note 6 3 3 3 2" xfId="32578" xr:uid="{00000000-0005-0000-0000-000056840000}"/>
    <cellStyle name="Note 6 3 3 4" xfId="6024" xr:uid="{00000000-0005-0000-0000-000057840000}"/>
    <cellStyle name="Note 6 3 4" xfId="27749" xr:uid="{00000000-0005-0000-0000-000058840000}"/>
    <cellStyle name="Note 6 3 4 2" xfId="28996" xr:uid="{00000000-0005-0000-0000-000059840000}"/>
    <cellStyle name="Note 6 3 4 2 2" xfId="31576" xr:uid="{00000000-0005-0000-0000-00005A840000}"/>
    <cellStyle name="Note 6 3 4 3" xfId="29016" xr:uid="{00000000-0005-0000-0000-00005B840000}"/>
    <cellStyle name="Note 6 3 5" xfId="29118" xr:uid="{00000000-0005-0000-0000-00005C840000}"/>
    <cellStyle name="Note 6 3 5 2" xfId="30459" xr:uid="{00000000-0005-0000-0000-00005D840000}"/>
    <cellStyle name="Note 6 3 6" xfId="29133" xr:uid="{00000000-0005-0000-0000-00005E840000}"/>
    <cellStyle name="Note 6 4" xfId="848" xr:uid="{00000000-0005-0000-0000-00005F840000}"/>
    <cellStyle name="Note 6 4 2" xfId="27786" xr:uid="{00000000-0005-0000-0000-000060840000}"/>
    <cellStyle name="Note 6 4 2 2" xfId="26400" xr:uid="{00000000-0005-0000-0000-000061840000}"/>
    <cellStyle name="Note 6 4 2 2 2" xfId="31551" xr:uid="{00000000-0005-0000-0000-000062840000}"/>
    <cellStyle name="Note 6 4 2 2 2 2" xfId="30820" xr:uid="{00000000-0005-0000-0000-000063840000}"/>
    <cellStyle name="Note 6 4 2 2 3" xfId="20956" xr:uid="{00000000-0005-0000-0000-000064840000}"/>
    <cellStyle name="Note 6 4 2 3" xfId="34019" xr:uid="{00000000-0005-0000-0000-000065840000}"/>
    <cellStyle name="Note 6 4 2 3 2" xfId="2979" xr:uid="{00000000-0005-0000-0000-000066840000}"/>
    <cellStyle name="Note 6 4 2 4" xfId="29706" xr:uid="{00000000-0005-0000-0000-000067840000}"/>
    <cellStyle name="Note 6 4 3" xfId="30923" xr:uid="{00000000-0005-0000-0000-000068840000}"/>
    <cellStyle name="Note 6 4 3 2" xfId="33530" xr:uid="{00000000-0005-0000-0000-000069840000}"/>
    <cellStyle name="Note 6 4 3 2 2" xfId="19864" xr:uid="{00000000-0005-0000-0000-00006A840000}"/>
    <cellStyle name="Note 6 4 3 3" xfId="30796" xr:uid="{00000000-0005-0000-0000-00006B840000}"/>
    <cellStyle name="Note 6 4 4" xfId="19922" xr:uid="{00000000-0005-0000-0000-00006C840000}"/>
    <cellStyle name="Note 6 4 4 2" xfId="29438" xr:uid="{00000000-0005-0000-0000-00006D840000}"/>
    <cellStyle name="Note 6 4 5" xfId="6939" xr:uid="{00000000-0005-0000-0000-00006E840000}"/>
    <cellStyle name="Note 6 5" xfId="29720" xr:uid="{00000000-0005-0000-0000-00006F840000}"/>
    <cellStyle name="Note 6 5 2" xfId="29721" xr:uid="{00000000-0005-0000-0000-000070840000}"/>
    <cellStyle name="Note 6 5 2 2" xfId="33962" xr:uid="{00000000-0005-0000-0000-000071840000}"/>
    <cellStyle name="Note 6 5 2 2 2" xfId="21222" xr:uid="{00000000-0005-0000-0000-000072840000}"/>
    <cellStyle name="Note 6 5 2 3" xfId="30149" xr:uid="{00000000-0005-0000-0000-000073840000}"/>
    <cellStyle name="Note 6 5 3" xfId="17783" xr:uid="{00000000-0005-0000-0000-000074840000}"/>
    <cellStyle name="Note 6 5 3 2" xfId="31172" xr:uid="{00000000-0005-0000-0000-000075840000}"/>
    <cellStyle name="Note 6 5 4" xfId="29082" xr:uid="{00000000-0005-0000-0000-000076840000}"/>
    <cellStyle name="Note 6 6" xfId="19881" xr:uid="{00000000-0005-0000-0000-000077840000}"/>
    <cellStyle name="Note 6 6 2" xfId="33887" xr:uid="{00000000-0005-0000-0000-000078840000}"/>
    <cellStyle name="Note 6 6 2 2" xfId="30274" xr:uid="{00000000-0005-0000-0000-000079840000}"/>
    <cellStyle name="Note 6 6 3" xfId="32369" xr:uid="{00000000-0005-0000-0000-00007A840000}"/>
    <cellStyle name="Note 6 7" xfId="19466" xr:uid="{00000000-0005-0000-0000-00007B840000}"/>
    <cellStyle name="Note 6 7 2" xfId="32611" xr:uid="{00000000-0005-0000-0000-00007C840000}"/>
    <cellStyle name="Note 6 8" xfId="26185" xr:uid="{00000000-0005-0000-0000-00007D840000}"/>
    <cellStyle name="Note 7" xfId="25252" xr:uid="{00000000-0005-0000-0000-00007E840000}"/>
    <cellStyle name="Note 7 2" xfId="6008" xr:uid="{00000000-0005-0000-0000-00007F840000}"/>
    <cellStyle name="Note 7 2 2" xfId="15498" xr:uid="{00000000-0005-0000-0000-000080840000}"/>
    <cellStyle name="Note 7 2 2 2" xfId="21957" xr:uid="{00000000-0005-0000-0000-000081840000}"/>
    <cellStyle name="Note 7 2 2 2 2" xfId="33370" xr:uid="{00000000-0005-0000-0000-000082840000}"/>
    <cellStyle name="Note 7 2 2 2 2 2" xfId="33742" xr:uid="{00000000-0005-0000-0000-000083840000}"/>
    <cellStyle name="Note 7 2 2 2 2 2 2" xfId="10281" xr:uid="{00000000-0005-0000-0000-000084840000}"/>
    <cellStyle name="Note 7 2 2 2 2 3" xfId="33891" xr:uid="{00000000-0005-0000-0000-000085840000}"/>
    <cellStyle name="Note 7 2 2 2 3" xfId="7941" xr:uid="{00000000-0005-0000-0000-000086840000}"/>
    <cellStyle name="Note 7 2 2 2 3 2" xfId="1998" xr:uid="{00000000-0005-0000-0000-000087840000}"/>
    <cellStyle name="Note 7 2 2 2 4" xfId="13682" xr:uid="{00000000-0005-0000-0000-000088840000}"/>
    <cellStyle name="Note 7 2 2 3" xfId="25256" xr:uid="{00000000-0005-0000-0000-000089840000}"/>
    <cellStyle name="Note 7 2 2 3 2" xfId="5137" xr:uid="{00000000-0005-0000-0000-00008A840000}"/>
    <cellStyle name="Note 7 2 2 3 2 2" xfId="33546" xr:uid="{00000000-0005-0000-0000-00008B840000}"/>
    <cellStyle name="Note 7 2 2 3 3" xfId="7972" xr:uid="{00000000-0005-0000-0000-00008C840000}"/>
    <cellStyle name="Note 7 2 2 4" xfId="25264" xr:uid="{00000000-0005-0000-0000-00008D840000}"/>
    <cellStyle name="Note 7 2 2 4 2" xfId="25928" xr:uid="{00000000-0005-0000-0000-00008E840000}"/>
    <cellStyle name="Note 7 2 2 5" xfId="986" xr:uid="{00000000-0005-0000-0000-00008F840000}"/>
    <cellStyle name="Note 7 2 3" xfId="25267" xr:uid="{00000000-0005-0000-0000-000090840000}"/>
    <cellStyle name="Note 7 2 3 2" xfId="25269" xr:uid="{00000000-0005-0000-0000-000091840000}"/>
    <cellStyle name="Note 7 2 3 2 2" xfId="33582" xr:uid="{00000000-0005-0000-0000-000092840000}"/>
    <cellStyle name="Note 7 2 3 2 2 2" xfId="3660" xr:uid="{00000000-0005-0000-0000-000093840000}"/>
    <cellStyle name="Note 7 2 3 2 3" xfId="4544" xr:uid="{00000000-0005-0000-0000-000094840000}"/>
    <cellStyle name="Note 7 2 3 3" xfId="25273" xr:uid="{00000000-0005-0000-0000-000095840000}"/>
    <cellStyle name="Note 7 2 3 3 2" xfId="33597" xr:uid="{00000000-0005-0000-0000-000096840000}"/>
    <cellStyle name="Note 7 2 3 4" xfId="16601" xr:uid="{00000000-0005-0000-0000-000097840000}"/>
    <cellStyle name="Note 7 2 4" xfId="16848" xr:uid="{00000000-0005-0000-0000-000098840000}"/>
    <cellStyle name="Note 7 2 4 2" xfId="25277" xr:uid="{00000000-0005-0000-0000-000099840000}"/>
    <cellStyle name="Note 7 2 4 2 2" xfId="32427" xr:uid="{00000000-0005-0000-0000-00009A840000}"/>
    <cellStyle name="Note 7 2 4 3" xfId="32395" xr:uid="{00000000-0005-0000-0000-00009B840000}"/>
    <cellStyle name="Note 7 2 5" xfId="10627" xr:uid="{00000000-0005-0000-0000-00009C840000}"/>
    <cellStyle name="Note 7 2 5 2" xfId="32440" xr:uid="{00000000-0005-0000-0000-00009D840000}"/>
    <cellStyle name="Note 7 2 6" xfId="33901" xr:uid="{00000000-0005-0000-0000-00009E840000}"/>
    <cellStyle name="Note 7 3" xfId="1018" xr:uid="{00000000-0005-0000-0000-00009F840000}"/>
    <cellStyle name="Note 7 3 2" xfId="20351" xr:uid="{00000000-0005-0000-0000-0000A0840000}"/>
    <cellStyle name="Note 7 3 2 2" xfId="25284" xr:uid="{00000000-0005-0000-0000-0000A1840000}"/>
    <cellStyle name="Note 7 3 2 2 2" xfId="33396" xr:uid="{00000000-0005-0000-0000-0000A2840000}"/>
    <cellStyle name="Note 7 3 2 2 2 2" xfId="33066" xr:uid="{00000000-0005-0000-0000-0000A3840000}"/>
    <cellStyle name="Note 7 3 2 2 3" xfId="9884" xr:uid="{00000000-0005-0000-0000-0000A4840000}"/>
    <cellStyle name="Note 7 3 2 3" xfId="4537" xr:uid="{00000000-0005-0000-0000-0000A5840000}"/>
    <cellStyle name="Note 7 3 2 3 2" xfId="10519" xr:uid="{00000000-0005-0000-0000-0000A6840000}"/>
    <cellStyle name="Note 7 3 2 4" xfId="24697" xr:uid="{00000000-0005-0000-0000-0000A7840000}"/>
    <cellStyle name="Note 7 3 3" xfId="22288" xr:uid="{00000000-0005-0000-0000-0000A8840000}"/>
    <cellStyle name="Note 7 3 3 2" xfId="25292" xr:uid="{00000000-0005-0000-0000-0000A9840000}"/>
    <cellStyle name="Note 7 3 3 2 2" xfId="16597" xr:uid="{00000000-0005-0000-0000-0000AA840000}"/>
    <cellStyle name="Note 7 3 3 3" xfId="27166" xr:uid="{00000000-0005-0000-0000-0000AB840000}"/>
    <cellStyle name="Note 7 3 4" xfId="14593" xr:uid="{00000000-0005-0000-0000-0000AC840000}"/>
    <cellStyle name="Note 7 3 4 2" xfId="33188" xr:uid="{00000000-0005-0000-0000-0000AD840000}"/>
    <cellStyle name="Note 7 3 5" xfId="14598" xr:uid="{00000000-0005-0000-0000-0000AE840000}"/>
    <cellStyle name="Note 7 4" xfId="22296" xr:uid="{00000000-0005-0000-0000-0000AF840000}"/>
    <cellStyle name="Note 7 4 2" xfId="22309" xr:uid="{00000000-0005-0000-0000-0000B0840000}"/>
    <cellStyle name="Note 7 4 2 2" xfId="4029" xr:uid="{00000000-0005-0000-0000-0000B1840000}"/>
    <cellStyle name="Note 7 4 2 2 2" xfId="29807" xr:uid="{00000000-0005-0000-0000-0000B2840000}"/>
    <cellStyle name="Note 7 4 2 3" xfId="33864" xr:uid="{00000000-0005-0000-0000-0000B3840000}"/>
    <cellStyle name="Note 7 4 3" xfId="22321" xr:uid="{00000000-0005-0000-0000-0000B4840000}"/>
    <cellStyle name="Note 7 4 3 2" xfId="32508" xr:uid="{00000000-0005-0000-0000-0000B5840000}"/>
    <cellStyle name="Note 7 4 4" xfId="31404" xr:uid="{00000000-0005-0000-0000-0000B6840000}"/>
    <cellStyle name="Note 7 5" xfId="22325" xr:uid="{00000000-0005-0000-0000-0000B7840000}"/>
    <cellStyle name="Note 7 5 2" xfId="364" xr:uid="{00000000-0005-0000-0000-0000B8840000}"/>
    <cellStyle name="Note 7 5 2 2" xfId="33969" xr:uid="{00000000-0005-0000-0000-0000B9840000}"/>
    <cellStyle name="Note 7 5 3" xfId="31293" xr:uid="{00000000-0005-0000-0000-0000BA840000}"/>
    <cellStyle name="Note 7 6" xfId="22328" xr:uid="{00000000-0005-0000-0000-0000BB840000}"/>
    <cellStyle name="Note 7 6 2" xfId="20182" xr:uid="{00000000-0005-0000-0000-0000BC840000}"/>
    <cellStyle name="Note 7 7" xfId="33106" xr:uid="{00000000-0005-0000-0000-0000BD840000}"/>
    <cellStyle name="Note 8" xfId="10616" xr:uid="{00000000-0005-0000-0000-0000BE840000}"/>
    <cellStyle name="Note 8 2" xfId="11406" xr:uid="{00000000-0005-0000-0000-0000BF840000}"/>
    <cellStyle name="Note 8 2 2" xfId="25294" xr:uid="{00000000-0005-0000-0000-0000C0840000}"/>
    <cellStyle name="Note 8 2 2 2" xfId="25296" xr:uid="{00000000-0005-0000-0000-0000C1840000}"/>
    <cellStyle name="Note 8 2 2 2 2" xfId="17594" xr:uid="{00000000-0005-0000-0000-0000C2840000}"/>
    <cellStyle name="Note 8 2 2 2 2 2" xfId="33213" xr:uid="{00000000-0005-0000-0000-0000C3840000}"/>
    <cellStyle name="Note 8 2 2 2 3" xfId="26040" xr:uid="{00000000-0005-0000-0000-0000C4840000}"/>
    <cellStyle name="Note 8 2 2 3" xfId="25299" xr:uid="{00000000-0005-0000-0000-0000C5840000}"/>
    <cellStyle name="Note 8 2 2 3 2" xfId="31892" xr:uid="{00000000-0005-0000-0000-0000C6840000}"/>
    <cellStyle name="Note 8 2 2 4" xfId="28835" xr:uid="{00000000-0005-0000-0000-0000C7840000}"/>
    <cellStyle name="Note 8 2 3" xfId="25302" xr:uid="{00000000-0005-0000-0000-0000C8840000}"/>
    <cellStyle name="Note 8 2 3 2" xfId="8511" xr:uid="{00000000-0005-0000-0000-0000C9840000}"/>
    <cellStyle name="Note 8 2 3 2 2" xfId="32377" xr:uid="{00000000-0005-0000-0000-0000CA840000}"/>
    <cellStyle name="Note 8 2 3 3" xfId="32222" xr:uid="{00000000-0005-0000-0000-0000CB840000}"/>
    <cellStyle name="Note 8 2 4" xfId="25310" xr:uid="{00000000-0005-0000-0000-0000CC840000}"/>
    <cellStyle name="Note 8 2 4 2" xfId="32388" xr:uid="{00000000-0005-0000-0000-0000CD840000}"/>
    <cellStyle name="Note 8 2 5" xfId="33475" xr:uid="{00000000-0005-0000-0000-0000CE840000}"/>
    <cellStyle name="Note 8 3" xfId="22334" xr:uid="{00000000-0005-0000-0000-0000CF840000}"/>
    <cellStyle name="Note 8 3 2" xfId="22339" xr:uid="{00000000-0005-0000-0000-0000D0840000}"/>
    <cellStyle name="Note 8 3 2 2" xfId="31908" xr:uid="{00000000-0005-0000-0000-0000D1840000}"/>
    <cellStyle name="Note 8 3 2 2 2" xfId="24742" xr:uid="{00000000-0005-0000-0000-0000D2840000}"/>
    <cellStyle name="Note 8 3 2 3" xfId="31916" xr:uid="{00000000-0005-0000-0000-0000D3840000}"/>
    <cellStyle name="Note 8 3 3" xfId="26303" xr:uid="{00000000-0005-0000-0000-0000D4840000}"/>
    <cellStyle name="Note 8 3 3 2" xfId="24745" xr:uid="{00000000-0005-0000-0000-0000D5840000}"/>
    <cellStyle name="Note 8 3 4" xfId="6786" xr:uid="{00000000-0005-0000-0000-0000D6840000}"/>
    <cellStyle name="Note 8 4" xfId="22343" xr:uid="{00000000-0005-0000-0000-0000D7840000}"/>
    <cellStyle name="Note 8 4 2" xfId="17588" xr:uid="{00000000-0005-0000-0000-0000D8840000}"/>
    <cellStyle name="Note 8 4 2 2" xfId="30601" xr:uid="{00000000-0005-0000-0000-0000D9840000}"/>
    <cellStyle name="Note 8 4 3" xfId="100" xr:uid="{00000000-0005-0000-0000-0000DA840000}"/>
    <cellStyle name="Note 8 5" xfId="29350" xr:uid="{00000000-0005-0000-0000-0000DB840000}"/>
    <cellStyle name="Note 8 5 2" xfId="25655" xr:uid="{00000000-0005-0000-0000-0000DC840000}"/>
    <cellStyle name="Note 8 6" xfId="33045" xr:uid="{00000000-0005-0000-0000-0000DD840000}"/>
    <cellStyle name="Note 9" xfId="10622" xr:uid="{00000000-0005-0000-0000-0000DE840000}"/>
    <cellStyle name="Note 9 2" xfId="25315" xr:uid="{00000000-0005-0000-0000-0000DF840000}"/>
    <cellStyle name="Note 9 2 2" xfId="18769" xr:uid="{00000000-0005-0000-0000-0000E0840000}"/>
    <cellStyle name="Note 9 2 2 2" xfId="25318" xr:uid="{00000000-0005-0000-0000-0000E1840000}"/>
    <cellStyle name="Note 9 2 2 2 2" xfId="33877" xr:uid="{00000000-0005-0000-0000-0000E2840000}"/>
    <cellStyle name="Note 9 2 2 3" xfId="33261" xr:uid="{00000000-0005-0000-0000-0000E3840000}"/>
    <cellStyle name="Note 9 2 3" xfId="25326" xr:uid="{00000000-0005-0000-0000-0000E4840000}"/>
    <cellStyle name="Note 9 2 3 2" xfId="466" xr:uid="{00000000-0005-0000-0000-0000E5840000}"/>
    <cellStyle name="Note 9 2 4" xfId="32522" xr:uid="{00000000-0005-0000-0000-0000E6840000}"/>
    <cellStyle name="Note 9 3" xfId="22355" xr:uid="{00000000-0005-0000-0000-0000E7840000}"/>
    <cellStyle name="Note 9 3 2" xfId="22365" xr:uid="{00000000-0005-0000-0000-0000E8840000}"/>
    <cellStyle name="Note 9 3 2 2" xfId="24167" xr:uid="{00000000-0005-0000-0000-0000E9840000}"/>
    <cellStyle name="Note 9 3 3" xfId="11456" xr:uid="{00000000-0005-0000-0000-0000EA840000}"/>
    <cellStyle name="Note 9 4" xfId="22376" xr:uid="{00000000-0005-0000-0000-0000EB840000}"/>
    <cellStyle name="Note 9 4 2" xfId="32469" xr:uid="{00000000-0005-0000-0000-0000EC840000}"/>
    <cellStyle name="Note 9 5" xfId="24635" xr:uid="{00000000-0005-0000-0000-0000ED840000}"/>
    <cellStyle name="Output 2" xfId="26288" xr:uid="{00000000-0005-0000-0000-0000EE840000}"/>
    <cellStyle name="Per cent" xfId="1" builtinId="5"/>
    <cellStyle name="Percent 2" xfId="32445" xr:uid="{00000000-0005-0000-0000-0000F0840000}"/>
    <cellStyle name="Percent 3" xfId="21418" xr:uid="{00000000-0005-0000-0000-0000F1840000}"/>
    <cellStyle name="Percent 35" xfId="34042" xr:uid="{4D6859FA-49A4-4464-9E75-6F7DB6460A11}"/>
    <cellStyle name="Percent 4" xfId="25095" xr:uid="{00000000-0005-0000-0000-0000F2840000}"/>
    <cellStyle name="Percent 43" xfId="34043" xr:uid="{4E4BDF8B-96E0-4426-B943-40CD8ADB9776}"/>
    <cellStyle name="Style 1" xfId="18443" xr:uid="{00000000-0005-0000-0000-0000F3840000}"/>
    <cellStyle name="Total 2" xfId="27686" xr:uid="{00000000-0005-0000-0000-0000F4840000}"/>
    <cellStyle name="Warning Text 2" xfId="33287" xr:uid="{00000000-0005-0000-0000-0000F5840000}"/>
  </cellStyles>
  <dxfs count="350">
    <dxf>
      <numFmt numFmtId="167" formatCode="[$-409]d/m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[$-409]m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67" formatCode="[$-409]d/mmm/yy;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ont>
        <sz val="10"/>
      </font>
      <numFmt numFmtId="167" formatCode="[$-409]d/mmm/yy;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border outline="0">
        <top style="hair">
          <color auto="1"/>
        </top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ont>
        <sz val="10"/>
      </font>
      <numFmt numFmtId="167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numFmt numFmtId="2" formatCode="0.00"/>
      <alignment horizontal="center" textRotation="0" indent="0" justifyLastLine="0" shrinkToFit="0" readingOrder="0"/>
    </dxf>
    <dxf>
      <alignment horizontal="center" textRotation="0" indent="0" justifyLastLine="0" shrinkToFit="0" readingOrder="0"/>
      <border outline="0">
        <right style="dotted">
          <color theme="5" tint="0.59996337778862885"/>
        </right>
      </border>
    </dxf>
    <dxf>
      <numFmt numFmtId="2" formatCode="0.00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5" formatCode="hh:mm"/>
      <alignment horizontal="center" textRotation="0" indent="0" justifyLastLine="0" shrinkToFit="0" readingOrder="0"/>
    </dxf>
    <dxf>
      <alignment horizontal="center" textRotation="0" wrapText="0" indent="0" justifyLastLine="0" shrinkToFit="0" readingOrder="0"/>
    </dxf>
    <dxf>
      <numFmt numFmtId="166" formatCode="0.0%"/>
      <alignment horizont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8" formatCode="h:mm;@"/>
    </dxf>
    <dxf>
      <numFmt numFmtId="168" formatCode="h:mm;@"/>
      <alignment horizontal="center" vertical="bottom" textRotation="0" wrapText="0" indent="0" justifyLastLine="0" shrinkToFit="0" readingOrder="0"/>
      <border diagonalUp="0" diagonalDown="0">
        <left style="dotted">
          <color theme="5" tint="0.59996337778862885"/>
        </left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numFmt numFmtId="0" formatCode="General"/>
      <alignment horizontal="center" textRotation="0" indent="0" justifyLastLine="0" shrinkToFit="0" readingOrder="0"/>
    </dxf>
    <dxf>
      <numFmt numFmtId="22" formatCode="mmm/yy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5" formatCode="hh:mm"/>
    </dxf>
    <dxf>
      <numFmt numFmtId="25" formatCode="hh:mm"/>
    </dxf>
    <dxf>
      <numFmt numFmtId="25" formatCode="hh: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165" formatCode="0.0"/>
      <alignment horizontal="left" vertical="bottom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8" formatCode="h:mm;@"/>
      <alignment horizontal="general" vertical="center" textRotation="0" wrapText="0" indent="0" justifyLastLine="0" shrinkToFit="0" readingOrder="0"/>
    </dxf>
    <dxf>
      <numFmt numFmtId="168" formatCode="h:mm;@"/>
      <alignment horizontal="general" vertical="center" textRotation="0" wrapText="0" indent="0" justifyLastLine="0" shrinkToFit="0" readingOrder="0"/>
    </dxf>
    <dxf>
      <numFmt numFmtId="167" formatCode="[$-409]d/mmm/yy;@"/>
      <alignment horizontal="general" vertical="center" textRotation="0" wrapText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numFmt numFmtId="22" formatCode="mmm/yy"/>
      <alignment horizontal="center" vertical="bottom" textRotation="0" wrapText="0" indent="0" justifyLastLine="0" shrinkToFit="0" readingOrder="0"/>
      <border diagonalUp="0" diagonalDown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/mmm/yy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/yy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/mmm/yy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/yy"/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numFmt numFmtId="165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22" formatCode="mmm/yy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22" formatCode="m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67" formatCode="[$-409]d/mmm/yy;@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20" formatCode="dd/m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border outline="0">
        <top style="dotted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alignment horizontal="center" vertical="center" textRotation="0" indent="0" justifyLastLine="0" shrinkToFit="0" readingOrder="0"/>
    </dxf>
    <dxf>
      <border outline="0"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0A792ED-6557-4FFA-8701-AFAD390AA6E3}" name="Table14" displayName="Table14" ref="A1:AN97" totalsRowShown="0" headerRowDxfId="349" dataDxfId="347" headerRowBorderDxfId="348" tableBorderDxfId="346" totalsRowBorderDxfId="345">
  <tableColumns count="40">
    <tableColumn id="1" xr3:uid="{B98F28D2-20F3-45EC-B5BC-A0259FE50C3E}" name="Sr. No." dataDxfId="344" dataCellStyle="Comma 42"/>
    <tableColumn id="2" xr3:uid="{C59473A8-C6BC-40C5-9F2F-F75342DB2348}" name="Month Name" dataDxfId="343" dataCellStyle="Comma 42"/>
    <tableColumn id="3" xr3:uid="{4700DECB-F8BE-4A1B-92F8-6A993B8845ED}" name="Month Number" dataDxfId="342" dataCellStyle="Comma 42"/>
    <tableColumn id="4" xr3:uid="{A73B8F81-A9C2-4A9F-8850-8007F6BAEE85}" name="Month" dataDxfId="341" dataCellStyle="Comma 42"/>
    <tableColumn id="5" xr3:uid="{4B67373B-8712-456E-BE31-8AFB99A7E006}" name="CY" dataDxfId="340">
      <calculatedColumnFormula>YEAR(D2)</calculatedColumnFormula>
    </tableColumn>
    <tableColumn id="6" xr3:uid="{A7935390-FEE9-4F12-A73B-045406D19EDF}" name="FY" dataDxfId="339"/>
    <tableColumn id="7" xr3:uid="{ED5B39EE-20C8-4143-80C2-E8D3A4916C58}" name="No. of Days in Month" dataDxfId="338">
      <calculatedColumnFormula>DAY(EOMONTH(D2,0))</calculatedColumnFormula>
    </tableColumn>
    <tableColumn id="8" xr3:uid="{ACB20ACE-A9BC-4781-8B0C-C6711D2142D1}" name="GHI" dataDxfId="337"/>
    <tableColumn id="9" xr3:uid="{3D87B0A7-DE15-4677-A537-5B170AC069CF}" name="POA" dataDxfId="336"/>
    <tableColumn id="10" xr3:uid="{8FC88186-85BA-46EC-AEB9-4BA68F9C0E8D}" name="WS" dataDxfId="335"/>
    <tableColumn id="11" xr3:uid="{B3F63B8D-4FC7-4FD4-AA7D-0C7CF24A7DC1}" name="Tamb" dataDxfId="334"/>
    <tableColumn id="12" xr3:uid="{57FE41E9-0C30-4200-BF76-2271D3B7FEA8}" name="Tmod" dataDxfId="333"/>
    <tableColumn id="13" xr3:uid="{C23785E4-BB02-44C2-80B4-5E85DB634C4C}" name="Egrid (MWh)" dataDxfId="332"/>
    <tableColumn id="14" xr3:uid="{35D6F6F5-0244-42AB-9C49-F3C660FB8C38}" name="Bugt_Capacity" dataDxfId="331"/>
    <tableColumn id="15" xr3:uid="{59D852E5-47EF-41E7-9668-17C4661AD880}" name="PR" dataDxfId="330">
      <calculatedColumnFormula>IFERROR(M2/I2/N2,"")</calculatedColumnFormula>
    </tableColumn>
    <tableColumn id="16" xr3:uid="{8F45CE14-FE7F-4427-A38C-2306DC54BA79}" name="Daily POA" dataDxfId="329">
      <calculatedColumnFormula>IFERROR(I2/G2,"")</calculatedColumnFormula>
    </tableColumn>
    <tableColumn id="17" xr3:uid="{88FD4C7C-C048-4ADB-9D88-DD647869BDF8}" name="Days Operated" dataDxfId="328">
      <calculatedColumnFormula>COUNTIFS('Daily KPI'!$D:$D,D2,'Daily KPI'!$O:$O,"&gt;0")</calculatedColumnFormula>
    </tableColumn>
    <tableColumn id="18" xr3:uid="{14580676-2556-4637-878B-C2076E5B74D4}" name="MTD POA" dataDxfId="327">
      <calculatedColumnFormula>I2/G2*Q2</calculatedColumnFormula>
    </tableColumn>
    <tableColumn id="27" xr3:uid="{6EBC9B9D-6A54-4F9A-84ED-4CC517E42CA8}" name="YTD POA" dataDxfId="326">
      <calculatedColumnFormula>SUMIF($F$2:F2,F2,$R$2:R2)</calculatedColumnFormula>
    </tableColumn>
    <tableColumn id="19" xr3:uid="{EB9254D3-BB67-4B14-B940-0A0722516B29}" name="Daily Energy (MWh)" dataDxfId="325">
      <calculatedColumnFormula>M2/G2</calculatedColumnFormula>
    </tableColumn>
    <tableColumn id="20" xr3:uid="{B96D8599-7A50-43B5-9FC3-B28B035B6EB8}" name="MTD Energy (MWh)" dataDxfId="324">
      <calculatedColumnFormula>M2/G2*Q2</calculatedColumnFormula>
    </tableColumn>
    <tableColumn id="28" xr3:uid="{2BAE8882-5FCA-4147-88D9-958D3EF4D2F8}" name="YTD Energy (MWh)" dataDxfId="323">
      <calculatedColumnFormula>SUMIF($F$2:F2,F2,$U$2:U2)</calculatedColumnFormula>
    </tableColumn>
    <tableColumn id="38" xr3:uid="{22CBD203-4555-43A9-8063-F9634313D00A}" name="Bugt CUF (%)" dataDxfId="322">
      <calculatedColumnFormula>IFERROR(T2/(24*N2),"")</calculatedColumnFormula>
    </tableColumn>
    <tableColumn id="37" xr3:uid="{6E77A58C-770D-424F-B68D-A58A0C7C1524}" name="Bugt CUF (%) MTD" dataDxfId="321">
      <calculatedColumnFormula>IFERROR(U2/(24*N2*Q2),"")</calculatedColumnFormula>
    </tableColumn>
    <tableColumn id="36" xr3:uid="{CCF3C243-0BE4-4022-8817-2FF63993BA06}" name="Bugt CUF (%)YTD" dataDxfId="320">
      <calculatedColumnFormula>IFERROR(V2/(24*N2*SUMIFS($Q:$Q,$F:$F,$F2,$D:$D,"&lt;="&amp;D2)),"")</calculatedColumnFormula>
    </tableColumn>
    <tableColumn id="21" xr3:uid="{9433461A-DF8D-43FA-8249-B57F3C805865}" name="Ave. Cap MTD" dataDxfId="319">
      <calculatedColumnFormula>IFERROR(AVERAGEIF('Daily KPI'!$D:$D,Table14[[#This Row],[Month]],'Daily KPI'!$AB:$AB),"")</calculatedColumnFormula>
    </tableColumn>
    <tableColumn id="29" xr3:uid="{029A2651-AC29-4A52-B81B-814DD1ADB2EC}" name="Ave. Cap YTD" dataDxfId="318">
      <calculatedColumnFormula>IFERROR(AVERAGEIF($F$2:F2,F2,$N$2:N2),"")</calculatedColumnFormula>
    </tableColumn>
    <tableColumn id="22" xr3:uid="{2EDE92FC-DAED-45AB-9C3B-7C453C2A37D6}" name="CC Energy MTD" dataDxfId="317"/>
    <tableColumn id="31" xr3:uid="{E1F51B95-A57A-4DB1-98B2-0D5721834AC5}" name="WS MTD" dataDxfId="316"/>
    <tableColumn id="23" xr3:uid="{7174F794-3385-47BA-9EC5-D79914920A97}" name="WS YTD" dataDxfId="315"/>
    <tableColumn id="24" xr3:uid="{E7F81BCE-722F-438C-B1C6-59DC31D1866E}" name="Bugt PA" dataDxfId="314" dataCellStyle="Percent 43"/>
    <tableColumn id="25" xr3:uid="{40AF72D3-5047-452B-B510-96C11424B8CE}" name="Bugt EGA" dataDxfId="313" dataCellStyle="Percent 43"/>
    <tableColumn id="35" xr3:uid="{CF64A0F2-F5E3-4CC6-B11D-70AFEB45C21F}" name="Bugt TA" dataDxfId="312"/>
    <tableColumn id="26" xr3:uid="{6B1B6240-777C-429A-987F-D7F1F37302FE}" name="Bugt MA" dataDxfId="311"/>
    <tableColumn id="30" xr3:uid="{8AF42169-6235-4B89-8B65-3079FEA28E49}" name="Bugt IGA" dataDxfId="310"/>
    <tableColumn id="32" xr3:uid="{A0282B24-8C83-44E7-AF1D-9DD7CD767D3C}" name="Corelation" dataDxfId="309"/>
    <tableColumn id="33" xr3:uid="{273593E8-5067-4AAE-8A41-7889EFFA4AEE}" name="Bugt Line loss" dataDxfId="308"/>
    <tableColumn id="34" xr3:uid="{240EDA00-C68F-4E09-A6DA-C8BC446F87E6}" name="Bugt Reactive Power" dataDxfId="307"/>
    <tableColumn id="39" xr3:uid="{8D2E9BB3-D858-483C-A770-AABB0E659DA4}" name="Bugt Capacity" dataDxfId="306"/>
    <tableColumn id="40" xr3:uid="{94EA0BDF-C444-455C-9927-0A62ABF57B6C}" name="CC*Bugt" dataDxfId="305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91112" displayName="Table91112" ref="A1:M8" totalsRowShown="0" headerRowDxfId="8">
  <autoFilter ref="A1:M8" xr:uid="{00000000-0009-0000-0100-00000B000000}"/>
  <tableColumns count="13">
    <tableColumn id="1" xr3:uid="{00000000-0010-0000-0A00-000001000000}" name="Sr. No." dataDxfId="7"/>
    <tableColumn id="2" xr3:uid="{00000000-0010-0000-0A00-000002000000}" name="Finacial Year" dataDxfId="6">
      <calculatedColumnFormula>YEAR(Table91112[[#This Row],[Date]])+IF(MONTH(Table91112[[#This Row],[Date]])&gt;=4,1,0)</calculatedColumnFormula>
    </tableColumn>
    <tableColumn id="3" xr3:uid="{00000000-0010-0000-0A00-000003000000}" name="Calendor Year" dataDxfId="5"/>
    <tableColumn id="4" xr3:uid="{00000000-0010-0000-0A00-000004000000}" name="Contrcatual Year" dataDxfId="4"/>
    <tableColumn id="5" xr3:uid="{00000000-0010-0000-0A00-000005000000}" name="Operating Year" dataDxfId="3"/>
    <tableColumn id="6" xr3:uid="{00000000-0010-0000-0A00-000006000000}" name="Month Year" dataDxfId="2"/>
    <tableColumn id="7" xr3:uid="{00000000-0010-0000-0A00-000007000000}" name="Days" dataDxfId="1"/>
    <tableColumn id="8" xr3:uid="{00000000-0010-0000-0A00-000008000000}" name="Date" dataDxfId="0"/>
    <tableColumn id="9" xr3:uid="{00000000-0010-0000-0A00-000009000000}" name="Item Consumed"/>
    <tableColumn id="10" xr3:uid="{00000000-0010-0000-0A00-00000A000000}" name="Qty Consumed"/>
    <tableColumn id="25" xr3:uid="{00000000-0010-0000-0A00-000019000000}" name="Place of Consumption"/>
    <tableColumn id="26" xr3:uid="{00000000-0010-0000-0A00-00001A000000}" name="Ownership of Spare/Consumable"/>
    <tableColumn id="23" xr3:uid="{00000000-0010-0000-0A00-000017000000}" name="Remarks for the day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B7A5D7-45ED-454E-B74E-B26D96F50E9E}" name="Table13" displayName="Table13" ref="A1:AS369" totalsRowShown="0" headerRowDxfId="304" dataDxfId="302" totalsRowDxfId="300" headerRowBorderDxfId="303" tableBorderDxfId="301" totalsRowBorderDxfId="299">
  <autoFilter ref="A1:AS369" xr:uid="{3B203726-2095-49D8-A694-A659B4A14C0A}"/>
  <tableColumns count="45">
    <tableColumn id="1" xr3:uid="{F7796778-DC33-45A7-977B-BCAEA071A396}" name="Date" dataDxfId="298" totalsRowDxfId="297" dataCellStyle="Normal 53"/>
    <tableColumn id="2" xr3:uid="{1645EAC2-680C-4034-AF09-2BB3C2FE8AFA}" name="Financial Year" dataDxfId="296" totalsRowDxfId="295" dataCellStyle="Normal 53">
      <calculatedColumnFormula>YEAR(Table13[[#This Row],[Date]])+IF(MONTH(Table13[[#This Row],[Date]])&gt;=4,1,0)</calculatedColumnFormula>
    </tableColumn>
    <tableColumn id="3" xr3:uid="{7631E805-B05B-40CA-A616-816830BBE873}" name="Calendar Year" dataDxfId="294" totalsRowDxfId="293" dataCellStyle="Normal 53">
      <calculatedColumnFormula>YEAR(Table13[[#This Row],[Date]])</calculatedColumnFormula>
    </tableColumn>
    <tableColumn id="4" xr3:uid="{6B1E4087-5616-4FD4-9645-70099C73DA78}" name="Month Year" dataDxfId="292" totalsRowDxfId="291" dataCellStyle="Normal 53">
      <calculatedColumnFormula>Table13[[#This Row],[Date]]-DAY(Table13[[#This Row],[Date]])+1</calculatedColumnFormula>
    </tableColumn>
    <tableColumn id="5" xr3:uid="{2A64C063-B02A-4FFD-BD00-1A60A4F93D42}" name="Days" dataDxfId="290" totalsRowDxfId="289" dataCellStyle="Normal 53">
      <calculatedColumnFormula>DAY(EOMONTH(A2,0))</calculatedColumnFormula>
    </tableColumn>
    <tableColumn id="6" xr3:uid="{6F083B2F-E786-480E-9522-E0D09F574D84}" name="Operating Hours" dataDxfId="288" dataCellStyle="Percent 43">
      <calculatedColumnFormula>IFERROR(_xlfn.XLOOKUP($A2,'Raw Data'!$G:$G,'Raw Data'!$AM:$AM),"")</calculatedColumnFormula>
    </tableColumn>
    <tableColumn id="7" xr3:uid="{7F7C3380-C282-4387-AF7F-331BD2EC5671}" name="GHI-UP (KWh/m2)" dataDxfId="287" totalsRowDxfId="286" dataCellStyle="Percent 43">
      <calculatedColumnFormula>IFERROR(_xlfn.XLOOKUP($A2,'Raw Data'!$G:$G,'Raw Data'!$AB:$AB),"")</calculatedColumnFormula>
    </tableColumn>
    <tableColumn id="8" xr3:uid="{1E1F2561-A18F-4A5C-A9DA-D6FA9CE9AA7B}" name="GHI-Down(KWh/m2)" dataDxfId="285" totalsRowDxfId="284" dataCellStyle="Percent 43"/>
    <tableColumn id="9" xr3:uid="{D358750F-4772-4D11-86AB-6D203CC0361A}" name="POA-UP(KWh/m2)" dataDxfId="283" totalsRowDxfId="282" dataCellStyle="Percent 43">
      <calculatedColumnFormula>IFERROR(_xlfn.XLOOKUP($A2,'Raw Data'!$G:$G,'Raw Data'!$AC:$AC),"")</calculatedColumnFormula>
    </tableColumn>
    <tableColumn id="10" xr3:uid="{912C5502-E39D-4C8B-BB9E-5C4E6FD75C04}" name="POA-Down(KWh/m2)" dataDxfId="281" dataCellStyle="Percent 43"/>
    <tableColumn id="11" xr3:uid="{1D81F928-07B6-4A0A-B443-0B67CC59609F}" name="Amb_Temp(°C)" dataDxfId="280" totalsRowDxfId="279" dataCellStyle="Percent 43">
      <calculatedColumnFormula>IFERROR(_xlfn.XLOOKUP($A2,'Raw Data'!$G:$G,'Raw Data'!AD:AD),"")</calculatedColumnFormula>
    </tableColumn>
    <tableColumn id="12" xr3:uid="{6C051CEF-FE62-4A53-BC99-0DE84A3473CE}" name="Mod_Temp(°C)" dataDxfId="278" totalsRowDxfId="277" dataCellStyle="Percent 43">
      <calculatedColumnFormula>IFERROR(_xlfn.XLOOKUP($A2,'Raw Data'!$G:$G,'Raw Data'!AE:AE),"")</calculatedColumnFormula>
    </tableColumn>
    <tableColumn id="13" xr3:uid="{26CD3FBD-4000-4645-ABB1-486842731EFB}" name="WS_Avg(m/s)" dataDxfId="276" totalsRowDxfId="275" dataCellStyle="Percent 43">
      <calculatedColumnFormula>IFERROR(_xlfn.XLOOKUP($A2,'Raw Data'!$G:$G,'Raw Data'!AF:AF),"")</calculatedColumnFormula>
    </tableColumn>
    <tableColumn id="14" xr3:uid="{4502CF1C-A962-4690-8F8D-BD7B9A934EF4}" name="WS_Max(m/s)" dataDxfId="274" totalsRowDxfId="273" dataCellStyle="Percent 43">
      <calculatedColumnFormula>IFERROR(_xlfn.XLOOKUP($A2,'Raw Data'!$G:$G,'Raw Data'!AG:AG),"")</calculatedColumnFormula>
    </tableColumn>
    <tableColumn id="15" xr3:uid="{E4870E47-0A62-449C-BE0F-53A1957F5C2C}" name="PA(%)" dataDxfId="272" totalsRowDxfId="271" dataCellStyle="Percent 43">
      <calculatedColumnFormula>IFERROR(1-SUMIF('Plant BD'!$H:$H,$A2,'Plant BD'!$AE:$AE)/($AA2+SUMIF('Plant BD'!$H:$H,$A2,'Plant BD'!$AE:$AE)),"")</calculatedColumnFormula>
    </tableColumn>
    <tableColumn id="16" xr3:uid="{4E785419-8ED7-41C0-8B96-1E7C8BD86D36}" name="MA (%)" dataDxfId="270" totalsRowDxfId="269" dataCellStyle="Percent 43"/>
    <tableColumn id="17" xr3:uid="{B4666B66-1F5C-4050-818C-D396CDA6A81E}" name="IGA (%)" dataDxfId="268" totalsRowDxfId="267" dataCellStyle="Percent 43"/>
    <tableColumn id="18" xr3:uid="{736B0840-8499-4C01-8C05-B3918E0EE90C}" name="EGA(%)" dataDxfId="266" totalsRowDxfId="265" dataCellStyle="Percent 43">
      <calculatedColumnFormula>IFERROR(1-SUMIF('Grid BD'!$H:$H,$A2,'Grid BD'!$AD:$AD)/($AA2+SUMIF('Grid BD'!$H:$H,$A2,'Grid BD'!$AD:$AD)),"")</calculatedColumnFormula>
    </tableColumn>
    <tableColumn id="19" xr3:uid="{88584B4B-645B-4089-BFD4-5705104BAB46}" name="EMA (%)" dataDxfId="264" totalsRowDxfId="263" dataCellStyle="Normal 53"/>
    <tableColumn id="20" xr3:uid="{3787585B-3315-43BB-9B68-918461B97E6C}" name="TA (%)" dataDxfId="262" totalsRowDxfId="261" dataCellStyle="Percent 43"/>
    <tableColumn id="21" xr3:uid="{3C046ABD-6319-476F-8017-47FA0631B160}" name="PR(%)" dataDxfId="260" totalsRowDxfId="259" dataCellStyle="Percent 43">
      <calculatedColumnFormula>IFERROR(AA2/I2/AB2/1000,"")</calculatedColumnFormula>
    </tableColumn>
    <tableColumn id="22" xr3:uid="{6CC0B2DD-11E1-476D-A799-1B172DD7713F}" name="WPR(%)" dataDxfId="258" totalsRowDxfId="257" dataCellStyle="Percent 43"/>
    <tableColumn id="23" xr3:uid="{E33F43C6-F196-4BC5-9925-089831D6EA72}" name="CUF(%)" dataDxfId="256" totalsRowDxfId="255" dataCellStyle="Percent 43">
      <calculatedColumnFormula>IFERROR(AA2/(24*AB2*1000),"")</calculatedColumnFormula>
    </tableColumn>
    <tableColumn id="24" xr3:uid="{6775EF12-725C-42A4-932E-34BFFD00A23D}" name="Gen_Exp (kWh)" dataDxfId="254" totalsRowDxfId="253" dataCellStyle="Normal 53">
      <calculatedColumnFormula>IFERROR(_xlfn.XLOOKUP($A2,'Raw Data'!$G:$G,'Raw Data'!AI:AI),"")</calculatedColumnFormula>
    </tableColumn>
    <tableColumn id="25" xr3:uid="{EC38BC2D-D1BD-4207-A5FE-9AC9B6C96BA2}" name="Mtr_Export (kWh)" dataDxfId="252" totalsRowDxfId="251" dataCellStyle="Normal 53">
      <calculatedColumnFormula>IFERROR(_xlfn.XLOOKUP($A2,'Raw Data'!$G:$G,'Raw Data'!AJ:AJ),"")</calculatedColumnFormula>
    </tableColumn>
    <tableColumn id="26" xr3:uid="{1A80ED8A-5BC3-464C-8D6E-C673281B31DA}" name="Mtr_Import (kWh)" dataDxfId="250" totalsRowDxfId="249" dataCellStyle="Normal 53">
      <calculatedColumnFormula>IFERROR(_xlfn.XLOOKUP($A2,'Raw Data'!$G:$G,'Raw Data'!AK:AK),"")</calculatedColumnFormula>
    </tableColumn>
    <tableColumn id="27" xr3:uid="{895BE9FA-524E-4745-8785-7E6B5FD0694C}" name="Mtr_Net_Exp (KWh)" dataDxfId="248" dataCellStyle="Normal 53">
      <calculatedColumnFormula>IFERROR(_xlfn.XLOOKUP($A2,'Raw Data'!$G:$G,'Raw Data'!AL:AL),"")</calculatedColumnFormula>
    </tableColumn>
    <tableColumn id="28" xr3:uid="{94678D68-D96A-4012-80AB-CF82B3DEE361}" name="Operational Capacity (MW)" dataDxfId="247" totalsRowDxfId="246" dataCellStyle="Normal 53">
      <calculatedColumnFormula>IFERROR(_xlfn.XLOOKUP($A2,'Raw Data'!$G:$G,'Raw Data'!H:H),"")</calculatedColumnFormula>
    </tableColumn>
    <tableColumn id="29" xr3:uid="{BFD6EBC7-DDEB-465F-AFEE-975A82DD55B5}" name="Bugt_Resource" dataDxfId="245" totalsRowDxfId="244" dataCellStyle="Normal 53">
      <calculatedColumnFormula>IFERROR(_xlfn.XLOOKUP($D2,'Modelling New'!$D:$D,'Modelling New'!P:P),"")</calculatedColumnFormula>
    </tableColumn>
    <tableColumn id="30" xr3:uid="{CF206EA0-58AC-4648-9F3A-51593C8303E5}" name="Bugt_Energy" dataDxfId="243" totalsRowDxfId="242" dataCellStyle="Normal 53">
      <calculatedColumnFormula>IFERROR(_xlfn.XLOOKUP($D2,'Modelling New'!$D:$D,'Modelling New'!$T:$T)*1000,"")</calculatedColumnFormula>
    </tableColumn>
    <tableColumn id="43" xr3:uid="{AB01BEA0-AEF9-4786-BC15-72C156E33CDE}" name="Bugt PR" dataDxfId="241" dataCellStyle="Percent 35">
      <calculatedColumnFormula>IFERROR(_xlfn.XLOOKUP($D2,'Modelling New'!$D:$D,'Modelling New'!O:O),"")</calculatedColumnFormula>
    </tableColumn>
    <tableColumn id="42" xr3:uid="{608E303D-FB8D-4BDD-A473-2D6EAA4A9729}" name="Bugt CUF" dataDxfId="240" totalsRowDxfId="239" dataCellStyle="Percent 35">
      <calculatedColumnFormula>IFERROR(_xlfn.XLOOKUP($D2,'Modelling New'!$D:$D,'Modelling New'!W:W),"")</calculatedColumnFormula>
    </tableColumn>
    <tableColumn id="31" xr3:uid="{8318729F-CD8D-40D8-9B16-A87F35DDBD46}" name="Bugt_PA" dataDxfId="238" totalsRowDxfId="237" dataCellStyle="Percent 35">
      <calculatedColumnFormula>IFERROR(_xlfn.XLOOKUP($D2,'Modelling New'!$D:$D,'Modelling New'!AE:AE),"")</calculatedColumnFormula>
    </tableColumn>
    <tableColumn id="32" xr3:uid="{CBF2E60F-0BFA-4A9E-893E-D1AF99D8421D}" name="Bugt_EGA" dataDxfId="236" totalsRowDxfId="235" dataCellStyle="Percent 35">
      <calculatedColumnFormula>IFERROR(_xlfn.XLOOKUP($D2,'Modelling New'!$D:$D,'Modelling New'!AF:AF),"")</calculatedColumnFormula>
    </tableColumn>
    <tableColumn id="33" xr3:uid="{AEDFF627-E5F3-426D-92F9-CD07C8DA508B}" name="Expected Energy" dataDxfId="234" totalsRowDxfId="233" dataCellStyle="Normal 53"/>
    <tableColumn id="34" xr3:uid="{4CD72ECB-D43F-44F5-9CB3-F8FE64834676}" name="Actual Energy WPR" dataDxfId="232" totalsRowDxfId="231" dataCellStyle="Normal 53"/>
    <tableColumn id="35" xr3:uid="{68402F75-F4C1-4FC7-9B37-759B9457971B}" name="RA (%)" dataDxfId="230" totalsRowDxfId="229" dataCellStyle="Normal 53"/>
    <tableColumn id="36" xr3:uid="{CA32920B-1B62-485D-9D1B-AC05765F30E4}" name="Mod Clean Dry (Num)" dataDxfId="228" totalsRowDxfId="227" dataCellStyle="Normal 53"/>
    <tableColumn id="37" xr3:uid="{C6D3C677-1DEE-4C60-8AB6-622A5F50D491}" name="Mod Clean Wet (Num)" dataDxfId="226" totalsRowDxfId="225" dataCellStyle="Normal 53"/>
    <tableColumn id="38" xr3:uid="{5E72BC9A-A50C-47F0-A117-504A8BAE4182}" name="Line Loss(%)" dataDxfId="224" totalsRowDxfId="223" dataCellStyle="Percent 35"/>
    <tableColumn id="39" xr3:uid="{7E41C1FC-B632-42A9-B7A0-29A44D99EB97}" name="Reactive Power (%)" dataDxfId="222" dataCellStyle="Percent 43"/>
    <tableColumn id="40" xr3:uid="{35EEBDEE-ABCC-48D3-B309-878B28205D1B}" name="Bugt Line loss (%) (Wind)" dataDxfId="221" totalsRowDxfId="220" dataCellStyle="Percent 43"/>
    <tableColumn id="41" xr3:uid="{CDCAABAD-9FF8-46EA-B8D6-118709A99111}" name="Bugt Reactive Power (%) (Wind)" dataDxfId="219" totalsRowDxfId="218" dataCellStyle="Percent 43"/>
    <tableColumn id="44" xr3:uid="{8A5F71B2-CFEE-4359-9CBE-5A2E857E9FA5}" name="Bugt Capacity" dataDxfId="217" totalsRowDxfId="216" dataCellStyle="Normal 53">
      <calculatedColumnFormula>'Basic Data'!$B$98/1000</calculatedColumnFormula>
    </tableColumn>
    <tableColumn id="45" xr3:uid="{355D48CF-198C-45F9-BBC9-7618D8437718}" name="CC*Bugt" dataDxfId="215" totalsRowDxfId="214" dataCellStyle="Normal 53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AN110" totalsRowShown="0" headerRowDxfId="213" headerRowBorderDxfId="212" headerRowCellStyle="Normal 26">
  <sortState xmlns:xlrd2="http://schemas.microsoft.com/office/spreadsheetml/2017/richdata2" ref="A3:AL4">
    <sortCondition ref="G3"/>
  </sortState>
  <tableColumns count="40">
    <tableColumn id="1" xr3:uid="{00000000-0010-0000-0300-000001000000}" name="Finacial Year" dataDxfId="211">
      <calculatedColumnFormula>YEAR(Table3[[#This Row],[Date]])+IF(MONTH(Table3[[#This Row],[Date]])&gt;=4,1,0)</calculatedColumnFormula>
    </tableColumn>
    <tableColumn id="2" xr3:uid="{00000000-0010-0000-0300-000002000000}" name="Calendor Year" dataDxfId="210">
      <calculatedColumnFormula>YEAR(Table3[[#This Row],[Date]])</calculatedColumnFormula>
    </tableColumn>
    <tableColumn id="3" xr3:uid="{00000000-0010-0000-0300-000003000000}" name="Contrcatual Year" dataDxfId="209"/>
    <tableColumn id="4" xr3:uid="{00000000-0010-0000-0300-000004000000}" name="Operating Year" dataDxfId="208"/>
    <tableColumn id="5" xr3:uid="{00000000-0010-0000-0300-000005000000}" name="Month Year" dataDxfId="207">
      <calculatedColumnFormula>TEXT(Table3[[#This Row],[Date]],"mmm-yy")</calculatedColumnFormula>
    </tableColumn>
    <tableColumn id="6" xr3:uid="{00000000-0010-0000-0300-000006000000}" name="Days" dataDxfId="206">
      <calculatedColumnFormula>DAY(EOMONTH(Table3[[#This Row],[Month Year]],0))</calculatedColumnFormula>
    </tableColumn>
    <tableColumn id="7" xr3:uid="{00000000-0010-0000-0300-000007000000}" name="Date"/>
    <tableColumn id="8" xr3:uid="{00000000-0010-0000-0300-000008000000}" name="Plant DC Capcity (MW)" dataDxfId="205">
      <calculatedColumnFormula>'Modelling New'!$AR$1</calculatedColumnFormula>
    </tableColumn>
    <tableColumn id="9" xr3:uid="{00000000-0010-0000-0300-000009000000}" name="Sunrise Time (POA&gt;20 W/m2)"/>
    <tableColumn id="10" xr3:uid="{00000000-0010-0000-0300-00000A000000}" name="Sunset Time (POA&lt;20 W/m2)"/>
    <tableColumn id="14" xr3:uid="{00000000-0010-0000-0300-00000E000000}" name="Inv1_U1"/>
    <tableColumn id="15" xr3:uid="{00000000-0010-0000-0300-00000F000000}" name="Inv1_U2"/>
    <tableColumn id="16" xr3:uid="{00000000-0010-0000-0300-000010000000}" name="Inv1_U3"/>
    <tableColumn id="21" xr3:uid="{00000000-0010-0000-0300-000015000000}" name="Inv1_U4"/>
    <tableColumn id="22" xr3:uid="{00000000-0010-0000-0300-000016000000}" name="Inv2_U1"/>
    <tableColumn id="23" xr3:uid="{00000000-0010-0000-0300-000017000000}" name="Inv2_U2"/>
    <tableColumn id="24" xr3:uid="{00000000-0010-0000-0300-000018000000}" name="Inv2_U3"/>
    <tableColumn id="33" xr3:uid="{00000000-0010-0000-0300-000021000000}" name="Inv2_U4"/>
    <tableColumn id="38" xr3:uid="{00000000-0010-0000-0300-000026000000}" name="Inv3_U1"/>
    <tableColumn id="39" xr3:uid="{00000000-0010-0000-0300-000027000000}" name="Inv3_U2"/>
    <tableColumn id="40" xr3:uid="{00000000-0010-0000-0300-000028000000}" name="Inv3_U3"/>
    <tableColumn id="41" xr3:uid="{00000000-0010-0000-0300-000029000000}" name="Inv3_U4"/>
    <tableColumn id="11" xr3:uid="{00000000-0010-0000-0300-00000B000000}" name="Inv1" dataDxfId="204"/>
    <tableColumn id="12" xr3:uid="{00000000-0010-0000-0300-00000C000000}" name="Inv2" dataDxfId="203"/>
    <tableColumn id="13" xr3:uid="{00000000-0010-0000-0300-00000D000000}" name="Inv3" dataDxfId="202"/>
    <tableColumn id="17" xr3:uid="{00000000-0010-0000-0300-000011000000}" name="33 kV Outgoinng Export Reading" dataDxfId="201"/>
    <tableColumn id="18" xr3:uid="{00000000-0010-0000-0300-000012000000}" name="33 kV Outgoinng Import Reading" dataDxfId="200"/>
    <tableColumn id="19" xr3:uid="{00000000-0010-0000-0300-000013000000}" name="GHI(Wh/m2)" dataDxfId="199"/>
    <tableColumn id="20" xr3:uid="{00000000-0010-0000-0300-000014000000}" name="POA(kWh/m2)" dataDxfId="198"/>
    <tableColumn id="25" xr3:uid="{00000000-0010-0000-0300-000019000000}" name="Avg. Ambient Temp (POA&gt;20W/m2)" dataDxfId="197"/>
    <tableColumn id="26" xr3:uid="{00000000-0010-0000-0300-00001A000000}" name="Avg. Module Temp (POA&gt;20W/m2)" dataDxfId="196"/>
    <tableColumn id="27" xr3:uid="{00000000-0010-0000-0300-00001B000000}" name="Avg. Wind Speed (m/s)" dataDxfId="195"/>
    <tableColumn id="28" xr3:uid="{00000000-0010-0000-0300-00001C000000}" name="Max. Wind Speed (m/s)" dataDxfId="194"/>
    <tableColumn id="29" xr3:uid="{00000000-0010-0000-0300-00001D000000}" name="Rain Fall (mm)" dataDxfId="193"/>
    <tableColumn id="37" xr3:uid="{00000000-0010-0000-0300-000025000000}" name="Inverters Generation ( kWh)" dataDxfId="192">
      <calculatedColumnFormula>SUM(Table3[[#This Row],[Inv1]:[Inv3]])</calculatedColumnFormula>
    </tableColumn>
    <tableColumn id="30" xr3:uid="{00000000-0010-0000-0300-00001E000000}" name="Export  (kWh)" dataDxfId="191">
      <calculatedColumnFormula>IF((Table3[[#This Row],[33 kV Outgoinng Export Reading]]-Z3)*1000&gt;0,(Table3[[#This Row],[33 kV Outgoinng Export Reading]]-Z3)*1000,0)</calculatedColumnFormula>
    </tableColumn>
    <tableColumn id="35" xr3:uid="{00000000-0010-0000-0300-000023000000}" name="Import (kWh)" dataDxfId="190"/>
    <tableColumn id="36" xr3:uid="{00000000-0010-0000-0300-000024000000}" name="Net Export (kWh)" dataDxfId="189">
      <calculatedColumnFormula>Table3[[#This Row],[Export  (kWh)]]-Table3[[#This Row],[Import (kWh)]]</calculatedColumnFormula>
    </tableColumn>
    <tableColumn id="31" xr3:uid="{81983493-9B62-4B71-9ECC-814A86E475EA}" name="Operating hours" dataDxfId="188">
      <calculatedColumnFormula>IFERROR((J4-I4)*24,"")</calculatedColumnFormula>
    </tableColumn>
    <tableColumn id="32" xr3:uid="{3F53016C-DB4A-4F09-AC08-96254D540DED}" name="Remarks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ble12" displayName="Table12" ref="A3:Z365" totalsRowShown="0" headerRowDxfId="187" dataDxfId="186" headerRowCellStyle="Normal 26">
  <tableColumns count="26">
    <tableColumn id="1" xr3:uid="{00000000-0010-0000-0400-000001000000}" name="Finacial Year" dataDxfId="185"/>
    <tableColumn id="2" xr3:uid="{00000000-0010-0000-0400-000002000000}" name="Start Month" dataDxfId="184"/>
    <tableColumn id="3" xr3:uid="{00000000-0010-0000-0400-000003000000}" name="Calendor Year" dataDxfId="183">
      <calculatedColumnFormula>YEAR(Table12[[#This Row],[Date]])</calculatedColumnFormula>
    </tableColumn>
    <tableColumn id="4" xr3:uid="{00000000-0010-0000-0400-000004000000}" name="Contrcatual Year" dataDxfId="182"/>
    <tableColumn id="5" xr3:uid="{00000000-0010-0000-0400-000005000000}" name="Operating Year" dataDxfId="181"/>
    <tableColumn id="6" xr3:uid="{00000000-0010-0000-0400-000006000000}" name="Month Year" dataDxfId="180">
      <calculatedColumnFormula>TEXT(Table12[[#This Row],[Date]],"mmm-yy")</calculatedColumnFormula>
    </tableColumn>
    <tableColumn id="7" xr3:uid="{00000000-0010-0000-0400-000007000000}" name="Days" dataDxfId="179">
      <calculatedColumnFormula>DAY(EOMONTH(F4,0))</calculatedColumnFormula>
    </tableColumn>
    <tableColumn id="8" xr3:uid="{00000000-0010-0000-0400-000008000000}" name="Date" dataDxfId="178">
      <calculatedColumnFormula>H3+1</calculatedColumnFormula>
    </tableColumn>
    <tableColumn id="9" xr3:uid="{00000000-0010-0000-0400-000009000000}" name="Plant DC Capcity (MW)" dataDxfId="177">
      <calculatedColumnFormula>#REF!</calculatedColumnFormula>
    </tableColumn>
    <tableColumn id="13" xr3:uid="{00000000-0010-0000-0400-00000D000000}" name="Inv 1 (630kw) unit 1" dataDxfId="176">
      <calculatedColumnFormula>'Raw Data'!#REF!/Inv_SY!J$2</calculatedColumnFormula>
    </tableColumn>
    <tableColumn id="14" xr3:uid="{00000000-0010-0000-0400-00000E000000}" name="Inv 1 (630kw) unit 2" dataDxfId="175">
      <calculatedColumnFormula>'Raw Data'!#REF!/Inv_SY!K$2</calculatedColumnFormula>
    </tableColumn>
    <tableColumn id="15" xr3:uid="{00000000-0010-0000-0400-00000F000000}" name="Inv 1 (630kw) unit 3" dataDxfId="174">
      <calculatedColumnFormula>'Raw Data'!#REF!/Inv_SY!L$2</calculatedColumnFormula>
    </tableColumn>
    <tableColumn id="18" xr3:uid="{00000000-0010-0000-0400-000012000000}" name="Inv 1 (630kw) unit 4" dataDxfId="173">
      <calculatedColumnFormula>'Raw Data'!#REF!/Inv_SY!M$2</calculatedColumnFormula>
    </tableColumn>
    <tableColumn id="19" xr3:uid="{00000000-0010-0000-0400-000013000000}" name="Inv 2 (630kw) unit 1" dataDxfId="172">
      <calculatedColumnFormula>'Raw Data'!#REF!/Inv_SY!N$2</calculatedColumnFormula>
    </tableColumn>
    <tableColumn id="20" xr3:uid="{00000000-0010-0000-0400-000014000000}" name="Inv 2 (630kw) unit 2" dataDxfId="171">
      <calculatedColumnFormula>'Raw Data'!#REF!/Inv_SY!O$2</calculatedColumnFormula>
    </tableColumn>
    <tableColumn id="21" xr3:uid="{00000000-0010-0000-0400-000015000000}" name="Inv 2 (630kw) unit 3" dataDxfId="170">
      <calculatedColumnFormula>'Raw Data'!#REF!/Inv_SY!P$2</calculatedColumnFormula>
    </tableColumn>
    <tableColumn id="22" xr3:uid="{00000000-0010-0000-0400-000016000000}" name="Inv 2 (630kw) unit 4" dataDxfId="169">
      <calculatedColumnFormula>'Raw Data'!#REF!/Inv_SY!Q$2</calculatedColumnFormula>
    </tableColumn>
    <tableColumn id="23" xr3:uid="{00000000-0010-0000-0400-000017000000}" name="Inv 3 (630kw) unit 1" dataDxfId="168">
      <calculatedColumnFormula>'Raw Data'!#REF!/Inv_SY!R$2</calculatedColumnFormula>
    </tableColumn>
    <tableColumn id="24" xr3:uid="{00000000-0010-0000-0400-000018000000}" name="Inv 3 (630kw) unit 2" dataDxfId="167">
      <calculatedColumnFormula>'Raw Data'!#REF!/Inv_SY!S$2</calculatedColumnFormula>
    </tableColumn>
    <tableColumn id="25" xr3:uid="{00000000-0010-0000-0400-000019000000}" name="Inv 3 (630kw) unit 3" dataDxfId="166">
      <calculatedColumnFormula>'Raw Data'!#REF!/Inv_SY!T$2</calculatedColumnFormula>
    </tableColumn>
    <tableColumn id="26" xr3:uid="{00000000-0010-0000-0400-00001A000000}" name="Inv 3 (630kw) unit 4" dataDxfId="165">
      <calculatedColumnFormula>'Raw Data'!#REF!/Inv_SY!U$2</calculatedColumnFormula>
    </tableColumn>
    <tableColumn id="10" xr3:uid="{00000000-0010-0000-0400-00000A000000}" name="Inv1" dataDxfId="164">
      <calculatedColumnFormula>'Raw Data'!#REF!/Inv_SY!V$2</calculatedColumnFormula>
    </tableColumn>
    <tableColumn id="11" xr3:uid="{00000000-0010-0000-0400-00000B000000}" name="Inv2" dataDxfId="163">
      <calculatedColumnFormula>'Raw Data'!#REF!/Inv_SY!W$2</calculatedColumnFormula>
    </tableColumn>
    <tableColumn id="12" xr3:uid="{00000000-0010-0000-0400-00000C000000}" name="Inv3" dataDxfId="162">
      <calculatedColumnFormula>'Raw Data'!#REF!/Inv_SY!X$2</calculatedColumnFormula>
    </tableColumn>
    <tableColumn id="16" xr3:uid="{00000000-0010-0000-0400-000010000000}" name="Avg. SY" dataDxfId="161">
      <calculatedColumnFormula>IFERROR(AVERAGEIF(V4:X4,"&gt;"&amp;0,V4:X4),"")</calculatedColumnFormula>
    </tableColumn>
    <tableColumn id="17" xr3:uid="{00000000-0010-0000-0400-000011000000}" name="Max. SY" dataDxfId="160">
      <calculatedColumnFormula>MAXA(V4:X4)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le5" displayName="Table5" ref="A1:AM478" totalsRowShown="0" headerRowDxfId="159" dataDxfId="157" headerRowBorderDxfId="158" tableBorderDxfId="156" totalsRowBorderDxfId="155" headerRowCellStyle="Normal 26">
  <tableColumns count="39">
    <tableColumn id="1" xr3:uid="{00000000-0010-0000-0600-000001000000}" name="Finacial Year" dataDxfId="154">
      <calculatedColumnFormula>YEAR(Table5[[#This Row],[Date]])+IF(MONTH(Table5[[#This Row],[Date]])&gt;=4,1,0)</calculatedColumnFormula>
    </tableColumn>
    <tableColumn id="2" xr3:uid="{00000000-0010-0000-0600-000002000000}" name="Start Month" dataDxfId="153"/>
    <tableColumn id="3" xr3:uid="{00000000-0010-0000-0600-000003000000}" name="Calendor Year" dataDxfId="152">
      <calculatedColumnFormula>YEAR(Table5[[#This Row],[Date]])</calculatedColumnFormula>
    </tableColumn>
    <tableColumn id="4" xr3:uid="{00000000-0010-0000-0600-000004000000}" name="Contrcatual Year" dataDxfId="151"/>
    <tableColumn id="5" xr3:uid="{00000000-0010-0000-0600-000005000000}" name="Operating Year" dataDxfId="150"/>
    <tableColumn id="6" xr3:uid="{00000000-0010-0000-0600-000006000000}" name="Month Year" dataDxfId="149">
      <calculatedColumnFormula>TEXT(Table5[[#This Row],[Date]],"mmm-yy")</calculatedColumnFormula>
    </tableColumn>
    <tableColumn id="7" xr3:uid="{00000000-0010-0000-0600-000007000000}" name="Days" dataDxfId="148">
      <calculatedColumnFormula>DAY(EOMONTH(F2,0))</calculatedColumnFormula>
    </tableColumn>
    <tableColumn id="8" xr3:uid="{00000000-0010-0000-0600-000008000000}" name="Date" dataDxfId="147">
      <calculatedColumnFormula>H1+1</calculatedColumnFormula>
    </tableColumn>
    <tableColumn id="9" xr3:uid="{00000000-0010-0000-0600-000009000000}" name="Plant DC Capcity (MW)" dataDxfId="146"/>
    <tableColumn id="10" xr3:uid="{00000000-0010-0000-0600-00000A000000}" name="Inv 1 (630kw) unit 1 wrt avg" dataDxfId="145">
      <calculatedColumnFormula>IFERROR(Inv_SY!#REF!/Inv_SY!#REF!-1,"")</calculatedColumnFormula>
    </tableColumn>
    <tableColumn id="11" xr3:uid="{00000000-0010-0000-0600-00000B000000}" name="Inv 1 (630kw) unit 2 wrt avg" dataDxfId="144">
      <calculatedColumnFormula>IFERROR(Inv_SY!#REF!/Inv_SY!#REF!-1,"")</calculatedColumnFormula>
    </tableColumn>
    <tableColumn id="12" xr3:uid="{00000000-0010-0000-0600-00000C000000}" name="Inv 1 (630kw) unit 3 wrt avg" dataDxfId="143">
      <calculatedColumnFormula>IFERROR(Inv_SY!#REF!/Inv_SY!#REF!-1,"")</calculatedColumnFormula>
    </tableColumn>
    <tableColumn id="13" xr3:uid="{00000000-0010-0000-0600-00000D000000}" name="Inv 1 (630kw) unit 4 wrt avg" dataDxfId="142">
      <calculatedColumnFormula>IFERROR(Inv_SY!#REF!/Inv_SY!#REF!-1,"")</calculatedColumnFormula>
    </tableColumn>
    <tableColumn id="14" xr3:uid="{00000000-0010-0000-0600-00000E000000}" name="Inv 2 (630kw) unit 1 wrt avg" dataDxfId="141">
      <calculatedColumnFormula>IFERROR(Inv_SY!#REF!/Inv_SY!#REF!-1,"")</calculatedColumnFormula>
    </tableColumn>
    <tableColumn id="15" xr3:uid="{00000000-0010-0000-0600-00000F000000}" name="Inv 2 (630kw) unit 2 wrt avg" dataDxfId="140">
      <calculatedColumnFormula>IFERROR(Inv_SY!#REF!/Inv_SY!#REF!-1,"")</calculatedColumnFormula>
    </tableColumn>
    <tableColumn id="16" xr3:uid="{00000000-0010-0000-0600-000010000000}" name="Inv 2 (630kw) unit 3 wrt avg" dataDxfId="139">
      <calculatedColumnFormula>IFERROR(Inv_SY!#REF!/Inv_SY!#REF!-1,"")</calculatedColumnFormula>
    </tableColumn>
    <tableColumn id="17" xr3:uid="{00000000-0010-0000-0600-000011000000}" name="Inv 2 (630kw) unit 4 wrt avg" dataDxfId="138">
      <calculatedColumnFormula>IFERROR(Inv_SY!#REF!/Inv_SY!#REF!-1,"")</calculatedColumnFormula>
    </tableColumn>
    <tableColumn id="18" xr3:uid="{00000000-0010-0000-0600-000012000000}" name="Inv 3 (630kw) unit 1 wrt avg" dataDxfId="137">
      <calculatedColumnFormula>IFERROR(Inv_SY!#REF!/Inv_SY!#REF!-1,"")</calculatedColumnFormula>
    </tableColumn>
    <tableColumn id="19" xr3:uid="{00000000-0010-0000-0600-000013000000}" name="Inv 3 (630kw) unit 2 wrt avg" dataDxfId="136">
      <calculatedColumnFormula>IFERROR(Inv_SY!#REF!/Inv_SY!#REF!-1,"")</calculatedColumnFormula>
    </tableColumn>
    <tableColumn id="20" xr3:uid="{00000000-0010-0000-0600-000014000000}" name="Inv 3 (630kw) unit 3 wrt avg" dataDxfId="135">
      <calculatedColumnFormula>IFERROR(Inv_SY!#REF!/Inv_SY!#REF!-1,"")</calculatedColumnFormula>
    </tableColumn>
    <tableColumn id="21" xr3:uid="{00000000-0010-0000-0600-000015000000}" name="Inv 3 (630kw) unit 4 wrt avg" dataDxfId="134">
      <calculatedColumnFormula>IFERROR(Inv_SY!#REF!/Inv_SY!#REF!-1,"")</calculatedColumnFormula>
    </tableColumn>
    <tableColumn id="25" xr3:uid="{00000000-0010-0000-0600-000019000000}" name="Inv 1 (630kw) unit 1 wrt max" dataDxfId="133">
      <calculatedColumnFormula>IFERROR(Inv_SY!#REF!/Inv_SY!#REF!-1,"")</calculatedColumnFormula>
    </tableColumn>
    <tableColumn id="26" xr3:uid="{00000000-0010-0000-0600-00001A000000}" name="Inv 1 (630kw) unit 2 wrt max" dataDxfId="132">
      <calculatedColumnFormula>IFERROR(Inv_SY!#REF!/Inv_SY!#REF!-1,"")</calculatedColumnFormula>
    </tableColumn>
    <tableColumn id="27" xr3:uid="{00000000-0010-0000-0600-00001B000000}" name="Inv 1 (630kw) unit 3 wrt max" dataDxfId="131">
      <calculatedColumnFormula>IFERROR(Inv_SY!#REF!/Inv_SY!#REF!-1,"")</calculatedColumnFormula>
    </tableColumn>
    <tableColumn id="28" xr3:uid="{00000000-0010-0000-0600-00001C000000}" name="Inv 1 (630kw) unit 4 wrt max" dataDxfId="130">
      <calculatedColumnFormula>IFERROR(Inv_SY!#REF!/Inv_SY!#REF!-1,"")</calculatedColumnFormula>
    </tableColumn>
    <tableColumn id="29" xr3:uid="{00000000-0010-0000-0600-00001D000000}" name="Inv 2 (630kw) unit 1 wrt max" dataDxfId="129">
      <calculatedColumnFormula>IFERROR(Inv_SY!#REF!/Inv_SY!#REF!-1,"")</calculatedColumnFormula>
    </tableColumn>
    <tableColumn id="30" xr3:uid="{00000000-0010-0000-0600-00001E000000}" name="Inv 2 (630kw) unit 2 wrt max" dataDxfId="128">
      <calculatedColumnFormula>IFERROR(Inv_SY!#REF!/Inv_SY!#REF!-1,"")</calculatedColumnFormula>
    </tableColumn>
    <tableColumn id="31" xr3:uid="{00000000-0010-0000-0600-00001F000000}" name="Inv 2 (630kw) unit 3 wrt max" dataDxfId="127">
      <calculatedColumnFormula>IFERROR(Inv_SY!#REF!/Inv_SY!#REF!-1,"")</calculatedColumnFormula>
    </tableColumn>
    <tableColumn id="32" xr3:uid="{00000000-0010-0000-0600-000020000000}" name="Inv 2 (630kw) unit 4 wrt max" dataDxfId="126">
      <calculatedColumnFormula>IFERROR(Inv_SY!#REF!/Inv_SY!#REF!-1,"")</calculatedColumnFormula>
    </tableColumn>
    <tableColumn id="33" xr3:uid="{00000000-0010-0000-0600-000021000000}" name="Inv 3 (630kw) unit 1 wrt max" dataDxfId="125">
      <calculatedColumnFormula>IFERROR(Inv_SY!#REF!/Inv_SY!#REF!-1,"")</calculatedColumnFormula>
    </tableColumn>
    <tableColumn id="34" xr3:uid="{00000000-0010-0000-0600-000022000000}" name="Inv 3 (630kw) unit 2 wrt max" dataDxfId="124">
      <calculatedColumnFormula>IFERROR(Inv_SY!#REF!/Inv_SY!#REF!-1,"")</calculatedColumnFormula>
    </tableColumn>
    <tableColumn id="35" xr3:uid="{00000000-0010-0000-0600-000023000000}" name="Inv 3 (630kw) unit 3 wrt max" dataDxfId="123">
      <calculatedColumnFormula>IFERROR(Inv_SY!#REF!/Inv_SY!#REF!-1,"")</calculatedColumnFormula>
    </tableColumn>
    <tableColumn id="36" xr3:uid="{00000000-0010-0000-0600-000024000000}" name="Inv 3 (630kw) unit 4 wrt max" dataDxfId="122">
      <calculatedColumnFormula>IFERROR(Inv_SY!#REF!/Inv_SY!#REF!-1,"")</calculatedColumnFormula>
    </tableColumn>
    <tableColumn id="22" xr3:uid="{00000000-0010-0000-0600-000016000000}" name="Inv1 wrt avg" dataDxfId="121">
      <calculatedColumnFormula>IFERROR(Inv_SY!#REF!/Inv_SY!#REF!-1,"")</calculatedColumnFormula>
    </tableColumn>
    <tableColumn id="23" xr3:uid="{00000000-0010-0000-0600-000017000000}" name="Inv2 wrt avg" dataDxfId="120">
      <calculatedColumnFormula>IFERROR(Inv_SY!#REF!/Inv_SY!#REF!-1,"")</calculatedColumnFormula>
    </tableColumn>
    <tableColumn id="24" xr3:uid="{00000000-0010-0000-0600-000018000000}" name="Inv3 wrt avg" dataDxfId="119">
      <calculatedColumnFormula>IFERROR(Inv_SY!#REF!/Inv_SY!#REF!-1,"")</calculatedColumnFormula>
    </tableColumn>
    <tableColumn id="37" xr3:uid="{00000000-0010-0000-0600-000025000000}" name="Inv1 wrt avg2" dataDxfId="118">
      <calculatedColumnFormula>IFERROR(Inv_SY!#REF!/Inv_SY!#REF!-1,"")</calculatedColumnFormula>
    </tableColumn>
    <tableColumn id="38" xr3:uid="{00000000-0010-0000-0600-000026000000}" name="Inv2 wrt avg3" dataDxfId="117">
      <calculatedColumnFormula>IFERROR(Inv_SY!#REF!/Inv_SY!#REF!-1,"")</calculatedColumnFormula>
    </tableColumn>
    <tableColumn id="39" xr3:uid="{00000000-0010-0000-0600-000027000000}" name="Inv3 wrt avg4" dataDxfId="116">
      <calculatedColumnFormula>IFERROR(Inv_SY!#REF!/Inv_SY!#REF!-1,"")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" displayName="Table1" ref="A3:AG219" totalsRowShown="0" headerRowDxfId="115" dataDxfId="113" headerRowBorderDxfId="114" tableBorderDxfId="112" headerRowCellStyle="Normal 26">
  <sortState xmlns:xlrd2="http://schemas.microsoft.com/office/spreadsheetml/2017/richdata2" ref="A3:AE4">
    <sortCondition ref="H3"/>
  </sortState>
  <tableColumns count="33">
    <tableColumn id="1" xr3:uid="{00000000-0010-0000-0500-000001000000}" name="Sr. No." dataDxfId="111"/>
    <tableColumn id="2" xr3:uid="{00000000-0010-0000-0500-000002000000}" name="Finacial Year" dataDxfId="110">
      <calculatedColumnFormula>YEAR(Table1[[#This Row],[Date]])+IF(MONTH(Table1[[#This Row],[Date]])&gt;=4,1,0)</calculatedColumnFormula>
    </tableColumn>
    <tableColumn id="3" xr3:uid="{00000000-0010-0000-0500-000003000000}" name="Calendor Year" dataDxfId="109">
      <calculatedColumnFormula>YEAR(Table1[[#This Row],[Date]])</calculatedColumnFormula>
    </tableColumn>
    <tableColumn id="4" xr3:uid="{00000000-0010-0000-0500-000004000000}" name="Contrcatual Year" dataDxfId="108"/>
    <tableColumn id="5" xr3:uid="{00000000-0010-0000-0500-000005000000}" name="Operating Year" dataDxfId="107"/>
    <tableColumn id="6" xr3:uid="{00000000-0010-0000-0500-000006000000}" name="Month Year" dataDxfId="106">
      <calculatedColumnFormula>Table1[[#This Row],[Date]]-DAY(Table1[[#This Row],[Date]])+1</calculatedColumnFormula>
    </tableColumn>
    <tableColumn id="7" xr3:uid="{00000000-0010-0000-0500-000007000000}" name="Days" dataDxfId="105">
      <calculatedColumnFormula>DAY(EOMONTH(Table1[[#This Row],[Month Year]],0))</calculatedColumnFormula>
    </tableColumn>
    <tableColumn id="8" xr3:uid="{00000000-0010-0000-0500-000008000000}" name="Date" dataDxfId="104"/>
    <tableColumn id="26" xr3:uid="{00000000-0010-0000-0500-00001A000000}" name="Sunrise Time (POA&gt;20 W/m2)" dataDxfId="103">
      <calculatedColumnFormula>IFERROR(VLOOKUP(Table1[[#This Row],[Date]],Table3[[Date]:[Sunset Time (POA&lt;20 W/m2)]],3,0),"")</calculatedColumnFormula>
    </tableColumn>
    <tableColumn id="27" xr3:uid="{00000000-0010-0000-0500-00001B000000}" name="Sunset Time (POA&lt;20 W/m2)" dataDxfId="102">
      <calculatedColumnFormula>IFERROR(VLOOKUP(Table1[[#This Row],[Date]],Table3[[Date]:[Sunset Time (POA&lt;20 W/m2)]],4,0),"")</calculatedColumnFormula>
    </tableColumn>
    <tableColumn id="28" xr3:uid="{00000000-0010-0000-0500-00001C000000}" name="Total Generation Time" dataDxfId="101">
      <calculatedColumnFormula>IFERROR((Table1[[#This Row],[Sunset Time (POA&lt;20 W/m2)]]-Table1[[#This Row],[Sunrise Time (POA&gt;20 W/m2)]])*24,"")</calculatedColumnFormula>
    </tableColumn>
    <tableColumn id="9" xr3:uid="{00000000-0010-0000-0500-000009000000}" name="Affceted Equipment" dataDxfId="100"/>
    <tableColumn id="10" xr3:uid="{00000000-0010-0000-0500-00000A000000}" name="DC Capacity Affceted (kW)" dataDxfId="99">
      <calculatedColumnFormula>VLOOKUP(Table1[[#This Row],[Affceted Equipment]],'Basic Data'!$A$2:$C$818,2,0)</calculatedColumnFormula>
    </tableColumn>
    <tableColumn id="29" xr3:uid="{00000000-0010-0000-0500-00001D000000}" name="Plant Equivalent Weightage" dataDxfId="98">
      <calculatedColumnFormula>IFERROR(VLOOKUP(Table1[[#This Row],[Affceted Equipment]],'Basic Data'!$A$2:$C$818,3,0),"")</calculatedColumnFormula>
    </tableColumn>
    <tableColumn id="11" xr3:uid="{00000000-0010-0000-0500-00000B000000}" name="Affected Equipmenet Location" dataDxfId="97"/>
    <tableColumn id="12" xr3:uid="{00000000-0010-0000-0500-00000C000000}" name="Fault Catrgory"/>
    <tableColumn id="13" xr3:uid="{00000000-0010-0000-0500-00000D000000}" name="Fault Code (As per HMI)"/>
    <tableColumn id="14" xr3:uid="{00000000-0010-0000-0500-00000E000000}" name="Breakdown Description" dataDxfId="96"/>
    <tableColumn id="15" xr3:uid="{00000000-0010-0000-0500-00000F000000}" name="Fault Time" dataDxfId="95"/>
    <tableColumn id="16" xr3:uid="{00000000-0010-0000-0500-000010000000}" name="Acknowledgemnet Time " dataDxfId="94"/>
    <tableColumn id="17" xr3:uid="{00000000-0010-0000-0500-000011000000}" name="Work Start time on Fault" dataDxfId="93"/>
    <tableColumn id="18" xr3:uid="{00000000-0010-0000-0500-000012000000}" name="Work Completiuon time on fualt" dataDxfId="92"/>
    <tableColumn id="19" xr3:uid="{00000000-0010-0000-0500-000013000000}" name="Acknowdlegemnet time " dataDxfId="91">
      <calculatedColumnFormula>IF(Table1[[#This Row],[Acknowledgemnet Time ]]="NA","",(Table1[[#This Row],[Acknowledgemnet Time ]]-Table1[[#This Row],[Fault Time]])*24)</calculatedColumnFormula>
    </tableColumn>
    <tableColumn id="20" xr3:uid="{00000000-0010-0000-0500-000014000000}" name="Response Time" dataDxfId="90">
      <calculatedColumnFormula>IF(Table1[[#This Row],[Work Start time on Fault]]="NA","",(Table1[[#This Row],[Work Start time on Fault]]-Table1[[#This Row],[Fault Time]])*24)</calculatedColumnFormula>
    </tableColumn>
    <tableColumn id="21" xr3:uid="{00000000-0010-0000-0500-000015000000}" name="Resolution Time" dataDxfId="89">
      <calculatedColumnFormula>(Table1[[#This Row],[Work Completiuon time on fualt]]-Table1[[#This Row],[Fault Time]])*24</calculatedColumnFormula>
    </tableColumn>
    <tableColumn id="30" xr3:uid="{00000000-0010-0000-0500-00001E000000}" name="Breakdown Time" dataDxfId="88">
      <calculatedColumnFormula>IFERROR((Table1[[#This Row],[Work Completiuon time on fualt]]-Table1[[#This Row],[Fault Time]])*24,"")</calculatedColumnFormula>
    </tableColumn>
    <tableColumn id="22" xr3:uid="{00000000-0010-0000-0500-000016000000}" name="Action taken" dataDxfId="87"/>
    <tableColumn id="23" xr3:uid="{00000000-0010-0000-0500-000017000000}" name="Status" dataDxfId="86"/>
    <tableColumn id="31" xr3:uid="{00000000-0010-0000-0500-00001F000000}" name="Plant Equivalent breakdown" dataDxfId="85">
      <calculatedColumnFormula>IFERROR(Table1[[#This Row],[Breakdown Time]]*Table1[[#This Row],[Plant Equivalent Weightage]],"")</calculatedColumnFormula>
    </tableColumn>
    <tableColumn id="25" xr3:uid="{00000000-0010-0000-0500-000019000000}" name="Lost PoA(Wh/m2)" dataDxfId="84"/>
    <tableColumn id="24" xr3:uid="{00000000-0010-0000-0500-000018000000}" name="Approxuimate Energy Loss (KWh)" dataDxfId="83">
      <calculatedColumnFormula>_xlfn.XLOOKUP($F4,'Modelling New'!$D:$D,'Modelling New'!$O:$O)*Table1[[#This Row],[Lost PoA(Wh/m2)]]*Table1[[#This Row],[DC Capacity Affceted (kW)]]</calculatedColumnFormula>
    </tableColumn>
    <tableColumn id="32" xr3:uid="{90CADD7C-7E14-4B94-9C11-B7E041CC3E92}" name="PTW No." dataDxfId="82"/>
    <tableColumn id="33" xr3:uid="{0DB32E2D-DDBE-48BE-BDC3-C2F591F5C1D9}" name="Job Card No." dataDxfId="81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9" displayName="Table19" ref="A2:AD59" totalsRowShown="0" headerRowDxfId="80" headerRowBorderDxfId="79" tableBorderDxfId="78">
  <autoFilter ref="A2:AD59" xr:uid="{00000000-000C-0000-FFFF-FFFF07000000}"/>
  <sortState xmlns:xlrd2="http://schemas.microsoft.com/office/spreadsheetml/2017/richdata2" ref="A2:AD3">
    <sortCondition ref="H2"/>
  </sortState>
  <tableColumns count="30">
    <tableColumn id="1" xr3:uid="{00000000-0010-0000-0700-000001000000}" name="Sr. No." dataDxfId="77"/>
    <tableColumn id="2" xr3:uid="{00000000-0010-0000-0700-000002000000}" name="Finacial Year">
      <calculatedColumnFormula>YEAR(Table19[[#This Row],[Date]])+IF(MONTH(Table19[[#This Row],[Date]])&gt;=4,1,0)</calculatedColumnFormula>
    </tableColumn>
    <tableColumn id="3" xr3:uid="{00000000-0010-0000-0700-000003000000}" name="Calendor Year" dataDxfId="76">
      <calculatedColumnFormula>YEAR(Table19[[#This Row],[Date]])</calculatedColumnFormula>
    </tableColumn>
    <tableColumn id="4" xr3:uid="{00000000-0010-0000-0700-000004000000}" name="Contrcatual Year"/>
    <tableColumn id="5" xr3:uid="{00000000-0010-0000-0700-000005000000}" name="Operating Year"/>
    <tableColumn id="6" xr3:uid="{00000000-0010-0000-0700-000006000000}" name="Month Year" dataDxfId="75">
      <calculatedColumnFormula>TEXT(Table19[[#This Row],[Date]],"mmm-yy")</calculatedColumnFormula>
    </tableColumn>
    <tableColumn id="7" xr3:uid="{00000000-0010-0000-0700-000007000000}" name="Days" dataDxfId="74">
      <calculatedColumnFormula>DAY(EOMONTH(Table19[[#This Row],[Month Year]],0))</calculatedColumnFormula>
    </tableColumn>
    <tableColumn id="8" xr3:uid="{00000000-0010-0000-0700-000008000000}" name="Date"/>
    <tableColumn id="26" xr3:uid="{00000000-0010-0000-0700-00001A000000}" name="Sunrise Time (POA&gt;20 W/m2)" dataDxfId="73">
      <calculatedColumnFormula>IFERROR(VLOOKUP(Table19[[#This Row],[Date]],Table3[[#All],[Date]:[Sunset Time (POA&lt;20 W/m2)]],3,0),"")</calculatedColumnFormula>
    </tableColumn>
    <tableColumn id="27" xr3:uid="{00000000-0010-0000-0700-00001B000000}" name="Sunset Time (POA&lt;20 W/m2)" dataDxfId="72">
      <calculatedColumnFormula>IFERROR(VLOOKUP(Table19[[#This Row],[Date]],Table3[[#All],[Date]:[Sunset Time (POA&lt;20 W/m2)]],4,0),"")</calculatedColumnFormula>
    </tableColumn>
    <tableColumn id="28" xr3:uid="{00000000-0010-0000-0700-00001C000000}" name="Total Generation Time" dataDxfId="71">
      <calculatedColumnFormula>IFERROR((Table19[[#This Row],[Sunset Time (POA&lt;20 W/m2)]]-Table19[[#This Row],[Sunrise Time (POA&gt;20 W/m2)]])*24,"")</calculatedColumnFormula>
    </tableColumn>
    <tableColumn id="9" xr3:uid="{00000000-0010-0000-0700-000009000000}" name="Affceted Equipment"/>
    <tableColumn id="10" xr3:uid="{00000000-0010-0000-0700-00000A000000}" name="DC Capacity Affceted (kW)" dataDxfId="70">
      <calculatedColumnFormula>VLOOKUP(Table19[[#This Row],[Affceted Equipment]],'Basic Data'!$A$2:$B$108,2,0)</calculatedColumnFormula>
    </tableColumn>
    <tableColumn id="11" xr3:uid="{00000000-0010-0000-0700-00000B000000}" name="Affected Equipmenet Location"/>
    <tableColumn id="12" xr3:uid="{00000000-0010-0000-0700-00000C000000}" name="Fault Catergory"/>
    <tableColumn id="30" xr3:uid="{00000000-0010-0000-0700-00001E000000}" name="Plant Equivalent Weightage" dataDxfId="69">
      <calculatedColumnFormula>IFERROR(VLOOKUP(Table19[[#This Row],[Affceted Equipment]],'Basic Data'!$A$2:$C$118,3,0),"")</calculatedColumnFormula>
    </tableColumn>
    <tableColumn id="13" xr3:uid="{00000000-0010-0000-0700-00000D000000}" name="Fault Code (As per HMI)" dataDxfId="68"/>
    <tableColumn id="14" xr3:uid="{00000000-0010-0000-0700-00000E000000}" name="Breakdown Description"/>
    <tableColumn id="15" xr3:uid="{00000000-0010-0000-0700-00000F000000}" name="Fault Time"/>
    <tableColumn id="16" xr3:uid="{00000000-0010-0000-0700-000010000000}" name="Acknowledgemnet Time "/>
    <tableColumn id="17" xr3:uid="{00000000-0010-0000-0700-000011000000}" name="Work Start time on Fault"/>
    <tableColumn id="18" xr3:uid="{00000000-0010-0000-0700-000012000000}" name="Work Completiuon time on fualt"/>
    <tableColumn id="19" xr3:uid="{00000000-0010-0000-0700-000013000000}" name="Acknowdlegemnet time " dataDxfId="67"/>
    <tableColumn id="20" xr3:uid="{00000000-0010-0000-0700-000014000000}" name="Response Time" dataDxfId="66"/>
    <tableColumn id="21" xr3:uid="{00000000-0010-0000-0700-000015000000}" name="Resolution Time" dataDxfId="65">
      <calculatedColumnFormula>(Table19[[#This Row],[Work Completiuon time on fualt]]-Table19[[#This Row],[Fault Time]])*24</calculatedColumnFormula>
    </tableColumn>
    <tableColumn id="22" xr3:uid="{00000000-0010-0000-0700-000016000000}" name="Action taken" dataDxfId="64"/>
    <tableColumn id="23" xr3:uid="{00000000-0010-0000-0700-000017000000}" name="Status" dataDxfId="63"/>
    <tableColumn id="29" xr3:uid="{00000000-0010-0000-0700-00001D000000}" name="Plant Equivalent breakdown" dataDxfId="62">
      <calculatedColumnFormula>IFERROR(Table19[[#This Row],[Plant Equivalent Weightage]]*Table19[[#This Row],[Resolution Time]],"")</calculatedColumnFormula>
    </tableColumn>
    <tableColumn id="25" xr3:uid="{00000000-0010-0000-0700-000019000000}" name="Lost POA (Wh/m2)" dataDxfId="61"/>
    <tableColumn id="24" xr3:uid="{00000000-0010-0000-0700-000018000000}" name="Approxuimate Energy Loss (KWh)" dataDxfId="60">
      <calculatedColumnFormula>Table19[[#This Row],[Lost POA (Wh/m2)]]*Table19[[#This Row],[DC Capacity Affceted (kW)]]</calculatedColumnFormula>
    </tableColumn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Mod_CL" displayName="Mod_CL" ref="A2:AD80" totalsRowShown="0" headerRowDxfId="59" headerRowBorderDxfId="58" headerRowCellStyle="Normal 26">
  <tableColumns count="30">
    <tableColumn id="1" xr3:uid="{00000000-0010-0000-0800-000001000000}" name="Sr. No." dataDxfId="57"/>
    <tableColumn id="2" xr3:uid="{00000000-0010-0000-0800-000002000000}" name="Finacial Year" dataDxfId="56">
      <calculatedColumnFormula>YEAR(Mod_CL[[#This Row],[Date]])+IF(MONTH(Mod_CL[[#This Row],[Date]])&gt;=4,1,0)</calculatedColumnFormula>
    </tableColumn>
    <tableColumn id="3" xr3:uid="{00000000-0010-0000-0800-000003000000}" name="Calendor Year" dataDxfId="55">
      <calculatedColumnFormula>YEAR(Mod_CL[[#This Row],[Date]])</calculatedColumnFormula>
    </tableColumn>
    <tableColumn id="4" xr3:uid="{00000000-0010-0000-0800-000004000000}" name="Contrcatual Year" dataDxfId="54"/>
    <tableColumn id="5" xr3:uid="{00000000-0010-0000-0800-000005000000}" name="Operating Year" dataDxfId="53"/>
    <tableColumn id="6" xr3:uid="{00000000-0010-0000-0800-000006000000}" name="Month Year" dataDxfId="52">
      <calculatedColumnFormula>TEXT(Mod_CL[[#This Row],[Date]],"mmm-yy")</calculatedColumnFormula>
    </tableColumn>
    <tableColumn id="7" xr3:uid="{00000000-0010-0000-0800-000007000000}" name="Days" dataDxfId="51">
      <calculatedColumnFormula>DAY(EOMONTH(Mod_CL[[#This Row],[Month Year]],0))</calculatedColumnFormula>
    </tableColumn>
    <tableColumn id="8" xr3:uid="{00000000-0010-0000-0800-000008000000}" name="Date" dataDxfId="50"/>
    <tableColumn id="9" xr3:uid="{00000000-0010-0000-0800-000009000000}" name="Cycle Number" dataDxfId="49"/>
    <tableColumn id="10" xr3:uid="{00000000-0010-0000-0800-00000A000000}" name="Resources" dataDxfId="48"/>
    <tableColumn id="11" xr3:uid="{00000000-0010-0000-0800-00000B000000}" name="Inv 1 (630kw) unit 1" dataDxfId="47"/>
    <tableColumn id="12" xr3:uid="{00000000-0010-0000-0800-00000C000000}" name="Inv 1 (630kw) unit 2" dataDxfId="46"/>
    <tableColumn id="13" xr3:uid="{00000000-0010-0000-0800-00000D000000}" name="Inv 1 (630kw) unit 3" dataDxfId="45"/>
    <tableColumn id="14" xr3:uid="{00000000-0010-0000-0800-00000E000000}" name="Inv 1 (630kw) unit 4" dataDxfId="44"/>
    <tableColumn id="15" xr3:uid="{00000000-0010-0000-0800-00000F000000}" name="Inv 2 (630kw) unit 1" dataDxfId="43"/>
    <tableColumn id="16" xr3:uid="{00000000-0010-0000-0800-000010000000}" name="Inv 2 (630kw) unit 2" dataDxfId="42"/>
    <tableColumn id="25" xr3:uid="{00000000-0010-0000-0800-000019000000}" name="Inv 2 (630kw) unit 3" dataDxfId="41"/>
    <tableColumn id="26" xr3:uid="{00000000-0010-0000-0800-00001A000000}" name="Inv 2 (630kw) unit 4" dataDxfId="40"/>
    <tableColumn id="27" xr3:uid="{00000000-0010-0000-0800-00001B000000}" name="Inv 3 (630kw) unit 1" dataDxfId="39"/>
    <tableColumn id="28" xr3:uid="{00000000-0010-0000-0800-00001C000000}" name="Inv 3 (630kw) unit 2" dataDxfId="38"/>
    <tableColumn id="29" xr3:uid="{00000000-0010-0000-0800-00001D000000}" name="Inv 3 (630kw) unit 3" dataDxfId="37"/>
    <tableColumn id="30" xr3:uid="{00000000-0010-0000-0800-00001E000000}" name="Inv 3 (630kw) unit 4" dataDxfId="36"/>
    <tableColumn id="17" xr3:uid="{00000000-0010-0000-0800-000011000000}" name="Total NO. Module cleaned" dataDxfId="35">
      <calculatedColumnFormula>SUM(Mod_CL[[#This Row],[Inv 1 (630kw) unit 1]:[Inv 3 (630kw) unit 4]])</calculatedColumnFormula>
    </tableColumn>
    <tableColumn id="18" xr3:uid="{00000000-0010-0000-0800-000012000000}" name="Morning Start Time" dataDxfId="34"/>
    <tableColumn id="19" xr3:uid="{00000000-0010-0000-0800-000013000000}" name="Morning End Time" dataDxfId="33"/>
    <tableColumn id="20" xr3:uid="{00000000-0010-0000-0800-000014000000}" name="Evening Start Time" dataDxfId="32"/>
    <tableColumn id="21" xr3:uid="{00000000-0010-0000-0800-000015000000}" name="Evening End time" dataDxfId="31"/>
    <tableColumn id="22" xr3:uid="{00000000-0010-0000-0800-000016000000}" name="Brush/MOP Replcemnet" dataDxfId="30"/>
    <tableColumn id="24" xr3:uid="{00000000-0010-0000-0800-000018000000}" name="Water Test Report" dataDxfId="29"/>
    <tableColumn id="23" xr3:uid="{00000000-0010-0000-0800-000017000000}" name="Remarks for the day" dataDxfId="2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911" displayName="Table911" ref="A2:O23" totalsRowShown="0" headerRowDxfId="27" dataDxfId="25" headerRowBorderDxfId="26" tableBorderDxfId="24" headerRowCellStyle="Normal 26">
  <tableColumns count="15">
    <tableColumn id="1" xr3:uid="{00000000-0010-0000-0900-000001000000}" name="Sr. No." dataDxfId="23"/>
    <tableColumn id="2" xr3:uid="{00000000-0010-0000-0900-000002000000}" name="Finacial Year" dataDxfId="22">
      <calculatedColumnFormula>YEAR(Table911[[#This Row],[Date]])+IF(MONTH(Table911[[#This Row],[Date]])&gt;=4,1,0)</calculatedColumnFormula>
    </tableColumn>
    <tableColumn id="3" xr3:uid="{00000000-0010-0000-0900-000003000000}" name="Calendor Year" dataDxfId="21">
      <calculatedColumnFormula>YEAR(Table911[[#This Row],[Date]])</calculatedColumnFormula>
    </tableColumn>
    <tableColumn id="4" xr3:uid="{00000000-0010-0000-0900-000004000000}" name="Contrcatual Year" dataDxfId="20"/>
    <tableColumn id="5" xr3:uid="{00000000-0010-0000-0900-000005000000}" name="Operating Year" dataDxfId="19"/>
    <tableColumn id="6" xr3:uid="{00000000-0010-0000-0900-000006000000}" name="Month Year" dataDxfId="18">
      <calculatedColumnFormula>TEXT(Table911[[#This Row],[Date]],"mmm-yy")</calculatedColumnFormula>
    </tableColumn>
    <tableColumn id="7" xr3:uid="{00000000-0010-0000-0900-000007000000}" name="Days" dataDxfId="17">
      <calculatedColumnFormula>DAY(EOMONTH(F3,0))</calculatedColumnFormula>
    </tableColumn>
    <tableColumn id="8" xr3:uid="{00000000-0010-0000-0900-000008000000}" name="Date" dataDxfId="16">
      <calculatedColumnFormula>H2+1</calculatedColumnFormula>
    </tableColumn>
    <tableColumn id="9" xr3:uid="{00000000-0010-0000-0900-000009000000}" name="Cycle Number" dataDxfId="15"/>
    <tableColumn id="10" xr3:uid="{00000000-0010-0000-0900-00000A000000}" name="Resources" dataDxfId="14"/>
    <tableColumn id="11" xr3:uid="{00000000-0010-0000-0900-00000B000000}" name="Inv1" dataDxfId="13"/>
    <tableColumn id="12" xr3:uid="{00000000-0010-0000-0900-00000C000000}" name="Inv2" dataDxfId="12"/>
    <tableColumn id="13" xr3:uid="{00000000-0010-0000-0900-00000D000000}" name="Inv3" dataDxfId="11"/>
    <tableColumn id="17" xr3:uid="{00000000-0010-0000-0900-000011000000}" name="Total Number of Table cut" dataDxfId="10">
      <calculatedColumnFormula>IFERROR(SUM(Table911[[#This Row],[Inv1]:[Inv3]]),"")</calculatedColumnFormula>
    </tableColumn>
    <tableColumn id="23" xr3:uid="{00000000-0010-0000-0900-000017000000}" name="Remarks for the day" dataDxfId="9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zoomScaleNormal="100" workbookViewId="0">
      <selection activeCell="B4" sqref="B4:F4"/>
    </sheetView>
  </sheetViews>
  <sheetFormatPr defaultColWidth="8.6640625" defaultRowHeight="14.4" x14ac:dyDescent="0.3"/>
  <cols>
    <col min="1" max="1" width="14.33203125" style="190" customWidth="1"/>
    <col min="2" max="2" width="17.6640625" style="190" bestFit="1" customWidth="1"/>
    <col min="3" max="4" width="13.88671875" style="190" customWidth="1"/>
    <col min="5" max="5" width="16.33203125" style="190" customWidth="1"/>
    <col min="6" max="6" width="51.88671875" style="190" customWidth="1"/>
    <col min="7" max="16384" width="8.6640625" style="190"/>
  </cols>
  <sheetData>
    <row r="1" spans="1:6" ht="15.6" x14ac:dyDescent="0.3">
      <c r="A1" s="227" t="s">
        <v>330</v>
      </c>
      <c r="B1" s="228"/>
      <c r="C1" s="228"/>
      <c r="D1" s="228"/>
      <c r="E1" s="228"/>
      <c r="F1" s="229"/>
    </row>
    <row r="2" spans="1:6" x14ac:dyDescent="0.3">
      <c r="A2" s="191" t="s">
        <v>114</v>
      </c>
      <c r="B2" s="230">
        <v>45839</v>
      </c>
      <c r="C2" s="231"/>
      <c r="D2" s="231"/>
      <c r="E2" s="231"/>
      <c r="F2" s="232"/>
    </row>
    <row r="3" spans="1:6" x14ac:dyDescent="0.3">
      <c r="A3" s="191" t="s">
        <v>115</v>
      </c>
      <c r="B3" s="233">
        <v>45851</v>
      </c>
      <c r="C3" s="233"/>
      <c r="D3" s="233"/>
      <c r="E3" s="233"/>
      <c r="F3" s="234"/>
    </row>
    <row r="4" spans="1:6" x14ac:dyDescent="0.3">
      <c r="A4" s="191" t="s">
        <v>116</v>
      </c>
      <c r="B4" s="235">
        <f>YEAR(B3)+IF(MONTH(B3)&gt;=4,1,0)</f>
        <v>2026</v>
      </c>
      <c r="C4" s="235"/>
      <c r="D4" s="235"/>
      <c r="E4" s="235"/>
      <c r="F4" s="236"/>
    </row>
    <row r="5" spans="1:6" x14ac:dyDescent="0.3">
      <c r="A5" s="191" t="s">
        <v>117</v>
      </c>
      <c r="B5" s="237">
        <v>45748</v>
      </c>
      <c r="C5" s="238"/>
      <c r="D5" s="238"/>
      <c r="E5" s="238"/>
      <c r="F5" s="239"/>
    </row>
    <row r="6" spans="1:6" ht="15" thickBot="1" x14ac:dyDescent="0.35">
      <c r="A6" s="192" t="s">
        <v>118</v>
      </c>
      <c r="B6" s="225">
        <v>46112</v>
      </c>
      <c r="C6" s="225"/>
      <c r="D6" s="225"/>
      <c r="E6" s="225"/>
      <c r="F6" s="226"/>
    </row>
    <row r="7" spans="1:6" ht="4.5" customHeight="1" thickBot="1" x14ac:dyDescent="0.35">
      <c r="A7" s="193"/>
      <c r="B7" s="46"/>
      <c r="C7" s="46"/>
      <c r="D7" s="46"/>
      <c r="E7" s="46"/>
      <c r="F7" s="46"/>
    </row>
    <row r="8" spans="1:6" ht="15" thickBot="1" x14ac:dyDescent="0.35">
      <c r="A8" s="78" t="s">
        <v>58</v>
      </c>
      <c r="B8" s="79" t="s">
        <v>119</v>
      </c>
      <c r="C8" s="79" t="s">
        <v>120</v>
      </c>
      <c r="D8" s="79" t="s">
        <v>121</v>
      </c>
      <c r="E8" s="79" t="s">
        <v>122</v>
      </c>
      <c r="F8" s="80" t="s">
        <v>75</v>
      </c>
    </row>
    <row r="9" spans="1:6" x14ac:dyDescent="0.3">
      <c r="A9" s="240">
        <v>1</v>
      </c>
      <c r="B9" s="194" t="s">
        <v>123</v>
      </c>
      <c r="C9" s="83">
        <f>_xlfn.XLOOKUP($B$3,'Daily KPI'!$A:$A,'Daily KPI'!$AD:$AD)/1000</f>
        <v>22.929949138521675</v>
      </c>
      <c r="D9" s="195">
        <f>_xlfn.XLOOKUP($B$3,'Daily KPI'!$A:$A,'Daily KPI'!AA:AA)/1000</f>
        <v>32.650000000000034</v>
      </c>
      <c r="E9" s="196">
        <f>-(C9-D9)/C9</f>
        <v>0.42390198088790981</v>
      </c>
      <c r="F9" s="197"/>
    </row>
    <row r="10" spans="1:6" x14ac:dyDescent="0.3">
      <c r="A10" s="241"/>
      <c r="B10" s="198" t="s">
        <v>124</v>
      </c>
      <c r="C10" s="81">
        <f>'Monthly KPI'!$E$4</f>
        <v>298.08933880078177</v>
      </c>
      <c r="D10" s="199">
        <f>'Monthly KPI'!$F$4</f>
        <v>330.30000000000581</v>
      </c>
      <c r="E10" s="200">
        <f t="shared" ref="E10:E26" si="0">-(C10-D10)/C10</f>
        <v>0.10805707218113887</v>
      </c>
      <c r="F10" s="201"/>
    </row>
    <row r="11" spans="1:6" ht="15" thickBot="1" x14ac:dyDescent="0.35">
      <c r="A11" s="242"/>
      <c r="B11" s="202" t="s">
        <v>125</v>
      </c>
      <c r="C11" s="84">
        <f>'Annual KPI'!$E$4</f>
        <v>3154.8987212058146</v>
      </c>
      <c r="D11" s="203">
        <f>'Annual KPI'!$F$4</f>
        <v>3103.7499999999964</v>
      </c>
      <c r="E11" s="204">
        <f t="shared" si="0"/>
        <v>-1.6212476445604879E-2</v>
      </c>
      <c r="F11" s="205"/>
    </row>
    <row r="12" spans="1:6" x14ac:dyDescent="0.3">
      <c r="A12" s="240">
        <v>2</v>
      </c>
      <c r="B12" s="194" t="s">
        <v>126</v>
      </c>
      <c r="C12" s="85">
        <f>_xlfn.XLOOKUP($B$3,'Daily KPI'!$A:$A,'Daily KPI'!AF:AF)</f>
        <v>0.11911562884943125</v>
      </c>
      <c r="D12" s="206">
        <f>_xlfn.XLOOKUP($B$3,'Daily KPI'!$A:$A,'Daily KPI'!W:W)</f>
        <v>0.1696089798734142</v>
      </c>
      <c r="E12" s="196">
        <f t="shared" si="0"/>
        <v>0.42390198088790965</v>
      </c>
      <c r="F12" s="207"/>
    </row>
    <row r="13" spans="1:6" x14ac:dyDescent="0.3">
      <c r="A13" s="241"/>
      <c r="B13" s="198" t="s">
        <v>127</v>
      </c>
      <c r="C13" s="82">
        <f>'Monthly KPI'!$I$4</f>
        <v>0.11911562884943126</v>
      </c>
      <c r="D13" s="208">
        <f>'Monthly KPI'!$J$4</f>
        <v>0.13198691495391601</v>
      </c>
      <c r="E13" s="200">
        <f t="shared" si="0"/>
        <v>0.10805707218113894</v>
      </c>
      <c r="F13" s="201"/>
    </row>
    <row r="14" spans="1:6" ht="15" thickBot="1" x14ac:dyDescent="0.35">
      <c r="A14" s="242"/>
      <c r="B14" s="202" t="s">
        <v>128</v>
      </c>
      <c r="C14" s="86">
        <f>'Annual KPI'!$I$4</f>
        <v>0.15758603890554151</v>
      </c>
      <c r="D14" s="209">
        <f>'Annual KPI'!$J$4</f>
        <v>0.15503117896162924</v>
      </c>
      <c r="E14" s="204">
        <f t="shared" si="0"/>
        <v>-1.6212476445604931E-2</v>
      </c>
      <c r="F14" s="205"/>
    </row>
    <row r="15" spans="1:6" x14ac:dyDescent="0.3">
      <c r="A15" s="240">
        <v>3</v>
      </c>
      <c r="B15" s="194" t="s">
        <v>129</v>
      </c>
      <c r="C15" s="85">
        <f>_xlfn.XLOOKUP($B$3,'Daily KPI'!$A:$A,'Daily KPI'!AE:AE)</f>
        <v>0.70671473575739119</v>
      </c>
      <c r="D15" s="206">
        <f>_xlfn.XLOOKUP($B$3,'Daily KPI'!$A:$A,'Daily KPI'!U:U)</f>
        <v>0.79504209315662921</v>
      </c>
      <c r="E15" s="196">
        <f t="shared" si="0"/>
        <v>0.12498304185574534</v>
      </c>
      <c r="F15" s="197"/>
    </row>
    <row r="16" spans="1:6" x14ac:dyDescent="0.3">
      <c r="A16" s="241"/>
      <c r="B16" s="198" t="s">
        <v>130</v>
      </c>
      <c r="C16" s="82">
        <f>'Monthly KPI'!$G$4</f>
        <v>0.70671473575739119</v>
      </c>
      <c r="D16" s="208">
        <f>'Monthly KPI'!$H$4</f>
        <v>0.79682502835955482</v>
      </c>
      <c r="E16" s="200">
        <f t="shared" si="0"/>
        <v>0.12750589175927088</v>
      </c>
      <c r="F16" s="201"/>
    </row>
    <row r="17" spans="1:6" ht="15" thickBot="1" x14ac:dyDescent="0.35">
      <c r="A17" s="242"/>
      <c r="B17" s="202" t="s">
        <v>131</v>
      </c>
      <c r="C17" s="86">
        <f>'Annual KPI'!$G$4</f>
        <v>0.68586504442854834</v>
      </c>
      <c r="D17" s="209">
        <f>'Annual KPI'!$H$4</f>
        <v>0.75197307116000422</v>
      </c>
      <c r="E17" s="204">
        <f t="shared" si="0"/>
        <v>9.6386347822312507E-2</v>
      </c>
      <c r="F17" s="205"/>
    </row>
    <row r="18" spans="1:6" ht="27.9" customHeight="1" x14ac:dyDescent="0.3">
      <c r="A18" s="240">
        <v>4</v>
      </c>
      <c r="B18" s="194" t="s">
        <v>132</v>
      </c>
      <c r="C18" s="169">
        <f>_xlfn.XLOOKUP($B$3,'Daily KPI'!$A:$A,'Daily KPI'!AC:AC)</f>
        <v>4.0451612903225804</v>
      </c>
      <c r="D18" s="210">
        <f>_xlfn.XLOOKUP($B$3,'Daily KPI'!$A:$A,'Daily KPI'!I:I)</f>
        <v>5.12</v>
      </c>
      <c r="E18" s="196">
        <f t="shared" si="0"/>
        <v>0.26570972886762367</v>
      </c>
      <c r="F18" s="211"/>
    </row>
    <row r="19" spans="1:6" x14ac:dyDescent="0.3">
      <c r="A19" s="241"/>
      <c r="B19" s="198" t="s">
        <v>133</v>
      </c>
      <c r="C19" s="170">
        <f>'Monthly KPI'!$C$4</f>
        <v>52.587096774193547</v>
      </c>
      <c r="D19" s="212">
        <f>'Monthly KPI'!$D$4</f>
        <v>51.68</v>
      </c>
      <c r="E19" s="200">
        <f t="shared" si="0"/>
        <v>-1.7249417249417236E-2</v>
      </c>
      <c r="F19" s="213"/>
    </row>
    <row r="20" spans="1:6" ht="15" thickBot="1" x14ac:dyDescent="0.35">
      <c r="A20" s="242"/>
      <c r="B20" s="202" t="s">
        <v>134</v>
      </c>
      <c r="C20" s="171">
        <f>'Annual KPI'!$C$4</f>
        <v>573.48709677419367</v>
      </c>
      <c r="D20" s="214">
        <f>'Annual KPI'!$D$4</f>
        <v>514.59</v>
      </c>
      <c r="E20" s="204">
        <f t="shared" si="0"/>
        <v>-0.10269995106338711</v>
      </c>
      <c r="F20" s="215"/>
    </row>
    <row r="21" spans="1:6" x14ac:dyDescent="0.3">
      <c r="A21" s="240">
        <v>5</v>
      </c>
      <c r="B21" s="194" t="s">
        <v>135</v>
      </c>
      <c r="C21" s="206">
        <f>_xlfn.XLOOKUP($B$2,'Modelling New'!$D:$D,'Modelling New'!AE:AE)</f>
        <v>0.98040000000000005</v>
      </c>
      <c r="D21" s="206">
        <f>_xlfn.XLOOKUP($B$3,'Daily KPI'!$A:$A,'Daily KPI'!O:O)</f>
        <v>1</v>
      </c>
      <c r="E21" s="196">
        <f t="shared" si="0"/>
        <v>1.9991840065279428E-2</v>
      </c>
      <c r="F21" s="211"/>
    </row>
    <row r="22" spans="1:6" x14ac:dyDescent="0.3">
      <c r="A22" s="241"/>
      <c r="B22" s="198" t="s">
        <v>136</v>
      </c>
      <c r="C22" s="208">
        <f>_xlfn.XLOOKUP($B$2,'Modelling New'!$D:$D,'Modelling New'!AE:AE)</f>
        <v>0.98040000000000005</v>
      </c>
      <c r="D22" s="208">
        <f>'Monthly KPI'!$N$4</f>
        <v>1</v>
      </c>
      <c r="E22" s="200">
        <f t="shared" si="0"/>
        <v>1.9991840065279428E-2</v>
      </c>
      <c r="F22" s="213"/>
    </row>
    <row r="23" spans="1:6" ht="15" thickBot="1" x14ac:dyDescent="0.35">
      <c r="A23" s="242"/>
      <c r="B23" s="202" t="s">
        <v>137</v>
      </c>
      <c r="C23" s="209">
        <f>_xlfn.XLOOKUP($B$2,'Modelling New'!$D:$D,'Modelling New'!AE:AE)</f>
        <v>0.98040000000000005</v>
      </c>
      <c r="D23" s="209">
        <f>'Annual KPI'!$N$4</f>
        <v>0.9783892039712877</v>
      </c>
      <c r="E23" s="204">
        <f t="shared" si="0"/>
        <v>-2.0509955413222634E-3</v>
      </c>
      <c r="F23" s="205"/>
    </row>
    <row r="24" spans="1:6" x14ac:dyDescent="0.3">
      <c r="A24" s="240">
        <v>6</v>
      </c>
      <c r="B24" s="194" t="s">
        <v>138</v>
      </c>
      <c r="C24" s="206">
        <f>_xlfn.XLOOKUP($B$2,'Modelling New'!$D:$D,'Modelling New'!AF:AF)</f>
        <v>0.98</v>
      </c>
      <c r="D24" s="206">
        <f>_xlfn.XLOOKUP($B$3,'Daily KPI'!$A:$A,'Daily KPI'!R:R)</f>
        <v>1</v>
      </c>
      <c r="E24" s="196">
        <f t="shared" si="0"/>
        <v>2.0408163265306142E-2</v>
      </c>
      <c r="F24" s="197"/>
    </row>
    <row r="25" spans="1:6" x14ac:dyDescent="0.3">
      <c r="A25" s="241"/>
      <c r="B25" s="198" t="s">
        <v>139</v>
      </c>
      <c r="C25" s="208">
        <f>_xlfn.XLOOKUP($B$2,'Modelling New'!$D:$D,'Modelling New'!AF:AF)</f>
        <v>0.98</v>
      </c>
      <c r="D25" s="208">
        <f>'Monthly KPI'!$L$4</f>
        <v>0.98836026848571079</v>
      </c>
      <c r="E25" s="200">
        <f t="shared" si="0"/>
        <v>8.5308862099089892E-3</v>
      </c>
      <c r="F25" s="201"/>
    </row>
    <row r="26" spans="1:6" ht="15" thickBot="1" x14ac:dyDescent="0.35">
      <c r="A26" s="242"/>
      <c r="B26" s="202" t="s">
        <v>140</v>
      </c>
      <c r="C26" s="209">
        <f>_xlfn.XLOOKUP($B$2,'Modelling New'!$D:$D,'Modelling New'!AF:AF)</f>
        <v>0.98</v>
      </c>
      <c r="D26" s="209">
        <f>'Annual KPI'!$L$4</f>
        <v>0.96041879207354297</v>
      </c>
      <c r="E26" s="204">
        <f t="shared" si="0"/>
        <v>-1.9980824414752053E-2</v>
      </c>
      <c r="F26" s="205"/>
    </row>
  </sheetData>
  <sheetProtection algorithmName="SHA-512" hashValue="UMBARjlqao0QUtIb3EQen+ZKuMnOZWiU6K1AEPR66YMT7CQZBXE/5JCXsehEmYz6jkweX0De108xGnZX6/jhEg==" saltValue="xVkBvsFQcJkI5B6FAMcKRg==" spinCount="100000" sheet="1" objects="1" scenarios="1"/>
  <protectedRanges>
    <protectedRange sqref="A5:B5" name="Range1"/>
    <protectedRange sqref="B2:B3" name="Range1_1"/>
  </protectedRanges>
  <mergeCells count="12">
    <mergeCell ref="A24:A26"/>
    <mergeCell ref="A9:A11"/>
    <mergeCell ref="A12:A14"/>
    <mergeCell ref="A15:A17"/>
    <mergeCell ref="A18:A20"/>
    <mergeCell ref="A21:A23"/>
    <mergeCell ref="B6:F6"/>
    <mergeCell ref="A1:F1"/>
    <mergeCell ref="B2:F2"/>
    <mergeCell ref="B3:F3"/>
    <mergeCell ref="B4:F4"/>
    <mergeCell ref="B5:F5"/>
  </mergeCells>
  <conditionalFormatting sqref="E9:E26">
    <cfRule type="dataBar" priority="1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{612980CE-19A3-44E9-95C7-B043D307B47D}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2980CE-19A3-44E9-95C7-B043D307B47D}">
            <x14:dataBar minLength="0" maxLength="100" gradient="0">
              <x14:cfvo type="autoMin"/>
              <x14:cfvo type="autoMax"/>
              <x14:negativeFillColor rgb="FFFFCCCC"/>
              <x14:axisColor rgb="FF000000"/>
            </x14:dataBar>
          </x14:cfRule>
          <x14:cfRule type="iconSet" priority="2" id="{1CAA03BD-5F21-4684-9CA4-813685776EE9}">
            <x14:iconSet iconSet="3Arrows" custom="1">
              <x14:cfvo type="percent">
                <xm:f>0</xm:f>
              </x14:cfvo>
              <x14:cfvo type="num">
                <xm:f>-1</xm:f>
              </x14:cfvo>
              <x14:cfvo type="num">
                <xm:f>0</xm:f>
              </x14:cfvo>
              <x14:cfIcon iconSet="NoIcons" iconId="0"/>
              <x14:cfIcon iconSet="3Arrows" iconId="0"/>
              <x14:cfIcon iconSet="3Arrows" iconId="2"/>
            </x14:iconSet>
          </x14:cfRule>
          <xm:sqref>E9:E26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478"/>
  <sheetViews>
    <sheetView tabSelected="1" zoomScale="93" zoomScaleNormal="93" workbookViewId="0">
      <pane xSplit="8" ySplit="1" topLeftCell="I95" activePane="bottomRight" state="frozen"/>
      <selection pane="topRight" activeCell="I1" sqref="I1"/>
      <selection pane="bottomLeft" activeCell="A2" sqref="A2"/>
      <selection pane="bottomRight" activeCell="L112" sqref="L112"/>
    </sheetView>
  </sheetViews>
  <sheetFormatPr defaultRowHeight="14.4" x14ac:dyDescent="0.3"/>
  <cols>
    <col min="1" max="2" width="11.109375" customWidth="1"/>
    <col min="3" max="3" width="12.44140625" customWidth="1"/>
    <col min="4" max="4" width="14.109375" customWidth="1"/>
    <col min="5" max="5" width="13" customWidth="1"/>
    <col min="6" max="6" width="10.88671875" customWidth="1"/>
    <col min="7" max="7" width="9.109375" customWidth="1"/>
    <col min="8" max="8" width="10.109375" bestFit="1" customWidth="1"/>
    <col min="9" max="9" width="18.44140625" style="2" customWidth="1"/>
    <col min="10" max="10" width="9.5546875" customWidth="1"/>
    <col min="11" max="15" width="8.88671875" customWidth="1"/>
    <col min="16" max="16" width="8.5546875" customWidth="1"/>
    <col min="17" max="33" width="9.5546875" customWidth="1"/>
  </cols>
  <sheetData>
    <row r="1" spans="1:39" s="3" customFormat="1" ht="48" x14ac:dyDescent="0.3">
      <c r="A1" s="49" t="s">
        <v>52</v>
      </c>
      <c r="B1" s="49" t="s">
        <v>85</v>
      </c>
      <c r="C1" s="49" t="s">
        <v>53</v>
      </c>
      <c r="D1" s="49" t="s">
        <v>54</v>
      </c>
      <c r="E1" s="49" t="s">
        <v>57</v>
      </c>
      <c r="F1" s="49" t="s">
        <v>40</v>
      </c>
      <c r="G1" s="49" t="s">
        <v>55</v>
      </c>
      <c r="H1" s="50" t="s">
        <v>41</v>
      </c>
      <c r="I1" s="50" t="s">
        <v>56</v>
      </c>
      <c r="J1" s="49" t="s">
        <v>273</v>
      </c>
      <c r="K1" s="8" t="s">
        <v>274</v>
      </c>
      <c r="L1" s="8" t="s">
        <v>275</v>
      </c>
      <c r="M1" s="8" t="s">
        <v>276</v>
      </c>
      <c r="N1" s="8" t="s">
        <v>277</v>
      </c>
      <c r="O1" s="8" t="s">
        <v>278</v>
      </c>
      <c r="P1" s="8" t="s">
        <v>279</v>
      </c>
      <c r="Q1" s="8" t="s">
        <v>280</v>
      </c>
      <c r="R1" s="8" t="s">
        <v>281</v>
      </c>
      <c r="S1" s="8" t="s">
        <v>282</v>
      </c>
      <c r="T1" s="8" t="s">
        <v>283</v>
      </c>
      <c r="U1" s="8" t="s">
        <v>284</v>
      </c>
      <c r="V1" s="49" t="s">
        <v>291</v>
      </c>
      <c r="W1" s="8" t="s">
        <v>292</v>
      </c>
      <c r="X1" s="8" t="s">
        <v>293</v>
      </c>
      <c r="Y1" s="8" t="s">
        <v>294</v>
      </c>
      <c r="Z1" s="8" t="s">
        <v>295</v>
      </c>
      <c r="AA1" s="8" t="s">
        <v>296</v>
      </c>
      <c r="AB1" s="8" t="s">
        <v>297</v>
      </c>
      <c r="AC1" s="8" t="s">
        <v>298</v>
      </c>
      <c r="AD1" s="8" t="s">
        <v>299</v>
      </c>
      <c r="AE1" s="8" t="s">
        <v>300</v>
      </c>
      <c r="AF1" s="8" t="s">
        <v>301</v>
      </c>
      <c r="AG1" s="8" t="s">
        <v>302</v>
      </c>
      <c r="AH1" s="49" t="s">
        <v>285</v>
      </c>
      <c r="AI1" s="49" t="s">
        <v>286</v>
      </c>
      <c r="AJ1" s="49" t="s">
        <v>287</v>
      </c>
      <c r="AK1" s="51" t="s">
        <v>288</v>
      </c>
      <c r="AL1" s="51" t="s">
        <v>289</v>
      </c>
      <c r="AM1" s="51" t="s">
        <v>290</v>
      </c>
    </row>
    <row r="2" spans="1:39" x14ac:dyDescent="0.3">
      <c r="A2" s="55">
        <f>YEAR(Table5[[#This Row],[Date]])+IF(MONTH(Table5[[#This Row],[Date]])&gt;=4,1,0)</f>
        <v>2025</v>
      </c>
      <c r="B2" s="55">
        <v>4</v>
      </c>
      <c r="C2" s="124">
        <f>YEAR(Table5[[#This Row],[Date]])</f>
        <v>2025</v>
      </c>
      <c r="D2" s="55" t="s">
        <v>329</v>
      </c>
      <c r="E2" s="55" t="s">
        <v>329</v>
      </c>
      <c r="F2" s="126" t="str">
        <f>TEXT(Table5[[#This Row],[Date]],"mmm-yy")</f>
        <v>Mar-25</v>
      </c>
      <c r="G2" s="124">
        <f t="shared" ref="G2:G9" si="0">DAY(EOMONTH(F2,0))</f>
        <v>31</v>
      </c>
      <c r="H2" s="125">
        <v>45745</v>
      </c>
      <c r="I2" s="55">
        <v>8.02</v>
      </c>
      <c r="J2" s="59">
        <f>IFERROR(Inv_SY!J4/Inv_SY!$Y4-1,"")</f>
        <v>-8.0592559013564435E-2</v>
      </c>
      <c r="K2" s="59">
        <f>IFERROR(Inv_SY!K4/Inv_SY!$Y4-1,"")</f>
        <v>-4.1178515752743561E-2</v>
      </c>
      <c r="L2" s="59">
        <f>IFERROR(Inv_SY!L4/Inv_SY!$Y4-1,"")</f>
        <v>-1</v>
      </c>
      <c r="M2" s="59">
        <f>IFERROR(Inv_SY!M4/Inv_SY!$Y4-1,"")</f>
        <v>-9.4156960828143066E-2</v>
      </c>
      <c r="N2" s="59">
        <f>IFERROR(Inv_SY!N4/Inv_SY!$Y4-1,"")</f>
        <v>0.3278329214477631</v>
      </c>
      <c r="O2" s="59">
        <f>IFERROR(Inv_SY!O4/Inv_SY!$Y4-1,"")</f>
        <v>0.279896017085139</v>
      </c>
      <c r="P2" s="59">
        <f>IFERROR(Inv_SY!P4/Inv_SY!$Y4-1,"")</f>
        <v>0.28100745740806277</v>
      </c>
      <c r="Q2" s="59">
        <f>IFERROR(Inv_SY!Q4/Inv_SY!$Y4-1,"")</f>
        <v>-1</v>
      </c>
      <c r="R2" s="59">
        <f>IFERROR(Inv_SY!R4/Inv_SY!$Y4-1,"")</f>
        <v>0.32993942172147706</v>
      </c>
      <c r="S2" s="59">
        <f>IFERROR(Inv_SY!S4/Inv_SY!$Y4-1,"")</f>
        <v>0.35401557340804191</v>
      </c>
      <c r="T2" s="59">
        <f>IFERROR(Inv_SY!T4/Inv_SY!$Y4-1,"")</f>
        <v>0.31154613941739751</v>
      </c>
      <c r="U2" s="59">
        <f>IFERROR(Inv_SY!U4/Inv_SY!$Y4-1,"")</f>
        <v>0.33261252158251131</v>
      </c>
      <c r="V2" s="59">
        <f>IFERROR(Inv_SY!J4/Inv_SY!$Z4-1,"")</f>
        <v>-0.3090932372355728</v>
      </c>
      <c r="W2" s="59">
        <f>IFERROR(Inv_SY!K4/Inv_SY!$Z4-1,"")</f>
        <v>-0.27947478101819201</v>
      </c>
      <c r="X2" s="59">
        <f>IFERROR(Inv_SY!L4/Inv_SY!$Z4-1,"")</f>
        <v>-1</v>
      </c>
      <c r="Y2" s="59">
        <f>IFERROR(Inv_SY!M4/Inv_SY!$Z4-1,"")</f>
        <v>-0.31928647314901226</v>
      </c>
      <c r="Z2" s="59">
        <f>IFERROR(Inv_SY!N4/Inv_SY!$Z4-1,"")</f>
        <v>-2.1738955416601424E-3</v>
      </c>
      <c r="AA2" s="59">
        <f>IFERROR(Inv_SY!O4/Inv_SY!$Z4-1,"")</f>
        <v>-3.8197022975340889E-2</v>
      </c>
      <c r="AB2" s="59">
        <f>IFERROR(Inv_SY!P4/Inv_SY!$Z4-1,"")</f>
        <v>-3.7361809335245355E-2</v>
      </c>
      <c r="AC2" s="59">
        <f>IFERROR(Inv_SY!Q4/Inv_SY!$Z4-1,"")</f>
        <v>-1</v>
      </c>
      <c r="AD2" s="59">
        <f>IFERROR(Inv_SY!R4/Inv_SY!$Z4-1,"")</f>
        <v>-5.9092457580356417E-4</v>
      </c>
      <c r="AE2" s="59">
        <f>IFERROR(Inv_SY!S4/Inv_SY!$Z4-1,"")</f>
        <v>1.7501572047611713E-2</v>
      </c>
      <c r="AF2" s="59">
        <f>IFERROR(Inv_SY!T4/Inv_SY!$Z4-1,"")</f>
        <v>-1.4412917488640264E-2</v>
      </c>
      <c r="AG2" s="59">
        <f>IFERROR(Inv_SY!U4/Inv_SY!$Z4-1,"")</f>
        <v>1.4178287681456681E-3</v>
      </c>
      <c r="AH2" s="59">
        <f>IFERROR(Inv_SY!V4/Inv_SY!$Y4-1,"")</f>
        <v>-0.3045358523754873</v>
      </c>
      <c r="AI2" s="59">
        <f>IFERROR(Inv_SY!W4/Inv_SY!$Y4-1,"")</f>
        <v>-2.6189927913217725E-2</v>
      </c>
      <c r="AJ2" s="59">
        <f>IFERROR(Inv_SY!X4/Inv_SY!$Y4-1,"")</f>
        <v>0.33072578028870492</v>
      </c>
      <c r="AK2" s="59">
        <f>IFERROR(Inv_SY!V4/Inv_SY!$Z4-1,"")</f>
        <v>-0.47737981939928331</v>
      </c>
      <c r="AL2" s="59">
        <f>IFERROR(Inv_SY!W4/Inv_SY!$Z4-1,"")</f>
        <v>-0.26821131256996367</v>
      </c>
      <c r="AM2" s="59">
        <f>IFERROR(Inv_SY!X4/Inv_SY!$Z4-1,"")</f>
        <v>0</v>
      </c>
    </row>
    <row r="3" spans="1:39" x14ac:dyDescent="0.3">
      <c r="A3" s="55">
        <f>YEAR(Table5[[#This Row],[Date]])+IF(MONTH(Table5[[#This Row],[Date]])&gt;=4,1,0)</f>
        <v>2025</v>
      </c>
      <c r="B3" s="55">
        <v>4</v>
      </c>
      <c r="C3" s="124">
        <f>YEAR(Table5[[#This Row],[Date]])</f>
        <v>2025</v>
      </c>
      <c r="D3" s="55" t="s">
        <v>329</v>
      </c>
      <c r="E3" s="55" t="s">
        <v>329</v>
      </c>
      <c r="F3" s="126" t="str">
        <f>TEXT(Table5[[#This Row],[Date]],"mmm-yy")</f>
        <v>Mar-25</v>
      </c>
      <c r="G3" s="124">
        <f t="shared" si="0"/>
        <v>31</v>
      </c>
      <c r="H3" s="125">
        <f t="shared" ref="H3:H4" si="1">H2+1</f>
        <v>45746</v>
      </c>
      <c r="I3" s="55">
        <v>8.02</v>
      </c>
      <c r="J3" s="59">
        <f>IFERROR(Inv_SY!J5/Inv_SY!$Y5-1,"")</f>
        <v>-5.28185101527745E-2</v>
      </c>
      <c r="K3" s="59">
        <f>IFERROR(Inv_SY!K5/Inv_SY!$Y5-1,"")</f>
        <v>-5.1596453120439922E-2</v>
      </c>
      <c r="L3" s="59">
        <f>IFERROR(Inv_SY!L5/Inv_SY!$Y5-1,"")</f>
        <v>-1</v>
      </c>
      <c r="M3" s="59">
        <f>IFERROR(Inv_SY!M5/Inv_SY!$Y5-1,"")</f>
        <v>-2.932508720463034E-2</v>
      </c>
      <c r="N3" s="59">
        <f>IFERROR(Inv_SY!N5/Inv_SY!$Y5-1,"")</f>
        <v>0.31639439750617404</v>
      </c>
      <c r="O3" s="59">
        <f>IFERROR(Inv_SY!O5/Inv_SY!$Y5-1,"")</f>
        <v>0.27127988689913862</v>
      </c>
      <c r="P3" s="59">
        <f>IFERROR(Inv_SY!P5/Inv_SY!$Y5-1,"")</f>
        <v>0.27159040958768244</v>
      </c>
      <c r="Q3" s="59">
        <f>IFERROR(Inv_SY!Q5/Inv_SY!$Y5-1,"")</f>
        <v>-1</v>
      </c>
      <c r="R3" s="59">
        <f>IFERROR(Inv_SY!R5/Inv_SY!$Y5-1,"")</f>
        <v>0.34790168123262499</v>
      </c>
      <c r="S3" s="59">
        <f>IFERROR(Inv_SY!S5/Inv_SY!$Y5-1,"")</f>
        <v>0.3393071275150894</v>
      </c>
      <c r="T3" s="59">
        <f>IFERROR(Inv_SY!T5/Inv_SY!$Y5-1,"")</f>
        <v>0.29934476921076736</v>
      </c>
      <c r="U3" s="59">
        <f>IFERROR(Inv_SY!U5/Inv_SY!$Y5-1,"")</f>
        <v>0.28864403008282036</v>
      </c>
      <c r="V3" s="59">
        <f>IFERROR(Inv_SY!J5/Inv_SY!$Z5-1,"")</f>
        <v>-0.28103449282834092</v>
      </c>
      <c r="W3" s="59">
        <f>IFERROR(Inv_SY!K5/Inv_SY!$Z5-1,"")</f>
        <v>-0.28010688089391977</v>
      </c>
      <c r="X3" s="59">
        <f>IFERROR(Inv_SY!L5/Inv_SY!$Z5-1,"")</f>
        <v>-1</v>
      </c>
      <c r="Y3" s="59">
        <f>IFERROR(Inv_SY!M5/Inv_SY!$Z5-1,"")</f>
        <v>-0.26320162666049052</v>
      </c>
      <c r="Z3" s="59">
        <f>IFERROR(Inv_SY!N5/Inv_SY!$Z5-1,"")</f>
        <v>-7.8055178885272358E-4</v>
      </c>
      <c r="AA3" s="59">
        <f>IFERROR(Inv_SY!O5/Inv_SY!$Z5-1,"")</f>
        <v>-3.5025073400671958E-2</v>
      </c>
      <c r="AB3" s="59">
        <f>IFERROR(Inv_SY!P5/Inv_SY!$Z5-1,"")</f>
        <v>-3.4789368728810999E-2</v>
      </c>
      <c r="AC3" s="59">
        <f>IFERROR(Inv_SY!Q5/Inv_SY!$Z5-1,"")</f>
        <v>-1</v>
      </c>
      <c r="AD3" s="59">
        <f>IFERROR(Inv_SY!R5/Inv_SY!$Z5-1,"")</f>
        <v>2.3135297989464787E-2</v>
      </c>
      <c r="AE3" s="59">
        <f>IFERROR(Inv_SY!S5/Inv_SY!$Z5-1,"")</f>
        <v>1.6611534868377298E-2</v>
      </c>
      <c r="AF3" s="59">
        <f>IFERROR(Inv_SY!T5/Inv_SY!$Z5-1,"")</f>
        <v>-1.3722205300760515E-2</v>
      </c>
      <c r="AG3" s="59">
        <f>IFERROR(Inv_SY!U5/Inv_SY!$Z5-1,"")</f>
        <v>-2.184468490651903E-2</v>
      </c>
      <c r="AH3" s="59">
        <f>IFERROR(Inv_SY!V5/Inv_SY!$Y5-1,"")</f>
        <v>-0.28385253794321041</v>
      </c>
      <c r="AI3" s="59">
        <f>IFERROR(Inv_SY!W5/Inv_SY!$Y5-1,"")</f>
        <v>-3.3570176219178793E-2</v>
      </c>
      <c r="AJ3" s="59">
        <f>IFERROR(Inv_SY!X5/Inv_SY!$Y5-1,"")</f>
        <v>0.31742271416238887</v>
      </c>
      <c r="AK3" s="59">
        <f>IFERROR(Inv_SY!V5/Inv_SY!$Z5-1,"")</f>
        <v>-0.45640267595347117</v>
      </c>
      <c r="AL3" s="59">
        <f>IFERROR(Inv_SY!W5/Inv_SY!$Z5-1,"")</f>
        <v>-0.26642389463030258</v>
      </c>
      <c r="AM3" s="59">
        <f>IFERROR(Inv_SY!X5/Inv_SY!$Z5-1,"")</f>
        <v>0</v>
      </c>
    </row>
    <row r="4" spans="1:39" x14ac:dyDescent="0.3">
      <c r="A4" s="55">
        <f>YEAR(Table5[[#This Row],[Date]])+IF(MONTH(Table5[[#This Row],[Date]])&gt;=4,1,0)</f>
        <v>2025</v>
      </c>
      <c r="B4" s="55">
        <v>4</v>
      </c>
      <c r="C4" s="124">
        <f>YEAR(Table5[[#This Row],[Date]])</f>
        <v>2025</v>
      </c>
      <c r="D4" s="55" t="s">
        <v>329</v>
      </c>
      <c r="E4" s="55" t="s">
        <v>329</v>
      </c>
      <c r="F4" s="126" t="str">
        <f>TEXT(Table5[[#This Row],[Date]],"mmm-yy")</f>
        <v>Mar-25</v>
      </c>
      <c r="G4" s="124">
        <f t="shared" si="0"/>
        <v>31</v>
      </c>
      <c r="H4" s="125">
        <f t="shared" si="1"/>
        <v>45747</v>
      </c>
      <c r="I4" s="55">
        <v>8.02</v>
      </c>
      <c r="J4" s="59">
        <f>IFERROR(Inv_SY!J6/Inv_SY!$Y6-1,"")</f>
        <v>-5.5004638451745524E-3</v>
      </c>
      <c r="K4" s="59">
        <f>IFERROR(Inv_SY!K6/Inv_SY!$Y6-1,"")</f>
        <v>-4.143579754167015E-2</v>
      </c>
      <c r="L4" s="59">
        <f>IFERROR(Inv_SY!L6/Inv_SY!$Y6-1,"")</f>
        <v>-1</v>
      </c>
      <c r="M4" s="59">
        <f>IFERROR(Inv_SY!M6/Inv_SY!$Y6-1,"")</f>
        <v>-5.622501882965214E-2</v>
      </c>
      <c r="N4" s="59">
        <f>IFERROR(Inv_SY!N6/Inv_SY!$Y6-1,"")</f>
        <v>0.2748348857519991</v>
      </c>
      <c r="O4" s="59">
        <f>IFERROR(Inv_SY!O6/Inv_SY!$Y6-1,"")</f>
        <v>0.26616583250750003</v>
      </c>
      <c r="P4" s="59">
        <f>IFERROR(Inv_SY!P6/Inv_SY!$Y6-1,"")</f>
        <v>0.30533059082021219</v>
      </c>
      <c r="Q4" s="59">
        <f>IFERROR(Inv_SY!Q6/Inv_SY!$Y6-1,"")</f>
        <v>-1</v>
      </c>
      <c r="R4" s="59">
        <f>IFERROR(Inv_SY!R6/Inv_SY!$Y6-1,"")</f>
        <v>0.31389564429102079</v>
      </c>
      <c r="S4" s="59">
        <f>IFERROR(Inv_SY!S6/Inv_SY!$Y6-1,"")</f>
        <v>0.33612808105673464</v>
      </c>
      <c r="T4" s="59">
        <f>IFERROR(Inv_SY!T6/Inv_SY!$Y6-1,"")</f>
        <v>0.32381756531838723</v>
      </c>
      <c r="U4" s="59">
        <f>IFERROR(Inv_SY!U6/Inv_SY!$Y6-1,"")</f>
        <v>0.28400029787217052</v>
      </c>
      <c r="V4" s="59">
        <f>IFERROR(Inv_SY!J6/Inv_SY!$Z6-1,"")</f>
        <v>-0.24267298304313334</v>
      </c>
      <c r="W4" s="59">
        <f>IFERROR(Inv_SY!K6/Inv_SY!$Z6-1,"")</f>
        <v>-0.2700383040737907</v>
      </c>
      <c r="X4" s="59">
        <f>IFERROR(Inv_SY!L6/Inv_SY!$Z6-1,"")</f>
        <v>-1</v>
      </c>
      <c r="Y4" s="59">
        <f>IFERROR(Inv_SY!M6/Inv_SY!$Z6-1,"")</f>
        <v>-0.28130052837250441</v>
      </c>
      <c r="Z4" s="59">
        <f>IFERROR(Inv_SY!N6/Inv_SY!$Z6-1,"")</f>
        <v>-2.9193211218548232E-2</v>
      </c>
      <c r="AA4" s="59">
        <f>IFERROR(Inv_SY!O6/Inv_SY!$Z6-1,"")</f>
        <v>-3.5794831425311924E-2</v>
      </c>
      <c r="AB4" s="59">
        <f>IFERROR(Inv_SY!P6/Inv_SY!$Z6-1,"")</f>
        <v>-5.970252826227096E-3</v>
      </c>
      <c r="AC4" s="59">
        <f>IFERROR(Inv_SY!Q6/Inv_SY!$Z6-1,"")</f>
        <v>-1</v>
      </c>
      <c r="AD4" s="59">
        <f>IFERROR(Inv_SY!R6/Inv_SY!$Z6-1,"")</f>
        <v>5.5216991939155413E-4</v>
      </c>
      <c r="AE4" s="59">
        <f>IFERROR(Inv_SY!S6/Inv_SY!$Z6-1,"")</f>
        <v>1.748251971177095E-2</v>
      </c>
      <c r="AF4" s="59">
        <f>IFERROR(Inv_SY!T6/Inv_SY!$Z6-1,"")</f>
        <v>8.1078686210622752E-3</v>
      </c>
      <c r="AG4" s="59">
        <f>IFERROR(Inv_SY!U6/Inv_SY!$Z6-1,"")</f>
        <v>-2.221360593186561E-2</v>
      </c>
      <c r="AH4" s="59">
        <f>IFERROR(Inv_SY!V6/Inv_SY!$Y6-1,"")</f>
        <v>-0.27636162081063109</v>
      </c>
      <c r="AI4" s="59">
        <f>IFERROR(Inv_SY!W6/Inv_SY!$Y6-1,"")</f>
        <v>-3.6808930203088952E-2</v>
      </c>
      <c r="AJ4" s="59">
        <f>IFERROR(Inv_SY!X6/Inv_SY!$Y6-1,"")</f>
        <v>0.31317055101372016</v>
      </c>
      <c r="AK4" s="59">
        <f>IFERROR(Inv_SY!V6/Inv_SY!$Z6-1,"")</f>
        <v>-0.44893800837161146</v>
      </c>
      <c r="AL4" s="59">
        <f>IFERROR(Inv_SY!W6/Inv_SY!$Z6-1,"")</f>
        <v>-0.26651487192325296</v>
      </c>
      <c r="AM4" s="59">
        <f>IFERROR(Inv_SY!X6/Inv_SY!$Z6-1,"")</f>
        <v>0</v>
      </c>
    </row>
    <row r="5" spans="1:39" x14ac:dyDescent="0.3">
      <c r="A5" s="55">
        <f>YEAR(Table5[[#This Row],[Date]])+IF(MONTH(Table5[[#This Row],[Date]])&gt;=4,1,0)</f>
        <v>2026</v>
      </c>
      <c r="B5" s="55">
        <v>4</v>
      </c>
      <c r="C5" s="124">
        <f>YEAR(Table5[[#This Row],[Date]])</f>
        <v>2025</v>
      </c>
      <c r="D5" s="55" t="s">
        <v>329</v>
      </c>
      <c r="E5" s="55" t="s">
        <v>329</v>
      </c>
      <c r="F5" s="126" t="str">
        <f>TEXT(Table5[[#This Row],[Date]],"mmm-yy")</f>
        <v>Apr-25</v>
      </c>
      <c r="G5" s="124">
        <f t="shared" si="0"/>
        <v>30</v>
      </c>
      <c r="H5" s="125">
        <f t="shared" ref="H5:H68" si="2">H4+1</f>
        <v>45748</v>
      </c>
      <c r="I5" s="55">
        <v>8.02</v>
      </c>
      <c r="J5" s="59">
        <f>IFERROR(Inv_SY!J7/Inv_SY!$Y7-1,"")</f>
        <v>-3.6698787580007441E-2</v>
      </c>
      <c r="K5" s="59">
        <f>IFERROR(Inv_SY!K7/Inv_SY!$Y7-1,"")</f>
        <v>2.2372328729263202E-3</v>
      </c>
      <c r="L5" s="59">
        <f>IFERROR(Inv_SY!L7/Inv_SY!$Y7-1,"")</f>
        <v>-1</v>
      </c>
      <c r="M5" s="59">
        <f>IFERROR(Inv_SY!M7/Inv_SY!$Y7-1,"")</f>
        <v>-5.0805062623740738E-2</v>
      </c>
      <c r="N5" s="59">
        <f>IFERROR(Inv_SY!N7/Inv_SY!$Y7-1,"")</f>
        <v>0.31088829313512756</v>
      </c>
      <c r="O5" s="59">
        <f>IFERROR(Inv_SY!O7/Inv_SY!$Y7-1,"")</f>
        <v>0.26310208832056503</v>
      </c>
      <c r="P5" s="59">
        <f>IFERROR(Inv_SY!P7/Inv_SY!$Y7-1,"")</f>
        <v>0.2645872171722059</v>
      </c>
      <c r="Q5" s="59">
        <f>IFERROR(Inv_SY!Q7/Inv_SY!$Y7-1,"")</f>
        <v>-1</v>
      </c>
      <c r="R5" s="59">
        <f>IFERROR(Inv_SY!R7/Inv_SY!$Y7-1,"")</f>
        <v>0.31198577723260423</v>
      </c>
      <c r="S5" s="59">
        <f>IFERROR(Inv_SY!S7/Inv_SY!$Y7-1,"")</f>
        <v>0.33422056667989608</v>
      </c>
      <c r="T5" s="59">
        <f>IFERROR(Inv_SY!T7/Inv_SY!$Y7-1,"")</f>
        <v>0.29228755489174318</v>
      </c>
      <c r="U5" s="59">
        <f>IFERROR(Inv_SY!U7/Inv_SY!$Y7-1,"")</f>
        <v>0.30925626079277424</v>
      </c>
      <c r="V5" s="59">
        <f>IFERROR(Inv_SY!J7/Inv_SY!$Z7-1,"")</f>
        <v>-0.26501673013106986</v>
      </c>
      <c r="W5" s="59">
        <f>IFERROR(Inv_SY!K7/Inv_SY!$Z7-1,"")</f>
        <v>-0.23530917525704587</v>
      </c>
      <c r="X5" s="59">
        <f>IFERROR(Inv_SY!L7/Inv_SY!$Z7-1,"")</f>
        <v>-1</v>
      </c>
      <c r="Y5" s="59">
        <f>IFERROR(Inv_SY!M7/Inv_SY!$Z7-1,"")</f>
        <v>-0.27577959020395149</v>
      </c>
      <c r="Z5" s="59">
        <f>IFERROR(Inv_SY!N7/Inv_SY!$Z7-1,"")</f>
        <v>1.8659968351175671E-4</v>
      </c>
      <c r="AA5" s="59">
        <f>IFERROR(Inv_SY!O7/Inv_SY!$Z7-1,"")</f>
        <v>-3.6273502947315794E-2</v>
      </c>
      <c r="AB5" s="59">
        <f>IFERROR(Inv_SY!P7/Inv_SY!$Z7-1,"")</f>
        <v>-3.5140373615096365E-2</v>
      </c>
      <c r="AC5" s="59">
        <f>IFERROR(Inv_SY!Q7/Inv_SY!$Z7-1,"")</f>
        <v>-1</v>
      </c>
      <c r="AD5" s="59">
        <f>IFERROR(Inv_SY!R7/Inv_SY!$Z7-1,"")</f>
        <v>1.0239623279189036E-3</v>
      </c>
      <c r="AE5" s="59">
        <f>IFERROR(Inv_SY!S7/Inv_SY!$Z7-1,"")</f>
        <v>1.7988747632987856E-2</v>
      </c>
      <c r="AF5" s="59">
        <f>IFERROR(Inv_SY!T7/Inv_SY!$Z7-1,"")</f>
        <v>-1.4005463234953774E-2</v>
      </c>
      <c r="AG5" s="59">
        <f>IFERROR(Inv_SY!U7/Inv_SY!$Z7-1,"")</f>
        <v>-1.0586146399511609E-3</v>
      </c>
      <c r="AH5" s="59">
        <f>IFERROR(Inv_SY!V7/Inv_SY!$Y7-1,"")</f>
        <v>-0.27189312760374629</v>
      </c>
      <c r="AI5" s="59">
        <f>IFERROR(Inv_SY!W7/Inv_SY!$Y7-1,"")</f>
        <v>-3.8750599826646193E-2</v>
      </c>
      <c r="AJ5" s="59">
        <f>IFERROR(Inv_SY!X7/Inv_SY!$Y7-1,"")</f>
        <v>0.31064372743039237</v>
      </c>
      <c r="AK5" s="59">
        <f>IFERROR(Inv_SY!V7/Inv_SY!$Z7-1,"")</f>
        <v>-0.44446621369503858</v>
      </c>
      <c r="AL5" s="59">
        <f>IFERROR(Inv_SY!W7/Inv_SY!$Z7-1,"")</f>
        <v>-0.26658222974297541</v>
      </c>
      <c r="AM5" s="59">
        <f>IFERROR(Inv_SY!X7/Inv_SY!$Z7-1,"")</f>
        <v>0</v>
      </c>
    </row>
    <row r="6" spans="1:39" x14ac:dyDescent="0.3">
      <c r="A6" s="55">
        <f>YEAR(Table5[[#This Row],[Date]])+IF(MONTH(Table5[[#This Row],[Date]])&gt;=4,1,0)</f>
        <v>2026</v>
      </c>
      <c r="B6" s="55">
        <v>4</v>
      </c>
      <c r="C6" s="124">
        <f>YEAR(Table5[[#This Row],[Date]])</f>
        <v>2025</v>
      </c>
      <c r="D6" s="55" t="s">
        <v>329</v>
      </c>
      <c r="E6" s="55" t="s">
        <v>329</v>
      </c>
      <c r="F6" s="126" t="str">
        <f>TEXT(Table5[[#This Row],[Date]],"mmm-yy")</f>
        <v>Apr-25</v>
      </c>
      <c r="G6" s="124">
        <f t="shared" si="0"/>
        <v>30</v>
      </c>
      <c r="H6" s="125">
        <f t="shared" si="2"/>
        <v>45749</v>
      </c>
      <c r="I6" s="55">
        <v>8.02</v>
      </c>
      <c r="J6" s="59">
        <f>IFERROR(Inv_SY!J8/Inv_SY!$Y8-1,"")</f>
        <v>-0.22870784889417273</v>
      </c>
      <c r="K6" s="59">
        <f>IFERROR(Inv_SY!K8/Inv_SY!$Y8-1,"")</f>
        <v>-0.2278835546213227</v>
      </c>
      <c r="L6" s="59">
        <f>IFERROR(Inv_SY!L8/Inv_SY!$Y8-1,"")</f>
        <v>-1</v>
      </c>
      <c r="M6" s="59">
        <f>IFERROR(Inv_SY!M8/Inv_SY!$Y8-1,"")</f>
        <v>-0.2041216367019093</v>
      </c>
      <c r="N6" s="59">
        <f>IFERROR(Inv_SY!N8/Inv_SY!$Y8-1,"")</f>
        <v>0.38791156277072503</v>
      </c>
      <c r="O6" s="59">
        <f>IFERROR(Inv_SY!O8/Inv_SY!$Y8-1,"")</f>
        <v>0.33973764338202739</v>
      </c>
      <c r="P6" s="59">
        <f>IFERROR(Inv_SY!P8/Inv_SY!$Y8-1,"")</f>
        <v>0.34153892906351802</v>
      </c>
      <c r="Q6" s="59">
        <f>IFERROR(Inv_SY!Q8/Inv_SY!$Y8-1,"")</f>
        <v>-1</v>
      </c>
      <c r="R6" s="59">
        <f>IFERROR(Inv_SY!R8/Inv_SY!$Y8-1,"")</f>
        <v>0.42740070709881883</v>
      </c>
      <c r="S6" s="59">
        <f>IFERROR(Inv_SY!S8/Inv_SY!$Y8-1,"")</f>
        <v>0.421432428703991</v>
      </c>
      <c r="T6" s="59">
        <f>IFERROR(Inv_SY!T8/Inv_SY!$Y8-1,"")</f>
        <v>0.37686554595075328</v>
      </c>
      <c r="U6" s="59">
        <f>IFERROR(Inv_SY!U8/Inv_SY!$Y8-1,"")</f>
        <v>0.3661924842145754</v>
      </c>
      <c r="V6" s="59">
        <f>IFERROR(Inv_SY!J8/Inv_SY!$Z8-1,"")</f>
        <v>-0.44769859757828023</v>
      </c>
      <c r="W6" s="59">
        <f>IFERROR(Inv_SY!K8/Inv_SY!$Z8-1,"")</f>
        <v>-0.44710834279317635</v>
      </c>
      <c r="X6" s="59">
        <f>IFERROR(Inv_SY!L8/Inv_SY!$Z8-1,"")</f>
        <v>-1</v>
      </c>
      <c r="Y6" s="59">
        <f>IFERROR(Inv_SY!M8/Inv_SY!$Z8-1,"")</f>
        <v>-0.43009307747210967</v>
      </c>
      <c r="Z6" s="59">
        <f>IFERROR(Inv_SY!N8/Inv_SY!$Z8-1,"")</f>
        <v>-6.1541512427287781E-3</v>
      </c>
      <c r="AA6" s="59">
        <f>IFERROR(Inv_SY!O8/Inv_SY!$Z8-1,"")</f>
        <v>-4.0650189093473177E-2</v>
      </c>
      <c r="AB6" s="59">
        <f>IFERROR(Inv_SY!P8/Inv_SY!$Z8-1,"")</f>
        <v>-3.9360337243401711E-2</v>
      </c>
      <c r="AC6" s="59">
        <f>IFERROR(Inv_SY!Q8/Inv_SY!$Z8-1,"")</f>
        <v>-1</v>
      </c>
      <c r="AD6" s="59">
        <f>IFERROR(Inv_SY!R8/Inv_SY!$Z8-1,"")</f>
        <v>2.2122954600459543E-2</v>
      </c>
      <c r="AE6" s="59">
        <f>IFERROR(Inv_SY!S8/Inv_SY!$Z8-1,"")</f>
        <v>1.7849232220709332E-2</v>
      </c>
      <c r="AF6" s="59">
        <f>IFERROR(Inv_SY!T8/Inv_SY!$Z8-1,"")</f>
        <v>-1.406390446930772E-2</v>
      </c>
      <c r="AG6" s="59">
        <f>IFERROR(Inv_SY!U8/Inv_SY!$Z8-1,"")</f>
        <v>-2.1706594669866908E-2</v>
      </c>
      <c r="AH6" s="59">
        <f>IFERROR(Inv_SY!V8/Inv_SY!$Y8-1,"")</f>
        <v>-0.4155043291790822</v>
      </c>
      <c r="AI6" s="59">
        <f>IFERROR(Inv_SY!W8/Inv_SY!$Y8-1,"")</f>
        <v>1.899845806616951E-2</v>
      </c>
      <c r="AJ6" s="59">
        <f>IFERROR(Inv_SY!X8/Inv_SY!$Y8-1,"")</f>
        <v>0.3965058711129128</v>
      </c>
      <c r="AK6" s="59">
        <f>IFERROR(Inv_SY!V8/Inv_SY!$Z8-1,"")</f>
        <v>-0.58145849372253799</v>
      </c>
      <c r="AL6" s="59">
        <f>IFERROR(Inv_SY!W8/Inv_SY!$Z8-1,"")</f>
        <v>-0.27032282560036602</v>
      </c>
      <c r="AM6" s="59">
        <f>IFERROR(Inv_SY!X8/Inv_SY!$Z8-1,"")</f>
        <v>0</v>
      </c>
    </row>
    <row r="7" spans="1:39" x14ac:dyDescent="0.3">
      <c r="A7" s="55">
        <f>YEAR(Table5[[#This Row],[Date]])+IF(MONTH(Table5[[#This Row],[Date]])&gt;=4,1,0)</f>
        <v>2026</v>
      </c>
      <c r="B7" s="55">
        <v>4</v>
      </c>
      <c r="C7" s="124">
        <f>YEAR(Table5[[#This Row],[Date]])</f>
        <v>2025</v>
      </c>
      <c r="D7" s="55" t="s">
        <v>329</v>
      </c>
      <c r="E7" s="55" t="s">
        <v>329</v>
      </c>
      <c r="F7" s="126" t="str">
        <f>TEXT(Table5[[#This Row],[Date]],"mmm-yy")</f>
        <v>Apr-25</v>
      </c>
      <c r="G7" s="124">
        <f t="shared" si="0"/>
        <v>30</v>
      </c>
      <c r="H7" s="125">
        <f t="shared" si="2"/>
        <v>45750</v>
      </c>
      <c r="I7" s="55">
        <v>8.02</v>
      </c>
      <c r="J7" s="59">
        <f>IFERROR(Inv_SY!J9/Inv_SY!$Y9-1,"")</f>
        <v>3.5960941717955386E-2</v>
      </c>
      <c r="K7" s="59">
        <f>IFERROR(Inv_SY!K9/Inv_SY!$Y9-1,"")</f>
        <v>3.1041396804772914E-2</v>
      </c>
      <c r="L7" s="59">
        <f>IFERROR(Inv_SY!L9/Inv_SY!$Y9-1,"")</f>
        <v>-1</v>
      </c>
      <c r="M7" s="59">
        <f>IFERROR(Inv_SY!M9/Inv_SY!$Y9-1,"")</f>
        <v>-3.9439333697455448E-2</v>
      </c>
      <c r="N7" s="59">
        <f>IFERROR(Inv_SY!N9/Inv_SY!$Y9-1,"")</f>
        <v>0.23061206279106106</v>
      </c>
      <c r="O7" s="59">
        <f>IFERROR(Inv_SY!O9/Inv_SY!$Y9-1,"")</f>
        <v>0.32763194034120491</v>
      </c>
      <c r="P7" s="59">
        <f>IFERROR(Inv_SY!P9/Inv_SY!$Y9-1,"")</f>
        <v>0.22351501439171528</v>
      </c>
      <c r="Q7" s="59">
        <f>IFERROR(Inv_SY!Q9/Inv_SY!$Y9-1,"")</f>
        <v>-1</v>
      </c>
      <c r="R7" s="59">
        <f>IFERROR(Inv_SY!R9/Inv_SY!$Y9-1,"")</f>
        <v>0.26547779117239712</v>
      </c>
      <c r="S7" s="59">
        <f>IFERROR(Inv_SY!S9/Inv_SY!$Y9-1,"")</f>
        <v>0.44051345062654912</v>
      </c>
      <c r="T7" s="59">
        <f>IFERROR(Inv_SY!T9/Inv_SY!$Y9-1,"")</f>
        <v>0.24921022154914896</v>
      </c>
      <c r="U7" s="59">
        <f>IFERROR(Inv_SY!U9/Inv_SY!$Y9-1,"")</f>
        <v>0.23999095792147984</v>
      </c>
      <c r="V7" s="59">
        <f>IFERROR(Inv_SY!J9/Inv_SY!$Z9-1,"")</f>
        <v>-0.20113361673751784</v>
      </c>
      <c r="W7" s="59">
        <f>IFERROR(Inv_SY!K9/Inv_SY!$Z9-1,"")</f>
        <v>-0.20492725305509374</v>
      </c>
      <c r="X7" s="59">
        <f>IFERROR(Inv_SY!L9/Inv_SY!$Z9-1,"")</f>
        <v>-1</v>
      </c>
      <c r="Y7" s="59">
        <f>IFERROR(Inv_SY!M9/Inv_SY!$Z9-1,"")</f>
        <v>-0.25927745488089005</v>
      </c>
      <c r="Z7" s="59">
        <f>IFERROR(Inv_SY!N9/Inv_SY!$Z9-1,"")</f>
        <v>-5.1031203772227585E-2</v>
      </c>
      <c r="AA7" s="59">
        <f>IFERROR(Inv_SY!O9/Inv_SY!$Z9-1,"")</f>
        <v>2.3784279671117847E-2</v>
      </c>
      <c r="AB7" s="59">
        <f>IFERROR(Inv_SY!P9/Inv_SY!$Z9-1,"")</f>
        <v>-5.6503990591026065E-2</v>
      </c>
      <c r="AC7" s="59">
        <f>IFERROR(Inv_SY!Q9/Inv_SY!$Z9-1,"")</f>
        <v>-1</v>
      </c>
      <c r="AD7" s="59">
        <f>IFERROR(Inv_SY!R9/Inv_SY!$Z9-1,"")</f>
        <v>-2.4144998694244024E-2</v>
      </c>
      <c r="AE7" s="59">
        <f>IFERROR(Inv_SY!S9/Inv_SY!$Z9-1,"")</f>
        <v>0.11083123311061427</v>
      </c>
      <c r="AF7" s="59">
        <f>IFERROR(Inv_SY!T9/Inv_SY!$Z9-1,"")</f>
        <v>-3.6689501084309017E-2</v>
      </c>
      <c r="AG7" s="59">
        <f>IFERROR(Inv_SY!U9/Inv_SY!$Z9-1,"")</f>
        <v>-4.3798803659332641E-2</v>
      </c>
      <c r="AH7" s="59">
        <f>IFERROR(Inv_SY!V9/Inv_SY!$Y9-1,"")</f>
        <v>-0.24380975164140506</v>
      </c>
      <c r="AI7" s="59">
        <f>IFERROR(Inv_SY!W9/Inv_SY!$Y9-1,"")</f>
        <v>-5.2979002301657641E-2</v>
      </c>
      <c r="AJ7" s="59">
        <f>IFERROR(Inv_SY!X9/Inv_SY!$Y9-1,"")</f>
        <v>0.29678875394306248</v>
      </c>
      <c r="AK7" s="59">
        <f>IFERROR(Inv_SY!V9/Inv_SY!$Z9-1,"")</f>
        <v>-0.41687476386628453</v>
      </c>
      <c r="AL7" s="59">
        <f>IFERROR(Inv_SY!W9/Inv_SY!$Z9-1,"")</f>
        <v>-0.26971837562687351</v>
      </c>
      <c r="AM7" s="59">
        <f>IFERROR(Inv_SY!X9/Inv_SY!$Z9-1,"")</f>
        <v>0</v>
      </c>
    </row>
    <row r="8" spans="1:39" x14ac:dyDescent="0.3">
      <c r="A8" s="55">
        <f>YEAR(Table5[[#This Row],[Date]])+IF(MONTH(Table5[[#This Row],[Date]])&gt;=4,1,0)</f>
        <v>2026</v>
      </c>
      <c r="B8" s="55">
        <v>4</v>
      </c>
      <c r="C8" s="124">
        <f>YEAR(Table5[[#This Row],[Date]])</f>
        <v>2025</v>
      </c>
      <c r="D8" s="55" t="s">
        <v>329</v>
      </c>
      <c r="E8" s="55" t="s">
        <v>329</v>
      </c>
      <c r="F8" s="126" t="str">
        <f>TEXT(Table5[[#This Row],[Date]],"mmm-yy")</f>
        <v>Apr-25</v>
      </c>
      <c r="G8" s="124">
        <f t="shared" si="0"/>
        <v>30</v>
      </c>
      <c r="H8" s="125">
        <f t="shared" si="2"/>
        <v>45751</v>
      </c>
      <c r="I8" s="55">
        <v>8.02</v>
      </c>
      <c r="J8" s="59">
        <f>IFERROR(Inv_SY!J10/Inv_SY!$Y10-1,"")</f>
        <v>-0.29849428385535381</v>
      </c>
      <c r="K8" s="59">
        <f>IFERROR(Inv_SY!K10/Inv_SY!$Y10-1,"")</f>
        <v>-0.28274091352970188</v>
      </c>
      <c r="L8" s="59">
        <f>IFERROR(Inv_SY!L10/Inv_SY!$Y10-1,"")</f>
        <v>-1</v>
      </c>
      <c r="M8" s="59">
        <f>IFERROR(Inv_SY!M10/Inv_SY!$Y10-1,"")</f>
        <v>-0.30162288747096322</v>
      </c>
      <c r="N8" s="59">
        <f>IFERROR(Inv_SY!N10/Inv_SY!$Y10-1,"")</f>
        <v>0.55267633131172667</v>
      </c>
      <c r="O8" s="59">
        <f>IFERROR(Inv_SY!O10/Inv_SY!$Y10-1,"")</f>
        <v>0.57304792587892495</v>
      </c>
      <c r="P8" s="59">
        <f>IFERROR(Inv_SY!P10/Inv_SY!$Y10-1,"")</f>
        <v>0.54403155870941022</v>
      </c>
      <c r="Q8" s="59">
        <f>IFERROR(Inv_SY!Q10/Inv_SY!$Y10-1,"")</f>
        <v>-1</v>
      </c>
      <c r="R8" s="59">
        <f>IFERROR(Inv_SY!R10/Inv_SY!$Y10-1,"")</f>
        <v>0.33465717247765681</v>
      </c>
      <c r="S8" s="59">
        <f>IFERROR(Inv_SY!S10/Inv_SY!$Y10-1,"")</f>
        <v>0.32341379461041941</v>
      </c>
      <c r="T8" s="59">
        <f>IFERROR(Inv_SY!T10/Inv_SY!$Y10-1,"")</f>
        <v>0.2819582744213851</v>
      </c>
      <c r="U8" s="59">
        <f>IFERROR(Inv_SY!U10/Inv_SY!$Y10-1,"")</f>
        <v>0.27227267493843876</v>
      </c>
      <c r="V8" s="59">
        <f>IFERROR(Inv_SY!J10/Inv_SY!$Z10-1,"")</f>
        <v>-0.4610874381639426</v>
      </c>
      <c r="W8" s="59">
        <f>IFERROR(Inv_SY!K10/Inv_SY!$Z10-1,"")</f>
        <v>-0.44898534267937962</v>
      </c>
      <c r="X8" s="59">
        <f>IFERROR(Inv_SY!L10/Inv_SY!$Z10-1,"")</f>
        <v>-1</v>
      </c>
      <c r="Y8" s="59">
        <f>IFERROR(Inv_SY!M10/Inv_SY!$Z10-1,"")</f>
        <v>-0.46349090224221667</v>
      </c>
      <c r="Z8" s="59">
        <f>IFERROR(Inv_SY!N10/Inv_SY!$Z10-1,"")</f>
        <v>0.1928010850832178</v>
      </c>
      <c r="AA8" s="59">
        <f>IFERROR(Inv_SY!O10/Inv_SY!$Z10-1,"")</f>
        <v>0.20845100491171231</v>
      </c>
      <c r="AB8" s="59">
        <f>IFERROR(Inv_SY!P10/Inv_SY!$Z10-1,"")</f>
        <v>0.18615997519289729</v>
      </c>
      <c r="AC8" s="59">
        <f>IFERROR(Inv_SY!Q10/Inv_SY!$Z10-1,"")</f>
        <v>-1</v>
      </c>
      <c r="AD8" s="59">
        <f>IFERROR(Inv_SY!R10/Inv_SY!$Z10-1,"")</f>
        <v>2.5313834854761463E-2</v>
      </c>
      <c r="AE8" s="59">
        <f>IFERROR(Inv_SY!S10/Inv_SY!$Z10-1,"")</f>
        <v>1.6676417609718719E-2</v>
      </c>
      <c r="AF8" s="59">
        <f>IFERROR(Inv_SY!T10/Inv_SY!$Z10-1,"")</f>
        <v>-1.5170650879046566E-2</v>
      </c>
      <c r="AG8" s="59">
        <f>IFERROR(Inv_SY!U10/Inv_SY!$Z10-1,"")</f>
        <v>-2.2611347526479642E-2</v>
      </c>
      <c r="AH8" s="59">
        <f>IFERROR(Inv_SY!V10/Inv_SY!$Y10-1,"")</f>
        <v>-0.47109749157733116</v>
      </c>
      <c r="AI8" s="59">
        <f>IFERROR(Inv_SY!W10/Inv_SY!$Y10-1,"")</f>
        <v>0.1693914898566824</v>
      </c>
      <c r="AJ8" s="59">
        <f>IFERROR(Inv_SY!X10/Inv_SY!$Y10-1,"")</f>
        <v>0.30170600172064876</v>
      </c>
      <c r="AK8" s="59">
        <f>IFERROR(Inv_SY!V10/Inv_SY!$Z10-1,"")</f>
        <v>-0.5936851272687198</v>
      </c>
      <c r="AL8" s="59">
        <f>IFERROR(Inv_SY!W10/Inv_SY!$Z10-1,"")</f>
        <v>-0.10164700146505234</v>
      </c>
      <c r="AM8" s="59">
        <f>IFERROR(Inv_SY!X10/Inv_SY!$Z10-1,"")</f>
        <v>0</v>
      </c>
    </row>
    <row r="9" spans="1:39" x14ac:dyDescent="0.3">
      <c r="A9" s="55">
        <f>YEAR(Table5[[#This Row],[Date]])+IF(MONTH(Table5[[#This Row],[Date]])&gt;=4,1,0)</f>
        <v>2026</v>
      </c>
      <c r="B9" s="55">
        <v>4</v>
      </c>
      <c r="C9" s="124">
        <f>YEAR(Table5[[#This Row],[Date]])</f>
        <v>2025</v>
      </c>
      <c r="D9" s="55" t="s">
        <v>329</v>
      </c>
      <c r="E9" s="55" t="s">
        <v>329</v>
      </c>
      <c r="F9" s="126" t="str">
        <f>TEXT(Table5[[#This Row],[Date]],"mmm-yy")</f>
        <v>Apr-25</v>
      </c>
      <c r="G9" s="124">
        <f t="shared" si="0"/>
        <v>30</v>
      </c>
      <c r="H9" s="125">
        <f t="shared" si="2"/>
        <v>45752</v>
      </c>
      <c r="I9" s="55">
        <v>8.02</v>
      </c>
      <c r="J9" s="59">
        <f>IFERROR(Inv_SY!J11/Inv_SY!$Y11-1,"")</f>
        <v>-0.385493752372145</v>
      </c>
      <c r="K9" s="59">
        <f>IFERROR(Inv_SY!K11/Inv_SY!$Y11-1,"")</f>
        <v>-0.38425331279716834</v>
      </c>
      <c r="L9" s="59">
        <f>IFERROR(Inv_SY!L11/Inv_SY!$Y11-1,"")</f>
        <v>-1</v>
      </c>
      <c r="M9" s="59">
        <f>IFERROR(Inv_SY!M11/Inv_SY!$Y11-1,"")</f>
        <v>-0.36805838668673396</v>
      </c>
      <c r="N9" s="59">
        <f>IFERROR(Inv_SY!N11/Inv_SY!$Y11-1,"")</f>
        <v>0.58972221774287648</v>
      </c>
      <c r="O9" s="59">
        <f>IFERROR(Inv_SY!O11/Inv_SY!$Y11-1,"")</f>
        <v>0.57818421943097187</v>
      </c>
      <c r="P9" s="59">
        <f>IFERROR(Inv_SY!P11/Inv_SY!$Y11-1,"")</f>
        <v>0.60626510936226286</v>
      </c>
      <c r="Q9" s="59">
        <f>IFERROR(Inv_SY!Q11/Inv_SY!$Y11-1,"")</f>
        <v>-1</v>
      </c>
      <c r="R9" s="59">
        <f>IFERROR(Inv_SY!R11/Inv_SY!$Y11-1,"")</f>
        <v>0.34263593844019846</v>
      </c>
      <c r="S9" s="59">
        <f>IFERROR(Inv_SY!S11/Inv_SY!$Y11-1,"")</f>
        <v>0.38815176044132182</v>
      </c>
      <c r="T9" s="59">
        <f>IFERROR(Inv_SY!T11/Inv_SY!$Y11-1,"")</f>
        <v>0.321254699815269</v>
      </c>
      <c r="U9" s="59">
        <f>IFERROR(Inv_SY!U11/Inv_SY!$Y11-1,"")</f>
        <v>0.31066926522097327</v>
      </c>
      <c r="V9" s="59">
        <f>IFERROR(Inv_SY!J11/Inv_SY!$Z11-1,"")</f>
        <v>-0.54113187943331809</v>
      </c>
      <c r="W9" s="59">
        <f>IFERROR(Inv_SY!K11/Inv_SY!$Z11-1,"")</f>
        <v>-0.54020561028854808</v>
      </c>
      <c r="X9" s="59">
        <f>IFERROR(Inv_SY!L11/Inv_SY!$Z11-1,"")</f>
        <v>-1</v>
      </c>
      <c r="Y9" s="59">
        <f>IFERROR(Inv_SY!M11/Inv_SY!$Z11-1,"")</f>
        <v>-0.5281124292416538</v>
      </c>
      <c r="Z9" s="59">
        <f>IFERROR(Inv_SY!N11/Inv_SY!$Z11-1,"")</f>
        <v>0.18708776207681455</v>
      </c>
      <c r="AA9" s="59">
        <f>IFERROR(Inv_SY!O11/Inv_SY!$Z11-1,"")</f>
        <v>0.17847203258517319</v>
      </c>
      <c r="AB9" s="59">
        <f>IFERROR(Inv_SY!P11/Inv_SY!$Z11-1,"")</f>
        <v>0.19944077820224737</v>
      </c>
      <c r="AC9" s="59">
        <f>IFERROR(Inv_SY!Q11/Inv_SY!$Z11-1,"")</f>
        <v>-1</v>
      </c>
      <c r="AD9" s="59">
        <f>IFERROR(Inv_SY!R11/Inv_SY!$Z11-1,"")</f>
        <v>2.5818810721724983E-3</v>
      </c>
      <c r="AE9" s="59">
        <f>IFERROR(Inv_SY!S11/Inv_SY!$Z11-1,"")</f>
        <v>3.6569753088652845E-2</v>
      </c>
      <c r="AF9" s="59">
        <f>IFERROR(Inv_SY!T11/Inv_SY!$Z11-1,"")</f>
        <v>-1.3384057144212869E-2</v>
      </c>
      <c r="AG9" s="59">
        <f>IFERROR(Inv_SY!U11/Inv_SY!$Z11-1,"")</f>
        <v>-2.1288482032351008E-2</v>
      </c>
      <c r="AH9" s="59">
        <f>IFERROR(Inv_SY!V11/Inv_SY!$Y11-1,"")</f>
        <v>-0.53471742044794257</v>
      </c>
      <c r="AI9" s="59">
        <f>IFERROR(Inv_SY!W11/Inv_SY!$Y11-1,"")</f>
        <v>0.19553908121407515</v>
      </c>
      <c r="AJ9" s="59">
        <f>IFERROR(Inv_SY!X11/Inv_SY!$Y11-1,"")</f>
        <v>0.3391783392338672</v>
      </c>
      <c r="AK9" s="59">
        <f>IFERROR(Inv_SY!V11/Inv_SY!$Z11-1,"")</f>
        <v>-0.65256115192376707</v>
      </c>
      <c r="AL9" s="59">
        <f>IFERROR(Inv_SY!W11/Inv_SY!$Z11-1,"")</f>
        <v>-0.10725924532349207</v>
      </c>
      <c r="AM9" s="59">
        <f>IFERROR(Inv_SY!X11/Inv_SY!$Z11-1,"")</f>
        <v>0</v>
      </c>
    </row>
    <row r="10" spans="1:39" x14ac:dyDescent="0.3">
      <c r="A10" s="55">
        <f>YEAR(Table5[[#This Row],[Date]])+IF(MONTH(Table5[[#This Row],[Date]])&gt;=4,1,0)</f>
        <v>2026</v>
      </c>
      <c r="B10" s="55">
        <v>4</v>
      </c>
      <c r="C10" s="124">
        <f>YEAR(Table5[[#This Row],[Date]])</f>
        <v>2025</v>
      </c>
      <c r="D10" s="55" t="s">
        <v>329</v>
      </c>
      <c r="E10" s="55" t="s">
        <v>329</v>
      </c>
      <c r="F10" s="126" t="str">
        <f>TEXT(Table5[[#This Row],[Date]],"mmm-yy")</f>
        <v>Apr-25</v>
      </c>
      <c r="G10" s="124">
        <f t="shared" ref="G10:G41" si="3">DAY(EOMONTH(F10,0))</f>
        <v>30</v>
      </c>
      <c r="H10" s="125">
        <f t="shared" si="2"/>
        <v>45753</v>
      </c>
      <c r="I10" s="55">
        <v>8.02</v>
      </c>
      <c r="J10" s="59">
        <f>IFERROR(Inv_SY!J12/Inv_SY!$Y12-1,"")</f>
        <v>-0.23970087854643718</v>
      </c>
      <c r="K10" s="59">
        <f>IFERROR(Inv_SY!K12/Inv_SY!$Y12-1,"")</f>
        <v>-0.23844430117189253</v>
      </c>
      <c r="L10" s="59">
        <f>IFERROR(Inv_SY!L12/Inv_SY!$Y12-1,"")</f>
        <v>-1</v>
      </c>
      <c r="M10" s="59">
        <f>IFERROR(Inv_SY!M12/Inv_SY!$Y12-1,"")</f>
        <v>-0.22950974793472123</v>
      </c>
      <c r="N10" s="59">
        <f>IFERROR(Inv_SY!N12/Inv_SY!$Y12-1,"")</f>
        <v>0.61201024142180405</v>
      </c>
      <c r="O10" s="59">
        <f>IFERROR(Inv_SY!O12/Inv_SY!$Y12-1,"")</f>
        <v>0.58330923597899731</v>
      </c>
      <c r="P10" s="59">
        <f>IFERROR(Inv_SY!P12/Inv_SY!$Y12-1,"")</f>
        <v>0.58653765562707583</v>
      </c>
      <c r="Q10" s="59">
        <f>IFERROR(Inv_SY!Q12/Inv_SY!$Y12-1,"")</f>
        <v>-1</v>
      </c>
      <c r="R10" s="59">
        <f>IFERROR(Inv_SY!R12/Inv_SY!$Y12-1,"")</f>
        <v>0.23340095190753529</v>
      </c>
      <c r="S10" s="59">
        <f>IFERROR(Inv_SY!S12/Inv_SY!$Y12-1,"")</f>
        <v>0.2546392675432958</v>
      </c>
      <c r="T10" s="59">
        <f>IFERROR(Inv_SY!T12/Inv_SY!$Y12-1,"")</f>
        <v>0.23099681184565823</v>
      </c>
      <c r="U10" s="59">
        <f>IFERROR(Inv_SY!U12/Inv_SY!$Y12-1,"")</f>
        <v>0.2051512747401516</v>
      </c>
      <c r="V10" s="59">
        <f>IFERROR(Inv_SY!J12/Inv_SY!$Z12-1,"")</f>
        <v>-0.38177378340086765</v>
      </c>
      <c r="W10" s="59">
        <f>IFERROR(Inv_SY!K12/Inv_SY!$Z12-1,"")</f>
        <v>-0.38075201571206163</v>
      </c>
      <c r="X10" s="59">
        <f>IFERROR(Inv_SY!L12/Inv_SY!$Z12-1,"")</f>
        <v>-1</v>
      </c>
      <c r="Y10" s="59">
        <f>IFERROR(Inv_SY!M12/Inv_SY!$Z12-1,"")</f>
        <v>-0.37348701317692801</v>
      </c>
      <c r="Z10" s="59">
        <f>IFERROR(Inv_SY!N12/Inv_SY!$Z12-1,"")</f>
        <v>0.31078277555806033</v>
      </c>
      <c r="AA10" s="59">
        <f>IFERROR(Inv_SY!O12/Inv_SY!$Z12-1,"")</f>
        <v>0.28744496875700221</v>
      </c>
      <c r="AB10" s="59">
        <f>IFERROR(Inv_SY!P12/Inv_SY!$Z12-1,"")</f>
        <v>0.29007011142560102</v>
      </c>
      <c r="AC10" s="59">
        <f>IFERROR(Inv_SY!Q12/Inv_SY!$Z12-1,"")</f>
        <v>-1</v>
      </c>
      <c r="AD10" s="59">
        <f>IFERROR(Inv_SY!R12/Inv_SY!$Z12-1,"")</f>
        <v>2.9221164819364098E-3</v>
      </c>
      <c r="AE10" s="59">
        <f>IFERROR(Inv_SY!S12/Inv_SY!$Z12-1,"")</f>
        <v>2.0191745174038322E-2</v>
      </c>
      <c r="AF10" s="59">
        <f>IFERROR(Inv_SY!T12/Inv_SY!$Z12-1,"")</f>
        <v>9.6722481799882409E-4</v>
      </c>
      <c r="AG10" s="59">
        <f>IFERROR(Inv_SY!U12/Inv_SY!$Z12-1,"")</f>
        <v>-2.0048699270091563E-2</v>
      </c>
      <c r="AH10" s="59">
        <f>IFERROR(Inv_SY!V12/Inv_SY!$Y12-1,"")</f>
        <v>-0.42727100305580712</v>
      </c>
      <c r="AI10" s="59">
        <f>IFERROR(Inv_SY!W12/Inv_SY!$Y12-1,"")</f>
        <v>0.19746369136337427</v>
      </c>
      <c r="AJ10" s="59">
        <f>IFERROR(Inv_SY!X12/Inv_SY!$Y12-1,"")</f>
        <v>0.22980731169243285</v>
      </c>
      <c r="AK10" s="59">
        <f>IFERROR(Inv_SY!V12/Inv_SY!$Z12-1,"")</f>
        <v>-0.53429371292644512</v>
      </c>
      <c r="AL10" s="59">
        <f>IFERROR(Inv_SY!W12/Inv_SY!$Z12-1,"")</f>
        <v>-2.6299746327372198E-2</v>
      </c>
      <c r="AM10" s="59">
        <f>IFERROR(Inv_SY!X12/Inv_SY!$Z12-1,"")</f>
        <v>0</v>
      </c>
    </row>
    <row r="11" spans="1:39" x14ac:dyDescent="0.3">
      <c r="A11" s="55">
        <f>YEAR(Table5[[#This Row],[Date]])+IF(MONTH(Table5[[#This Row],[Date]])&gt;=4,1,0)</f>
        <v>2026</v>
      </c>
      <c r="B11" s="55">
        <v>4</v>
      </c>
      <c r="C11" s="124">
        <f>YEAR(Table5[[#This Row],[Date]])</f>
        <v>2025</v>
      </c>
      <c r="D11" s="55" t="s">
        <v>329</v>
      </c>
      <c r="E11" s="55" t="s">
        <v>329</v>
      </c>
      <c r="F11" s="126" t="str">
        <f>TEXT(Table5[[#This Row],[Date]],"mmm-yy")</f>
        <v>Apr-25</v>
      </c>
      <c r="G11" s="124">
        <f t="shared" si="3"/>
        <v>30</v>
      </c>
      <c r="H11" s="125">
        <f t="shared" si="2"/>
        <v>45754</v>
      </c>
      <c r="I11" s="55">
        <v>8.02</v>
      </c>
      <c r="J11" s="59">
        <f>IFERROR(Inv_SY!J13/Inv_SY!$Y13-1,"")</f>
        <v>0.11230806105632696</v>
      </c>
      <c r="K11" s="59">
        <f>IFERROR(Inv_SY!K13/Inv_SY!$Y13-1,"")</f>
        <v>9.02301763951181E-2</v>
      </c>
      <c r="L11" s="59">
        <f>IFERROR(Inv_SY!L13/Inv_SY!$Y13-1,"")</f>
        <v>-1</v>
      </c>
      <c r="M11" s="59">
        <f>IFERROR(Inv_SY!M13/Inv_SY!$Y13-1,"")</f>
        <v>7.2858693298593069E-2</v>
      </c>
      <c r="N11" s="59">
        <f>IFERROR(Inv_SY!N13/Inv_SY!$Y13-1,"")</f>
        <v>0.38801899754267999</v>
      </c>
      <c r="O11" s="59">
        <f>IFERROR(Inv_SY!O13/Inv_SY!$Y13-1,"")</f>
        <v>0.35627486589865476</v>
      </c>
      <c r="P11" s="59">
        <f>IFERROR(Inv_SY!P13/Inv_SY!$Y13-1,"")</f>
        <v>0.35836149524163496</v>
      </c>
      <c r="Q11" s="59">
        <f>IFERROR(Inv_SY!Q13/Inv_SY!$Y13-1,"")</f>
        <v>-1</v>
      </c>
      <c r="R11" s="59">
        <f>IFERROR(Inv_SY!R13/Inv_SY!$Y13-1,"")</f>
        <v>0.15744189053857505</v>
      </c>
      <c r="S11" s="59">
        <f>IFERROR(Inv_SY!S13/Inv_SY!$Y13-1,"")</f>
        <v>0.17656588990322053</v>
      </c>
      <c r="T11" s="59">
        <f>IFERROR(Inv_SY!T13/Inv_SY!$Y13-1,"")</f>
        <v>0.13914055582224827</v>
      </c>
      <c r="U11" s="59">
        <f>IFERROR(Inv_SY!U13/Inv_SY!$Y13-1,"")</f>
        <v>0.14904900749325489</v>
      </c>
      <c r="V11" s="59">
        <f>IFERROR(Inv_SY!J13/Inv_SY!$Z13-1,"")</f>
        <v>-3.6457518089744068E-2</v>
      </c>
      <c r="W11" s="59">
        <f>IFERROR(Inv_SY!K13/Inv_SY!$Z13-1,"")</f>
        <v>-5.558259730708548E-2</v>
      </c>
      <c r="X11" s="59">
        <f>IFERROR(Inv_SY!L13/Inv_SY!$Z13-1,"")</f>
        <v>-1</v>
      </c>
      <c r="Y11" s="59">
        <f>IFERROR(Inv_SY!M13/Inv_SY!$Z13-1,"")</f>
        <v>-7.0630732372646277E-2</v>
      </c>
      <c r="Z11" s="59">
        <f>IFERROR(Inv_SY!N13/Inv_SY!$Z13-1,"")</f>
        <v>0.2023784746833126</v>
      </c>
      <c r="AA11" s="59">
        <f>IFERROR(Inv_SY!O13/Inv_SY!$Z13-1,"")</f>
        <v>0.17487996014290497</v>
      </c>
      <c r="AB11" s="59">
        <f>IFERROR(Inv_SY!P13/Inv_SY!$Z13-1,"")</f>
        <v>0.17668751336161725</v>
      </c>
      <c r="AC11" s="59">
        <f>IFERROR(Inv_SY!Q13/Inv_SY!$Z13-1,"")</f>
        <v>-1</v>
      </c>
      <c r="AD11" s="59">
        <f>IFERROR(Inv_SY!R13/Inv_SY!$Z13-1,"")</f>
        <v>2.6398899036312873E-3</v>
      </c>
      <c r="AE11" s="59">
        <f>IFERROR(Inv_SY!S13/Inv_SY!$Z13-1,"")</f>
        <v>1.9206151047474362E-2</v>
      </c>
      <c r="AF11" s="59">
        <f>IFERROR(Inv_SY!T13/Inv_SY!$Z13-1,"")</f>
        <v>-1.3213733829071983E-2</v>
      </c>
      <c r="AG11" s="59">
        <f>IFERROR(Inv_SY!U13/Inv_SY!$Z13-1,"")</f>
        <v>-4.630487470232536E-3</v>
      </c>
      <c r="AH11" s="59">
        <f>IFERROR(Inv_SY!V13/Inv_SY!$Y13-1,"")</f>
        <v>-0.1817736737482929</v>
      </c>
      <c r="AI11" s="59">
        <f>IFERROR(Inv_SY!W13/Inv_SY!$Y13-1,"")</f>
        <v>2.7379257374312127E-2</v>
      </c>
      <c r="AJ11" s="59">
        <f>IFERROR(Inv_SY!X13/Inv_SY!$Y13-1,"")</f>
        <v>0.15439441637398099</v>
      </c>
      <c r="AK11" s="59">
        <f>IFERROR(Inv_SY!V13/Inv_SY!$Z13-1,"")</f>
        <v>-0.29120730779190451</v>
      </c>
      <c r="AL11" s="59">
        <f>IFERROR(Inv_SY!W13/Inv_SY!$Z13-1,"")</f>
        <v>-0.11002752369387814</v>
      </c>
      <c r="AM11" s="59">
        <f>IFERROR(Inv_SY!X13/Inv_SY!$Z13-1,"")</f>
        <v>0</v>
      </c>
    </row>
    <row r="12" spans="1:39" x14ac:dyDescent="0.3">
      <c r="A12" s="55">
        <f>YEAR(Table5[[#This Row],[Date]])+IF(MONTH(Table5[[#This Row],[Date]])&gt;=4,1,0)</f>
        <v>2026</v>
      </c>
      <c r="B12" s="55">
        <v>4</v>
      </c>
      <c r="C12" s="124">
        <f>YEAR(Table5[[#This Row],[Date]])</f>
        <v>2025</v>
      </c>
      <c r="D12" s="55" t="s">
        <v>329</v>
      </c>
      <c r="E12" s="55" t="s">
        <v>329</v>
      </c>
      <c r="F12" s="126" t="str">
        <f>TEXT(Table5[[#This Row],[Date]],"mmm-yy")</f>
        <v>Apr-25</v>
      </c>
      <c r="G12" s="124">
        <f t="shared" si="3"/>
        <v>30</v>
      </c>
      <c r="H12" s="125">
        <f t="shared" si="2"/>
        <v>45755</v>
      </c>
      <c r="I12" s="55">
        <v>8.02</v>
      </c>
      <c r="J12" s="59">
        <f>IFERROR(Inv_SY!J14/Inv_SY!$Y14-1,"")</f>
        <v>0.32615081962535553</v>
      </c>
      <c r="K12" s="59">
        <f>IFERROR(Inv_SY!K14/Inv_SY!$Y14-1,"")</f>
        <v>0.32598179278046713</v>
      </c>
      <c r="L12" s="59">
        <f>IFERROR(Inv_SY!L14/Inv_SY!$Y14-1,"")</f>
        <v>-1</v>
      </c>
      <c r="M12" s="59">
        <f>IFERROR(Inv_SY!M14/Inv_SY!$Y14-1,"")</f>
        <v>0.33311311585528225</v>
      </c>
      <c r="N12" s="59">
        <f>IFERROR(Inv_SY!N14/Inv_SY!$Y14-1,"")</f>
        <v>0.3364149055079062</v>
      </c>
      <c r="O12" s="59">
        <f>IFERROR(Inv_SY!O14/Inv_SY!$Y14-1,"")</f>
        <v>0.30191791193212669</v>
      </c>
      <c r="P12" s="59">
        <f>IFERROR(Inv_SY!P14/Inv_SY!$Y14-1,"")</f>
        <v>0.30418564258551473</v>
      </c>
      <c r="Q12" s="59">
        <f>IFERROR(Inv_SY!Q14/Inv_SY!$Y14-1,"")</f>
        <v>-1</v>
      </c>
      <c r="R12" s="59">
        <f>IFERROR(Inv_SY!R14/Inv_SY!$Y14-1,"")</f>
        <v>4.3417387852360045E-2</v>
      </c>
      <c r="S12" s="59">
        <f>IFERROR(Inv_SY!S14/Inv_SY!$Y14-1,"")</f>
        <v>3.4012568367365992E-2</v>
      </c>
      <c r="T12" s="59">
        <f>IFERROR(Inv_SY!T14/Inv_SY!$Y14-1,"")</f>
        <v>1.7205503793147336E-3</v>
      </c>
      <c r="U12" s="59">
        <f>IFERROR(Inv_SY!U14/Inv_SY!$Y14-1,"")</f>
        <v>-6.6343329245068805E-3</v>
      </c>
      <c r="V12" s="59">
        <f>IFERROR(Inv_SY!J14/Inv_SY!$Z14-1,"")</f>
        <v>0.30390976757036992</v>
      </c>
      <c r="W12" s="59">
        <f>IFERROR(Inv_SY!K14/Inv_SY!$Z14-1,"")</f>
        <v>0.30374357549721354</v>
      </c>
      <c r="X12" s="59">
        <f>IFERROR(Inv_SY!L14/Inv_SY!$Z14-1,"")</f>
        <v>-1</v>
      </c>
      <c r="Y12" s="59">
        <f>IFERROR(Inv_SY!M14/Inv_SY!$Z14-1,"")</f>
        <v>0.31075529820276393</v>
      </c>
      <c r="Z12" s="59">
        <f>IFERROR(Inv_SY!N14/Inv_SY!$Z14-1,"")</f>
        <v>0.31400171310128622</v>
      </c>
      <c r="AA12" s="59">
        <f>IFERROR(Inv_SY!O14/Inv_SY!$Z14-1,"")</f>
        <v>0.28008327320017568</v>
      </c>
      <c r="AB12" s="59">
        <f>IFERROR(Inv_SY!P14/Inv_SY!$Z14-1,"")</f>
        <v>0.2823129714406869</v>
      </c>
      <c r="AC12" s="59">
        <f>IFERROR(Inv_SY!Q14/Inv_SY!$Z14-1,"")</f>
        <v>-1</v>
      </c>
      <c r="AD12" s="59">
        <f>IFERROR(Inv_SY!R14/Inv_SY!$Z14-1,"")</f>
        <v>2.5918095845092415E-2</v>
      </c>
      <c r="AE12" s="59">
        <f>IFERROR(Inv_SY!S14/Inv_SY!$Z14-1,"")</f>
        <v>1.6671005840514841E-2</v>
      </c>
      <c r="AF12" s="59">
        <f>IFERROR(Inv_SY!T14/Inv_SY!$Z14-1,"")</f>
        <v>-1.5079438412178181E-2</v>
      </c>
      <c r="AG12" s="59">
        <f>IFERROR(Inv_SY!U14/Inv_SY!$Z14-1,"")</f>
        <v>-2.3294200855141667E-2</v>
      </c>
      <c r="AH12" s="59">
        <f>IFERROR(Inv_SY!V14/Inv_SY!$Y14-1,"")</f>
        <v>-4.3352774827903895E-3</v>
      </c>
      <c r="AI12" s="59">
        <f>IFERROR(Inv_SY!W14/Inv_SY!$Y14-1,"")</f>
        <v>-1.2721924332967149E-2</v>
      </c>
      <c r="AJ12" s="59">
        <f>IFERROR(Inv_SY!X14/Inv_SY!$Y14-1,"")</f>
        <v>1.7057201815757761E-2</v>
      </c>
      <c r="AK12" s="59">
        <f>IFERROR(Inv_SY!V14/Inv_SY!$Z14-1,"")</f>
        <v>-2.103370317849973E-2</v>
      </c>
      <c r="AL12" s="59">
        <f>IFERROR(Inv_SY!W14/Inv_SY!$Z14-1,"")</f>
        <v>-2.9279696457151116E-2</v>
      </c>
      <c r="AM12" s="59">
        <f>IFERROR(Inv_SY!X14/Inv_SY!$Z14-1,"")</f>
        <v>0</v>
      </c>
    </row>
    <row r="13" spans="1:39" x14ac:dyDescent="0.3">
      <c r="A13" s="55">
        <f>YEAR(Table5[[#This Row],[Date]])+IF(MONTH(Table5[[#This Row],[Date]])&gt;=4,1,0)</f>
        <v>2026</v>
      </c>
      <c r="B13" s="55">
        <v>4</v>
      </c>
      <c r="C13" s="124">
        <f>YEAR(Table5[[#This Row],[Date]])</f>
        <v>2025</v>
      </c>
      <c r="D13" s="55" t="s">
        <v>329</v>
      </c>
      <c r="E13" s="55" t="s">
        <v>329</v>
      </c>
      <c r="F13" s="126" t="str">
        <f>TEXT(Table5[[#This Row],[Date]],"mmm-yy")</f>
        <v>Apr-25</v>
      </c>
      <c r="G13" s="124">
        <f t="shared" si="3"/>
        <v>30</v>
      </c>
      <c r="H13" s="125">
        <f t="shared" si="2"/>
        <v>45756</v>
      </c>
      <c r="I13" s="55">
        <v>8.02</v>
      </c>
      <c r="J13" s="59">
        <f>IFERROR(Inv_SY!J15/Inv_SY!$Y15-1,"")</f>
        <v>0.31927090805450309</v>
      </c>
      <c r="K13" s="59">
        <f>IFERROR(Inv_SY!K15/Inv_SY!$Y15-1,"")</f>
        <v>0.34895385538644286</v>
      </c>
      <c r="L13" s="59">
        <f>IFERROR(Inv_SY!L15/Inv_SY!$Y15-1,"")</f>
        <v>-1</v>
      </c>
      <c r="M13" s="59">
        <f>IFERROR(Inv_SY!M15/Inv_SY!$Y15-1,"")</f>
        <v>0.30104080097509311</v>
      </c>
      <c r="N13" s="59">
        <f>IFERROR(Inv_SY!N15/Inv_SY!$Y15-1,"")</f>
        <v>0.26083041417543762</v>
      </c>
      <c r="O13" s="59">
        <f>IFERROR(Inv_SY!O15/Inv_SY!$Y15-1,"")</f>
        <v>0.28296353604597124</v>
      </c>
      <c r="P13" s="59">
        <f>IFERROR(Inv_SY!P15/Inv_SY!$Y15-1,"")</f>
        <v>0.25526419751454466</v>
      </c>
      <c r="Q13" s="59">
        <f>IFERROR(Inv_SY!Q15/Inv_SY!$Y15-1,"")</f>
        <v>-1</v>
      </c>
      <c r="R13" s="59">
        <f>IFERROR(Inv_SY!R15/Inv_SY!$Y15-1,"")</f>
        <v>5.7688658290457218E-2</v>
      </c>
      <c r="S13" s="59">
        <f>IFERROR(Inv_SY!S15/Inv_SY!$Y15-1,"")</f>
        <v>0.1007657682291172</v>
      </c>
      <c r="T13" s="59">
        <f>IFERROR(Inv_SY!T15/Inv_SY!$Y15-1,"")</f>
        <v>4.1747382709436121E-2</v>
      </c>
      <c r="U13" s="59">
        <f>IFERROR(Inv_SY!U15/Inv_SY!$Y15-1,"")</f>
        <v>3.2972825135081818E-2</v>
      </c>
      <c r="V13" s="59">
        <f>IFERROR(Inv_SY!J15/Inv_SY!$Z15-1,"")</f>
        <v>0.24803101024271812</v>
      </c>
      <c r="W13" s="59">
        <f>IFERROR(Inv_SY!K15/Inv_SY!$Z15-1,"")</f>
        <v>0.27611109487089491</v>
      </c>
      <c r="X13" s="59">
        <f>IFERROR(Inv_SY!L15/Inv_SY!$Z15-1,"")</f>
        <v>-1</v>
      </c>
      <c r="Y13" s="59">
        <f>IFERROR(Inv_SY!M15/Inv_SY!$Z15-1,"")</f>
        <v>0.23078531884132092</v>
      </c>
      <c r="Z13" s="59">
        <f>IFERROR(Inv_SY!N15/Inv_SY!$Z15-1,"")</f>
        <v>0.19274627064171401</v>
      </c>
      <c r="AA13" s="59">
        <f>IFERROR(Inv_SY!O15/Inv_SY!$Z15-1,"")</f>
        <v>0.21368421619881106</v>
      </c>
      <c r="AB13" s="59">
        <f>IFERROR(Inv_SY!P15/Inv_SY!$Z15-1,"")</f>
        <v>0.1874806265953608</v>
      </c>
      <c r="AC13" s="59">
        <f>IFERROR(Inv_SY!Q15/Inv_SY!$Z15-1,"")</f>
        <v>-1</v>
      </c>
      <c r="AD13" s="59">
        <f>IFERROR(Inv_SY!R15/Inv_SY!$Z15-1,"")</f>
        <v>5.7405698054702192E-4</v>
      </c>
      <c r="AE13" s="59">
        <f>IFERROR(Inv_SY!S15/Inv_SY!$Z15-1,"")</f>
        <v>4.1325026858570979E-2</v>
      </c>
      <c r="AF13" s="59">
        <f>IFERROR(Inv_SY!T15/Inv_SY!$Z15-1,"")</f>
        <v>-1.4506398554759548E-2</v>
      </c>
      <c r="AG13" s="59">
        <f>IFERROR(Inv_SY!U15/Inv_SY!$Z15-1,"")</f>
        <v>-2.2807134883511937E-2</v>
      </c>
      <c r="AH13" s="59">
        <f>IFERROR(Inv_SY!V15/Inv_SY!$Y15-1,"")</f>
        <v>-8.4348465139496565E-3</v>
      </c>
      <c r="AI13" s="59">
        <f>IFERROR(Inv_SY!W15/Inv_SY!$Y15-1,"")</f>
        <v>-4.86469865712158E-2</v>
      </c>
      <c r="AJ13" s="59">
        <f>IFERROR(Inv_SY!X15/Inv_SY!$Y15-1,"")</f>
        <v>5.7081833085165234E-2</v>
      </c>
      <c r="AK13" s="59">
        <f>IFERROR(Inv_SY!V15/Inv_SY!$Z15-1,"")</f>
        <v>-6.1978815214239424E-2</v>
      </c>
      <c r="AL13" s="59">
        <f>IFERROR(Inv_SY!W15/Inv_SY!$Z15-1,"")</f>
        <v>-0.10001952199651776</v>
      </c>
      <c r="AM13" s="59">
        <f>IFERROR(Inv_SY!X15/Inv_SY!$Z15-1,"")</f>
        <v>0</v>
      </c>
    </row>
    <row r="14" spans="1:39" x14ac:dyDescent="0.3">
      <c r="A14" s="55">
        <f>YEAR(Table5[[#This Row],[Date]])+IF(MONTH(Table5[[#This Row],[Date]])&gt;=4,1,0)</f>
        <v>2026</v>
      </c>
      <c r="B14" s="55">
        <v>4</v>
      </c>
      <c r="C14" s="124">
        <f>YEAR(Table5[[#This Row],[Date]])</f>
        <v>2025</v>
      </c>
      <c r="D14" s="55" t="s">
        <v>329</v>
      </c>
      <c r="E14" s="55" t="s">
        <v>329</v>
      </c>
      <c r="F14" s="126" t="str">
        <f>TEXT(Table5[[#This Row],[Date]],"mmm-yy")</f>
        <v>Apr-25</v>
      </c>
      <c r="G14" s="124">
        <f t="shared" si="3"/>
        <v>30</v>
      </c>
      <c r="H14" s="125">
        <f t="shared" si="2"/>
        <v>45757</v>
      </c>
      <c r="I14" s="55">
        <v>8.02</v>
      </c>
      <c r="J14" s="59">
        <f>IFERROR(Inv_SY!J16/Inv_SY!$Y16-1,"")</f>
        <v>0.33481169294111579</v>
      </c>
      <c r="K14" s="59">
        <f>IFERROR(Inv_SY!K16/Inv_SY!$Y16-1,"")</f>
        <v>0.33495679694078317</v>
      </c>
      <c r="L14" s="59">
        <f>IFERROR(Inv_SY!L16/Inv_SY!$Y16-1,"")</f>
        <v>-1</v>
      </c>
      <c r="M14" s="59">
        <f>IFERROR(Inv_SY!M16/Inv_SY!$Y16-1,"")</f>
        <v>0.34125615311682367</v>
      </c>
      <c r="N14" s="59">
        <f>IFERROR(Inv_SY!N16/Inv_SY!$Y16-1,"")</f>
        <v>0.30511175871409479</v>
      </c>
      <c r="O14" s="59">
        <f>IFERROR(Inv_SY!O16/Inv_SY!$Y16-1,"")</f>
        <v>0.29747952620699492</v>
      </c>
      <c r="P14" s="59">
        <f>IFERROR(Inv_SY!P16/Inv_SY!$Y16-1,"")</f>
        <v>0.32841403380823597</v>
      </c>
      <c r="Q14" s="59">
        <f>IFERROR(Inv_SY!Q16/Inv_SY!$Y16-1,"")</f>
        <v>-1</v>
      </c>
      <c r="R14" s="59">
        <f>IFERROR(Inv_SY!R16/Inv_SY!$Y16-1,"")</f>
        <v>1.2642788033103036E-2</v>
      </c>
      <c r="S14" s="59">
        <f>IFERROR(Inv_SY!S16/Inv_SY!$Y16-1,"")</f>
        <v>3.0575683473911486E-2</v>
      </c>
      <c r="T14" s="59">
        <f>IFERROR(Inv_SY!T16/Inv_SY!$Y16-1,"")</f>
        <v>2.4602078964862883E-2</v>
      </c>
      <c r="U14" s="59">
        <f>IFERROR(Inv_SY!U16/Inv_SY!$Y16-1,"")</f>
        <v>-9.8668422901865283E-3</v>
      </c>
      <c r="V14" s="59">
        <f>IFERROR(Inv_SY!J16/Inv_SY!$Z16-1,"")</f>
        <v>0.31702957993117087</v>
      </c>
      <c r="W14" s="59">
        <f>IFERROR(Inv_SY!K16/Inv_SY!$Z16-1,"")</f>
        <v>0.31717275088235386</v>
      </c>
      <c r="X14" s="59">
        <f>IFERROR(Inv_SY!L16/Inv_SY!$Z16-1,"")</f>
        <v>-1</v>
      </c>
      <c r="Y14" s="59">
        <f>IFERROR(Inv_SY!M16/Inv_SY!$Z16-1,"")</f>
        <v>0.32338818820751447</v>
      </c>
      <c r="Z14" s="59">
        <f>IFERROR(Inv_SY!N16/Inv_SY!$Z16-1,"")</f>
        <v>0.28772530270176677</v>
      </c>
      <c r="AA14" s="59">
        <f>IFERROR(Inv_SY!O16/Inv_SY!$Z16-1,"")</f>
        <v>0.2801947453760254</v>
      </c>
      <c r="AB14" s="59">
        <f>IFERROR(Inv_SY!P16/Inv_SY!$Z16-1,"")</f>
        <v>0.31071714922287086</v>
      </c>
      <c r="AC14" s="59">
        <f>IFERROR(Inv_SY!Q16/Inv_SY!$Z16-1,"")</f>
        <v>-1</v>
      </c>
      <c r="AD14" s="59">
        <f>IFERROR(Inv_SY!R16/Inv_SY!$Z16-1,"")</f>
        <v>-8.4745077041981087E-4</v>
      </c>
      <c r="AE14" s="59">
        <f>IFERROR(Inv_SY!S16/Inv_SY!$Z16-1,"")</f>
        <v>1.6846545974033011E-2</v>
      </c>
      <c r="AF14" s="59">
        <f>IFERROR(Inv_SY!T16/Inv_SY!$Z16-1,"")</f>
        <v>1.0952520712767644E-2</v>
      </c>
      <c r="AG14" s="59">
        <f>IFERROR(Inv_SY!U16/Inv_SY!$Z16-1,"")</f>
        <v>-2.3057211986825199E-2</v>
      </c>
      <c r="AH14" s="59">
        <f>IFERROR(Inv_SY!V16/Inv_SY!$Y16-1,"")</f>
        <v>2.1033427616738987E-3</v>
      </c>
      <c r="AI14" s="59">
        <f>IFERROR(Inv_SY!W16/Inv_SY!$Y16-1,"")</f>
        <v>-1.5605023575003929E-2</v>
      </c>
      <c r="AJ14" s="59">
        <f>IFERROR(Inv_SY!X16/Inv_SY!$Y16-1,"")</f>
        <v>1.3501680813330141E-2</v>
      </c>
      <c r="AK14" s="59">
        <f>IFERROR(Inv_SY!V16/Inv_SY!$Z16-1,"")</f>
        <v>-1.1246491512978185E-2</v>
      </c>
      <c r="AL14" s="59">
        <f>IFERROR(Inv_SY!W16/Inv_SY!$Z16-1,"")</f>
        <v>-2.8718950288248224E-2</v>
      </c>
      <c r="AM14" s="59">
        <f>IFERROR(Inv_SY!X16/Inv_SY!$Z16-1,"")</f>
        <v>0</v>
      </c>
    </row>
    <row r="15" spans="1:39" x14ac:dyDescent="0.3">
      <c r="A15" s="55">
        <f>YEAR(Table5[[#This Row],[Date]])+IF(MONTH(Table5[[#This Row],[Date]])&gt;=4,1,0)</f>
        <v>2026</v>
      </c>
      <c r="B15" s="55">
        <v>4</v>
      </c>
      <c r="C15" s="124">
        <f>YEAR(Table5[[#This Row],[Date]])</f>
        <v>2025</v>
      </c>
      <c r="D15" s="55" t="s">
        <v>329</v>
      </c>
      <c r="E15" s="55" t="s">
        <v>329</v>
      </c>
      <c r="F15" s="126" t="str">
        <f>TEXT(Table5[[#This Row],[Date]],"mmm-yy")</f>
        <v>Apr-25</v>
      </c>
      <c r="G15" s="124">
        <f t="shared" si="3"/>
        <v>30</v>
      </c>
      <c r="H15" s="125">
        <f t="shared" si="2"/>
        <v>45758</v>
      </c>
      <c r="I15" s="55">
        <v>8.02</v>
      </c>
      <c r="J15" s="59">
        <f>IFERROR(Inv_SY!J17/Inv_SY!$Y17-1,"")</f>
        <v>0.32413128916763978</v>
      </c>
      <c r="K15" s="59">
        <f>IFERROR(Inv_SY!K17/Inv_SY!$Y17-1,"")</f>
        <v>0.32473492305219853</v>
      </c>
      <c r="L15" s="59">
        <f>IFERROR(Inv_SY!L17/Inv_SY!$Y17-1,"")</f>
        <v>-1</v>
      </c>
      <c r="M15" s="59">
        <f>IFERROR(Inv_SY!M17/Inv_SY!$Y17-1,"")</f>
        <v>0.3232220057447095</v>
      </c>
      <c r="N15" s="59">
        <f>IFERROR(Inv_SY!N17/Inv_SY!$Y17-1,"")</f>
        <v>0.29132626145124574</v>
      </c>
      <c r="O15" s="59">
        <f>IFERROR(Inv_SY!O17/Inv_SY!$Y17-1,"")</f>
        <v>0.26380946238908232</v>
      </c>
      <c r="P15" s="59">
        <f>IFERROR(Inv_SY!P17/Inv_SY!$Y17-1,"")</f>
        <v>0.26574208038341496</v>
      </c>
      <c r="Q15" s="59">
        <f>IFERROR(Inv_SY!Q17/Inv_SY!$Y17-1,"")</f>
        <v>-1</v>
      </c>
      <c r="R15" s="59">
        <f>IFERROR(Inv_SY!R17/Inv_SY!$Y17-1,"")</f>
        <v>5.2752051757363194E-2</v>
      </c>
      <c r="S15" s="59">
        <f>IFERROR(Inv_SY!S17/Inv_SY!$Y17-1,"")</f>
        <v>7.0868855847127321E-2</v>
      </c>
      <c r="T15" s="59">
        <f>IFERROR(Inv_SY!T17/Inv_SY!$Y17-1,"")</f>
        <v>3.7407942150240237E-2</v>
      </c>
      <c r="U15" s="59">
        <f>IFERROR(Inv_SY!U17/Inv_SY!$Y17-1,"")</f>
        <v>4.6472036981105136E-2</v>
      </c>
      <c r="V15" s="59">
        <f>IFERROR(Inv_SY!J17/Inv_SY!$Z17-1,"")</f>
        <v>0.26008438523341271</v>
      </c>
      <c r="W15" s="59">
        <f>IFERROR(Inv_SY!K17/Inv_SY!$Z17-1,"")</f>
        <v>0.26065882195169943</v>
      </c>
      <c r="X15" s="59">
        <f>IFERROR(Inv_SY!L17/Inv_SY!$Z17-1,"")</f>
        <v>-1</v>
      </c>
      <c r="Y15" s="59">
        <f>IFERROR(Inv_SY!M17/Inv_SY!$Z17-1,"")</f>
        <v>0.25921908293872398</v>
      </c>
      <c r="Z15" s="59">
        <f>IFERROR(Inv_SY!N17/Inv_SY!$Z17-1,"")</f>
        <v>0.22886610384338346</v>
      </c>
      <c r="AA15" s="59">
        <f>IFERROR(Inv_SY!O17/Inv_SY!$Z17-1,"")</f>
        <v>0.20268026478535961</v>
      </c>
      <c r="AB15" s="59">
        <f>IFERROR(Inv_SY!P17/Inv_SY!$Z17-1,"")</f>
        <v>0.20451940398341506</v>
      </c>
      <c r="AC15" s="59">
        <f>IFERROR(Inv_SY!Q17/Inv_SY!$Z17-1,"")</f>
        <v>-1</v>
      </c>
      <c r="AD15" s="59">
        <f>IFERROR(Inv_SY!R17/Inv_SY!$Z17-1,"")</f>
        <v>1.8314896672939618E-3</v>
      </c>
      <c r="AE15" s="59">
        <f>IFERROR(Inv_SY!S17/Inv_SY!$Z17-1,"")</f>
        <v>1.9072002092761275E-2</v>
      </c>
      <c r="AF15" s="59">
        <f>IFERROR(Inv_SY!T17/Inv_SY!$Z17-1,"")</f>
        <v>-1.2770440729955035E-2</v>
      </c>
      <c r="AG15" s="59">
        <f>IFERROR(Inv_SY!U17/Inv_SY!$Z17-1,"")</f>
        <v>-4.144767085593748E-3</v>
      </c>
      <c r="AH15" s="59">
        <f>IFERROR(Inv_SY!V17/Inv_SY!$Y17-1,"")</f>
        <v>-7.6445229677487569E-3</v>
      </c>
      <c r="AI15" s="59">
        <f>IFERROR(Inv_SY!W17/Inv_SY!$Y17-1,"")</f>
        <v>-4.3182949132354653E-2</v>
      </c>
      <c r="AJ15" s="59">
        <f>IFERROR(Inv_SY!X17/Inv_SY!$Y17-1,"")</f>
        <v>5.0827472100103188E-2</v>
      </c>
      <c r="AK15" s="59">
        <f>IFERROR(Inv_SY!V17/Inv_SY!$Z17-1,"")</f>
        <v>-5.564376324402176E-2</v>
      </c>
      <c r="AL15" s="59">
        <f>IFERROR(Inv_SY!W17/Inv_SY!$Z17-1,"")</f>
        <v>-8.9463231337657989E-2</v>
      </c>
      <c r="AM15" s="59">
        <f>IFERROR(Inv_SY!X17/Inv_SY!$Z17-1,"")</f>
        <v>0</v>
      </c>
    </row>
    <row r="16" spans="1:39" x14ac:dyDescent="0.3">
      <c r="A16" s="55">
        <f>YEAR(Table5[[#This Row],[Date]])+IF(MONTH(Table5[[#This Row],[Date]])&gt;=4,1,0)</f>
        <v>2026</v>
      </c>
      <c r="B16" s="55">
        <v>4</v>
      </c>
      <c r="C16" s="124">
        <f>YEAR(Table5[[#This Row],[Date]])</f>
        <v>2025</v>
      </c>
      <c r="D16" s="55" t="s">
        <v>329</v>
      </c>
      <c r="E16" s="55" t="s">
        <v>329</v>
      </c>
      <c r="F16" s="126" t="str">
        <f>TEXT(Table5[[#This Row],[Date]],"mmm-yy")</f>
        <v>Apr-25</v>
      </c>
      <c r="G16" s="124">
        <f t="shared" si="3"/>
        <v>30</v>
      </c>
      <c r="H16" s="125">
        <f t="shared" si="2"/>
        <v>45759</v>
      </c>
      <c r="I16" s="55">
        <v>8.02</v>
      </c>
      <c r="J16" s="59">
        <f>IFERROR(Inv_SY!J18/Inv_SY!$Y18-1,"")</f>
        <v>0.34799341288103158</v>
      </c>
      <c r="K16" s="59">
        <f>IFERROR(Inv_SY!K18/Inv_SY!$Y18-1,"")</f>
        <v>0.36363358893984388</v>
      </c>
      <c r="L16" s="59">
        <f>IFERROR(Inv_SY!L18/Inv_SY!$Y18-1,"")</f>
        <v>-1</v>
      </c>
      <c r="M16" s="59">
        <f>IFERROR(Inv_SY!M18/Inv_SY!$Y18-1,"")</f>
        <v>0.32900638586489461</v>
      </c>
      <c r="N16" s="59">
        <f>IFERROR(Inv_SY!N18/Inv_SY!$Y18-1,"")</f>
        <v>0.21205920424154989</v>
      </c>
      <c r="O16" s="59">
        <f>IFERROR(Inv_SY!O18/Inv_SY!$Y18-1,"")</f>
        <v>0.21996082730703304</v>
      </c>
      <c r="P16" s="59">
        <f>IFERROR(Inv_SY!P18/Inv_SY!$Y18-1,"")</f>
        <v>0.20589967130074038</v>
      </c>
      <c r="Q16" s="59">
        <f>IFERROR(Inv_SY!Q18/Inv_SY!$Y18-1,"")</f>
        <v>-1</v>
      </c>
      <c r="R16" s="59">
        <f>IFERROR(Inv_SY!R18/Inv_SY!$Y18-1,"")</f>
        <v>8.2658098160163229E-2</v>
      </c>
      <c r="S16" s="59">
        <f>IFERROR(Inv_SY!S18/Inv_SY!$Y18-1,"")</f>
        <v>0.11484183028768435</v>
      </c>
      <c r="T16" s="59">
        <f>IFERROR(Inv_SY!T18/Inv_SY!$Y18-1,"")</f>
        <v>6.688412691449841E-2</v>
      </c>
      <c r="U16" s="59">
        <f>IFERROR(Inv_SY!U18/Inv_SY!$Y18-1,"")</f>
        <v>5.8686830721714545E-2</v>
      </c>
      <c r="V16" s="59">
        <f>IFERROR(Inv_SY!J18/Inv_SY!$Z18-1,"")</f>
        <v>0.24861947936576012</v>
      </c>
      <c r="W16" s="59">
        <f>IFERROR(Inv_SY!K18/Inv_SY!$Z18-1,"")</f>
        <v>0.26310666328011245</v>
      </c>
      <c r="X16" s="59">
        <f>IFERROR(Inv_SY!L18/Inv_SY!$Z18-1,"")</f>
        <v>-1</v>
      </c>
      <c r="Y16" s="59">
        <f>IFERROR(Inv_SY!M18/Inv_SY!$Z18-1,"")</f>
        <v>0.23103217399686882</v>
      </c>
      <c r="Z16" s="59">
        <f>IFERROR(Inv_SY!N18/Inv_SY!$Z18-1,"")</f>
        <v>0.12270632638034118</v>
      </c>
      <c r="AA16" s="59">
        <f>IFERROR(Inv_SY!O18/Inv_SY!$Z18-1,"")</f>
        <v>0.13002544261925641</v>
      </c>
      <c r="AB16" s="59">
        <f>IFERROR(Inv_SY!P18/Inv_SY!$Z18-1,"")</f>
        <v>0.11700087356417943</v>
      </c>
      <c r="AC16" s="59">
        <f>IFERROR(Inv_SY!Q18/Inv_SY!$Z18-1,"")</f>
        <v>-1</v>
      </c>
      <c r="AD16" s="59">
        <f>IFERROR(Inv_SY!R18/Inv_SY!$Z18-1,"")</f>
        <v>2.844656315226457E-3</v>
      </c>
      <c r="AE16" s="59">
        <f>IFERROR(Inv_SY!S18/Inv_SY!$Z18-1,"")</f>
        <v>3.265580707391269E-2</v>
      </c>
      <c r="AF16" s="59">
        <f>IFERROR(Inv_SY!T18/Inv_SY!$Z18-1,"")</f>
        <v>-1.1766459418787067E-2</v>
      </c>
      <c r="AG16" s="59">
        <f>IFERROR(Inv_SY!U18/Inv_SY!$Z18-1,"")</f>
        <v>-1.9359451792959725E-2</v>
      </c>
      <c r="AH16" s="59">
        <f>IFERROR(Inv_SY!V18/Inv_SY!$Y18-1,"")</f>
        <v>9.4119295486279064E-3</v>
      </c>
      <c r="AI16" s="59">
        <f>IFERROR(Inv_SY!W18/Inv_SY!$Y18-1,"")</f>
        <v>-8.8998973606076559E-2</v>
      </c>
      <c r="AJ16" s="59">
        <f>IFERROR(Inv_SY!X18/Inv_SY!$Y18-1,"")</f>
        <v>7.9587044057448653E-2</v>
      </c>
      <c r="AK16" s="59">
        <f>IFERROR(Inv_SY!V18/Inv_SY!$Z18-1,"")</f>
        <v>-6.5001812401415449E-2</v>
      </c>
      <c r="AL16" s="59">
        <f>IFERROR(Inv_SY!W18/Inv_SY!$Z18-1,"")</f>
        <v>-0.15615787406073589</v>
      </c>
      <c r="AM16" s="59">
        <f>IFERROR(Inv_SY!X18/Inv_SY!$Z18-1,"")</f>
        <v>0</v>
      </c>
    </row>
    <row r="17" spans="1:39" x14ac:dyDescent="0.3">
      <c r="A17" s="55">
        <f>YEAR(Table5[[#This Row],[Date]])+IF(MONTH(Table5[[#This Row],[Date]])&gt;=4,1,0)</f>
        <v>2026</v>
      </c>
      <c r="B17" s="55">
        <v>4</v>
      </c>
      <c r="C17" s="124">
        <f>YEAR(Table5[[#This Row],[Date]])</f>
        <v>2025</v>
      </c>
      <c r="D17" s="55" t="s">
        <v>329</v>
      </c>
      <c r="E17" s="55" t="s">
        <v>329</v>
      </c>
      <c r="F17" s="126" t="str">
        <f>TEXT(Table5[[#This Row],[Date]],"mmm-yy")</f>
        <v>Apr-25</v>
      </c>
      <c r="G17" s="124">
        <f t="shared" si="3"/>
        <v>30</v>
      </c>
      <c r="H17" s="125">
        <f t="shared" si="2"/>
        <v>45760</v>
      </c>
      <c r="I17" s="55">
        <v>8.02</v>
      </c>
      <c r="J17" s="59">
        <f>IFERROR(Inv_SY!J19/Inv_SY!$Y19-1,"")</f>
        <v>0.35383599063114768</v>
      </c>
      <c r="K17" s="59">
        <f>IFERROR(Inv_SY!K19/Inv_SY!$Y19-1,"")</f>
        <v>0.3545541713746343</v>
      </c>
      <c r="L17" s="59">
        <f>IFERROR(Inv_SY!L19/Inv_SY!$Y19-1,"")</f>
        <v>-1</v>
      </c>
      <c r="M17" s="59">
        <f>IFERROR(Inv_SY!M19/Inv_SY!$Y19-1,"")</f>
        <v>0.35396760528399462</v>
      </c>
      <c r="N17" s="59">
        <f>IFERROR(Inv_SY!N19/Inv_SY!$Y19-1,"")</f>
        <v>0.23063641885798303</v>
      </c>
      <c r="O17" s="59">
        <f>IFERROR(Inv_SY!O19/Inv_SY!$Y19-1,"")</f>
        <v>0.20279862011379746</v>
      </c>
      <c r="P17" s="59">
        <f>IFERROR(Inv_SY!P19/Inv_SY!$Y19-1,"")</f>
        <v>0.20462350560954268</v>
      </c>
      <c r="Q17" s="59">
        <f>IFERROR(Inv_SY!Q19/Inv_SY!$Y19-1,"")</f>
        <v>-1</v>
      </c>
      <c r="R17" s="59">
        <f>IFERROR(Inv_SY!R19/Inv_SY!$Y19-1,"")</f>
        <v>7.5076265866543146E-2</v>
      </c>
      <c r="S17" s="59">
        <f>IFERROR(Inv_SY!S19/Inv_SY!$Y19-1,"")</f>
        <v>9.4394858596976272E-2</v>
      </c>
      <c r="T17" s="59">
        <f>IFERROR(Inv_SY!T19/Inv_SY!$Y19-1,"")</f>
        <v>5.9993509384821619E-2</v>
      </c>
      <c r="U17" s="59">
        <f>IFERROR(Inv_SY!U19/Inv_SY!$Y19-1,"")</f>
        <v>7.1018701904426162E-2</v>
      </c>
      <c r="V17" s="59">
        <f>IFERROR(Inv_SY!J19/Inv_SY!$Z19-1,"")</f>
        <v>0.26049179872697992</v>
      </c>
      <c r="W17" s="59">
        <f>IFERROR(Inv_SY!K19/Inv_SY!$Z19-1,"")</f>
        <v>0.261160462393357</v>
      </c>
      <c r="X17" s="59">
        <f>IFERROR(Inv_SY!L19/Inv_SY!$Z19-1,"")</f>
        <v>-1</v>
      </c>
      <c r="Y17" s="59">
        <f>IFERROR(Inv_SY!M19/Inv_SY!$Z19-1,"")</f>
        <v>0.26061433882168394</v>
      </c>
      <c r="Z17" s="59">
        <f>IFERROR(Inv_SY!N19/Inv_SY!$Z19-1,"")</f>
        <v>0.14578658265841171</v>
      </c>
      <c r="AA17" s="59">
        <f>IFERROR(Inv_SY!O19/Inv_SY!$Z19-1,"")</f>
        <v>0.11986814257077594</v>
      </c>
      <c r="AB17" s="59">
        <f>IFERROR(Inv_SY!P19/Inv_SY!$Z19-1,"")</f>
        <v>0.12156720598534099</v>
      </c>
      <c r="AC17" s="59">
        <f>IFERROR(Inv_SY!Q19/Inv_SY!$Z19-1,"")</f>
        <v>-1</v>
      </c>
      <c r="AD17" s="59">
        <f>IFERROR(Inv_SY!R19/Inv_SY!$Z19-1,"")</f>
        <v>9.5198052686962242E-4</v>
      </c>
      <c r="AE17" s="59">
        <f>IFERROR(Inv_SY!S19/Inv_SY!$Z19-1,"")</f>
        <v>1.8938596238205152E-2</v>
      </c>
      <c r="AF17" s="59">
        <f>IFERROR(Inv_SY!T19/Inv_SY!$Z19-1,"")</f>
        <v>-1.309085108565311E-2</v>
      </c>
      <c r="AG17" s="59">
        <f>IFERROR(Inv_SY!U19/Inv_SY!$Z19-1,"")</f>
        <v>-2.8258227908529721E-3</v>
      </c>
      <c r="AH17" s="59">
        <f>IFERROR(Inv_SY!V19/Inv_SY!$Y19-1,"")</f>
        <v>1.4910417544088839E-2</v>
      </c>
      <c r="AI17" s="59">
        <f>IFERROR(Inv_SY!W19/Inv_SY!$Y19-1,"")</f>
        <v>-8.8964205120048989E-2</v>
      </c>
      <c r="AJ17" s="59">
        <f>IFERROR(Inv_SY!X19/Inv_SY!$Y19-1,"")</f>
        <v>7.405378757596015E-2</v>
      </c>
      <c r="AK17" s="59">
        <f>IFERROR(Inv_SY!V19/Inv_SY!$Z19-1,"")</f>
        <v>-5.5065556973038166E-2</v>
      </c>
      <c r="AL17" s="59">
        <f>IFERROR(Inv_SY!W19/Inv_SY!$Z19-1,"")</f>
        <v>-0.15177823921083655</v>
      </c>
      <c r="AM17" s="59">
        <f>IFERROR(Inv_SY!X19/Inv_SY!$Z19-1,"")</f>
        <v>0</v>
      </c>
    </row>
    <row r="18" spans="1:39" x14ac:dyDescent="0.3">
      <c r="A18" s="55">
        <f>YEAR(Table5[[#This Row],[Date]])+IF(MONTH(Table5[[#This Row],[Date]])&gt;=4,1,0)</f>
        <v>2026</v>
      </c>
      <c r="B18" s="55">
        <v>4</v>
      </c>
      <c r="C18" s="124">
        <f>YEAR(Table5[[#This Row],[Date]])</f>
        <v>2025</v>
      </c>
      <c r="D18" s="55" t="s">
        <v>329</v>
      </c>
      <c r="E18" s="55" t="s">
        <v>329</v>
      </c>
      <c r="F18" s="126" t="str">
        <f>TEXT(Table5[[#This Row],[Date]],"mmm-yy")</f>
        <v>Apr-25</v>
      </c>
      <c r="G18" s="124">
        <f t="shared" si="3"/>
        <v>30</v>
      </c>
      <c r="H18" s="125">
        <f t="shared" si="2"/>
        <v>45761</v>
      </c>
      <c r="I18" s="55">
        <v>8.02</v>
      </c>
      <c r="J18" s="59">
        <f>IFERROR(Inv_SY!J20/Inv_SY!$Y20-1,"")</f>
        <v>0.3471095290052626</v>
      </c>
      <c r="K18" s="59">
        <f>IFERROR(Inv_SY!K20/Inv_SY!$Y20-1,"")</f>
        <v>0.32374534386104137</v>
      </c>
      <c r="L18" s="59">
        <f>IFERROR(Inv_SY!L20/Inv_SY!$Y20-1,"")</f>
        <v>-1</v>
      </c>
      <c r="M18" s="59">
        <f>IFERROR(Inv_SY!M20/Inv_SY!$Y20-1,"")</f>
        <v>0.30209900600700568</v>
      </c>
      <c r="N18" s="59">
        <f>IFERROR(Inv_SY!N20/Inv_SY!$Y20-1,"")</f>
        <v>0.2596628212757337</v>
      </c>
      <c r="O18" s="59">
        <f>IFERROR(Inv_SY!O20/Inv_SY!$Y20-1,"")</f>
        <v>0.27632643131763035</v>
      </c>
      <c r="P18" s="59">
        <f>IFERROR(Inv_SY!P20/Inv_SY!$Y20-1,"")</f>
        <v>0.25351538461233747</v>
      </c>
      <c r="Q18" s="59">
        <f>IFERROR(Inv_SY!Q20/Inv_SY!$Y20-1,"")</f>
        <v>-1</v>
      </c>
      <c r="R18" s="59">
        <f>IFERROR(Inv_SY!R20/Inv_SY!$Y20-1,"")</f>
        <v>8.4303094134567713E-2</v>
      </c>
      <c r="S18" s="59">
        <f>IFERROR(Inv_SY!S20/Inv_SY!$Y20-1,"")</f>
        <v>7.7111034871287787E-2</v>
      </c>
      <c r="T18" s="59">
        <f>IFERROR(Inv_SY!T20/Inv_SY!$Y20-1,"")</f>
        <v>4.2925953716636434E-2</v>
      </c>
      <c r="U18" s="59">
        <f>IFERROR(Inv_SY!U20/Inv_SY!$Y20-1,"")</f>
        <v>3.4340459329682327E-2</v>
      </c>
      <c r="V18" s="59">
        <f>IFERROR(Inv_SY!J20/Inv_SY!$Z20-1,"")</f>
        <v>0.27259474318015342</v>
      </c>
      <c r="W18" s="59">
        <f>IFERROR(Inv_SY!K20/Inv_SY!$Z20-1,"")</f>
        <v>0.25052293791634583</v>
      </c>
      <c r="X18" s="59">
        <f>IFERROR(Inv_SY!L20/Inv_SY!$Z20-1,"")</f>
        <v>-1</v>
      </c>
      <c r="Y18" s="59">
        <f>IFERROR(Inv_SY!M20/Inv_SY!$Z20-1,"")</f>
        <v>0.23007395795664731</v>
      </c>
      <c r="Z18" s="59">
        <f>IFERROR(Inv_SY!N20/Inv_SY!$Z20-1,"")</f>
        <v>0.18998511258301498</v>
      </c>
      <c r="AA18" s="59">
        <f>IFERROR(Inv_SY!O20/Inv_SY!$Z20-1,"")</f>
        <v>0.20572698218242391</v>
      </c>
      <c r="AB18" s="59">
        <f>IFERROR(Inv_SY!P20/Inv_SY!$Z20-1,"")</f>
        <v>0.18417771874203481</v>
      </c>
      <c r="AC18" s="59">
        <f>IFERROR(Inv_SY!Q20/Inv_SY!$Z20-1,"")</f>
        <v>-1</v>
      </c>
      <c r="AD18" s="59">
        <f>IFERROR(Inv_SY!R20/Inv_SY!$Z20-1,"")</f>
        <v>2.4325333537326133E-2</v>
      </c>
      <c r="AE18" s="59">
        <f>IFERROR(Inv_SY!S20/Inv_SY!$Z20-1,"")</f>
        <v>1.7531099947538653E-2</v>
      </c>
      <c r="AF18" s="59">
        <f>IFERROR(Inv_SY!T20/Inv_SY!$Z20-1,"")</f>
        <v>-1.4763048104936671E-2</v>
      </c>
      <c r="AG18" s="59">
        <f>IFERROR(Inv_SY!U20/Inv_SY!$Z20-1,"")</f>
        <v>-2.2873639552172698E-2</v>
      </c>
      <c r="AH18" s="59">
        <f>IFERROR(Inv_SY!V20/Inv_SY!$Y20-1,"")</f>
        <v>-7.5140701557026013E-3</v>
      </c>
      <c r="AI18" s="59">
        <f>IFERROR(Inv_SY!W20/Inv_SY!$Y20-1,"")</f>
        <v>-5.1039358753567132E-2</v>
      </c>
      <c r="AJ18" s="59">
        <f>IFERROR(Inv_SY!X20/Inv_SY!$Y20-1,"")</f>
        <v>5.8553428909269511E-2</v>
      </c>
      <c r="AK18" s="59">
        <f>IFERROR(Inv_SY!V20/Inv_SY!$Z20-1,"")</f>
        <v>-6.2413003690373836E-2</v>
      </c>
      <c r="AL18" s="59">
        <f>IFERROR(Inv_SY!W20/Inv_SY!$Z20-1,"")</f>
        <v>-0.10353070961733191</v>
      </c>
      <c r="AM18" s="59">
        <f>IFERROR(Inv_SY!X20/Inv_SY!$Z20-1,"")</f>
        <v>0</v>
      </c>
    </row>
    <row r="19" spans="1:39" x14ac:dyDescent="0.3">
      <c r="A19" s="55">
        <f>YEAR(Table5[[#This Row],[Date]])+IF(MONTH(Table5[[#This Row],[Date]])&gt;=4,1,0)</f>
        <v>2026</v>
      </c>
      <c r="B19" s="55">
        <v>4</v>
      </c>
      <c r="C19" s="124">
        <f>YEAR(Table5[[#This Row],[Date]])</f>
        <v>2025</v>
      </c>
      <c r="D19" s="55" t="s">
        <v>329</v>
      </c>
      <c r="E19" s="55" t="s">
        <v>329</v>
      </c>
      <c r="F19" s="126" t="str">
        <f>TEXT(Table5[[#This Row],[Date]],"mmm-yy")</f>
        <v>Apr-25</v>
      </c>
      <c r="G19" s="124">
        <f t="shared" si="3"/>
        <v>30</v>
      </c>
      <c r="H19" s="125">
        <f t="shared" si="2"/>
        <v>45762</v>
      </c>
      <c r="I19" s="55">
        <v>8.02</v>
      </c>
      <c r="J19" s="59">
        <f>IFERROR(Inv_SY!J21/Inv_SY!$Y21-1,"")</f>
        <v>0.34994129866221901</v>
      </c>
      <c r="K19" s="59">
        <f>IFERROR(Inv_SY!K21/Inv_SY!$Y21-1,"")</f>
        <v>0.37269155007681176</v>
      </c>
      <c r="L19" s="59">
        <f>IFERROR(Inv_SY!L21/Inv_SY!$Y21-1,"")</f>
        <v>-1</v>
      </c>
      <c r="M19" s="59">
        <f>IFERROR(Inv_SY!M21/Inv_SY!$Y21-1,"")</f>
        <v>0.32878837232990499</v>
      </c>
      <c r="N19" s="59">
        <f>IFERROR(Inv_SY!N21/Inv_SY!$Y21-1,"")</f>
        <v>0.30160244856562901</v>
      </c>
      <c r="O19" s="59">
        <f>IFERROR(Inv_SY!O21/Inv_SY!$Y21-1,"")</f>
        <v>0.2700030975487091</v>
      </c>
      <c r="P19" s="59">
        <f>IFERROR(Inv_SY!P21/Inv_SY!$Y21-1,"")</f>
        <v>0.27142169916563041</v>
      </c>
      <c r="Q19" s="59">
        <f>IFERROR(Inv_SY!Q21/Inv_SY!$Y21-1,"")</f>
        <v>-1</v>
      </c>
      <c r="R19" s="59">
        <f>IFERROR(Inv_SY!R21/Inv_SY!$Y21-1,"")</f>
        <v>2.565181992152521E-2</v>
      </c>
      <c r="S19" s="59">
        <f>IFERROR(Inv_SY!S21/Inv_SY!$Y21-1,"")</f>
        <v>6.6892281965833078E-2</v>
      </c>
      <c r="T19" s="59">
        <f>IFERROR(Inv_SY!T21/Inv_SY!$Y21-1,"")</f>
        <v>1.141151072042601E-2</v>
      </c>
      <c r="U19" s="59">
        <f>IFERROR(Inv_SY!U21/Inv_SY!$Y21-1,"")</f>
        <v>2.8908892563772604E-3</v>
      </c>
      <c r="V19" s="59">
        <f>IFERROR(Inv_SY!J21/Inv_SY!$Z21-1,"")</f>
        <v>0.3163166124329122</v>
      </c>
      <c r="W19" s="59">
        <f>IFERROR(Inv_SY!K21/Inv_SY!$Z21-1,"")</f>
        <v>0.33850019471440151</v>
      </c>
      <c r="X19" s="59">
        <f>IFERROR(Inv_SY!L21/Inv_SY!$Z21-1,"")</f>
        <v>-1</v>
      </c>
      <c r="Y19" s="59">
        <f>IFERROR(Inv_SY!M21/Inv_SY!$Z21-1,"")</f>
        <v>0.29569056864835086</v>
      </c>
      <c r="Z19" s="59">
        <f>IFERROR(Inv_SY!N21/Inv_SY!$Z21-1,"")</f>
        <v>0.26918179888872196</v>
      </c>
      <c r="AA19" s="59">
        <f>IFERROR(Inv_SY!O21/Inv_SY!$Z21-1,"")</f>
        <v>0.23836953266137528</v>
      </c>
      <c r="AB19" s="59">
        <f>IFERROR(Inv_SY!P21/Inv_SY!$Z21-1,"")</f>
        <v>0.23975279938314165</v>
      </c>
      <c r="AC19" s="59">
        <f>IFERROR(Inv_SY!Q21/Inv_SY!$Z21-1,"")</f>
        <v>-1</v>
      </c>
      <c r="AD19" s="59">
        <f>IFERROR(Inv_SY!R21/Inv_SY!$Z21-1,"")</f>
        <v>1.0461971396402703E-4</v>
      </c>
      <c r="AE19" s="59">
        <f>IFERROR(Inv_SY!S21/Inv_SY!$Z21-1,"")</f>
        <v>4.0317853687269478E-2</v>
      </c>
      <c r="AF19" s="59">
        <f>IFERROR(Inv_SY!T21/Inv_SY!$Z21-1,"")</f>
        <v>-1.3780988190738142E-2</v>
      </c>
      <c r="AG19" s="59">
        <f>IFERROR(Inv_SY!U21/Inv_SY!$Z21-1,"")</f>
        <v>-2.2089375816551793E-2</v>
      </c>
      <c r="AH19" s="59">
        <f>IFERROR(Inv_SY!V21/Inv_SY!$Y21-1,"")</f>
        <v>1.209179991424425E-2</v>
      </c>
      <c r="AI19" s="59">
        <f>IFERROR(Inv_SY!W21/Inv_SY!$Y21-1,"")</f>
        <v>-3.7636327660619195E-2</v>
      </c>
      <c r="AJ19" s="59">
        <f>IFERROR(Inv_SY!X21/Inv_SY!$Y21-1,"")</f>
        <v>2.5544527746375056E-2</v>
      </c>
      <c r="AK19" s="59">
        <f>IFERROR(Inv_SY!V21/Inv_SY!$Z21-1,"")</f>
        <v>-1.3117643815713231E-2</v>
      </c>
      <c r="AL19" s="59">
        <f>IFERROR(Inv_SY!W21/Inv_SY!$Z21-1,"")</f>
        <v>-6.1607130356234774E-2</v>
      </c>
      <c r="AM19" s="59">
        <f>IFERROR(Inv_SY!X21/Inv_SY!$Z21-1,"")</f>
        <v>0</v>
      </c>
    </row>
    <row r="20" spans="1:39" x14ac:dyDescent="0.3">
      <c r="A20" s="55">
        <f>YEAR(Table5[[#This Row],[Date]])+IF(MONTH(Table5[[#This Row],[Date]])&gt;=4,1,0)</f>
        <v>2026</v>
      </c>
      <c r="B20" s="55">
        <v>4</v>
      </c>
      <c r="C20" s="124">
        <f>YEAR(Table5[[#This Row],[Date]])</f>
        <v>2025</v>
      </c>
      <c r="D20" s="55" t="s">
        <v>329</v>
      </c>
      <c r="E20" s="55" t="s">
        <v>329</v>
      </c>
      <c r="F20" s="126" t="str">
        <f>TEXT(Table5[[#This Row],[Date]],"mmm-yy")</f>
        <v>Apr-25</v>
      </c>
      <c r="G20" s="124">
        <f t="shared" si="3"/>
        <v>30</v>
      </c>
      <c r="H20" s="125">
        <f t="shared" si="2"/>
        <v>45763</v>
      </c>
      <c r="I20" s="55">
        <v>8.02</v>
      </c>
      <c r="J20" s="59">
        <f>IFERROR(Inv_SY!J22/Inv_SY!$Y22-1,"")</f>
        <v>0.32100597851056656</v>
      </c>
      <c r="K20" s="59">
        <f>IFERROR(Inv_SY!K22/Inv_SY!$Y22-1,"")</f>
        <v>0.32012327496521276</v>
      </c>
      <c r="L20" s="59">
        <f>IFERROR(Inv_SY!L22/Inv_SY!$Y22-1,"")</f>
        <v>-1</v>
      </c>
      <c r="M20" s="59">
        <f>IFERROR(Inv_SY!M22/Inv_SY!$Y22-1,"")</f>
        <v>0.3521196863061804</v>
      </c>
      <c r="N20" s="59">
        <f>IFERROR(Inv_SY!N22/Inv_SY!$Y22-1,"")</f>
        <v>0.29939355444705051</v>
      </c>
      <c r="O20" s="59">
        <f>IFERROR(Inv_SY!O22/Inv_SY!$Y22-1,"")</f>
        <v>0.32549316449149424</v>
      </c>
      <c r="P20" s="59">
        <f>IFERROR(Inv_SY!P22/Inv_SY!$Y22-1,"")</f>
        <v>0.29376582603121704</v>
      </c>
      <c r="Q20" s="59">
        <f>IFERROR(Inv_SY!Q22/Inv_SY!$Y22-1,"")</f>
        <v>-1</v>
      </c>
      <c r="R20" s="59">
        <f>IFERROR(Inv_SY!R22/Inv_SY!$Y22-1,"")</f>
        <v>1.9563878884729879E-2</v>
      </c>
      <c r="S20" s="59">
        <f>IFERROR(Inv_SY!S22/Inv_SY!$Y22-1,"")</f>
        <v>3.7568721233007585E-2</v>
      </c>
      <c r="T20" s="59">
        <f>IFERROR(Inv_SY!T22/Inv_SY!$Y22-1,"")</f>
        <v>3.3184980019684174E-2</v>
      </c>
      <c r="U20" s="59">
        <f>IFERROR(Inv_SY!U22/Inv_SY!$Y22-1,"")</f>
        <v>-2.4897690227513314E-3</v>
      </c>
      <c r="V20" s="59">
        <f>IFERROR(Inv_SY!J22/Inv_SY!$Z22-1,"")</f>
        <v>0.29387509103685105</v>
      </c>
      <c r="W20" s="59">
        <f>IFERROR(Inv_SY!K22/Inv_SY!$Z22-1,"")</f>
        <v>0.29301051650147247</v>
      </c>
      <c r="X20" s="59">
        <f>IFERROR(Inv_SY!L22/Inv_SY!$Z22-1,"")</f>
        <v>-1</v>
      </c>
      <c r="Y20" s="59">
        <f>IFERROR(Inv_SY!M22/Inv_SY!$Z22-1,"")</f>
        <v>0.32434978393107539</v>
      </c>
      <c r="Z20" s="59">
        <f>IFERROR(Inv_SY!N22/Inv_SY!$Z22-1,"")</f>
        <v>0.27270654402979044</v>
      </c>
      <c r="AA20" s="59">
        <f>IFERROR(Inv_SY!O22/Inv_SY!$Z22-1,"")</f>
        <v>0.29827011896558031</v>
      </c>
      <c r="AB20" s="59">
        <f>IFERROR(Inv_SY!P22/Inv_SY!$Z22-1,"")</f>
        <v>0.26719439818426061</v>
      </c>
      <c r="AC20" s="59">
        <f>IFERROR(Inv_SY!Q22/Inv_SY!$Z22-1,"")</f>
        <v>-1</v>
      </c>
      <c r="AD20" s="59">
        <f>IFERROR(Inv_SY!R22/Inv_SY!$Z22-1,"")</f>
        <v>-1.3759755294605602E-3</v>
      </c>
      <c r="AE20" s="59">
        <f>IFERROR(Inv_SY!S22/Inv_SY!$Z22-1,"")</f>
        <v>1.6259082457747098E-2</v>
      </c>
      <c r="AF20" s="59">
        <f>IFERROR(Inv_SY!T22/Inv_SY!$Z22-1,"")</f>
        <v>1.1965374742763046E-2</v>
      </c>
      <c r="AG20" s="59">
        <f>IFERROR(Inv_SY!U22/Inv_SY!$Z22-1,"")</f>
        <v>-2.297668450290502E-2</v>
      </c>
      <c r="AH20" s="59">
        <f>IFERROR(Inv_SY!V22/Inv_SY!$Y22-1,"")</f>
        <v>-2.2703248385260721E-3</v>
      </c>
      <c r="AI20" s="59">
        <f>IFERROR(Inv_SY!W22/Inv_SY!$Y22-1,"")</f>
        <v>-1.8698382003162983E-2</v>
      </c>
      <c r="AJ20" s="59">
        <f>IFERROR(Inv_SY!X22/Inv_SY!$Y22-1,"")</f>
        <v>2.0968706841689055E-2</v>
      </c>
      <c r="AK20" s="59">
        <f>IFERROR(Inv_SY!V22/Inv_SY!$Z22-1,"")</f>
        <v>-2.276174727441338E-2</v>
      </c>
      <c r="AL20" s="59">
        <f>IFERROR(Inv_SY!W22/Inv_SY!$Z22-1,"")</f>
        <v>-3.8852404171681232E-2</v>
      </c>
      <c r="AM20" s="59">
        <f>IFERROR(Inv_SY!X22/Inv_SY!$Z22-1,"")</f>
        <v>0</v>
      </c>
    </row>
    <row r="21" spans="1:39" x14ac:dyDescent="0.3">
      <c r="A21" s="55">
        <f>YEAR(Table5[[#This Row],[Date]])+IF(MONTH(Table5[[#This Row],[Date]])&gt;=4,1,0)</f>
        <v>2026</v>
      </c>
      <c r="B21" s="55">
        <v>4</v>
      </c>
      <c r="C21" s="124">
        <f>YEAR(Table5[[#This Row],[Date]])</f>
        <v>2025</v>
      </c>
      <c r="D21" s="55" t="s">
        <v>329</v>
      </c>
      <c r="E21" s="55" t="s">
        <v>329</v>
      </c>
      <c r="F21" s="126" t="str">
        <f>TEXT(Table5[[#This Row],[Date]],"mmm-yy")</f>
        <v>Apr-25</v>
      </c>
      <c r="G21" s="124">
        <f t="shared" si="3"/>
        <v>30</v>
      </c>
      <c r="H21" s="125">
        <f t="shared" si="2"/>
        <v>45764</v>
      </c>
      <c r="I21" s="55">
        <v>8.02</v>
      </c>
      <c r="J21" s="59">
        <f>IFERROR(Inv_SY!J23/Inv_SY!$Y23-1,"")</f>
        <v>0.32718389695384387</v>
      </c>
      <c r="K21" s="59">
        <f>IFERROR(Inv_SY!K23/Inv_SY!$Y23-1,"")</f>
        <v>0.32725016668455531</v>
      </c>
      <c r="L21" s="59">
        <f>IFERROR(Inv_SY!L23/Inv_SY!$Y23-1,"")</f>
        <v>-1</v>
      </c>
      <c r="M21" s="59">
        <f>IFERROR(Inv_SY!M23/Inv_SY!$Y23-1,"")</f>
        <v>0.32887850863917412</v>
      </c>
      <c r="N21" s="59">
        <f>IFERROR(Inv_SY!N23/Inv_SY!$Y23-1,"")</f>
        <v>0.31287180789827418</v>
      </c>
      <c r="O21" s="59">
        <f>IFERROR(Inv_SY!O23/Inv_SY!$Y23-1,"")</f>
        <v>0.30519321024799551</v>
      </c>
      <c r="P21" s="59">
        <f>IFERROR(Inv_SY!P23/Inv_SY!$Y23-1,"")</f>
        <v>0.33139474082657761</v>
      </c>
      <c r="Q21" s="59">
        <f>IFERROR(Inv_SY!Q23/Inv_SY!$Y23-1,"")</f>
        <v>-1</v>
      </c>
      <c r="R21" s="59">
        <f>IFERROR(Inv_SY!R23/Inv_SY!$Y23-1,"")</f>
        <v>1.5852111447689277E-2</v>
      </c>
      <c r="S21" s="59">
        <f>IFERROR(Inv_SY!S23/Inv_SY!$Y23-1,"")</f>
        <v>3.4271001785656674E-2</v>
      </c>
      <c r="T21" s="59">
        <f>IFERROR(Inv_SY!T23/Inv_SY!$Y23-1,"")</f>
        <v>2.1782985595184545E-3</v>
      </c>
      <c r="U21" s="59">
        <f>IFERROR(Inv_SY!U23/Inv_SY!$Y23-1,"")</f>
        <v>1.496776019429169E-2</v>
      </c>
      <c r="V21" s="59">
        <f>IFERROR(Inv_SY!J23/Inv_SY!$Z23-1,"")</f>
        <v>0.30651955181144408</v>
      </c>
      <c r="W21" s="59">
        <f>IFERROR(Inv_SY!K23/Inv_SY!$Z23-1,"")</f>
        <v>0.30658478971786107</v>
      </c>
      <c r="X21" s="59">
        <f>IFERROR(Inv_SY!L23/Inv_SY!$Z23-1,"")</f>
        <v>-1</v>
      </c>
      <c r="Y21" s="59">
        <f>IFERROR(Inv_SY!M23/Inv_SY!$Z23-1,"")</f>
        <v>0.30818777827553379</v>
      </c>
      <c r="Z21" s="59">
        <f>IFERROR(Inv_SY!N23/Inv_SY!$Z23-1,"")</f>
        <v>0.29243030297314343</v>
      </c>
      <c r="AA21" s="59">
        <f>IFERROR(Inv_SY!O23/Inv_SY!$Z23-1,"")</f>
        <v>0.28487126161978726</v>
      </c>
      <c r="AB21" s="59">
        <f>IFERROR(Inv_SY!P23/Inv_SY!$Z23-1,"")</f>
        <v>0.31066483255360744</v>
      </c>
      <c r="AC21" s="59">
        <f>IFERROR(Inv_SY!Q23/Inv_SY!$Z23-1,"")</f>
        <v>-1</v>
      </c>
      <c r="AD21" s="59">
        <f>IFERROR(Inv_SY!R23/Inv_SY!$Z23-1,"")</f>
        <v>3.5223755809221657E-5</v>
      </c>
      <c r="AE21" s="59">
        <f>IFERROR(Inv_SY!S23/Inv_SY!$Z23-1,"")</f>
        <v>1.8167330696270634E-2</v>
      </c>
      <c r="AF21" s="59">
        <f>IFERROR(Inv_SY!T23/Inv_SY!$Z23-1,"")</f>
        <v>-1.3425686919200097E-2</v>
      </c>
      <c r="AG21" s="59">
        <f>IFERROR(Inv_SY!U23/Inv_SY!$Z23-1,"")</f>
        <v>-8.3535808735868411E-4</v>
      </c>
      <c r="AH21" s="59">
        <f>IFERROR(Inv_SY!V23/Inv_SY!$Y23-1,"")</f>
        <v>-4.8326333072195027E-3</v>
      </c>
      <c r="AI21" s="59">
        <f>IFERROR(Inv_SY!W23/Inv_SY!$Y23-1,"")</f>
        <v>-1.0983697274094761E-2</v>
      </c>
      <c r="AJ21" s="59">
        <f>IFERROR(Inv_SY!X23/Inv_SY!$Y23-1,"")</f>
        <v>1.5816330581313931E-2</v>
      </c>
      <c r="AK21" s="59">
        <f>IFERROR(Inv_SY!V23/Inv_SY!$Z23-1,"")</f>
        <v>-2.0327458091480732E-2</v>
      </c>
      <c r="AL21" s="59">
        <f>IFERROR(Inv_SY!W23/Inv_SY!$Z23-1,"")</f>
        <v>-2.6382749566618902E-2</v>
      </c>
      <c r="AM21" s="59">
        <f>IFERROR(Inv_SY!X23/Inv_SY!$Z23-1,"")</f>
        <v>0</v>
      </c>
    </row>
    <row r="22" spans="1:39" x14ac:dyDescent="0.3">
      <c r="A22" s="55">
        <f>YEAR(Table5[[#This Row],[Date]])+IF(MONTH(Table5[[#This Row],[Date]])&gt;=4,1,0)</f>
        <v>2026</v>
      </c>
      <c r="B22" s="55">
        <v>4</v>
      </c>
      <c r="C22" s="124">
        <f>YEAR(Table5[[#This Row],[Date]])</f>
        <v>2025</v>
      </c>
      <c r="D22" s="55" t="s">
        <v>329</v>
      </c>
      <c r="E22" s="55" t="s">
        <v>329</v>
      </c>
      <c r="F22" s="126" t="str">
        <f>TEXT(Table5[[#This Row],[Date]],"mmm-yy")</f>
        <v>Apr-25</v>
      </c>
      <c r="G22" s="124">
        <f t="shared" si="3"/>
        <v>30</v>
      </c>
      <c r="H22" s="125">
        <f t="shared" si="2"/>
        <v>45765</v>
      </c>
      <c r="I22" s="55">
        <v>8.02</v>
      </c>
      <c r="J22" s="59">
        <f>IFERROR(Inv_SY!J24/Inv_SY!$Y24-1,"")</f>
        <v>0.32233262582442657</v>
      </c>
      <c r="K22" s="59">
        <f>IFERROR(Inv_SY!K24/Inv_SY!$Y24-1,"")</f>
        <v>0.35003881028196915</v>
      </c>
      <c r="L22" s="59">
        <f>IFERROR(Inv_SY!L24/Inv_SY!$Y24-1,"")</f>
        <v>-1</v>
      </c>
      <c r="M22" s="59">
        <f>IFERROR(Inv_SY!M24/Inv_SY!$Y24-1,"")</f>
        <v>0.31424066084000146</v>
      </c>
      <c r="N22" s="59">
        <f>IFERROR(Inv_SY!N24/Inv_SY!$Y24-1,"")</f>
        <v>0.34865890819891576</v>
      </c>
      <c r="O22" s="59">
        <f>IFERROR(Inv_SY!O24/Inv_SY!$Y24-1,"")</f>
        <v>0.30547965242136876</v>
      </c>
      <c r="P22" s="59">
        <f>IFERROR(Inv_SY!P24/Inv_SY!$Y24-1,"")</f>
        <v>0.30789339963874718</v>
      </c>
      <c r="Q22" s="59">
        <f>IFERROR(Inv_SY!Q24/Inv_SY!$Y24-1,"")</f>
        <v>-1</v>
      </c>
      <c r="R22" s="59">
        <f>IFERROR(Inv_SY!R24/Inv_SY!$Y24-1,"")</f>
        <v>3.4589059401638034E-2</v>
      </c>
      <c r="S22" s="59">
        <f>IFERROR(Inv_SY!S24/Inv_SY!$Y24-1,"")</f>
        <v>2.6341872743802286E-2</v>
      </c>
      <c r="T22" s="59">
        <f>IFERROR(Inv_SY!T24/Inv_SY!$Y24-1,"")</f>
        <v>2.2460267394930344E-3</v>
      </c>
      <c r="U22" s="59">
        <f>IFERROR(Inv_SY!U24/Inv_SY!$Y24-1,"")</f>
        <v>-1.1394392289366007E-2</v>
      </c>
      <c r="V22" s="59">
        <f>IFERROR(Inv_SY!J24/Inv_SY!$Z24-1,"")</f>
        <v>0.30677317777487567</v>
      </c>
      <c r="W22" s="59">
        <f>IFERROR(Inv_SY!K24/Inv_SY!$Z24-1,"")</f>
        <v>0.33415335277814062</v>
      </c>
      <c r="X22" s="59">
        <f>IFERROR(Inv_SY!L24/Inv_SY!$Z24-1,"")</f>
        <v>-1</v>
      </c>
      <c r="Y22" s="59">
        <f>IFERROR(Inv_SY!M24/Inv_SY!$Z24-1,"")</f>
        <v>0.29877642825011241</v>
      </c>
      <c r="Z22" s="59">
        <f>IFERROR(Inv_SY!N24/Inv_SY!$Z24-1,"")</f>
        <v>0.33278968754378591</v>
      </c>
      <c r="AA22" s="59">
        <f>IFERROR(Inv_SY!O24/Inv_SY!$Z24-1,"")</f>
        <v>0.29011850770263203</v>
      </c>
      <c r="AB22" s="59">
        <f>IFERROR(Inv_SY!P24/Inv_SY!$Z24-1,"")</f>
        <v>0.29250385315959093</v>
      </c>
      <c r="AC22" s="59">
        <f>IFERROR(Inv_SY!Q24/Inv_SY!$Z24-1,"")</f>
        <v>-1</v>
      </c>
      <c r="AD22" s="59">
        <f>IFERROR(Inv_SY!R24/Inv_SY!$Z24-1,"")</f>
        <v>2.241539416188254E-2</v>
      </c>
      <c r="AE22" s="59">
        <f>IFERROR(Inv_SY!S24/Inv_SY!$Z24-1,"")</f>
        <v>1.4265249405495339E-2</v>
      </c>
      <c r="AF22" s="59">
        <f>IFERROR(Inv_SY!T24/Inv_SY!$Z24-1,"")</f>
        <v>-9.5470687959056111E-3</v>
      </c>
      <c r="AG22" s="59">
        <f>IFERROR(Inv_SY!U24/Inv_SY!$Z24-1,"")</f>
        <v>-2.3026985552409895E-2</v>
      </c>
      <c r="AH22" s="59">
        <f>IFERROR(Inv_SY!V24/Inv_SY!$Y24-1,"")</f>
        <v>-4.0713800740815875E-3</v>
      </c>
      <c r="AI22" s="59">
        <f>IFERROR(Inv_SY!W24/Inv_SY!$Y24-1,"")</f>
        <v>-7.8353902164172151E-3</v>
      </c>
      <c r="AJ22" s="59">
        <f>IFERROR(Inv_SY!X24/Inv_SY!$Y24-1,"")</f>
        <v>1.1906770290499136E-2</v>
      </c>
      <c r="AK22" s="59">
        <f>IFERROR(Inv_SY!V24/Inv_SY!$Z24-1,"")</f>
        <v>-1.5790140785394313E-2</v>
      </c>
      <c r="AL22" s="59">
        <f>IFERROR(Inv_SY!W24/Inv_SY!$Z24-1,"")</f>
        <v>-1.9509861072723789E-2</v>
      </c>
      <c r="AM22" s="59">
        <f>IFERROR(Inv_SY!X24/Inv_SY!$Z24-1,"")</f>
        <v>0</v>
      </c>
    </row>
    <row r="23" spans="1:39" x14ac:dyDescent="0.3">
      <c r="A23" s="55">
        <f>YEAR(Table5[[#This Row],[Date]])+IF(MONTH(Table5[[#This Row],[Date]])&gt;=4,1,0)</f>
        <v>2026</v>
      </c>
      <c r="B23" s="55">
        <v>4</v>
      </c>
      <c r="C23" s="124">
        <f>YEAR(Table5[[#This Row],[Date]])</f>
        <v>2025</v>
      </c>
      <c r="D23" s="55" t="s">
        <v>329</v>
      </c>
      <c r="E23" s="55" t="s">
        <v>329</v>
      </c>
      <c r="F23" s="126" t="str">
        <f>TEXT(Table5[[#This Row],[Date]],"mmm-yy")</f>
        <v>Apr-25</v>
      </c>
      <c r="G23" s="124">
        <f t="shared" si="3"/>
        <v>30</v>
      </c>
      <c r="H23" s="125">
        <f t="shared" si="2"/>
        <v>45766</v>
      </c>
      <c r="I23" s="55">
        <v>8.02</v>
      </c>
      <c r="J23" s="59">
        <f>IFERROR(Inv_SY!J25/Inv_SY!$Y25-1,"")</f>
        <v>0.33649404238240033</v>
      </c>
      <c r="K23" s="59">
        <f>IFERROR(Inv_SY!K25/Inv_SY!$Y25-1,"")</f>
        <v>0.33610326503819898</v>
      </c>
      <c r="L23" s="59">
        <f>IFERROR(Inv_SY!L25/Inv_SY!$Y25-1,"")</f>
        <v>-1</v>
      </c>
      <c r="M23" s="59">
        <f>IFERROR(Inv_SY!M25/Inv_SY!$Y25-1,"")</f>
        <v>0.34052192487826161</v>
      </c>
      <c r="N23" s="59">
        <f>IFERROR(Inv_SY!N25/Inv_SY!$Y25-1,"")</f>
        <v>0.30781704207565186</v>
      </c>
      <c r="O23" s="59">
        <f>IFERROR(Inv_SY!O25/Inv_SY!$Y25-1,"")</f>
        <v>0.34266086994983747</v>
      </c>
      <c r="P23" s="59">
        <f>IFERROR(Inv_SY!P25/Inv_SY!$Y25-1,"")</f>
        <v>0.30175096634211473</v>
      </c>
      <c r="Q23" s="59">
        <f>IFERROR(Inv_SY!Q25/Inv_SY!$Y25-1,"")</f>
        <v>-1</v>
      </c>
      <c r="R23" s="59">
        <f>IFERROR(Inv_SY!R25/Inv_SY!$Y25-1,"")</f>
        <v>5.601127271855022E-3</v>
      </c>
      <c r="S23" s="59">
        <f>IFERROR(Inv_SY!S25/Inv_SY!$Y25-1,"")</f>
        <v>4.9820521414926766E-2</v>
      </c>
      <c r="T23" s="59">
        <f>IFERROR(Inv_SY!T25/Inv_SY!$Y25-1,"")</f>
        <v>-5.6284100135557402E-3</v>
      </c>
      <c r="U23" s="59">
        <f>IFERROR(Inv_SY!U25/Inv_SY!$Y25-1,"")</f>
        <v>-1.4513286499170053E-2</v>
      </c>
      <c r="V23" s="59">
        <f>IFERROR(Inv_SY!J25/Inv_SY!$Z25-1,"")</f>
        <v>0.32632200084150176</v>
      </c>
      <c r="W23" s="59">
        <f>IFERROR(Inv_SY!K25/Inv_SY!$Z25-1,"")</f>
        <v>0.32593419769939347</v>
      </c>
      <c r="X23" s="59">
        <f>IFERROR(Inv_SY!L25/Inv_SY!$Z25-1,"")</f>
        <v>-1</v>
      </c>
      <c r="Y23" s="59">
        <f>IFERROR(Inv_SY!M25/Inv_SY!$Z25-1,"")</f>
        <v>0.3303192271677351</v>
      </c>
      <c r="Z23" s="59">
        <f>IFERROR(Inv_SY!N25/Inv_SY!$Z25-1,"")</f>
        <v>0.29786326087048098</v>
      </c>
      <c r="AA23" s="59">
        <f>IFERROR(Inv_SY!O25/Inv_SY!$Z25-1,"")</f>
        <v>0.3324418927517625</v>
      </c>
      <c r="AB23" s="59">
        <f>IFERROR(Inv_SY!P25/Inv_SY!$Z25-1,"")</f>
        <v>0.29184335397301431</v>
      </c>
      <c r="AC23" s="59">
        <f>IFERROR(Inv_SY!Q25/Inv_SY!$Z25-1,"")</f>
        <v>-1</v>
      </c>
      <c r="AD23" s="59">
        <f>IFERROR(Inv_SY!R25/Inv_SY!$Z25-1,"")</f>
        <v>-2.0524919107265394E-3</v>
      </c>
      <c r="AE23" s="59">
        <f>IFERROR(Inv_SY!S25/Inv_SY!$Z25-1,"")</f>
        <v>4.1830348907098136E-2</v>
      </c>
      <c r="AF23" s="59">
        <f>IFERROR(Inv_SY!T25/Inv_SY!$Z25-1,"")</f>
        <v>-1.3196561310662269E-2</v>
      </c>
      <c r="AG23" s="59">
        <f>IFERROR(Inv_SY!U25/Inv_SY!$Z25-1,"")</f>
        <v>-2.2013815098508083E-2</v>
      </c>
      <c r="AH23" s="59">
        <f>IFERROR(Inv_SY!V25/Inv_SY!$Y25-1,"")</f>
        <v>2.6208991078464638E-3</v>
      </c>
      <c r="AI23" s="59">
        <f>IFERROR(Inv_SY!W25/Inv_SY!$Y25-1,"")</f>
        <v>-1.0290259590779449E-2</v>
      </c>
      <c r="AJ23" s="59">
        <f>IFERROR(Inv_SY!X25/Inv_SY!$Y25-1,"")</f>
        <v>7.6693604829332074E-3</v>
      </c>
      <c r="AK23" s="59">
        <f>IFERROR(Inv_SY!V25/Inv_SY!$Z25-1,"")</f>
        <v>-5.0100375907701222E-3</v>
      </c>
      <c r="AL23" s="59">
        <f>IFERROR(Inv_SY!W25/Inv_SY!$Z25-1,"")</f>
        <v>-1.7822929601734927E-2</v>
      </c>
      <c r="AM23" s="59">
        <f>IFERROR(Inv_SY!X25/Inv_SY!$Z25-1,"")</f>
        <v>0</v>
      </c>
    </row>
    <row r="24" spans="1:39" x14ac:dyDescent="0.3">
      <c r="A24" s="55">
        <f>YEAR(Table5[[#This Row],[Date]])+IF(MONTH(Table5[[#This Row],[Date]])&gt;=4,1,0)</f>
        <v>2026</v>
      </c>
      <c r="B24" s="55">
        <v>4</v>
      </c>
      <c r="C24" s="124">
        <f>YEAR(Table5[[#This Row],[Date]])</f>
        <v>2025</v>
      </c>
      <c r="D24" s="55" t="s">
        <v>329</v>
      </c>
      <c r="E24" s="55" t="s">
        <v>329</v>
      </c>
      <c r="F24" s="126" t="str">
        <f>TEXT(Table5[[#This Row],[Date]],"mmm-yy")</f>
        <v>Apr-25</v>
      </c>
      <c r="G24" s="124">
        <f t="shared" si="3"/>
        <v>30</v>
      </c>
      <c r="H24" s="125">
        <f t="shared" si="2"/>
        <v>45767</v>
      </c>
      <c r="I24" s="55">
        <v>8.02</v>
      </c>
      <c r="J24" s="59">
        <f>IFERROR(Inv_SY!J26/Inv_SY!$Y26-1,"")</f>
        <v>0.34771967722575026</v>
      </c>
      <c r="K24" s="59">
        <f>IFERROR(Inv_SY!K26/Inv_SY!$Y26-1,"")</f>
        <v>0.34777866097458943</v>
      </c>
      <c r="L24" s="59">
        <f>IFERROR(Inv_SY!L26/Inv_SY!$Y26-1,"")</f>
        <v>-1</v>
      </c>
      <c r="M24" s="59">
        <f>IFERROR(Inv_SY!M26/Inv_SY!$Y26-1,"")</f>
        <v>0.34580223726348702</v>
      </c>
      <c r="N24" s="59">
        <f>IFERROR(Inv_SY!N26/Inv_SY!$Y26-1,"")</f>
        <v>0.29199743961339419</v>
      </c>
      <c r="O24" s="59">
        <f>IFERROR(Inv_SY!O26/Inv_SY!$Y26-1,"")</f>
        <v>0.28282498319555516</v>
      </c>
      <c r="P24" s="59">
        <f>IFERROR(Inv_SY!P26/Inv_SY!$Y26-1,"")</f>
        <v>0.30656545862996221</v>
      </c>
      <c r="Q24" s="59">
        <f>IFERROR(Inv_SY!Q26/Inv_SY!$Y26-1,"")</f>
        <v>-1</v>
      </c>
      <c r="R24" s="59">
        <f>IFERROR(Inv_SY!R26/Inv_SY!$Y26-1,"")</f>
        <v>1.9959881694825876E-2</v>
      </c>
      <c r="S24" s="59">
        <f>IFERROR(Inv_SY!S26/Inv_SY!$Y26-1,"")</f>
        <v>3.6688672758504959E-2</v>
      </c>
      <c r="T24" s="59">
        <f>IFERROR(Inv_SY!T26/Inv_SY!$Y26-1,"")</f>
        <v>2.4238591283366917E-2</v>
      </c>
      <c r="U24" s="59">
        <f>IFERROR(Inv_SY!U26/Inv_SY!$Y26-1,"")</f>
        <v>-3.3195279400151101E-3</v>
      </c>
      <c r="V24" s="59">
        <f>IFERROR(Inv_SY!J26/Inv_SY!$Z26-1,"")</f>
        <v>0.32338905383367833</v>
      </c>
      <c r="W24" s="59">
        <f>IFERROR(Inv_SY!K26/Inv_SY!$Z26-1,"")</f>
        <v>0.32344697273839351</v>
      </c>
      <c r="X24" s="59">
        <f>IFERROR(Inv_SY!L26/Inv_SY!$Z26-1,"")</f>
        <v>-1</v>
      </c>
      <c r="Y24" s="59">
        <f>IFERROR(Inv_SY!M26/Inv_SY!$Z26-1,"")</f>
        <v>0.32150622975659293</v>
      </c>
      <c r="Z24" s="59">
        <f>IFERROR(Inv_SY!N26/Inv_SY!$Z26-1,"")</f>
        <v>0.26867277970231918</v>
      </c>
      <c r="AA24" s="59">
        <f>IFERROR(Inv_SY!O26/Inv_SY!$Z26-1,"")</f>
        <v>0.25966591527401173</v>
      </c>
      <c r="AB24" s="59">
        <f>IFERROR(Inv_SY!P26/Inv_SY!$Z26-1,"")</f>
        <v>0.28297779967668979</v>
      </c>
      <c r="AC24" s="59">
        <f>IFERROR(Inv_SY!Q26/Inv_SY!$Z26-1,"")</f>
        <v>-1</v>
      </c>
      <c r="AD24" s="59">
        <f>IFERROR(Inv_SY!R26/Inv_SY!$Z26-1,"")</f>
        <v>1.5463642728477112E-3</v>
      </c>
      <c r="AE24" s="59">
        <f>IFERROR(Inv_SY!S26/Inv_SY!$Z26-1,"")</f>
        <v>1.7973147491681329E-2</v>
      </c>
      <c r="AF24" s="59">
        <f>IFERROR(Inv_SY!T26/Inv_SY!$Z26-1,"")</f>
        <v>5.7478295550528191E-3</v>
      </c>
      <c r="AG24" s="59">
        <f>IFERROR(Inv_SY!U26/Inv_SY!$Z26-1,"")</f>
        <v>-2.1312778033270141E-2</v>
      </c>
      <c r="AH24" s="59">
        <f>IFERROR(Inv_SY!V26/Inv_SY!$Y26-1,"")</f>
        <v>9.6450417475781869E-3</v>
      </c>
      <c r="AI24" s="59">
        <f>IFERROR(Inv_SY!W26/Inv_SY!$Y26-1,"")</f>
        <v>-2.803012912727898E-2</v>
      </c>
      <c r="AJ24" s="59">
        <f>IFERROR(Inv_SY!X26/Inv_SY!$Y26-1,"")</f>
        <v>1.8385087379700904E-2</v>
      </c>
      <c r="AK24" s="59">
        <f>IFERROR(Inv_SY!V26/Inv_SY!$Z26-1,"")</f>
        <v>-8.5822600315277331E-3</v>
      </c>
      <c r="AL24" s="59">
        <f>IFERROR(Inv_SY!W26/Inv_SY!$Z26-1,"")</f>
        <v>-4.5577274335787732E-2</v>
      </c>
      <c r="AM24" s="59">
        <f>IFERROR(Inv_SY!X26/Inv_SY!$Z26-1,"")</f>
        <v>0</v>
      </c>
    </row>
    <row r="25" spans="1:39" x14ac:dyDescent="0.3">
      <c r="A25" s="55">
        <f>YEAR(Table5[[#This Row],[Date]])+IF(MONTH(Table5[[#This Row],[Date]])&gt;=4,1,0)</f>
        <v>2026</v>
      </c>
      <c r="B25" s="55">
        <v>4</v>
      </c>
      <c r="C25" s="124">
        <f>YEAR(Table5[[#This Row],[Date]])</f>
        <v>2025</v>
      </c>
      <c r="D25" s="55" t="s">
        <v>329</v>
      </c>
      <c r="E25" s="55" t="s">
        <v>329</v>
      </c>
      <c r="F25" s="126" t="str">
        <f>TEXT(Table5[[#This Row],[Date]],"mmm-yy")</f>
        <v>Apr-25</v>
      </c>
      <c r="G25" s="124">
        <f t="shared" si="3"/>
        <v>30</v>
      </c>
      <c r="H25" s="125">
        <f t="shared" si="2"/>
        <v>45768</v>
      </c>
      <c r="I25" s="55">
        <v>8.02</v>
      </c>
      <c r="J25" s="59">
        <f>IFERROR(Inv_SY!J27/Inv_SY!$Y27-1,"")</f>
        <v>0.34048191505458414</v>
      </c>
      <c r="K25" s="59">
        <f>IFERROR(Inv_SY!K27/Inv_SY!$Y27-1,"")</f>
        <v>0.32847796503703819</v>
      </c>
      <c r="L25" s="59">
        <f>IFERROR(Inv_SY!L27/Inv_SY!$Y27-1,"")</f>
        <v>-1</v>
      </c>
      <c r="M25" s="59">
        <f>IFERROR(Inv_SY!M27/Inv_SY!$Y27-1,"")</f>
        <v>0.31968660438548846</v>
      </c>
      <c r="N25" s="59">
        <f>IFERROR(Inv_SY!N27/Inv_SY!$Y27-1,"")</f>
        <v>0.33419613973314055</v>
      </c>
      <c r="O25" s="59">
        <f>IFERROR(Inv_SY!O27/Inv_SY!$Y27-1,"")</f>
        <v>0.29630745931085856</v>
      </c>
      <c r="P25" s="59">
        <f>IFERROR(Inv_SY!P27/Inv_SY!$Y27-1,"")</f>
        <v>0.29755243238059403</v>
      </c>
      <c r="Q25" s="59">
        <f>IFERROR(Inv_SY!Q27/Inv_SY!$Y27-1,"")</f>
        <v>-1</v>
      </c>
      <c r="R25" s="59">
        <f>IFERROR(Inv_SY!R27/Inv_SY!$Y27-1,"")</f>
        <v>4.6846213978469997E-2</v>
      </c>
      <c r="S25" s="59">
        <f>IFERROR(Inv_SY!S27/Inv_SY!$Y27-1,"")</f>
        <v>3.6707441401788055E-2</v>
      </c>
      <c r="T25" s="59">
        <f>IFERROR(Inv_SY!T27/Inv_SY!$Y27-1,"")</f>
        <v>4.3096916668678986E-3</v>
      </c>
      <c r="U25" s="59">
        <f>IFERROR(Inv_SY!U27/Inv_SY!$Y27-1,"")</f>
        <v>-4.0123173069537277E-3</v>
      </c>
      <c r="V25" s="59">
        <f>IFERROR(Inv_SY!J27/Inv_SY!$Z27-1,"")</f>
        <v>0.31434280163164896</v>
      </c>
      <c r="W25" s="59">
        <f>IFERROR(Inv_SY!K27/Inv_SY!$Z27-1,"")</f>
        <v>0.30257292609694963</v>
      </c>
      <c r="X25" s="59">
        <f>IFERROR(Inv_SY!L27/Inv_SY!$Z27-1,"")</f>
        <v>-1</v>
      </c>
      <c r="Y25" s="59">
        <f>IFERROR(Inv_SY!M27/Inv_SY!$Z27-1,"")</f>
        <v>0.293952995116052</v>
      </c>
      <c r="Z25" s="59">
        <f>IFERROR(Inv_SY!N27/Inv_SY!$Z27-1,"")</f>
        <v>0.30817959759761537</v>
      </c>
      <c r="AA25" s="59">
        <f>IFERROR(Inv_SY!O27/Inv_SY!$Z27-1,"")</f>
        <v>0.27102973841856004</v>
      </c>
      <c r="AB25" s="59">
        <f>IFERROR(Inv_SY!P27/Inv_SY!$Z27-1,"")</f>
        <v>0.27225043477712707</v>
      </c>
      <c r="AC25" s="59">
        <f>IFERROR(Inv_SY!Q27/Inv_SY!$Z27-1,"")</f>
        <v>-1</v>
      </c>
      <c r="AD25" s="59">
        <f>IFERROR(Inv_SY!R27/Inv_SY!$Z27-1,"")</f>
        <v>2.6432934533040742E-2</v>
      </c>
      <c r="AE25" s="59">
        <f>IFERROR(Inv_SY!S27/Inv_SY!$Z27-1,"")</f>
        <v>1.6491865874162182E-2</v>
      </c>
      <c r="AF25" s="59">
        <f>IFERROR(Inv_SY!T27/Inv_SY!$Z27-1,"")</f>
        <v>-1.5274134602928813E-2</v>
      </c>
      <c r="AG25" s="59">
        <f>IFERROR(Inv_SY!U27/Inv_SY!$Z27-1,"")</f>
        <v>-2.3433866164403239E-2</v>
      </c>
      <c r="AH25" s="59">
        <f>IFERROR(Inv_SY!V27/Inv_SY!$Y27-1,"")</f>
        <v>-3.5440134590528638E-3</v>
      </c>
      <c r="AI25" s="59">
        <f>IFERROR(Inv_SY!W27/Inv_SY!$Y27-1,"")</f>
        <v>-1.6343578568298045E-2</v>
      </c>
      <c r="AJ25" s="59">
        <f>IFERROR(Inv_SY!X27/Inv_SY!$Y27-1,"")</f>
        <v>1.9887592027350687E-2</v>
      </c>
      <c r="AK25" s="59">
        <f>IFERROR(Inv_SY!V27/Inv_SY!$Z27-1,"")</f>
        <v>-2.2974694142347207E-2</v>
      </c>
      <c r="AL25" s="59">
        <f>IFERROR(Inv_SY!W27/Inv_SY!$Z27-1,"")</f>
        <v>-3.5524670442972694E-2</v>
      </c>
      <c r="AM25" s="59">
        <f>IFERROR(Inv_SY!X27/Inv_SY!$Z27-1,"")</f>
        <v>0</v>
      </c>
    </row>
    <row r="26" spans="1:39" x14ac:dyDescent="0.3">
      <c r="A26" s="55">
        <f>YEAR(Table5[[#This Row],[Date]])+IF(MONTH(Table5[[#This Row],[Date]])&gt;=4,1,0)</f>
        <v>2026</v>
      </c>
      <c r="B26" s="55">
        <v>4</v>
      </c>
      <c r="C26" s="124">
        <f>YEAR(Table5[[#This Row],[Date]])</f>
        <v>2025</v>
      </c>
      <c r="D26" s="55" t="s">
        <v>329</v>
      </c>
      <c r="E26" s="55" t="s">
        <v>329</v>
      </c>
      <c r="F26" s="126" t="str">
        <f>TEXT(Table5[[#This Row],[Date]],"mmm-yy")</f>
        <v>Apr-25</v>
      </c>
      <c r="G26" s="124">
        <f t="shared" si="3"/>
        <v>30</v>
      </c>
      <c r="H26" s="125">
        <f t="shared" si="2"/>
        <v>45769</v>
      </c>
      <c r="I26" s="55">
        <v>8.02</v>
      </c>
      <c r="J26" s="59">
        <f>IFERROR(Inv_SY!J28/Inv_SY!$Y28-1,"")</f>
        <v>0.33347647724325125</v>
      </c>
      <c r="K26" s="59">
        <f>IFERROR(Inv_SY!K28/Inv_SY!$Y28-1,"")</f>
        <v>0.33284838417533602</v>
      </c>
      <c r="L26" s="59">
        <f>IFERROR(Inv_SY!L28/Inv_SY!$Y28-1,"")</f>
        <v>-1</v>
      </c>
      <c r="M26" s="59">
        <f>IFERROR(Inv_SY!M28/Inv_SY!$Y28-1,"")</f>
        <v>0.32831271033657305</v>
      </c>
      <c r="N26" s="59">
        <f>IFERROR(Inv_SY!N28/Inv_SY!$Y28-1,"")</f>
        <v>0.33923514109999275</v>
      </c>
      <c r="O26" s="59">
        <f>IFERROR(Inv_SY!O28/Inv_SY!$Y28-1,"")</f>
        <v>0.30657086936584665</v>
      </c>
      <c r="P26" s="59">
        <f>IFERROR(Inv_SY!P28/Inv_SY!$Y28-1,"")</f>
        <v>0.30876976713730908</v>
      </c>
      <c r="Q26" s="59">
        <f>IFERROR(Inv_SY!Q28/Inv_SY!$Y28-1,"")</f>
        <v>-1</v>
      </c>
      <c r="R26" s="59">
        <f>IFERROR(Inv_SY!R28/Inv_SY!$Y28-1,"")</f>
        <v>1.0865190813475145E-2</v>
      </c>
      <c r="S26" s="59">
        <f>IFERROR(Inv_SY!S28/Inv_SY!$Y28-1,"")</f>
        <v>3.4984772775764617E-2</v>
      </c>
      <c r="T26" s="59">
        <f>IFERROR(Inv_SY!T28/Inv_SY!$Y28-1,"")</f>
        <v>1.6698360954682911E-2</v>
      </c>
      <c r="U26" s="59">
        <f>IFERROR(Inv_SY!U28/Inv_SY!$Y28-1,"")</f>
        <v>-1.154421458195809E-2</v>
      </c>
      <c r="V26" s="59">
        <f>IFERROR(Inv_SY!J28/Inv_SY!$Z28-1,"")</f>
        <v>0.31802497235985094</v>
      </c>
      <c r="W26" s="59">
        <f>IFERROR(Inv_SY!K28/Inv_SY!$Z28-1,"")</f>
        <v>0.31740415724791893</v>
      </c>
      <c r="X26" s="59">
        <f>IFERROR(Inv_SY!L28/Inv_SY!$Z28-1,"")</f>
        <v>-1</v>
      </c>
      <c r="Y26" s="59">
        <f>IFERROR(Inv_SY!M28/Inv_SY!$Z28-1,"")</f>
        <v>0.31292104000664023</v>
      </c>
      <c r="Z26" s="59">
        <f>IFERROR(Inv_SY!N28/Inv_SY!$Z28-1,"")</f>
        <v>0.32371690836332845</v>
      </c>
      <c r="AA26" s="59">
        <f>IFERROR(Inv_SY!O28/Inv_SY!$Z28-1,"")</f>
        <v>0.29143113011056432</v>
      </c>
      <c r="AB26" s="59">
        <f>IFERROR(Inv_SY!P28/Inv_SY!$Z28-1,"")</f>
        <v>0.29360454840771033</v>
      </c>
      <c r="AC26" s="59">
        <f>IFERROR(Inv_SY!Q28/Inv_SY!$Z28-1,"")</f>
        <v>-1</v>
      </c>
      <c r="AD26" s="59">
        <f>IFERROR(Inv_SY!R28/Inv_SY!$Z28-1,"")</f>
        <v>-8.480929968284201E-4</v>
      </c>
      <c r="AE26" s="59">
        <f>IFERROR(Inv_SY!S28/Inv_SY!$Z28-1,"")</f>
        <v>2.2992006091307804E-2</v>
      </c>
      <c r="AF26" s="59">
        <f>IFERROR(Inv_SY!T28/Inv_SY!$Z28-1,"")</f>
        <v>4.9174859581375685E-3</v>
      </c>
      <c r="AG26" s="59">
        <f>IFERROR(Inv_SY!U28/Inv_SY!$Z28-1,"")</f>
        <v>-2.2997831991833251E-2</v>
      </c>
      <c r="AH26" s="59">
        <f>IFERROR(Inv_SY!V28/Inv_SY!$Y28-1,"")</f>
        <v>-2.0206727087914711E-3</v>
      </c>
      <c r="AI26" s="59">
        <f>IFERROR(Inv_SY!W28/Inv_SY!$Y28-1,"")</f>
        <v>-9.702553487549781E-3</v>
      </c>
      <c r="AJ26" s="59">
        <f>IFERROR(Inv_SY!X28/Inv_SY!$Y28-1,"")</f>
        <v>1.1723226196340919E-2</v>
      </c>
      <c r="AK26" s="59">
        <f>IFERROR(Inv_SY!V28/Inv_SY!$Z28-1,"")</f>
        <v>-1.3584643061723134E-2</v>
      </c>
      <c r="AL26" s="59">
        <f>IFERROR(Inv_SY!W28/Inv_SY!$Z28-1,"")</f>
        <v>-2.1177510932948174E-2</v>
      </c>
      <c r="AM26" s="59">
        <f>IFERROR(Inv_SY!X28/Inv_SY!$Z28-1,"")</f>
        <v>0</v>
      </c>
    </row>
    <row r="27" spans="1:39" x14ac:dyDescent="0.3">
      <c r="A27" s="55">
        <f>YEAR(Table5[[#This Row],[Date]])+IF(MONTH(Table5[[#This Row],[Date]])&gt;=4,1,0)</f>
        <v>2026</v>
      </c>
      <c r="B27" s="55">
        <v>4</v>
      </c>
      <c r="C27" s="124">
        <f>YEAR(Table5[[#This Row],[Date]])</f>
        <v>2025</v>
      </c>
      <c r="D27" s="55" t="s">
        <v>329</v>
      </c>
      <c r="E27" s="55" t="s">
        <v>329</v>
      </c>
      <c r="F27" s="126" t="str">
        <f>TEXT(Table5[[#This Row],[Date]],"mmm-yy")</f>
        <v>Apr-25</v>
      </c>
      <c r="G27" s="124">
        <f t="shared" si="3"/>
        <v>30</v>
      </c>
      <c r="H27" s="125">
        <f t="shared" si="2"/>
        <v>45770</v>
      </c>
      <c r="I27" s="55">
        <v>8.02</v>
      </c>
      <c r="J27" s="59">
        <f>IFERROR(Inv_SY!J29/Inv_SY!$Y29-1,"")</f>
        <v>0.33490245952445896</v>
      </c>
      <c r="K27" s="59">
        <f>IFERROR(Inv_SY!K29/Inv_SY!$Y29-1,"")</f>
        <v>0.33439516760172983</v>
      </c>
      <c r="L27" s="59">
        <f>IFERROR(Inv_SY!L29/Inv_SY!$Y29-1,"")</f>
        <v>-1</v>
      </c>
      <c r="M27" s="59">
        <f>IFERROR(Inv_SY!M29/Inv_SY!$Y29-1,"")</f>
        <v>0.33856853516558783</v>
      </c>
      <c r="N27" s="59">
        <f>IFERROR(Inv_SY!N29/Inv_SY!$Y29-1,"")</f>
        <v>0.30986576167997582</v>
      </c>
      <c r="O27" s="59">
        <f>IFERROR(Inv_SY!O29/Inv_SY!$Y29-1,"")</f>
        <v>0.32898009363498626</v>
      </c>
      <c r="P27" s="59">
        <f>IFERROR(Inv_SY!P29/Inv_SY!$Y29-1,"")</f>
        <v>0.30482016731034878</v>
      </c>
      <c r="Q27" s="59">
        <f>IFERROR(Inv_SY!Q29/Inv_SY!$Y29-1,"")</f>
        <v>-1</v>
      </c>
      <c r="R27" s="59">
        <f>IFERROR(Inv_SY!R29/Inv_SY!$Y29-1,"")</f>
        <v>1.0851975847623097E-2</v>
      </c>
      <c r="S27" s="59">
        <f>IFERROR(Inv_SY!S29/Inv_SY!$Y29-1,"")</f>
        <v>2.8607652340028045E-2</v>
      </c>
      <c r="T27" s="59">
        <f>IFERROR(Inv_SY!T29/Inv_SY!$Y29-1,"")</f>
        <v>2.1271520567619717E-2</v>
      </c>
      <c r="U27" s="59">
        <f>IFERROR(Inv_SY!U29/Inv_SY!$Y29-1,"")</f>
        <v>-1.2266602312954622E-2</v>
      </c>
      <c r="V27" s="59">
        <f>IFERROR(Inv_SY!J29/Inv_SY!$Z29-1,"")</f>
        <v>0.32021264345205602</v>
      </c>
      <c r="W27" s="59">
        <f>IFERROR(Inv_SY!K29/Inv_SY!$Z29-1,"")</f>
        <v>0.31971093397843142</v>
      </c>
      <c r="X27" s="59">
        <f>IFERROR(Inv_SY!L29/Inv_SY!$Z29-1,"")</f>
        <v>-1</v>
      </c>
      <c r="Y27" s="59">
        <f>IFERROR(Inv_SY!M29/Inv_SY!$Z29-1,"")</f>
        <v>0.32383837608797772</v>
      </c>
      <c r="Z27" s="59">
        <f>IFERROR(Inv_SY!N29/Inv_SY!$Z29-1,"")</f>
        <v>0.29545145973504439</v>
      </c>
      <c r="AA27" s="59">
        <f>IFERROR(Inv_SY!O29/Inv_SY!$Z29-1,"")</f>
        <v>0.31435544971430796</v>
      </c>
      <c r="AB27" s="59">
        <f>IFERROR(Inv_SY!P29/Inv_SY!$Z29-1,"")</f>
        <v>0.29046138916248365</v>
      </c>
      <c r="AC27" s="59">
        <f>IFERROR(Inv_SY!Q29/Inv_SY!$Z29-1,"")</f>
        <v>-1</v>
      </c>
      <c r="AD27" s="59">
        <f>IFERROR(Inv_SY!R29/Inv_SY!$Z29-1,"")</f>
        <v>-2.7185533245932536E-4</v>
      </c>
      <c r="AE27" s="59">
        <f>IFERROR(Inv_SY!S29/Inv_SY!$Z29-1,"")</f>
        <v>1.7288430388093134E-2</v>
      </c>
      <c r="AF27" s="59">
        <f>IFERROR(Inv_SY!T29/Inv_SY!$Z29-1,"")</f>
        <v>1.003302842905085E-2</v>
      </c>
      <c r="AG27" s="59">
        <f>IFERROR(Inv_SY!U29/Inv_SY!$Z29-1,"")</f>
        <v>-2.3136027144010307E-2</v>
      </c>
      <c r="AH27" s="59">
        <f>IFERROR(Inv_SY!V29/Inv_SY!$Y29-1,"")</f>
        <v>1.3076977845922766E-3</v>
      </c>
      <c r="AI27" s="59">
        <f>IFERROR(Inv_SY!W29/Inv_SY!$Y29-1,"")</f>
        <v>-1.2434553859831721E-2</v>
      </c>
      <c r="AJ27" s="59">
        <f>IFERROR(Inv_SY!X29/Inv_SY!$Y29-1,"")</f>
        <v>1.1126856075239999E-2</v>
      </c>
      <c r="AK27" s="59">
        <f>IFERROR(Inv_SY!V29/Inv_SY!$Z29-1,"")</f>
        <v>-9.7111042315317642E-3</v>
      </c>
      <c r="AL27" s="59">
        <f>IFERROR(Inv_SY!W29/Inv_SY!$Z29-1,"")</f>
        <v>-2.3302130482941497E-2</v>
      </c>
      <c r="AM27" s="59">
        <f>IFERROR(Inv_SY!X29/Inv_SY!$Z29-1,"")</f>
        <v>0</v>
      </c>
    </row>
    <row r="28" spans="1:39" x14ac:dyDescent="0.3">
      <c r="A28" s="55">
        <f>YEAR(Table5[[#This Row],[Date]])+IF(MONTH(Table5[[#This Row],[Date]])&gt;=4,1,0)</f>
        <v>2026</v>
      </c>
      <c r="B28" s="55">
        <v>4</v>
      </c>
      <c r="C28" s="124">
        <f>YEAR(Table5[[#This Row],[Date]])</f>
        <v>2025</v>
      </c>
      <c r="D28" s="55" t="s">
        <v>329</v>
      </c>
      <c r="E28" s="55" t="s">
        <v>329</v>
      </c>
      <c r="F28" s="126" t="str">
        <f>TEXT(Table5[[#This Row],[Date]],"mmm-yy")</f>
        <v>Apr-25</v>
      </c>
      <c r="G28" s="124">
        <f t="shared" si="3"/>
        <v>30</v>
      </c>
      <c r="H28" s="125">
        <f t="shared" si="2"/>
        <v>45771</v>
      </c>
      <c r="I28" s="55">
        <v>8.02</v>
      </c>
      <c r="J28" s="59">
        <f>IFERROR(Inv_SY!J30/Inv_SY!$Y30-1,"")</f>
        <v>0.36142203155382435</v>
      </c>
      <c r="K28" s="59">
        <f>IFERROR(Inv_SY!K30/Inv_SY!$Y30-1,"")</f>
        <v>0.33611641404069981</v>
      </c>
      <c r="L28" s="59">
        <f>IFERROR(Inv_SY!L30/Inv_SY!$Y30-1,"")</f>
        <v>-1</v>
      </c>
      <c r="M28" s="59">
        <f>IFERROR(Inv_SY!M30/Inv_SY!$Y30-1,"")</f>
        <v>0.31434522896349981</v>
      </c>
      <c r="N28" s="59">
        <f>IFERROR(Inv_SY!N30/Inv_SY!$Y30-1,"")</f>
        <v>0.30890482101946937</v>
      </c>
      <c r="O28" s="59">
        <f>IFERROR(Inv_SY!O30/Inv_SY!$Y30-1,"")</f>
        <v>0.30141442002118723</v>
      </c>
      <c r="P28" s="59">
        <f>IFERROR(Inv_SY!P30/Inv_SY!$Y30-1,"")</f>
        <v>0.3300763197315093</v>
      </c>
      <c r="Q28" s="59">
        <f>IFERROR(Inv_SY!Q30/Inv_SY!$Y30-1,"")</f>
        <v>-1</v>
      </c>
      <c r="R28" s="59">
        <f>IFERROR(Inv_SY!R30/Inv_SY!$Y30-1,"")</f>
        <v>1.1854646769526855E-2</v>
      </c>
      <c r="S28" s="59">
        <f>IFERROR(Inv_SY!S30/Inv_SY!$Y30-1,"")</f>
        <v>2.8850572418699372E-2</v>
      </c>
      <c r="T28" s="59">
        <f>IFERROR(Inv_SY!T30/Inv_SY!$Y30-1,"")</f>
        <v>-3.0499358640643237E-3</v>
      </c>
      <c r="U28" s="59">
        <f>IFERROR(Inv_SY!U30/Inv_SY!$Y30-1,"")</f>
        <v>1.0502064143633083E-2</v>
      </c>
      <c r="V28" s="59">
        <f>IFERROR(Inv_SY!J30/Inv_SY!$Z30-1,"")</f>
        <v>0.34654994398595074</v>
      </c>
      <c r="W28" s="59">
        <f>IFERROR(Inv_SY!K30/Inv_SY!$Z30-1,"")</f>
        <v>0.32152076342690195</v>
      </c>
      <c r="X28" s="59">
        <f>IFERROR(Inv_SY!L30/Inv_SY!$Z30-1,"")</f>
        <v>-1</v>
      </c>
      <c r="Y28" s="59">
        <f>IFERROR(Inv_SY!M30/Inv_SY!$Z30-1,"")</f>
        <v>0.29998740538894486</v>
      </c>
      <c r="Z28" s="59">
        <f>IFERROR(Inv_SY!N30/Inv_SY!$Z30-1,"")</f>
        <v>0.29460642811481197</v>
      </c>
      <c r="AA28" s="59">
        <f>IFERROR(Inv_SY!O30/Inv_SY!$Z30-1,"")</f>
        <v>0.28719785177999424</v>
      </c>
      <c r="AB28" s="59">
        <f>IFERROR(Inv_SY!P30/Inv_SY!$Z30-1,"")</f>
        <v>0.31554665072326982</v>
      </c>
      <c r="AC28" s="59">
        <f>IFERROR(Inv_SY!Q30/Inv_SY!$Z30-1,"")</f>
        <v>-1</v>
      </c>
      <c r="AD28" s="59">
        <f>IFERROR(Inv_SY!R30/Inv_SY!$Z30-1,"")</f>
        <v>8.0121105015540373E-4</v>
      </c>
      <c r="AE28" s="59">
        <f>IFERROR(Inv_SY!S30/Inv_SY!$Z30-1,"")</f>
        <v>1.7611474289955131E-2</v>
      </c>
      <c r="AF28" s="59">
        <f>IFERROR(Inv_SY!T30/Inv_SY!$Z30-1,"")</f>
        <v>-1.3940554871973765E-2</v>
      </c>
      <c r="AG28" s="59">
        <f>IFERROR(Inv_SY!U30/Inv_SY!$Z30-1,"")</f>
        <v>-5.3659604927491777E-4</v>
      </c>
      <c r="AH28" s="59">
        <f>IFERROR(Inv_SY!V30/Inv_SY!$Y30-1,"")</f>
        <v>2.2089501064568307E-3</v>
      </c>
      <c r="AI28" s="59">
        <f>IFERROR(Inv_SY!W30/Inv_SY!$Y30-1,"")</f>
        <v>-1.3253536780940101E-2</v>
      </c>
      <c r="AJ28" s="59">
        <f>IFERROR(Inv_SY!X30/Inv_SY!$Y30-1,"")</f>
        <v>1.1044586674483492E-2</v>
      </c>
      <c r="AK28" s="59">
        <f>IFERROR(Inv_SY!V30/Inv_SY!$Z30-1,"")</f>
        <v>-8.7391166368721018E-3</v>
      </c>
      <c r="AL28" s="59">
        <f>IFERROR(Inv_SY!W30/Inv_SY!$Z30-1,"")</f>
        <v>-2.4032692302269898E-2</v>
      </c>
      <c r="AM28" s="59">
        <f>IFERROR(Inv_SY!X30/Inv_SY!$Z30-1,"")</f>
        <v>0</v>
      </c>
    </row>
    <row r="29" spans="1:39" x14ac:dyDescent="0.3">
      <c r="A29" s="55">
        <f>YEAR(Table5[[#This Row],[Date]])+IF(MONTH(Table5[[#This Row],[Date]])&gt;=4,1,0)</f>
        <v>2026</v>
      </c>
      <c r="B29" s="55">
        <v>4</v>
      </c>
      <c r="C29" s="124">
        <f>YEAR(Table5[[#This Row],[Date]])</f>
        <v>2025</v>
      </c>
      <c r="D29" s="55" t="s">
        <v>329</v>
      </c>
      <c r="E29" s="55" t="s">
        <v>329</v>
      </c>
      <c r="F29" s="126" t="str">
        <f>TEXT(Table5[[#This Row],[Date]],"mmm-yy")</f>
        <v>Apr-25</v>
      </c>
      <c r="G29" s="124">
        <f t="shared" si="3"/>
        <v>30</v>
      </c>
      <c r="H29" s="125">
        <f t="shared" si="2"/>
        <v>45772</v>
      </c>
      <c r="I29" s="55">
        <v>8.02</v>
      </c>
      <c r="J29" s="59">
        <f>IFERROR(Inv_SY!J31/Inv_SY!$Y31-1,"")</f>
        <v>0.34021098538543848</v>
      </c>
      <c r="K29" s="59">
        <f>IFERROR(Inv_SY!K31/Inv_SY!$Y31-1,"")</f>
        <v>0.33386281409773932</v>
      </c>
      <c r="L29" s="59">
        <f>IFERROR(Inv_SY!L31/Inv_SY!$Y31-1,"")</f>
        <v>-1</v>
      </c>
      <c r="M29" s="59">
        <f>IFERROR(Inv_SY!M31/Inv_SY!$Y31-1,"")</f>
        <v>0.33878249866243615</v>
      </c>
      <c r="N29" s="59">
        <f>IFERROR(Inv_SY!N31/Inv_SY!$Y31-1,"")</f>
        <v>0.33751132912904969</v>
      </c>
      <c r="O29" s="59">
        <f>IFERROR(Inv_SY!O31/Inv_SY!$Y31-1,"")</f>
        <v>0.30297286972191473</v>
      </c>
      <c r="P29" s="59">
        <f>IFERROR(Inv_SY!P31/Inv_SY!$Y31-1,"")</f>
        <v>0.30714784833156838</v>
      </c>
      <c r="Q29" s="59">
        <f>IFERROR(Inv_SY!Q31/Inv_SY!$Y31-1,"")</f>
        <v>-1</v>
      </c>
      <c r="R29" s="59">
        <f>IFERROR(Inv_SY!R31/Inv_SY!$Y31-1,"")</f>
        <v>3.4030291193645423E-2</v>
      </c>
      <c r="S29" s="59">
        <f>IFERROR(Inv_SY!S31/Inv_SY!$Y31-1,"")</f>
        <v>2.3131121662433696E-2</v>
      </c>
      <c r="T29" s="59">
        <f>IFERROR(Inv_SY!T31/Inv_SY!$Y31-1,"")</f>
        <v>-1.7242180502531346E-3</v>
      </c>
      <c r="U29" s="59">
        <f>IFERROR(Inv_SY!U31/Inv_SY!$Y31-1,"")</f>
        <v>-1.5696402107008289E-2</v>
      </c>
      <c r="V29" s="59">
        <f>IFERROR(Inv_SY!J31/Inv_SY!$Z31-1,"")</f>
        <v>0.32839780892722259</v>
      </c>
      <c r="W29" s="59">
        <f>IFERROR(Inv_SY!K31/Inv_SY!$Z31-1,"")</f>
        <v>0.32210559305880171</v>
      </c>
      <c r="X29" s="59">
        <f>IFERROR(Inv_SY!L31/Inv_SY!$Z31-1,"")</f>
        <v>-1</v>
      </c>
      <c r="Y29" s="59">
        <f>IFERROR(Inv_SY!M31/Inv_SY!$Z31-1,"")</f>
        <v>0.32698191347970695</v>
      </c>
      <c r="Z29" s="59">
        <f>IFERROR(Inv_SY!N31/Inv_SY!$Z31-1,"")</f>
        <v>0.32572194856273518</v>
      </c>
      <c r="AA29" s="59">
        <f>IFERROR(Inv_SY!O31/Inv_SY!$Z31-1,"")</f>
        <v>0.2914879254869096</v>
      </c>
      <c r="AB29" s="59">
        <f>IFERROR(Inv_SY!P31/Inv_SY!$Z31-1,"")</f>
        <v>0.29562610410047108</v>
      </c>
      <c r="AC29" s="59">
        <f>IFERROR(Inv_SY!Q31/Inv_SY!$Z31-1,"")</f>
        <v>-1</v>
      </c>
      <c r="AD29" s="59">
        <f>IFERROR(Inv_SY!R31/Inv_SY!$Z31-1,"")</f>
        <v>2.491591858648623E-2</v>
      </c>
      <c r="AE29" s="59">
        <f>IFERROR(Inv_SY!S31/Inv_SY!$Z31-1,"")</f>
        <v>1.4112818863927235E-2</v>
      </c>
      <c r="AF29" s="59">
        <f>IFERROR(Inv_SY!T31/Inv_SY!$Z31-1,"")</f>
        <v>-1.0523435557595162E-2</v>
      </c>
      <c r="AG29" s="59">
        <f>IFERROR(Inv_SY!U31/Inv_SY!$Z31-1,"")</f>
        <v>-2.4372462978888509E-2</v>
      </c>
      <c r="AH29" s="59">
        <f>IFERROR(Inv_SY!V31/Inv_SY!$Y31-1,"")</f>
        <v>2.5485891129879423E-3</v>
      </c>
      <c r="AI29" s="59">
        <f>IFERROR(Inv_SY!W31/Inv_SY!$Y31-1,"")</f>
        <v>-1.1441389431407822E-2</v>
      </c>
      <c r="AJ29" s="59">
        <f>IFERROR(Inv_SY!X31/Inv_SY!$Y31-1,"")</f>
        <v>8.892800318419436E-3</v>
      </c>
      <c r="AK29" s="59">
        <f>IFERROR(Inv_SY!V31/Inv_SY!$Z31-1,"")</f>
        <v>-6.2882906919636827E-3</v>
      </c>
      <c r="AL29" s="59">
        <f>IFERROR(Inv_SY!W31/Inv_SY!$Z31-1,"")</f>
        <v>-2.0154955752890391E-2</v>
      </c>
      <c r="AM29" s="59">
        <f>IFERROR(Inv_SY!X31/Inv_SY!$Z31-1,"")</f>
        <v>0</v>
      </c>
    </row>
    <row r="30" spans="1:39" x14ac:dyDescent="0.3">
      <c r="A30" s="55">
        <f>YEAR(Table5[[#This Row],[Date]])+IF(MONTH(Table5[[#This Row],[Date]])&gt;=4,1,0)</f>
        <v>2026</v>
      </c>
      <c r="B30" s="55">
        <v>4</v>
      </c>
      <c r="C30" s="124">
        <f>YEAR(Table5[[#This Row],[Date]])</f>
        <v>2025</v>
      </c>
      <c r="D30" s="55" t="s">
        <v>329</v>
      </c>
      <c r="E30" s="55" t="s">
        <v>329</v>
      </c>
      <c r="F30" s="126" t="str">
        <f>TEXT(Table5[[#This Row],[Date]],"mmm-yy")</f>
        <v>Apr-25</v>
      </c>
      <c r="G30" s="124">
        <f t="shared" si="3"/>
        <v>30</v>
      </c>
      <c r="H30" s="125">
        <f t="shared" si="2"/>
        <v>45773</v>
      </c>
      <c r="I30" s="55">
        <v>8.02</v>
      </c>
      <c r="J30" s="59">
        <f>IFERROR(Inv_SY!J32/Inv_SY!$Y32-1,"")</f>
        <v>0.354559819788973</v>
      </c>
      <c r="K30" s="59">
        <f>IFERROR(Inv_SY!K32/Inv_SY!$Y32-1,"")</f>
        <v>0.33644539749583302</v>
      </c>
      <c r="L30" s="59">
        <f>IFERROR(Inv_SY!L32/Inv_SY!$Y32-1,"")</f>
        <v>-1</v>
      </c>
      <c r="M30" s="59">
        <f>IFERROR(Inv_SY!M32/Inv_SY!$Y32-1,"")</f>
        <v>0.3141870629839516</v>
      </c>
      <c r="N30" s="59">
        <f>IFERROR(Inv_SY!N32/Inv_SY!$Y32-1,"")</f>
        <v>0.31466410091151586</v>
      </c>
      <c r="O30" s="59">
        <f>IFERROR(Inv_SY!O32/Inv_SY!$Y32-1,"")</f>
        <v>0.30661934160641802</v>
      </c>
      <c r="P30" s="59">
        <f>IFERROR(Inv_SY!P32/Inv_SY!$Y32-1,"")</f>
        <v>0.32777771262429689</v>
      </c>
      <c r="Q30" s="59">
        <f>IFERROR(Inv_SY!Q32/Inv_SY!$Y32-1,"")</f>
        <v>-1</v>
      </c>
      <c r="R30" s="59">
        <f>IFERROR(Inv_SY!R32/Inv_SY!$Y32-1,"")</f>
        <v>1.1530743827260492E-2</v>
      </c>
      <c r="S30" s="59">
        <f>IFERROR(Inv_SY!S32/Inv_SY!$Y32-1,"")</f>
        <v>2.964950930148591E-2</v>
      </c>
      <c r="T30" s="59">
        <f>IFERROR(Inv_SY!T32/Inv_SY!$Y32-1,"")</f>
        <v>1.5435198651143844E-2</v>
      </c>
      <c r="U30" s="59">
        <f>IFERROR(Inv_SY!U32/Inv_SY!$Y32-1,"")</f>
        <v>-1.0448070951314059E-2</v>
      </c>
      <c r="V30" s="59">
        <f>IFERROR(Inv_SY!J32/Inv_SY!$Z32-1,"")</f>
        <v>0.34043433604044959</v>
      </c>
      <c r="W30" s="59">
        <f>IFERROR(Inv_SY!K32/Inv_SY!$Z32-1,"")</f>
        <v>0.32250881273425547</v>
      </c>
      <c r="X30" s="59">
        <f>IFERROR(Inv_SY!L32/Inv_SY!$Z32-1,"")</f>
        <v>-1</v>
      </c>
      <c r="Y30" s="59">
        <f>IFERROR(Inv_SY!M32/Inv_SY!$Z32-1,"")</f>
        <v>0.30048259033571423</v>
      </c>
      <c r="Z30" s="59">
        <f>IFERROR(Inv_SY!N32/Inv_SY!$Z32-1,"")</f>
        <v>0.30095465366459706</v>
      </c>
      <c r="AA30" s="59">
        <f>IFERROR(Inv_SY!O32/Inv_SY!$Z32-1,"")</f>
        <v>0.29299378590505132</v>
      </c>
      <c r="AB30" s="59">
        <f>IFERROR(Inv_SY!P32/Inv_SY!$Z32-1,"")</f>
        <v>0.31393151533767738</v>
      </c>
      <c r="AC30" s="59">
        <f>IFERROR(Inv_SY!Q32/Inv_SY!$Z32-1,"")</f>
        <v>-1</v>
      </c>
      <c r="AD30" s="59">
        <f>IFERROR(Inv_SY!R32/Inv_SY!$Z32-1,"")</f>
        <v>9.8240120383197294E-4</v>
      </c>
      <c r="AE30" s="59">
        <f>IFERROR(Inv_SY!S32/Inv_SY!$Z32-1,"")</f>
        <v>1.8912222399989798E-2</v>
      </c>
      <c r="AF30" s="59">
        <f>IFERROR(Inv_SY!T32/Inv_SY!$Z32-1,"")</f>
        <v>4.8461399867136823E-3</v>
      </c>
      <c r="AG30" s="59">
        <f>IFERROR(Inv_SY!U32/Inv_SY!$Z32-1,"")</f>
        <v>-2.0767216320822235E-2</v>
      </c>
      <c r="AH30" s="59">
        <f>IFERROR(Inv_SY!V32/Inv_SY!$Y32-1,"")</f>
        <v>5.455248082042452E-4</v>
      </c>
      <c r="AI30" s="59">
        <f>IFERROR(Inv_SY!W32/Inv_SY!$Y32-1,"")</f>
        <v>-1.108351489748316E-2</v>
      </c>
      <c r="AJ30" s="59">
        <f>IFERROR(Inv_SY!X32/Inv_SY!$Y32-1,"")</f>
        <v>1.0537990089279026E-2</v>
      </c>
      <c r="AK30" s="59">
        <f>IFERROR(Inv_SY!V32/Inv_SY!$Z32-1,"")</f>
        <v>-9.8882628650029947E-3</v>
      </c>
      <c r="AL30" s="59">
        <f>IFERROR(Inv_SY!W32/Inv_SY!$Z32-1,"")</f>
        <v>-2.1396033794683911E-2</v>
      </c>
      <c r="AM30" s="59">
        <f>IFERROR(Inv_SY!X32/Inv_SY!$Z32-1,"")</f>
        <v>0</v>
      </c>
    </row>
    <row r="31" spans="1:39" x14ac:dyDescent="0.3">
      <c r="A31" s="55">
        <f>YEAR(Table5[[#This Row],[Date]])+IF(MONTH(Table5[[#This Row],[Date]])&gt;=4,1,0)</f>
        <v>2026</v>
      </c>
      <c r="B31" s="55">
        <v>4</v>
      </c>
      <c r="C31" s="124">
        <f>YEAR(Table5[[#This Row],[Date]])</f>
        <v>2025</v>
      </c>
      <c r="D31" s="55" t="s">
        <v>329</v>
      </c>
      <c r="E31" s="55" t="s">
        <v>329</v>
      </c>
      <c r="F31" s="126" t="str">
        <f>TEXT(Table5[[#This Row],[Date]],"mmm-yy")</f>
        <v>Apr-25</v>
      </c>
      <c r="G31" s="124">
        <f t="shared" si="3"/>
        <v>30</v>
      </c>
      <c r="H31" s="125">
        <f t="shared" si="2"/>
        <v>45774</v>
      </c>
      <c r="I31" s="55">
        <v>8.02</v>
      </c>
      <c r="J31" s="59">
        <f>IFERROR(Inv_SY!J33/Inv_SY!$Y33-1,"")</f>
        <v>0.327614040604435</v>
      </c>
      <c r="K31" s="59">
        <f>IFERROR(Inv_SY!K33/Inv_SY!$Y33-1,"")</f>
        <v>0.36502381593162259</v>
      </c>
      <c r="L31" s="59">
        <f>IFERROR(Inv_SY!L33/Inv_SY!$Y33-1,"")</f>
        <v>-1</v>
      </c>
      <c r="M31" s="59">
        <f>IFERROR(Inv_SY!M33/Inv_SY!$Y33-1,"")</f>
        <v>0.3177475147630715</v>
      </c>
      <c r="N31" s="59">
        <f>IFERROR(Inv_SY!N33/Inv_SY!$Y33-1,"")</f>
        <v>0.34079661398361938</v>
      </c>
      <c r="O31" s="59">
        <f>IFERROR(Inv_SY!O33/Inv_SY!$Y33-1,"")</f>
        <v>0.3050619879766383</v>
      </c>
      <c r="P31" s="59">
        <f>IFERROR(Inv_SY!P33/Inv_SY!$Y33-1,"")</f>
        <v>0.29472007035146497</v>
      </c>
      <c r="Q31" s="59">
        <f>IFERROR(Inv_SY!Q33/Inv_SY!$Y33-1,"")</f>
        <v>-1</v>
      </c>
      <c r="R31" s="59">
        <f>IFERROR(Inv_SY!R33/Inv_SY!$Y33-1,"")</f>
        <v>1.4843737657359135E-2</v>
      </c>
      <c r="S31" s="59">
        <f>IFERROR(Inv_SY!S33/Inv_SY!$Y33-1,"")</f>
        <v>2.0036083842467578E-2</v>
      </c>
      <c r="T31" s="59">
        <f>IFERROR(Inv_SY!T33/Inv_SY!$Y33-1,"")</f>
        <v>-8.1285250647853413E-3</v>
      </c>
      <c r="U31" s="59">
        <f>IFERROR(Inv_SY!U33/Inv_SY!$Y33-1,"")</f>
        <v>2.2439789894533213E-2</v>
      </c>
      <c r="V31" s="59">
        <f>IFERROR(Inv_SY!J33/Inv_SY!$Z33-1,"")</f>
        <v>0.31270509790952228</v>
      </c>
      <c r="W31" s="59">
        <f>IFERROR(Inv_SY!K33/Inv_SY!$Z33-1,"")</f>
        <v>0.34969476605229932</v>
      </c>
      <c r="X31" s="59">
        <f>IFERROR(Inv_SY!L33/Inv_SY!$Z33-1,"")</f>
        <v>-1</v>
      </c>
      <c r="Y31" s="59">
        <f>IFERROR(Inv_SY!M33/Inv_SY!$Z33-1,"")</f>
        <v>0.30294937194211902</v>
      </c>
      <c r="Z31" s="59">
        <f>IFERROR(Inv_SY!N33/Inv_SY!$Z33-1,"")</f>
        <v>0.32573963260798289</v>
      </c>
      <c r="AA31" s="59">
        <f>IFERROR(Inv_SY!O33/Inv_SY!$Z33-1,"")</f>
        <v>0.29040630206419182</v>
      </c>
      <c r="AB31" s="59">
        <f>IFERROR(Inv_SY!P33/Inv_SY!$Z33-1,"")</f>
        <v>0.2801805229043508</v>
      </c>
      <c r="AC31" s="59">
        <f>IFERROR(Inv_SY!Q33/Inv_SY!$Z33-1,"")</f>
        <v>-1</v>
      </c>
      <c r="AD31" s="59">
        <f>IFERROR(Inv_SY!R33/Inv_SY!$Z33-1,"")</f>
        <v>3.4471670681115452E-3</v>
      </c>
      <c r="AE31" s="59">
        <f>IFERROR(Inv_SY!S33/Inv_SY!$Z33-1,"")</f>
        <v>8.581203842985996E-3</v>
      </c>
      <c r="AF31" s="59">
        <f>IFERROR(Inv_SY!T33/Inv_SY!$Z33-1,"")</f>
        <v>-1.9267119963793156E-2</v>
      </c>
      <c r="AG31" s="59">
        <f>IFERROR(Inv_SY!U33/Inv_SY!$Z33-1,"")</f>
        <v>1.0957916571171733E-2</v>
      </c>
      <c r="AH31" s="59">
        <f>IFERROR(Inv_SY!V33/Inv_SY!$Y33-1,"")</f>
        <v>1.8502626665695132E-3</v>
      </c>
      <c r="AI31" s="59">
        <f>IFERROR(Inv_SY!W33/Inv_SY!$Y33-1,"")</f>
        <v>-1.3207682332764703E-2</v>
      </c>
      <c r="AJ31" s="59">
        <f>IFERROR(Inv_SY!X33/Inv_SY!$Y33-1,"")</f>
        <v>1.1357419666195412E-2</v>
      </c>
      <c r="AK31" s="59">
        <f>IFERROR(Inv_SY!V33/Inv_SY!$Z33-1,"")</f>
        <v>-9.4003927936415765E-3</v>
      </c>
      <c r="AL31" s="59">
        <f>IFERROR(Inv_SY!W33/Inv_SY!$Z33-1,"")</f>
        <v>-2.4289238919182554E-2</v>
      </c>
      <c r="AM31" s="59">
        <f>IFERROR(Inv_SY!X33/Inv_SY!$Z33-1,"")</f>
        <v>0</v>
      </c>
    </row>
    <row r="32" spans="1:39" x14ac:dyDescent="0.3">
      <c r="A32" s="55">
        <f>YEAR(Table5[[#This Row],[Date]])+IF(MONTH(Table5[[#This Row],[Date]])&gt;=4,1,0)</f>
        <v>2026</v>
      </c>
      <c r="B32" s="55">
        <v>4</v>
      </c>
      <c r="C32" s="124">
        <f>YEAR(Table5[[#This Row],[Date]])</f>
        <v>2025</v>
      </c>
      <c r="D32" s="55" t="s">
        <v>329</v>
      </c>
      <c r="E32" s="55" t="s">
        <v>329</v>
      </c>
      <c r="F32" s="126" t="str">
        <f>TEXT(Table5[[#This Row],[Date]],"mmm-yy")</f>
        <v>Apr-25</v>
      </c>
      <c r="G32" s="124">
        <f t="shared" si="3"/>
        <v>30</v>
      </c>
      <c r="H32" s="125">
        <f t="shared" si="2"/>
        <v>45775</v>
      </c>
      <c r="I32" s="55">
        <v>8.02</v>
      </c>
      <c r="J32" s="59">
        <f>IFERROR(Inv_SY!J34/Inv_SY!$Y34-1,"")</f>
        <v>0.33689497452312689</v>
      </c>
      <c r="K32" s="59">
        <f>IFERROR(Inv_SY!K34/Inv_SY!$Y34-1,"")</f>
        <v>0.33639501379967029</v>
      </c>
      <c r="L32" s="59">
        <f>IFERROR(Inv_SY!L34/Inv_SY!$Y34-1,"")</f>
        <v>-1</v>
      </c>
      <c r="M32" s="59">
        <f>IFERROR(Inv_SY!M34/Inv_SY!$Y34-1,"")</f>
        <v>0.33364779731270211</v>
      </c>
      <c r="N32" s="59">
        <f>IFERROR(Inv_SY!N34/Inv_SY!$Y34-1,"")</f>
        <v>0.32987623950665412</v>
      </c>
      <c r="O32" s="59">
        <f>IFERROR(Inv_SY!O34/Inv_SY!$Y34-1,"")</f>
        <v>0.30237598910552776</v>
      </c>
      <c r="P32" s="59">
        <f>IFERROR(Inv_SY!P34/Inv_SY!$Y34-1,"")</f>
        <v>0.30375100162558399</v>
      </c>
      <c r="Q32" s="59">
        <f>IFERROR(Inv_SY!Q34/Inv_SY!$Y34-1,"")</f>
        <v>-1</v>
      </c>
      <c r="R32" s="59">
        <f>IFERROR(Inv_SY!R34/Inv_SY!$Y34-1,"")</f>
        <v>1.4441773958306259E-2</v>
      </c>
      <c r="S32" s="59">
        <f>IFERROR(Inv_SY!S34/Inv_SY!$Y34-1,"")</f>
        <v>5.0526520697416144E-2</v>
      </c>
      <c r="T32" s="59">
        <f>IFERROR(Inv_SY!T34/Inv_SY!$Y34-1,"")</f>
        <v>6.4228213570571846E-4</v>
      </c>
      <c r="U32" s="59">
        <f>IFERROR(Inv_SY!U34/Inv_SY!$Y34-1,"")</f>
        <v>-7.9003158451953492E-3</v>
      </c>
      <c r="V32" s="59">
        <f>IFERROR(Inv_SY!J34/Inv_SY!$Z34-1,"")</f>
        <v>0.31935262536100661</v>
      </c>
      <c r="W32" s="59">
        <f>IFERROR(Inv_SY!K34/Inv_SY!$Z34-1,"")</f>
        <v>0.31885922497755081</v>
      </c>
      <c r="X32" s="59">
        <f>IFERROR(Inv_SY!L34/Inv_SY!$Z34-1,"")</f>
        <v>-1</v>
      </c>
      <c r="Y32" s="59">
        <f>IFERROR(Inv_SY!M34/Inv_SY!$Z34-1,"")</f>
        <v>0.31614805667069912</v>
      </c>
      <c r="Z32" s="59">
        <f>IFERROR(Inv_SY!N34/Inv_SY!$Z34-1,"")</f>
        <v>0.31242598815526823</v>
      </c>
      <c r="AA32" s="59">
        <f>IFERROR(Inv_SY!O34/Inv_SY!$Z34-1,"")</f>
        <v>0.28528658808552576</v>
      </c>
      <c r="AB32" s="59">
        <f>IFERROR(Inv_SY!P34/Inv_SY!$Z34-1,"")</f>
        <v>0.28664355808901298</v>
      </c>
      <c r="AC32" s="59">
        <f>IFERROR(Inv_SY!Q34/Inv_SY!$Z34-1,"")</f>
        <v>-1</v>
      </c>
      <c r="AD32" s="59">
        <f>IFERROR(Inv_SY!R34/Inv_SY!$Z34-1,"")</f>
        <v>1.1305624252051505E-3</v>
      </c>
      <c r="AE32" s="59">
        <f>IFERROR(Inv_SY!S34/Inv_SY!$Z34-1,"")</f>
        <v>3.6741815555028312E-2</v>
      </c>
      <c r="AF32" s="59">
        <f>IFERROR(Inv_SY!T34/Inv_SY!$Z34-1,"")</f>
        <v>-1.2487856457168323E-2</v>
      </c>
      <c r="AG32" s="59">
        <f>IFERROR(Inv_SY!U34/Inv_SY!$Z34-1,"")</f>
        <v>-2.091836093828936E-2</v>
      </c>
      <c r="AH32" s="59">
        <f>IFERROR(Inv_SY!V34/Inv_SY!$Y34-1,"")</f>
        <v>1.0572765800147543E-3</v>
      </c>
      <c r="AI32" s="59">
        <f>IFERROR(Inv_SY!W34/Inv_SY!$Y34-1,"")</f>
        <v>-1.4353455952318739E-2</v>
      </c>
      <c r="AJ32" s="59">
        <f>IFERROR(Inv_SY!X34/Inv_SY!$Y34-1,"")</f>
        <v>1.3296179372304096E-2</v>
      </c>
      <c r="AK32" s="59">
        <f>IFERROR(Inv_SY!V34/Inv_SY!$Z34-1,"")</f>
        <v>-1.2078307449921222E-2</v>
      </c>
      <c r="AL32" s="59">
        <f>IFERROR(Inv_SY!W34/Inv_SY!$Z34-1,"")</f>
        <v>-2.7286824807481902E-2</v>
      </c>
      <c r="AM32" s="59">
        <f>IFERROR(Inv_SY!X34/Inv_SY!$Z34-1,"")</f>
        <v>0</v>
      </c>
    </row>
    <row r="33" spans="1:39" x14ac:dyDescent="0.3">
      <c r="A33" s="55">
        <f>YEAR(Table5[[#This Row],[Date]])+IF(MONTH(Table5[[#This Row],[Date]])&gt;=4,1,0)</f>
        <v>2026</v>
      </c>
      <c r="B33" s="55">
        <v>4</v>
      </c>
      <c r="C33" s="124">
        <f>YEAR(Table5[[#This Row],[Date]])</f>
        <v>2025</v>
      </c>
      <c r="D33" s="55" t="s">
        <v>329</v>
      </c>
      <c r="E33" s="55" t="s">
        <v>329</v>
      </c>
      <c r="F33" s="126" t="str">
        <f>TEXT(Table5[[#This Row],[Date]],"mmm-yy")</f>
        <v>Apr-25</v>
      </c>
      <c r="G33" s="124">
        <f t="shared" si="3"/>
        <v>30</v>
      </c>
      <c r="H33" s="125">
        <f t="shared" si="2"/>
        <v>45776</v>
      </c>
      <c r="I33" s="55">
        <v>8.02</v>
      </c>
      <c r="J33" s="59">
        <f>IFERROR(Inv_SY!J35/Inv_SY!$Y35-1,"")</f>
        <v>0.3712072082309692</v>
      </c>
      <c r="K33" s="59">
        <f>IFERROR(Inv_SY!K35/Inv_SY!$Y35-1,"")</f>
        <v>0.34722504550045308</v>
      </c>
      <c r="L33" s="59">
        <f>IFERROR(Inv_SY!L35/Inv_SY!$Y35-1,"")</f>
        <v>-1</v>
      </c>
      <c r="M33" s="59">
        <f>IFERROR(Inv_SY!M35/Inv_SY!$Y35-1,"")</f>
        <v>0.32614971083962785</v>
      </c>
      <c r="N33" s="59">
        <f>IFERROR(Inv_SY!N35/Inv_SY!$Y35-1,"")</f>
        <v>0.28901764058459189</v>
      </c>
      <c r="O33" s="59">
        <f>IFERROR(Inv_SY!O35/Inv_SY!$Y35-1,"")</f>
        <v>0.28153119075901123</v>
      </c>
      <c r="P33" s="59">
        <f>IFERROR(Inv_SY!P35/Inv_SY!$Y35-1,"")</f>
        <v>0.30636775416141204</v>
      </c>
      <c r="Q33" s="59">
        <f>IFERROR(Inv_SY!Q35/Inv_SY!$Y35-1,"")</f>
        <v>-1</v>
      </c>
      <c r="R33" s="59">
        <f>IFERROR(Inv_SY!R35/Inv_SY!$Y35-1,"")</f>
        <v>1.9461637767008044E-2</v>
      </c>
      <c r="S33" s="59">
        <f>IFERROR(Inv_SY!S35/Inv_SY!$Y35-1,"")</f>
        <v>3.4777876357948045E-2</v>
      </c>
      <c r="T33" s="59">
        <f>IFERROR(Inv_SY!T35/Inv_SY!$Y35-1,"")</f>
        <v>2.7535002815545662E-2</v>
      </c>
      <c r="U33" s="59">
        <f>IFERROR(Inv_SY!U35/Inv_SY!$Y35-1,"")</f>
        <v>-2.747272473157647E-3</v>
      </c>
      <c r="V33" s="59">
        <f>IFERROR(Inv_SY!J35/Inv_SY!$Z35-1,"")</f>
        <v>0.34594630859092024</v>
      </c>
      <c r="W33" s="59">
        <f>IFERROR(Inv_SY!K35/Inv_SY!$Z35-1,"")</f>
        <v>0.32240595436480124</v>
      </c>
      <c r="X33" s="59">
        <f>IFERROR(Inv_SY!L35/Inv_SY!$Z35-1,"")</f>
        <v>-1</v>
      </c>
      <c r="Y33" s="59">
        <f>IFERROR(Inv_SY!M35/Inv_SY!$Z35-1,"")</f>
        <v>0.30171887751836879</v>
      </c>
      <c r="Z33" s="59">
        <f>IFERROR(Inv_SY!N35/Inv_SY!$Z35-1,"")</f>
        <v>0.2652708683552738</v>
      </c>
      <c r="AA33" s="59">
        <f>IFERROR(Inv_SY!O35/Inv_SY!$Z35-1,"")</f>
        <v>0.2579223367499075</v>
      </c>
      <c r="AB33" s="59">
        <f>IFERROR(Inv_SY!P35/Inv_SY!$Z35-1,"")</f>
        <v>0.2823013515544408</v>
      </c>
      <c r="AC33" s="59">
        <f>IFERROR(Inv_SY!Q35/Inv_SY!$Z35-1,"")</f>
        <v>-1</v>
      </c>
      <c r="AD33" s="59">
        <f>IFERROR(Inv_SY!R35/Inv_SY!$Z35-1,"")</f>
        <v>6.8072853321221594E-4</v>
      </c>
      <c r="AE33" s="59">
        <f>IFERROR(Inv_SY!S35/Inv_SY!$Z35-1,"")</f>
        <v>1.5714805563458611E-2</v>
      </c>
      <c r="AF33" s="59">
        <f>IFERROR(Inv_SY!T35/Inv_SY!$Z35-1,"")</f>
        <v>8.6053629865310288E-3</v>
      </c>
      <c r="AG33" s="59">
        <f>IFERROR(Inv_SY!U35/Inv_SY!$Z35-1,"")</f>
        <v>-2.111904073298243E-2</v>
      </c>
      <c r="AH33" s="59">
        <f>IFERROR(Inv_SY!V35/Inv_SY!$Y35-1,"")</f>
        <v>1.0381689435850605E-2</v>
      </c>
      <c r="AI33" s="59">
        <f>IFERROR(Inv_SY!W35/Inv_SY!$Y35-1,"")</f>
        <v>-2.9149822665841874E-2</v>
      </c>
      <c r="AJ33" s="59">
        <f>IFERROR(Inv_SY!X35/Inv_SY!$Y35-1,"")</f>
        <v>1.8768133229990935E-2</v>
      </c>
      <c r="AK33" s="59">
        <f>IFERROR(Inv_SY!V35/Inv_SY!$Z35-1,"")</f>
        <v>-8.2319455434389788E-3</v>
      </c>
      <c r="AL33" s="59">
        <f>IFERROR(Inv_SY!W35/Inv_SY!$Z35-1,"")</f>
        <v>-4.7035193124768782E-2</v>
      </c>
      <c r="AM33" s="59">
        <f>IFERROR(Inv_SY!X35/Inv_SY!$Z35-1,"")</f>
        <v>0</v>
      </c>
    </row>
    <row r="34" spans="1:39" x14ac:dyDescent="0.3">
      <c r="A34" s="55">
        <f>YEAR(Table5[[#This Row],[Date]])+IF(MONTH(Table5[[#This Row],[Date]])&gt;=4,1,0)</f>
        <v>2026</v>
      </c>
      <c r="B34" s="55">
        <v>4</v>
      </c>
      <c r="C34" s="124">
        <f>YEAR(Table5[[#This Row],[Date]])</f>
        <v>2025</v>
      </c>
      <c r="D34" s="55" t="s">
        <v>329</v>
      </c>
      <c r="E34" s="55" t="s">
        <v>329</v>
      </c>
      <c r="F34" s="126" t="str">
        <f>TEXT(Table5[[#This Row],[Date]],"mmm-yy")</f>
        <v>Apr-25</v>
      </c>
      <c r="G34" s="124">
        <f t="shared" si="3"/>
        <v>30</v>
      </c>
      <c r="H34" s="125">
        <f t="shared" si="2"/>
        <v>45777</v>
      </c>
      <c r="I34" s="55">
        <v>8.02</v>
      </c>
      <c r="J34" s="59">
        <f>IFERROR(Inv_SY!J36/Inv_SY!$Y36-1,"")</f>
        <v>0.33995561547729491</v>
      </c>
      <c r="K34" s="59">
        <f>IFERROR(Inv_SY!K36/Inv_SY!$Y36-1,"")</f>
        <v>0.36114033019183167</v>
      </c>
      <c r="L34" s="59">
        <f>IFERROR(Inv_SY!L36/Inv_SY!$Y36-1,"")</f>
        <v>-1</v>
      </c>
      <c r="M34" s="59">
        <f>IFERROR(Inv_SY!M36/Inv_SY!$Y36-1,"")</f>
        <v>0.31783372127284593</v>
      </c>
      <c r="N34" s="59">
        <f>IFERROR(Inv_SY!N36/Inv_SY!$Y36-1,"")</f>
        <v>0.33562207779828501</v>
      </c>
      <c r="O34" s="59">
        <f>IFERROR(Inv_SY!O36/Inv_SY!$Y36-1,"")</f>
        <v>0.30309629855541997</v>
      </c>
      <c r="P34" s="59">
        <f>IFERROR(Inv_SY!P36/Inv_SY!$Y36-1,"")</f>
        <v>0.30570807914821763</v>
      </c>
      <c r="Q34" s="59">
        <f>IFERROR(Inv_SY!Q36/Inv_SY!$Y36-1,"")</f>
        <v>-1</v>
      </c>
      <c r="R34" s="59">
        <f>IFERROR(Inv_SY!R36/Inv_SY!$Y36-1,"")</f>
        <v>9.1886618537182496E-3</v>
      </c>
      <c r="S34" s="59">
        <f>IFERROR(Inv_SY!S36/Inv_SY!$Y36-1,"")</f>
        <v>2.705657253779381E-2</v>
      </c>
      <c r="T34" s="59">
        <f>IFERROR(Inv_SY!T36/Inv_SY!$Y36-1,"")</f>
        <v>-5.6291770597045598E-3</v>
      </c>
      <c r="U34" s="59">
        <f>IFERROR(Inv_SY!U36/Inv_SY!$Y36-1,"")</f>
        <v>6.4628522979042202E-3</v>
      </c>
      <c r="V34" s="59">
        <f>IFERROR(Inv_SY!J36/Inv_SY!$Z36-1,"")</f>
        <v>0.32896469508060111</v>
      </c>
      <c r="W34" s="59">
        <f>IFERROR(Inv_SY!K36/Inv_SY!$Z36-1,"")</f>
        <v>0.34997564320886809</v>
      </c>
      <c r="X34" s="59">
        <f>IFERROR(Inv_SY!L36/Inv_SY!$Z36-1,"")</f>
        <v>-1</v>
      </c>
      <c r="Y34" s="59">
        <f>IFERROR(Inv_SY!M36/Inv_SY!$Z36-1,"")</f>
        <v>0.30702425463134864</v>
      </c>
      <c r="Z34" s="59">
        <f>IFERROR(Inv_SY!N36/Inv_SY!$Z36-1,"")</f>
        <v>0.32466670303244327</v>
      </c>
      <c r="AA34" s="59">
        <f>IFERROR(Inv_SY!O36/Inv_SY!$Z36-1,"")</f>
        <v>0.29240771490293271</v>
      </c>
      <c r="AB34" s="59">
        <f>IFERROR(Inv_SY!P36/Inv_SY!$Z36-1,"")</f>
        <v>0.29499807249316401</v>
      </c>
      <c r="AC34" s="59">
        <f>IFERROR(Inv_SY!Q36/Inv_SY!$Z36-1,"")</f>
        <v>-1</v>
      </c>
      <c r="AD34" s="59">
        <f>IFERROR(Inv_SY!R36/Inv_SY!$Z36-1,"")</f>
        <v>9.1084121580897737E-4</v>
      </c>
      <c r="AE34" s="59">
        <f>IFERROR(Inv_SY!S36/Inv_SY!$Z36-1,"")</f>
        <v>1.8632191236445106E-2</v>
      </c>
      <c r="AF34" s="59">
        <f>IFERROR(Inv_SY!T36/Inv_SY!$Z36-1,"")</f>
        <v>-1.3785455098689448E-2</v>
      </c>
      <c r="AG34" s="59">
        <f>IFERROR(Inv_SY!U36/Inv_SY!$Z36-1,"")</f>
        <v>-1.7926100204469497E-3</v>
      </c>
      <c r="AH34" s="59">
        <f>IFERROR(Inv_SY!V36/Inv_SY!$Y36-1,"")</f>
        <v>3.9738399666338076E-3</v>
      </c>
      <c r="AI34" s="59">
        <f>IFERROR(Inv_SY!W36/Inv_SY!$Y36-1,"")</f>
        <v>-1.2244127685621664E-2</v>
      </c>
      <c r="AJ34" s="59">
        <f>IFERROR(Inv_SY!X36/Inv_SY!$Y36-1,"")</f>
        <v>8.2702877189881896E-3</v>
      </c>
      <c r="AK34" s="59">
        <f>IFERROR(Inv_SY!V36/Inv_SY!$Z36-1,"")</f>
        <v>-4.2612063498114194E-3</v>
      </c>
      <c r="AL34" s="59">
        <f>IFERROR(Inv_SY!W36/Inv_SY!$Z36-1,"")</f>
        <v>-2.0346146915644625E-2</v>
      </c>
      <c r="AM34" s="59">
        <f>IFERROR(Inv_SY!X36/Inv_SY!$Z36-1,"")</f>
        <v>0</v>
      </c>
    </row>
    <row r="35" spans="1:39" x14ac:dyDescent="0.3">
      <c r="A35" s="55">
        <f>YEAR(Table5[[#This Row],[Date]])+IF(MONTH(Table5[[#This Row],[Date]])&gt;=4,1,0)</f>
        <v>2026</v>
      </c>
      <c r="B35" s="55">
        <v>4</v>
      </c>
      <c r="C35" s="124">
        <f>YEAR(Table5[[#This Row],[Date]])</f>
        <v>2025</v>
      </c>
      <c r="D35" s="55" t="s">
        <v>329</v>
      </c>
      <c r="E35" s="55" t="s">
        <v>329</v>
      </c>
      <c r="F35" s="126" t="str">
        <f>TEXT(Table5[[#This Row],[Date]],"mmm-yy")</f>
        <v>May-25</v>
      </c>
      <c r="G35" s="124">
        <f t="shared" si="3"/>
        <v>31</v>
      </c>
      <c r="H35" s="125">
        <f t="shared" si="2"/>
        <v>45778</v>
      </c>
      <c r="I35" s="55">
        <v>8.02</v>
      </c>
      <c r="J35" s="59">
        <f>IFERROR(Inv_SY!J37/Inv_SY!$Y37-1,"")</f>
        <v>0.33783801279714409</v>
      </c>
      <c r="K35" s="59">
        <f>IFERROR(Inv_SY!K37/Inv_SY!$Y37-1,"")</f>
        <v>0.33717251634393341</v>
      </c>
      <c r="L35" s="59">
        <f>IFERROR(Inv_SY!L37/Inv_SY!$Y37-1,"")</f>
        <v>-1</v>
      </c>
      <c r="M35" s="59">
        <f>IFERROR(Inv_SY!M37/Inv_SY!$Y37-1,"")</f>
        <v>0.33830884021982377</v>
      </c>
      <c r="N35" s="59">
        <f>IFERROR(Inv_SY!N37/Inv_SY!$Y37-1,"")</f>
        <v>0.31242134731948834</v>
      </c>
      <c r="O35" s="59">
        <f>IFERROR(Inv_SY!O37/Inv_SY!$Y37-1,"")</f>
        <v>0.32997569950839356</v>
      </c>
      <c r="P35" s="59">
        <f>IFERROR(Inv_SY!P37/Inv_SY!$Y37-1,"")</f>
        <v>0.30726777603467226</v>
      </c>
      <c r="Q35" s="59">
        <f>IFERROR(Inv_SY!Q37/Inv_SY!$Y37-1,"")</f>
        <v>-1</v>
      </c>
      <c r="R35" s="59">
        <f>IFERROR(Inv_SY!R37/Inv_SY!$Y37-1,"")</f>
        <v>2.9403079059975523E-2</v>
      </c>
      <c r="S35" s="59">
        <f>IFERROR(Inv_SY!S37/Inv_SY!$Y37-1,"")</f>
        <v>2.5920306483566913E-2</v>
      </c>
      <c r="T35" s="59">
        <f>IFERROR(Inv_SY!T37/Inv_SY!$Y37-1,"")</f>
        <v>-5.0357451118503427E-3</v>
      </c>
      <c r="U35" s="59">
        <f>IFERROR(Inv_SY!U37/Inv_SY!$Y37-1,"")</f>
        <v>-1.2992713216864571E-2</v>
      </c>
      <c r="V35" s="59">
        <f>IFERROR(Inv_SY!J37/Inv_SY!$Z37-1,"")</f>
        <v>0.32686407325374822</v>
      </c>
      <c r="W35" s="59">
        <f>IFERROR(Inv_SY!K37/Inv_SY!$Z37-1,"")</f>
        <v>0.32620403569598966</v>
      </c>
      <c r="X35" s="59">
        <f>IFERROR(Inv_SY!L37/Inv_SY!$Z37-1,"")</f>
        <v>-1</v>
      </c>
      <c r="Y35" s="59">
        <f>IFERROR(Inv_SY!M37/Inv_SY!$Z37-1,"")</f>
        <v>0.32733103860073354</v>
      </c>
      <c r="Z35" s="59">
        <f>IFERROR(Inv_SY!N37/Inv_SY!$Z37-1,"")</f>
        <v>0.30165589411575278</v>
      </c>
      <c r="AA35" s="59">
        <f>IFERROR(Inv_SY!O37/Inv_SY!$Z37-1,"")</f>
        <v>0.31906625248941123</v>
      </c>
      <c r="AB35" s="59">
        <f>IFERROR(Inv_SY!P37/Inv_SY!$Z37-1,"")</f>
        <v>0.29654459624458696</v>
      </c>
      <c r="AC35" s="59">
        <f>IFERROR(Inv_SY!Q37/Inv_SY!$Z37-1,"")</f>
        <v>-1</v>
      </c>
      <c r="AD35" s="59">
        <f>IFERROR(Inv_SY!R37/Inv_SY!$Z37-1,"")</f>
        <v>2.0959151583456181E-2</v>
      </c>
      <c r="AE35" s="59">
        <f>IFERROR(Inv_SY!S37/Inv_SY!$Z37-1,"")</f>
        <v>1.7504947290600148E-2</v>
      </c>
      <c r="AF35" s="59">
        <f>IFERROR(Inv_SY!T37/Inv_SY!$Z37-1,"")</f>
        <v>-1.3197179812120097E-2</v>
      </c>
      <c r="AG35" s="59">
        <f>IFERROR(Inv_SY!U37/Inv_SY!$Z37-1,"")</f>
        <v>-2.1088878963720026E-2</v>
      </c>
      <c r="AH35" s="59">
        <f>IFERROR(Inv_SY!V37/Inv_SY!$Y37-1,"")</f>
        <v>2.6617624873574997E-3</v>
      </c>
      <c r="AI35" s="59">
        <f>IFERROR(Inv_SY!W37/Inv_SY!$Y37-1,"")</f>
        <v>-1.0932345559582446E-2</v>
      </c>
      <c r="AJ35" s="59">
        <f>IFERROR(Inv_SY!X37/Inv_SY!$Y37-1,"")</f>
        <v>8.2705830722249463E-3</v>
      </c>
      <c r="AK35" s="59">
        <f>IFERROR(Inv_SY!V37/Inv_SY!$Z37-1,"")</f>
        <v>-5.5628128788378639E-3</v>
      </c>
      <c r="AL35" s="59">
        <f>IFERROR(Inv_SY!W37/Inv_SY!$Z37-1,"")</f>
        <v>-1.904541196996512E-2</v>
      </c>
      <c r="AM35" s="59">
        <f>IFERROR(Inv_SY!X37/Inv_SY!$Z37-1,"")</f>
        <v>0</v>
      </c>
    </row>
    <row r="36" spans="1:39" x14ac:dyDescent="0.3">
      <c r="A36" s="55">
        <f>YEAR(Table5[[#This Row],[Date]])+IF(MONTH(Table5[[#This Row],[Date]])&gt;=4,1,0)</f>
        <v>2026</v>
      </c>
      <c r="B36" s="55">
        <v>4</v>
      </c>
      <c r="C36" s="124">
        <f>YEAR(Table5[[#This Row],[Date]])</f>
        <v>2025</v>
      </c>
      <c r="D36" s="55" t="s">
        <v>329</v>
      </c>
      <c r="E36" s="55" t="s">
        <v>329</v>
      </c>
      <c r="F36" s="126" t="str">
        <f>TEXT(Table5[[#This Row],[Date]],"mmm-yy")</f>
        <v>May-25</v>
      </c>
      <c r="G36" s="124">
        <f t="shared" si="3"/>
        <v>31</v>
      </c>
      <c r="H36" s="125">
        <f t="shared" si="2"/>
        <v>45779</v>
      </c>
      <c r="I36" s="55">
        <v>8.02</v>
      </c>
      <c r="J36" s="59">
        <f>IFERROR(Inv_SY!J38/Inv_SY!$Y38-1,"")</f>
        <v>0.35629834985239772</v>
      </c>
      <c r="K36" s="59">
        <f>IFERROR(Inv_SY!K38/Inv_SY!$Y38-1,"")</f>
        <v>0.34116510067537975</v>
      </c>
      <c r="L36" s="59">
        <f>IFERROR(Inv_SY!L38/Inv_SY!$Y38-1,"")</f>
        <v>-1</v>
      </c>
      <c r="M36" s="59">
        <f>IFERROR(Inv_SY!M38/Inv_SY!$Y38-1,"")</f>
        <v>0.31995198311206829</v>
      </c>
      <c r="N36" s="59">
        <f>IFERROR(Inv_SY!N38/Inv_SY!$Y38-1,"")</f>
        <v>0.33219453456486003</v>
      </c>
      <c r="O36" s="59">
        <f>IFERROR(Inv_SY!O38/Inv_SY!$Y38-1,"")</f>
        <v>0.30962747454438677</v>
      </c>
      <c r="P36" s="59">
        <f>IFERROR(Inv_SY!P38/Inv_SY!$Y38-1,"")</f>
        <v>0.31137535354769352</v>
      </c>
      <c r="Q36" s="59">
        <f>IFERROR(Inv_SY!Q38/Inv_SY!$Y38-1,"")</f>
        <v>-1</v>
      </c>
      <c r="R36" s="59">
        <f>IFERROR(Inv_SY!R38/Inv_SY!$Y38-1,"")</f>
        <v>8.5723953568774824E-3</v>
      </c>
      <c r="S36" s="59">
        <f>IFERROR(Inv_SY!S38/Inv_SY!$Y38-1,"")</f>
        <v>2.6158164118880167E-2</v>
      </c>
      <c r="T36" s="59">
        <f>IFERROR(Inv_SY!T38/Inv_SY!$Y38-1,"")</f>
        <v>8.9354729682997736E-3</v>
      </c>
      <c r="U36" s="59">
        <f>IFERROR(Inv_SY!U38/Inv_SY!$Y38-1,"")</f>
        <v>-1.3867454589929218E-2</v>
      </c>
      <c r="V36" s="59">
        <f>IFERROR(Inv_SY!J38/Inv_SY!$Z38-1,"")</f>
        <v>0.34761742157197117</v>
      </c>
      <c r="W36" s="59">
        <f>IFERROR(Inv_SY!K38/Inv_SY!$Z38-1,"")</f>
        <v>0.33258103209456857</v>
      </c>
      <c r="X36" s="59">
        <f>IFERROR(Inv_SY!L38/Inv_SY!$Z38-1,"")</f>
        <v>-1</v>
      </c>
      <c r="Y36" s="59">
        <f>IFERROR(Inv_SY!M38/Inv_SY!$Z38-1,"")</f>
        <v>0.31150368816262008</v>
      </c>
      <c r="Z36" s="59">
        <f>IFERROR(Inv_SY!N38/Inv_SY!$Z38-1,"")</f>
        <v>0.32366788170017702</v>
      </c>
      <c r="AA36" s="59">
        <f>IFERROR(Inv_SY!O38/Inv_SY!$Z38-1,"")</f>
        <v>0.30124526116055916</v>
      </c>
      <c r="AB36" s="59">
        <f>IFERROR(Inv_SY!P38/Inv_SY!$Z38-1,"")</f>
        <v>0.30298195294073604</v>
      </c>
      <c r="AC36" s="59">
        <f>IFERROR(Inv_SY!Q38/Inv_SY!$Z38-1,"")</f>
        <v>-1</v>
      </c>
      <c r="AD36" s="59">
        <f>IFERROR(Inv_SY!R38/Inv_SY!$Z38-1,"")</f>
        <v>2.1170718429441848E-3</v>
      </c>
      <c r="AE36" s="59">
        <f>IFERROR(Inv_SY!S38/Inv_SY!$Z38-1,"")</f>
        <v>1.9590283660970709E-2</v>
      </c>
      <c r="AF36" s="59">
        <f>IFERROR(Inv_SY!T38/Inv_SY!$Z38-1,"")</f>
        <v>2.4778255919910563E-3</v>
      </c>
      <c r="AG36" s="59">
        <f>IFERROR(Inv_SY!U38/Inv_SY!$Z38-1,"")</f>
        <v>-2.0179152825520963E-2</v>
      </c>
      <c r="AH36" s="59">
        <f>IFERROR(Inv_SY!V38/Inv_SY!$Y38-1,"")</f>
        <v>3.6060475702706096E-3</v>
      </c>
      <c r="AI36" s="59">
        <f>IFERROR(Inv_SY!W38/Inv_SY!$Y38-1,"")</f>
        <v>-1.0047733572148276E-2</v>
      </c>
      <c r="AJ36" s="59">
        <f>IFERROR(Inv_SY!X38/Inv_SY!$Y38-1,"")</f>
        <v>6.4416860018776667E-3</v>
      </c>
      <c r="AK36" s="59">
        <f>IFERROR(Inv_SY!V38/Inv_SY!$Z38-1,"")</f>
        <v>-2.8174890518215534E-3</v>
      </c>
      <c r="AL36" s="59">
        <f>IFERROR(Inv_SY!W38/Inv_SY!$Z38-1,"")</f>
        <v>-1.6383879765086706E-2</v>
      </c>
      <c r="AM36" s="59">
        <f>IFERROR(Inv_SY!X38/Inv_SY!$Z38-1,"")</f>
        <v>0</v>
      </c>
    </row>
    <row r="37" spans="1:39" x14ac:dyDescent="0.3">
      <c r="A37" s="55">
        <f>YEAR(Table5[[#This Row],[Date]])+IF(MONTH(Table5[[#This Row],[Date]])&gt;=4,1,0)</f>
        <v>2026</v>
      </c>
      <c r="B37" s="55">
        <v>4</v>
      </c>
      <c r="C37" s="124">
        <f>YEAR(Table5[[#This Row],[Date]])</f>
        <v>2025</v>
      </c>
      <c r="D37" s="55" t="s">
        <v>329</v>
      </c>
      <c r="E37" s="55" t="s">
        <v>329</v>
      </c>
      <c r="F37" s="126" t="str">
        <f>TEXT(Table5[[#This Row],[Date]],"mmm-yy")</f>
        <v>May-25</v>
      </c>
      <c r="G37" s="124">
        <f t="shared" si="3"/>
        <v>31</v>
      </c>
      <c r="H37" s="125">
        <f t="shared" si="2"/>
        <v>45780</v>
      </c>
      <c r="I37" s="55">
        <v>8.02</v>
      </c>
      <c r="J37" s="59">
        <f>IFERROR(Inv_SY!J39/Inv_SY!$Y39-1,"")</f>
        <v>0.33618706835289469</v>
      </c>
      <c r="K37" s="59">
        <f>IFERROR(Inv_SY!K39/Inv_SY!$Y39-1,"")</f>
        <v>0.35842845736593221</v>
      </c>
      <c r="L37" s="59">
        <f>IFERROR(Inv_SY!L39/Inv_SY!$Y39-1,"")</f>
        <v>-1</v>
      </c>
      <c r="M37" s="59">
        <f>IFERROR(Inv_SY!M39/Inv_SY!$Y39-1,"")</f>
        <v>0.31430707609726483</v>
      </c>
      <c r="N37" s="59">
        <f>IFERROR(Inv_SY!N39/Inv_SY!$Y39-1,"")</f>
        <v>0.33825642449308679</v>
      </c>
      <c r="O37" s="59">
        <f>IFERROR(Inv_SY!O39/Inv_SY!$Y39-1,"")</f>
        <v>0.3055123548195704</v>
      </c>
      <c r="P37" s="59">
        <f>IFERROR(Inv_SY!P39/Inv_SY!$Y39-1,"")</f>
        <v>0.30781073663319236</v>
      </c>
      <c r="Q37" s="59">
        <f>IFERROR(Inv_SY!Q39/Inv_SY!$Y39-1,"")</f>
        <v>-1</v>
      </c>
      <c r="R37" s="59">
        <f>IFERROR(Inv_SY!R39/Inv_SY!$Y39-1,"")</f>
        <v>9.3159027758153989E-3</v>
      </c>
      <c r="S37" s="59">
        <f>IFERROR(Inv_SY!S39/Inv_SY!$Y39-1,"")</f>
        <v>2.7037366248535921E-2</v>
      </c>
      <c r="T37" s="59">
        <f>IFERROR(Inv_SY!T39/Inv_SY!$Y39-1,"")</f>
        <v>-4.7423555362469116E-3</v>
      </c>
      <c r="U37" s="59">
        <f>IFERROR(Inv_SY!U39/Inv_SY!$Y39-1,"")</f>
        <v>8.2817025141981304E-3</v>
      </c>
      <c r="V37" s="59">
        <f>IFERROR(Inv_SY!J39/Inv_SY!$Z39-1,"")</f>
        <v>0.32429504164288492</v>
      </c>
      <c r="W37" s="59">
        <f>IFERROR(Inv_SY!K39/Inv_SY!$Z39-1,"")</f>
        <v>0.34633848292953351</v>
      </c>
      <c r="X37" s="59">
        <f>IFERROR(Inv_SY!L39/Inv_SY!$Z39-1,"")</f>
        <v>-1</v>
      </c>
      <c r="Y37" s="59">
        <f>IFERROR(Inv_SY!M39/Inv_SY!$Z39-1,"")</f>
        <v>0.30260978069283451</v>
      </c>
      <c r="Z37" s="59">
        <f>IFERROR(Inv_SY!N39/Inv_SY!$Z39-1,"")</f>
        <v>0.32634598057258701</v>
      </c>
      <c r="AA37" s="59">
        <f>IFERROR(Inv_SY!O39/Inv_SY!$Z39-1,"")</f>
        <v>0.29389333218309188</v>
      </c>
      <c r="AB37" s="59">
        <f>IFERROR(Inv_SY!P39/Inv_SY!$Z39-1,"")</f>
        <v>0.29617125846427772</v>
      </c>
      <c r="AC37" s="59">
        <f>IFERROR(Inv_SY!Q39/Inv_SY!$Z39-1,"")</f>
        <v>-1</v>
      </c>
      <c r="AD37" s="59">
        <f>IFERROR(Inv_SY!R39/Inv_SY!$Z39-1,"")</f>
        <v>3.330200949918094E-4</v>
      </c>
      <c r="AE37" s="59">
        <f>IFERROR(Inv_SY!S39/Inv_SY!$Z39-1,"")</f>
        <v>1.7896763049418452E-2</v>
      </c>
      <c r="AF37" s="59">
        <f>IFERROR(Inv_SY!T39/Inv_SY!$Z39-1,"")</f>
        <v>-1.360012011998446E-2</v>
      </c>
      <c r="AG37" s="59">
        <f>IFERROR(Inv_SY!U39/Inv_SY!$Z39-1,"")</f>
        <v>-6.9197581386237772E-4</v>
      </c>
      <c r="AH37" s="59">
        <f>IFERROR(Inv_SY!V39/Inv_SY!$Y39-1,"")</f>
        <v>1.4729795138073154E-3</v>
      </c>
      <c r="AI37" s="59">
        <f>IFERROR(Inv_SY!W39/Inv_SY!$Y39-1,"")</f>
        <v>-1.0452871710078693E-2</v>
      </c>
      <c r="AJ37" s="59">
        <f>IFERROR(Inv_SY!X39/Inv_SY!$Y39-1,"")</f>
        <v>8.9798921962713774E-3</v>
      </c>
      <c r="AK37" s="59">
        <f>IFERROR(Inv_SY!V39/Inv_SY!$Z39-1,"")</f>
        <v>-7.4401013741943745E-3</v>
      </c>
      <c r="AL37" s="59">
        <f>IFERROR(Inv_SY!W39/Inv_SY!$Z39-1,"")</f>
        <v>-1.9259812863118841E-2</v>
      </c>
      <c r="AM37" s="59">
        <f>IFERROR(Inv_SY!X39/Inv_SY!$Z39-1,"")</f>
        <v>0</v>
      </c>
    </row>
    <row r="38" spans="1:39" x14ac:dyDescent="0.3">
      <c r="A38" s="55">
        <f>YEAR(Table5[[#This Row],[Date]])+IF(MONTH(Table5[[#This Row],[Date]])&gt;=4,1,0)</f>
        <v>2026</v>
      </c>
      <c r="B38" s="55">
        <v>4</v>
      </c>
      <c r="C38" s="124">
        <f>YEAR(Table5[[#This Row],[Date]])</f>
        <v>2025</v>
      </c>
      <c r="D38" s="55" t="s">
        <v>329</v>
      </c>
      <c r="E38" s="55" t="s">
        <v>329</v>
      </c>
      <c r="F38" s="126" t="str">
        <f>TEXT(Table5[[#This Row],[Date]],"mmm-yy")</f>
        <v>May-25</v>
      </c>
      <c r="G38" s="124">
        <f t="shared" si="3"/>
        <v>31</v>
      </c>
      <c r="H38" s="125">
        <f t="shared" si="2"/>
        <v>45781</v>
      </c>
      <c r="I38" s="55">
        <v>8.02</v>
      </c>
      <c r="J38" s="59">
        <f>IFERROR(Inv_SY!J40/Inv_SY!$Y40-1,"")</f>
        <v>0.32548010417081841</v>
      </c>
      <c r="K38" s="59">
        <f>IFERROR(Inv_SY!K40/Inv_SY!$Y40-1,"")</f>
        <v>0.32542244451777425</v>
      </c>
      <c r="L38" s="59">
        <f>IFERROR(Inv_SY!L40/Inv_SY!$Y40-1,"")</f>
        <v>-1</v>
      </c>
      <c r="M38" s="59">
        <f>IFERROR(Inv_SY!M40/Inv_SY!$Y40-1,"")</f>
        <v>0.36334144587106931</v>
      </c>
      <c r="N38" s="59">
        <f>IFERROR(Inv_SY!N40/Inv_SY!$Y40-1,"")</f>
        <v>0.29112440335885337</v>
      </c>
      <c r="O38" s="59">
        <f>IFERROR(Inv_SY!O40/Inv_SY!$Y40-1,"")</f>
        <v>0.33859436689753397</v>
      </c>
      <c r="P38" s="59">
        <f>IFERROR(Inv_SY!P40/Inv_SY!$Y40-1,"")</f>
        <v>0.28579135807240896</v>
      </c>
      <c r="Q38" s="59">
        <f>IFERROR(Inv_SY!Q40/Inv_SY!$Y40-1,"")</f>
        <v>-1</v>
      </c>
      <c r="R38" s="59">
        <f>IFERROR(Inv_SY!R40/Inv_SY!$Y40-1,"")</f>
        <v>6.5630110599246505E-2</v>
      </c>
      <c r="S38" s="59">
        <f>IFERROR(Inv_SY!S40/Inv_SY!$Y40-1,"")</f>
        <v>2.4713417647254765E-2</v>
      </c>
      <c r="T38" s="59">
        <f>IFERROR(Inv_SY!T40/Inv_SY!$Y40-1,"")</f>
        <v>-6.4469525804073946E-3</v>
      </c>
      <c r="U38" s="59">
        <f>IFERROR(Inv_SY!U40/Inv_SY!$Y40-1,"")</f>
        <v>-1.3600534521828411E-2</v>
      </c>
      <c r="V38" s="59">
        <f>IFERROR(Inv_SY!J40/Inv_SY!$Z40-1,"")</f>
        <v>0.30397310214303741</v>
      </c>
      <c r="W38" s="59">
        <f>IFERROR(Inv_SY!K40/Inv_SY!$Z40-1,"")</f>
        <v>0.30391637806516436</v>
      </c>
      <c r="X38" s="59">
        <f>IFERROR(Inv_SY!L40/Inv_SY!$Z40-1,"")</f>
        <v>-1</v>
      </c>
      <c r="Y38" s="59">
        <f>IFERROR(Inv_SY!M40/Inv_SY!$Z40-1,"")</f>
        <v>0.34122011251522144</v>
      </c>
      <c r="Z38" s="59">
        <f>IFERROR(Inv_SY!N40/Inv_SY!$Z40-1,"")</f>
        <v>0.27017485075992753</v>
      </c>
      <c r="AA38" s="59">
        <f>IFERROR(Inv_SY!O40/Inv_SY!$Z40-1,"")</f>
        <v>0.31687457519892437</v>
      </c>
      <c r="AB38" s="59">
        <f>IFERROR(Inv_SY!P40/Inv_SY!$Z40-1,"")</f>
        <v>0.26492833850813891</v>
      </c>
      <c r="AC38" s="59">
        <f>IFERROR(Inv_SY!Q40/Inv_SY!$Z40-1,"")</f>
        <v>-1</v>
      </c>
      <c r="AD38" s="59">
        <f>IFERROR(Inv_SY!R40/Inv_SY!$Z40-1,"")</f>
        <v>4.8339387881186857E-2</v>
      </c>
      <c r="AE38" s="59">
        <f>IFERROR(Inv_SY!S40/Inv_SY!$Z40-1,"")</f>
        <v>8.0866018377330207E-3</v>
      </c>
      <c r="AF38" s="59">
        <f>IFERROR(Inv_SY!T40/Inv_SY!$Z40-1,"")</f>
        <v>-2.2568165821045594E-2</v>
      </c>
      <c r="AG38" s="59">
        <f>IFERROR(Inv_SY!U40/Inv_SY!$Z40-1,"")</f>
        <v>-2.9605675027134071E-2</v>
      </c>
      <c r="AH38" s="59">
        <f>IFERROR(Inv_SY!V40/Inv_SY!$Y40-1,"")</f>
        <v>2.9918601545897427E-3</v>
      </c>
      <c r="AI38" s="59">
        <f>IFERROR(Inv_SY!W40/Inv_SY!$Y40-1,"")</f>
        <v>-1.9485300082480284E-2</v>
      </c>
      <c r="AJ38" s="59">
        <f>IFERROR(Inv_SY!X40/Inv_SY!$Y40-1,"")</f>
        <v>1.6493439927890208E-2</v>
      </c>
      <c r="AK38" s="59">
        <f>IFERROR(Inv_SY!V40/Inv_SY!$Z40-1,"")</f>
        <v>-1.3282505565661462E-2</v>
      </c>
      <c r="AL38" s="59">
        <f>IFERROR(Inv_SY!W40/Inv_SY!$Z40-1,"")</f>
        <v>-3.5394955439085662E-2</v>
      </c>
      <c r="AM38" s="59">
        <f>IFERROR(Inv_SY!X40/Inv_SY!$Z40-1,"")</f>
        <v>0</v>
      </c>
    </row>
    <row r="39" spans="1:39" x14ac:dyDescent="0.3">
      <c r="A39" s="55">
        <f>YEAR(Table5[[#This Row],[Date]])+IF(MONTH(Table5[[#This Row],[Date]])&gt;=4,1,0)</f>
        <v>2026</v>
      </c>
      <c r="B39" s="55">
        <v>4</v>
      </c>
      <c r="C39" s="124">
        <f>YEAR(Table5[[#This Row],[Date]])</f>
        <v>2025</v>
      </c>
      <c r="D39" s="55" t="s">
        <v>329</v>
      </c>
      <c r="E39" s="55" t="s">
        <v>329</v>
      </c>
      <c r="F39" s="126" t="str">
        <f>TEXT(Table5[[#This Row],[Date]],"mmm-yy")</f>
        <v>May-25</v>
      </c>
      <c r="G39" s="124">
        <f t="shared" si="3"/>
        <v>31</v>
      </c>
      <c r="H39" s="125">
        <f t="shared" si="2"/>
        <v>45782</v>
      </c>
      <c r="I39" s="55">
        <v>8.02</v>
      </c>
      <c r="J39" s="59">
        <f>IFERROR(Inv_SY!J41/Inv_SY!$Y41-1,"")</f>
        <v>0.33709260417658071</v>
      </c>
      <c r="K39" s="59">
        <f>IFERROR(Inv_SY!K41/Inv_SY!$Y41-1,"")</f>
        <v>0.33706328775648431</v>
      </c>
      <c r="L39" s="59">
        <f>IFERROR(Inv_SY!L41/Inv_SY!$Y41-1,"")</f>
        <v>-1</v>
      </c>
      <c r="M39" s="59">
        <f>IFERROR(Inv_SY!M41/Inv_SY!$Y41-1,"")</f>
        <v>0.33690134943595207</v>
      </c>
      <c r="N39" s="59">
        <f>IFERROR(Inv_SY!N41/Inv_SY!$Y41-1,"")</f>
        <v>0.3088935722232018</v>
      </c>
      <c r="O39" s="59">
        <f>IFERROR(Inv_SY!O41/Inv_SY!$Y41-1,"")</f>
        <v>0.30126553583352966</v>
      </c>
      <c r="P39" s="59">
        <f>IFERROR(Inv_SY!P41/Inv_SY!$Y41-1,"")</f>
        <v>0.32665259444290817</v>
      </c>
      <c r="Q39" s="59">
        <f>IFERROR(Inv_SY!Q41/Inv_SY!$Y41-1,"")</f>
        <v>-1</v>
      </c>
      <c r="R39" s="59">
        <f>IFERROR(Inv_SY!R41/Inv_SY!$Y41-1,"")</f>
        <v>1.3161338779029697E-2</v>
      </c>
      <c r="S39" s="59">
        <f>IFERROR(Inv_SY!S41/Inv_SY!$Y41-1,"")</f>
        <v>5.1715160375577884E-2</v>
      </c>
      <c r="T39" s="59">
        <f>IFERROR(Inv_SY!T41/Inv_SY!$Y41-1,"")</f>
        <v>-1.5705721401865214E-3</v>
      </c>
      <c r="U39" s="59">
        <f>IFERROR(Inv_SY!U41/Inv_SY!$Y41-1,"")</f>
        <v>-1.0490275309166686E-2</v>
      </c>
      <c r="V39" s="59">
        <f>IFERROR(Inv_SY!J41/Inv_SY!$Z41-1,"")</f>
        <v>0.32116332396248026</v>
      </c>
      <c r="W39" s="59">
        <f>IFERROR(Inv_SY!K41/Inv_SY!$Z41-1,"")</f>
        <v>0.3211343567997722</v>
      </c>
      <c r="X39" s="59">
        <f>IFERROR(Inv_SY!L41/Inv_SY!$Z41-1,"")</f>
        <v>-1</v>
      </c>
      <c r="Y39" s="59">
        <f>IFERROR(Inv_SY!M41/Inv_SY!$Z41-1,"")</f>
        <v>0.32097434771052646</v>
      </c>
      <c r="Z39" s="59">
        <f>IFERROR(Inv_SY!N41/Inv_SY!$Z41-1,"")</f>
        <v>0.29330023753774226</v>
      </c>
      <c r="AA39" s="59">
        <f>IFERROR(Inv_SY!O41/Inv_SY!$Z41-1,"")</f>
        <v>0.28576307677534896</v>
      </c>
      <c r="AB39" s="59">
        <f>IFERROR(Inv_SY!P41/Inv_SY!$Z41-1,"")</f>
        <v>0.31084768993768996</v>
      </c>
      <c r="AC39" s="59">
        <f>IFERROR(Inv_SY!Q41/Inv_SY!$Z41-1,"")</f>
        <v>-1</v>
      </c>
      <c r="AD39" s="59">
        <f>IFERROR(Inv_SY!R41/Inv_SY!$Z41-1,"")</f>
        <v>1.0911718982227203E-3</v>
      </c>
      <c r="AE39" s="59">
        <f>IFERROR(Inv_SY!S41/Inv_SY!$Z41-1,"")</f>
        <v>3.9185687515800316E-2</v>
      </c>
      <c r="AF39" s="59">
        <f>IFERROR(Inv_SY!T41/Inv_SY!$Z41-1,"")</f>
        <v>-1.3465232301123509E-2</v>
      </c>
      <c r="AG39" s="59">
        <f>IFERROR(Inv_SY!U41/Inv_SY!$Z41-1,"")</f>
        <v>-2.2278671737314015E-2</v>
      </c>
      <c r="AH39" s="59">
        <f>IFERROR(Inv_SY!V41/Inv_SY!$Y41-1,"")</f>
        <v>2.0939892357314527E-3</v>
      </c>
      <c r="AI39" s="59">
        <f>IFERROR(Inv_SY!W41/Inv_SY!$Y41-1,"")</f>
        <v>-1.4150999845384704E-2</v>
      </c>
      <c r="AJ39" s="59">
        <f>IFERROR(Inv_SY!X41/Inv_SY!$Y41-1,"")</f>
        <v>1.205701060965314E-2</v>
      </c>
      <c r="AK39" s="59">
        <f>IFERROR(Inv_SY!V41/Inv_SY!$Z41-1,"")</f>
        <v>-9.8443282043173541E-3</v>
      </c>
      <c r="AL39" s="59">
        <f>IFERROR(Inv_SY!W41/Inv_SY!$Z41-1,"")</f>
        <v>-2.5895784704115021E-2</v>
      </c>
      <c r="AM39" s="59">
        <f>IFERROR(Inv_SY!X41/Inv_SY!$Z41-1,"")</f>
        <v>0</v>
      </c>
    </row>
    <row r="40" spans="1:39" x14ac:dyDescent="0.3">
      <c r="A40" s="55">
        <f>YEAR(Table5[[#This Row],[Date]])+IF(MONTH(Table5[[#This Row],[Date]])&gt;=4,1,0)</f>
        <v>2026</v>
      </c>
      <c r="B40" s="55">
        <v>4</v>
      </c>
      <c r="C40" s="124">
        <f>YEAR(Table5[[#This Row],[Date]])</f>
        <v>2025</v>
      </c>
      <c r="D40" s="55" t="s">
        <v>329</v>
      </c>
      <c r="E40" s="55" t="s">
        <v>329</v>
      </c>
      <c r="F40" s="126" t="str">
        <f>TEXT(Table5[[#This Row],[Date]],"mmm-yy")</f>
        <v>May-25</v>
      </c>
      <c r="G40" s="124">
        <f t="shared" si="3"/>
        <v>31</v>
      </c>
      <c r="H40" s="125">
        <f t="shared" si="2"/>
        <v>45783</v>
      </c>
      <c r="I40" s="55">
        <v>8.02</v>
      </c>
      <c r="J40" s="59">
        <f>IFERROR(Inv_SY!J42/Inv_SY!$Y42-1,"")</f>
        <v>0.3578108636649644</v>
      </c>
      <c r="K40" s="59">
        <f>IFERROR(Inv_SY!K42/Inv_SY!$Y42-1,"")</f>
        <v>0.33310439703782824</v>
      </c>
      <c r="L40" s="59">
        <f>IFERROR(Inv_SY!L42/Inv_SY!$Y42-1,"")</f>
        <v>-1</v>
      </c>
      <c r="M40" s="59">
        <f>IFERROR(Inv_SY!M42/Inv_SY!$Y42-1,"")</f>
        <v>0.31173231811232527</v>
      </c>
      <c r="N40" s="59">
        <f>IFERROR(Inv_SY!N42/Inv_SY!$Y42-1,"")</f>
        <v>0.33624988226782282</v>
      </c>
      <c r="O40" s="59">
        <f>IFERROR(Inv_SY!O42/Inv_SY!$Y42-1,"")</f>
        <v>0.30404845579894202</v>
      </c>
      <c r="P40" s="59">
        <f>IFERROR(Inv_SY!P42/Inv_SY!$Y42-1,"")</f>
        <v>0.30614108002145879</v>
      </c>
      <c r="Q40" s="59">
        <f>IFERROR(Inv_SY!Q42/Inv_SY!$Y42-1,"")</f>
        <v>-1</v>
      </c>
      <c r="R40" s="59">
        <f>IFERROR(Inv_SY!R42/Inv_SY!$Y42-1,"")</f>
        <v>1.2035936802234026E-2</v>
      </c>
      <c r="S40" s="59">
        <f>IFERROR(Inv_SY!S42/Inv_SY!$Y42-1,"")</f>
        <v>3.0034973814844879E-2</v>
      </c>
      <c r="T40" s="59">
        <f>IFERROR(Inv_SY!T42/Inv_SY!$Y42-1,"")</f>
        <v>1.929035260377221E-2</v>
      </c>
      <c r="U40" s="59">
        <f>IFERROR(Inv_SY!U42/Inv_SY!$Y42-1,"")</f>
        <v>-1.0029336049805049E-2</v>
      </c>
      <c r="V40" s="59">
        <f>IFERROR(Inv_SY!J42/Inv_SY!$Z42-1,"")</f>
        <v>0.34192686468486211</v>
      </c>
      <c r="W40" s="59">
        <f>IFERROR(Inv_SY!K42/Inv_SY!$Z42-1,"")</f>
        <v>0.31750942026340212</v>
      </c>
      <c r="X40" s="59">
        <f>IFERROR(Inv_SY!L42/Inv_SY!$Z42-1,"")</f>
        <v>-1</v>
      </c>
      <c r="Y40" s="59">
        <f>IFERROR(Inv_SY!M42/Inv_SY!$Z42-1,"")</f>
        <v>0.29638735707200436</v>
      </c>
      <c r="Z40" s="59">
        <f>IFERROR(Inv_SY!N42/Inv_SY!$Z42-1,"")</f>
        <v>0.32061810884850139</v>
      </c>
      <c r="AA40" s="59">
        <f>IFERROR(Inv_SY!O42/Inv_SY!$Z42-1,"")</f>
        <v>0.28879338243327091</v>
      </c>
      <c r="AB40" s="59">
        <f>IFERROR(Inv_SY!P42/Inv_SY!$Z42-1,"")</f>
        <v>0.29086152663290266</v>
      </c>
      <c r="AC40" s="59">
        <f>IFERROR(Inv_SY!Q42/Inv_SY!$Z42-1,"")</f>
        <v>-1</v>
      </c>
      <c r="AD40" s="59">
        <f>IFERROR(Inv_SY!R42/Inv_SY!$Z42-1,"")</f>
        <v>1.9689631569375088E-4</v>
      </c>
      <c r="AE40" s="59">
        <f>IFERROR(Inv_SY!S42/Inv_SY!$Z42-1,"")</f>
        <v>1.7985376252056762E-2</v>
      </c>
      <c r="AF40" s="59">
        <f>IFERROR(Inv_SY!T42/Inv_SY!$Z42-1,"")</f>
        <v>7.3664482114581542E-3</v>
      </c>
      <c r="AG40" s="59">
        <f>IFERROR(Inv_SY!U42/Inv_SY!$Z42-1,"")</f>
        <v>-2.1610251652492529E-2</v>
      </c>
      <c r="AH40" s="59">
        <f>IFERROR(Inv_SY!V42/Inv_SY!$Y42-1,"")</f>
        <v>-9.6664510422339589E-5</v>
      </c>
      <c r="AI40" s="59">
        <f>IFERROR(Inv_SY!W42/Inv_SY!$Y42-1,"")</f>
        <v>-1.1740045371551933E-2</v>
      </c>
      <c r="AJ40" s="59">
        <f>IFERROR(Inv_SY!X42/Inv_SY!$Y42-1,"")</f>
        <v>1.1836709881974494E-2</v>
      </c>
      <c r="AK40" s="59">
        <f>IFERROR(Inv_SY!V42/Inv_SY!$Z42-1,"")</f>
        <v>-1.1793774900486387E-2</v>
      </c>
      <c r="AL40" s="59">
        <f>IFERROR(Inv_SY!W42/Inv_SY!$Z42-1,"")</f>
        <v>-2.3300948683979361E-2</v>
      </c>
      <c r="AM40" s="59">
        <f>IFERROR(Inv_SY!X42/Inv_SY!$Z42-1,"")</f>
        <v>0</v>
      </c>
    </row>
    <row r="41" spans="1:39" x14ac:dyDescent="0.3">
      <c r="A41" s="55">
        <f>YEAR(Table5[[#This Row],[Date]])+IF(MONTH(Table5[[#This Row],[Date]])&gt;=4,1,0)</f>
        <v>2026</v>
      </c>
      <c r="B41" s="55">
        <v>4</v>
      </c>
      <c r="C41" s="124">
        <f>YEAR(Table5[[#This Row],[Date]])</f>
        <v>2025</v>
      </c>
      <c r="D41" s="55" t="s">
        <v>329</v>
      </c>
      <c r="E41" s="55" t="s">
        <v>329</v>
      </c>
      <c r="F41" s="126" t="str">
        <f>TEXT(Table5[[#This Row],[Date]],"mmm-yy")</f>
        <v>May-25</v>
      </c>
      <c r="G41" s="124">
        <f t="shared" si="3"/>
        <v>31</v>
      </c>
      <c r="H41" s="125">
        <f t="shared" si="2"/>
        <v>45784</v>
      </c>
      <c r="I41" s="55">
        <v>8.02</v>
      </c>
      <c r="J41" s="59">
        <f>IFERROR(Inv_SY!J43/Inv_SY!$Y43-1,"")</f>
        <v>0.32591460918511239</v>
      </c>
      <c r="K41" s="59">
        <f>IFERROR(Inv_SY!K43/Inv_SY!$Y43-1,"")</f>
        <v>0.34853751097704433</v>
      </c>
      <c r="L41" s="59">
        <f>IFERROR(Inv_SY!L43/Inv_SY!$Y43-1,"")</f>
        <v>-1</v>
      </c>
      <c r="M41" s="59">
        <f>IFERROR(Inv_SY!M43/Inv_SY!$Y43-1,"")</f>
        <v>0.305436147364893</v>
      </c>
      <c r="N41" s="59">
        <f>IFERROR(Inv_SY!N43/Inv_SY!$Y43-1,"")</f>
        <v>0.34299043220781811</v>
      </c>
      <c r="O41" s="59">
        <f>IFERROR(Inv_SY!O43/Inv_SY!$Y43-1,"")</f>
        <v>0.30987323197434802</v>
      </c>
      <c r="P41" s="59">
        <f>IFERROR(Inv_SY!P43/Inv_SY!$Y43-1,"")</f>
        <v>0.31252754625214707</v>
      </c>
      <c r="Q41" s="59">
        <f>IFERROR(Inv_SY!Q43/Inv_SY!$Y43-1,"")</f>
        <v>-1</v>
      </c>
      <c r="R41" s="59">
        <f>IFERROR(Inv_SY!R43/Inv_SY!$Y43-1,"")</f>
        <v>1.2759438172753157E-2</v>
      </c>
      <c r="S41" s="59">
        <f>IFERROR(Inv_SY!S43/Inv_SY!$Y43-1,"")</f>
        <v>3.123794233272692E-2</v>
      </c>
      <c r="T41" s="59">
        <f>IFERROR(Inv_SY!T43/Inv_SY!$Y43-1,"")</f>
        <v>-1.0367781715413527E-3</v>
      </c>
      <c r="U41" s="59">
        <f>IFERROR(Inv_SY!U43/Inv_SY!$Y43-1,"")</f>
        <v>1.2119277428713993E-2</v>
      </c>
      <c r="V41" s="59">
        <f>IFERROR(Inv_SY!J43/Inv_SY!$Z43-1,"")</f>
        <v>0.3091939852733685</v>
      </c>
      <c r="W41" s="59">
        <f>IFERROR(Inv_SY!K43/Inv_SY!$Z43-1,"")</f>
        <v>0.33153159792975972</v>
      </c>
      <c r="X41" s="59">
        <f>IFERROR(Inv_SY!L43/Inv_SY!$Z43-1,"")</f>
        <v>-1</v>
      </c>
      <c r="Y41" s="59">
        <f>IFERROR(Inv_SY!M43/Inv_SY!$Z43-1,"")</f>
        <v>0.28897376984097445</v>
      </c>
      <c r="Z41" s="59">
        <f>IFERROR(Inv_SY!N43/Inv_SY!$Z43-1,"")</f>
        <v>0.32605447134091281</v>
      </c>
      <c r="AA41" s="59">
        <f>IFERROR(Inv_SY!O43/Inv_SY!$Z43-1,"")</f>
        <v>0.2933549000001916</v>
      </c>
      <c r="AB41" s="59">
        <f>IFERROR(Inv_SY!P43/Inv_SY!$Z43-1,"")</f>
        <v>0.29597574169199214</v>
      </c>
      <c r="AC41" s="59">
        <f>IFERROR(Inv_SY!Q43/Inv_SY!$Z43-1,"")</f>
        <v>-1</v>
      </c>
      <c r="AD41" s="59">
        <f>IFERROR(Inv_SY!R43/Inv_SY!$Z43-1,"")</f>
        <v>-1.2100477962184719E-5</v>
      </c>
      <c r="AE41" s="59">
        <f>IFERROR(Inv_SY!S43/Inv_SY!$Z43-1,"")</f>
        <v>1.8233378028345903E-2</v>
      </c>
      <c r="AF41" s="59">
        <f>IFERROR(Inv_SY!T43/Inv_SY!$Z43-1,"")</f>
        <v>-1.3634337786728956E-2</v>
      </c>
      <c r="AG41" s="59">
        <f>IFERROR(Inv_SY!U43/Inv_SY!$Z43-1,"")</f>
        <v>-6.4418838912816412E-4</v>
      </c>
      <c r="AH41" s="59">
        <f>IFERROR(Inv_SY!V43/Inv_SY!$Y43-1,"")</f>
        <v>-5.7775201040402013E-3</v>
      </c>
      <c r="AI41" s="59">
        <f>IFERROR(Inv_SY!W43/Inv_SY!$Y43-1,"")</f>
        <v>-6.9941730902672861E-3</v>
      </c>
      <c r="AJ41" s="59">
        <f>IFERROR(Inv_SY!X43/Inv_SY!$Y43-1,"")</f>
        <v>1.2771693194307376E-2</v>
      </c>
      <c r="AK41" s="59">
        <f>IFERROR(Inv_SY!V43/Inv_SY!$Z43-1,"")</f>
        <v>-1.8315295957613831E-2</v>
      </c>
      <c r="AL41" s="59">
        <f>IFERROR(Inv_SY!W43/Inv_SY!$Z43-1,"")</f>
        <v>-1.9516606178271556E-2</v>
      </c>
      <c r="AM41" s="59">
        <f>IFERROR(Inv_SY!X43/Inv_SY!$Z43-1,"")</f>
        <v>0</v>
      </c>
    </row>
    <row r="42" spans="1:39" x14ac:dyDescent="0.3">
      <c r="A42" s="55">
        <f>YEAR(Table5[[#This Row],[Date]])+IF(MONTH(Table5[[#This Row],[Date]])&gt;=4,1,0)</f>
        <v>2026</v>
      </c>
      <c r="B42" s="55">
        <v>4</v>
      </c>
      <c r="C42" s="124">
        <f>YEAR(Table5[[#This Row],[Date]])</f>
        <v>2025</v>
      </c>
      <c r="D42" s="55" t="s">
        <v>329</v>
      </c>
      <c r="E42" s="55" t="s">
        <v>329</v>
      </c>
      <c r="F42" s="126" t="str">
        <f>TEXT(Table5[[#This Row],[Date]],"mmm-yy")</f>
        <v>May-25</v>
      </c>
      <c r="G42" s="124">
        <f t="shared" ref="G42:G44" si="4">DAY(EOMONTH(F42,0))</f>
        <v>31</v>
      </c>
      <c r="H42" s="125">
        <f t="shared" si="2"/>
        <v>45785</v>
      </c>
      <c r="I42" s="55">
        <v>8.02</v>
      </c>
      <c r="J42" s="59">
        <f>IFERROR(Inv_SY!J44/Inv_SY!$Y44-1,"")</f>
        <v>0.32684904449424357</v>
      </c>
      <c r="K42" s="59">
        <f>IFERROR(Inv_SY!K44/Inv_SY!$Y44-1,"")</f>
        <v>0.32684904449424357</v>
      </c>
      <c r="L42" s="59">
        <f>IFERROR(Inv_SY!L44/Inv_SY!$Y44-1,"")</f>
        <v>-1</v>
      </c>
      <c r="M42" s="59">
        <f>IFERROR(Inv_SY!M44/Inv_SY!$Y44-1,"")</f>
        <v>0.34067324127951237</v>
      </c>
      <c r="N42" s="59">
        <f>IFERROR(Inv_SY!N44/Inv_SY!$Y44-1,"")</f>
        <v>0.30582967443298359</v>
      </c>
      <c r="O42" s="59">
        <f>IFERROR(Inv_SY!O44/Inv_SY!$Y44-1,"")</f>
        <v>0.33332310424946066</v>
      </c>
      <c r="P42" s="59">
        <f>IFERROR(Inv_SY!P44/Inv_SY!$Y44-1,"")</f>
        <v>0.30032480322113586</v>
      </c>
      <c r="Q42" s="59">
        <f>IFERROR(Inv_SY!Q44/Inv_SY!$Y44-1,"")</f>
        <v>-1</v>
      </c>
      <c r="R42" s="59">
        <f>IFERROR(Inv_SY!R44/Inv_SY!$Y44-1,"")</f>
        <v>4.6916959962858495E-2</v>
      </c>
      <c r="S42" s="59">
        <f>IFERROR(Inv_SY!S44/Inv_SY!$Y44-1,"")</f>
        <v>3.0571669248154132E-2</v>
      </c>
      <c r="T42" s="59">
        <f>IFERROR(Inv_SY!T44/Inv_SY!$Y44-1,"")</f>
        <v>-1.7224943190899955E-3</v>
      </c>
      <c r="U42" s="59">
        <f>IFERROR(Inv_SY!U44/Inv_SY!$Y44-1,"")</f>
        <v>-9.3923334983911921E-3</v>
      </c>
      <c r="V42" s="59">
        <f>IFERROR(Inv_SY!J44/Inv_SY!$Z44-1,"")</f>
        <v>0.30657015194045467</v>
      </c>
      <c r="W42" s="59">
        <f>IFERROR(Inv_SY!K44/Inv_SY!$Z44-1,"")</f>
        <v>0.30657015194045467</v>
      </c>
      <c r="X42" s="59">
        <f>IFERROR(Inv_SY!L44/Inv_SY!$Z44-1,"")</f>
        <v>-1</v>
      </c>
      <c r="Y42" s="59">
        <f>IFERROR(Inv_SY!M44/Inv_SY!$Z44-1,"")</f>
        <v>0.32018306666435103</v>
      </c>
      <c r="Z42" s="59">
        <f>IFERROR(Inv_SY!N44/Inv_SY!$Z44-1,"")</f>
        <v>0.28587203134520545</v>
      </c>
      <c r="AA42" s="59">
        <f>IFERROR(Inv_SY!O44/Inv_SY!$Z44-1,"")</f>
        <v>0.31294526542691004</v>
      </c>
      <c r="AB42" s="59">
        <f>IFERROR(Inv_SY!P44/Inv_SY!$Z44-1,"")</f>
        <v>0.28045129381253608</v>
      </c>
      <c r="AC42" s="59">
        <f>IFERROR(Inv_SY!Q44/Inv_SY!$Z44-1,"")</f>
        <v>-1</v>
      </c>
      <c r="AD42" s="59">
        <f>IFERROR(Inv_SY!R44/Inv_SY!$Z44-1,"")</f>
        <v>3.0916408406582052E-2</v>
      </c>
      <c r="AE42" s="59">
        <f>IFERROR(Inv_SY!S44/Inv_SY!$Z44-1,"")</f>
        <v>1.4820930883166827E-2</v>
      </c>
      <c r="AF42" s="59">
        <f>IFERROR(Inv_SY!T44/Inv_SY!$Z44-1,"")</f>
        <v>-1.6979664952456175E-2</v>
      </c>
      <c r="AG42" s="59">
        <f>IFERROR(Inv_SY!U44/Inv_SY!$Z44-1,"")</f>
        <v>-2.4532282172509356E-2</v>
      </c>
      <c r="AH42" s="59">
        <f>IFERROR(Inv_SY!V44/Inv_SY!$Y44-1,"")</f>
        <v>-2.0372917118418599E-3</v>
      </c>
      <c r="AI42" s="59">
        <f>IFERROR(Inv_SY!W44/Inv_SY!$Y44-1,"")</f>
        <v>-1.3483415326866921E-2</v>
      </c>
      <c r="AJ42" s="59">
        <f>IFERROR(Inv_SY!X44/Inv_SY!$Y44-1,"")</f>
        <v>1.552070703870867E-2</v>
      </c>
      <c r="AK42" s="59">
        <f>IFERROR(Inv_SY!V44/Inv_SY!$Z44-1,"")</f>
        <v>-1.7289651140398932E-2</v>
      </c>
      <c r="AL42" s="59">
        <f>IFERROR(Inv_SY!W44/Inv_SY!$Z44-1,"")</f>
        <v>-2.8560837966714159E-2</v>
      </c>
      <c r="AM42" s="59">
        <f>IFERROR(Inv_SY!X44/Inv_SY!$Z44-1,"")</f>
        <v>0</v>
      </c>
    </row>
    <row r="43" spans="1:39" x14ac:dyDescent="0.3">
      <c r="A43" s="55">
        <f>YEAR(Table5[[#This Row],[Date]])+IF(MONTH(Table5[[#This Row],[Date]])&gt;=4,1,0)</f>
        <v>2026</v>
      </c>
      <c r="B43" s="55">
        <v>4</v>
      </c>
      <c r="C43" s="124">
        <f>YEAR(Table5[[#This Row],[Date]])</f>
        <v>2025</v>
      </c>
      <c r="D43" s="55" t="s">
        <v>329</v>
      </c>
      <c r="E43" s="55" t="s">
        <v>329</v>
      </c>
      <c r="F43" s="126" t="str">
        <f>TEXT(Table5[[#This Row],[Date]],"mmm-yy")</f>
        <v>May-25</v>
      </c>
      <c r="G43" s="124">
        <f t="shared" si="4"/>
        <v>31</v>
      </c>
      <c r="H43" s="125">
        <f t="shared" si="2"/>
        <v>45786</v>
      </c>
      <c r="I43" s="55">
        <v>8.02</v>
      </c>
      <c r="J43" s="59">
        <f>IFERROR(Inv_SY!J45/Inv_SY!$Y45-1,"")</f>
        <v>0.3391933827236091</v>
      </c>
      <c r="K43" s="59">
        <f>IFERROR(Inv_SY!K45/Inv_SY!$Y45-1,"")</f>
        <v>0.33891727302773011</v>
      </c>
      <c r="L43" s="59">
        <f>IFERROR(Inv_SY!L45/Inv_SY!$Y45-1,"")</f>
        <v>-1</v>
      </c>
      <c r="M43" s="59">
        <f>IFERROR(Inv_SY!M45/Inv_SY!$Y45-1,"")</f>
        <v>0.34112371576499312</v>
      </c>
      <c r="N43" s="59">
        <f>IFERROR(Inv_SY!N45/Inv_SY!$Y45-1,"")</f>
        <v>0.30891787913066326</v>
      </c>
      <c r="O43" s="59">
        <f>IFERROR(Inv_SY!O45/Inv_SY!$Y45-1,"")</f>
        <v>0.30056116017487744</v>
      </c>
      <c r="P43" s="59">
        <f>IFERROR(Inv_SY!P45/Inv_SY!$Y45-1,"")</f>
        <v>0.3275334060582904</v>
      </c>
      <c r="Q43" s="59">
        <f>IFERROR(Inv_SY!Q45/Inv_SY!$Y45-1,"")</f>
        <v>-1</v>
      </c>
      <c r="R43" s="59">
        <f>IFERROR(Inv_SY!R45/Inv_SY!$Y45-1,"")</f>
        <v>9.0857452058883403E-3</v>
      </c>
      <c r="S43" s="59">
        <f>IFERROR(Inv_SY!S45/Inv_SY!$Y45-1,"")</f>
        <v>5.1823127479515563E-2</v>
      </c>
      <c r="T43" s="59">
        <f>IFERROR(Inv_SY!T45/Inv_SY!$Y45-1,"")</f>
        <v>-4.2881183605891771E-3</v>
      </c>
      <c r="U43" s="59">
        <f>IFERROR(Inv_SY!U45/Inv_SY!$Y45-1,"")</f>
        <v>-1.2172372990401858E-2</v>
      </c>
      <c r="V43" s="59">
        <f>IFERROR(Inv_SY!J45/Inv_SY!$Z45-1,"")</f>
        <v>0.32598941169922213</v>
      </c>
      <c r="W43" s="59">
        <f>IFERROR(Inv_SY!K45/Inv_SY!$Z45-1,"")</f>
        <v>0.32571602434686042</v>
      </c>
      <c r="X43" s="59">
        <f>IFERROR(Inv_SY!L45/Inv_SY!$Z45-1,"")</f>
        <v>-1</v>
      </c>
      <c r="Y43" s="59">
        <f>IFERROR(Inv_SY!M45/Inv_SY!$Z45-1,"")</f>
        <v>0.32790071234254103</v>
      </c>
      <c r="Z43" s="59">
        <f>IFERROR(Inv_SY!N45/Inv_SY!$Z45-1,"")</f>
        <v>0.29601241381676369</v>
      </c>
      <c r="AA43" s="59">
        <f>IFERROR(Inv_SY!O45/Inv_SY!$Z45-1,"")</f>
        <v>0.2877380891412773</v>
      </c>
      <c r="AB43" s="59">
        <f>IFERROR(Inv_SY!P45/Inv_SY!$Z45-1,"")</f>
        <v>0.31444439826178372</v>
      </c>
      <c r="AC43" s="59">
        <f>IFERROR(Inv_SY!Q45/Inv_SY!$Z45-1,"")</f>
        <v>-1</v>
      </c>
      <c r="AD43" s="59">
        <f>IFERROR(Inv_SY!R45/Inv_SY!$Z45-1,"")</f>
        <v>-8.6348177858397435E-4</v>
      </c>
      <c r="AE43" s="59">
        <f>IFERROR(Inv_SY!S45/Inv_SY!$Z45-1,"")</f>
        <v>4.1452525087668057E-2</v>
      </c>
      <c r="AF43" s="59">
        <f>IFERROR(Inv_SY!T45/Inv_SY!$Z45-1,"")</f>
        <v>-1.4105483801169494E-2</v>
      </c>
      <c r="AG43" s="59">
        <f>IFERROR(Inv_SY!U45/Inv_SY!$Z45-1,"")</f>
        <v>-2.1912002481100701E-2</v>
      </c>
      <c r="AH43" s="59">
        <f>IFERROR(Inv_SY!V45/Inv_SY!$Y45-1,"")</f>
        <v>4.1429048087278098E-3</v>
      </c>
      <c r="AI43" s="59">
        <f>IFERROR(Inv_SY!W45/Inv_SY!$Y45-1,"")</f>
        <v>-1.410073019397462E-2</v>
      </c>
      <c r="AJ43" s="59">
        <f>IFERROR(Inv_SY!X45/Inv_SY!$Y45-1,"")</f>
        <v>9.9578253852468102E-3</v>
      </c>
      <c r="AK43" s="59">
        <f>IFERROR(Inv_SY!V45/Inv_SY!$Z45-1,"")</f>
        <v>-5.757587525301755E-3</v>
      </c>
      <c r="AL43" s="59">
        <f>IFERROR(Inv_SY!W45/Inv_SY!$Z45-1,"")</f>
        <v>-2.3821346767667562E-2</v>
      </c>
      <c r="AM43" s="59">
        <f>IFERROR(Inv_SY!X45/Inv_SY!$Z45-1,"")</f>
        <v>0</v>
      </c>
    </row>
    <row r="44" spans="1:39" x14ac:dyDescent="0.3">
      <c r="A44" s="55">
        <f>YEAR(Table5[[#This Row],[Date]])+IF(MONTH(Table5[[#This Row],[Date]])&gt;=4,1,0)</f>
        <v>2026</v>
      </c>
      <c r="B44" s="55">
        <v>4</v>
      </c>
      <c r="C44" s="124">
        <f>YEAR(Table5[[#This Row],[Date]])</f>
        <v>2025</v>
      </c>
      <c r="D44" s="55" t="s">
        <v>329</v>
      </c>
      <c r="E44" s="55" t="s">
        <v>329</v>
      </c>
      <c r="F44" s="126" t="str">
        <f>TEXT(Table5[[#This Row],[Date]],"mmm-yy")</f>
        <v>May-25</v>
      </c>
      <c r="G44" s="124">
        <f t="shared" si="4"/>
        <v>31</v>
      </c>
      <c r="H44" s="125">
        <f t="shared" si="2"/>
        <v>45787</v>
      </c>
      <c r="I44" s="55">
        <v>8.02</v>
      </c>
      <c r="J44" s="59">
        <f>IFERROR(Inv_SY!J46/Inv_SY!$Y46-1,"")</f>
        <v>0.35871018365370277</v>
      </c>
      <c r="K44" s="59">
        <f>IFERROR(Inv_SY!K46/Inv_SY!$Y46-1,"")</f>
        <v>0.32845872649128416</v>
      </c>
      <c r="L44" s="59">
        <f>IFERROR(Inv_SY!L46/Inv_SY!$Y46-1,"")</f>
        <v>-1</v>
      </c>
      <c r="M44" s="59">
        <f>IFERROR(Inv_SY!M46/Inv_SY!$Y46-1,"")</f>
        <v>0.30730085689238429</v>
      </c>
      <c r="N44" s="59">
        <f>IFERROR(Inv_SY!N46/Inv_SY!$Y46-1,"")</f>
        <v>0.35049419256225467</v>
      </c>
      <c r="O44" s="59">
        <f>IFERROR(Inv_SY!O46/Inv_SY!$Y46-1,"")</f>
        <v>0.31103014755505654</v>
      </c>
      <c r="P44" s="59">
        <f>IFERROR(Inv_SY!P46/Inv_SY!$Y46-1,"")</f>
        <v>0.3127955475180999</v>
      </c>
      <c r="Q44" s="59">
        <f>IFERROR(Inv_SY!Q46/Inv_SY!$Y46-1,"")</f>
        <v>-1</v>
      </c>
      <c r="R44" s="59">
        <f>IFERROR(Inv_SY!R46/Inv_SY!$Y46-1,"")</f>
        <v>3.8891070661668525E-3</v>
      </c>
      <c r="S44" s="59">
        <f>IFERROR(Inv_SY!S46/Inv_SY!$Y46-1,"")</f>
        <v>2.3510930193436641E-2</v>
      </c>
      <c r="T44" s="59">
        <f>IFERROR(Inv_SY!T46/Inv_SY!$Y46-1,"")</f>
        <v>2.0170340210846405E-2</v>
      </c>
      <c r="U44" s="59">
        <f>IFERROR(Inv_SY!U46/Inv_SY!$Y46-1,"")</f>
        <v>-1.6065802426567299E-2</v>
      </c>
      <c r="V44" s="59">
        <f>IFERROR(Inv_SY!J46/Inv_SY!$Z46-1,"")</f>
        <v>0.34939281783325482</v>
      </c>
      <c r="W44" s="59">
        <f>IFERROR(Inv_SY!K46/Inv_SY!$Z46-1,"")</f>
        <v>0.31934881027736362</v>
      </c>
      <c r="X44" s="59">
        <f>IFERROR(Inv_SY!L46/Inv_SY!$Z46-1,"")</f>
        <v>-1</v>
      </c>
      <c r="Y44" s="59">
        <f>IFERROR(Inv_SY!M46/Inv_SY!$Z46-1,"")</f>
        <v>0.29833603093642025</v>
      </c>
      <c r="Z44" s="59">
        <f>IFERROR(Inv_SY!N46/Inv_SY!$Z46-1,"")</f>
        <v>0.34123316796563619</v>
      </c>
      <c r="AA44" s="59">
        <f>IFERROR(Inv_SY!O46/Inv_SY!$Z46-1,"")</f>
        <v>0.30203974795890587</v>
      </c>
      <c r="AB44" s="59">
        <f>IFERROR(Inv_SY!P46/Inv_SY!$Z46-1,"")</f>
        <v>0.30379304167775301</v>
      </c>
      <c r="AC44" s="59">
        <f>IFERROR(Inv_SY!Q46/Inv_SY!$Z46-1,"")</f>
        <v>-1</v>
      </c>
      <c r="AD44" s="59">
        <f>IFERROR(Inv_SY!R46/Inv_SY!$Z46-1,"")</f>
        <v>-2.995070417912693E-3</v>
      </c>
      <c r="AE44" s="59">
        <f>IFERROR(Inv_SY!S46/Inv_SY!$Z46-1,"")</f>
        <v>1.6492195902217288E-2</v>
      </c>
      <c r="AF44" s="59">
        <f>IFERROR(Inv_SY!T46/Inv_SY!$Z46-1,"")</f>
        <v>1.31745140418289E-2</v>
      </c>
      <c r="AG44" s="59">
        <f>IFERROR(Inv_SY!U46/Inv_SY!$Z46-1,"")</f>
        <v>-2.2813138961123802E-2</v>
      </c>
      <c r="AH44" s="59">
        <f>IFERROR(Inv_SY!V46/Inv_SY!$Y46-1,"")</f>
        <v>-2.1465875222068664E-3</v>
      </c>
      <c r="AI44" s="59">
        <f>IFERROR(Inv_SY!W46/Inv_SY!$Y46-1,"")</f>
        <v>-4.7582704978682555E-3</v>
      </c>
      <c r="AJ44" s="59">
        <f>IFERROR(Inv_SY!X46/Inv_SY!$Y46-1,"")</f>
        <v>6.904858020075233E-3</v>
      </c>
      <c r="AK44" s="59">
        <f>IFERROR(Inv_SY!V46/Inv_SY!$Z46-1,"")</f>
        <v>-8.9893751829546176E-3</v>
      </c>
      <c r="AL44" s="59">
        <f>IFERROR(Inv_SY!W46/Inv_SY!$Z46-1,"")</f>
        <v>-1.1583148521973841E-2</v>
      </c>
      <c r="AM44" s="59">
        <f>IFERROR(Inv_SY!X46/Inv_SY!$Z46-1,"")</f>
        <v>0</v>
      </c>
    </row>
    <row r="45" spans="1:39" x14ac:dyDescent="0.3">
      <c r="A45" s="55">
        <f>YEAR(Table5[[#This Row],[Date]])+IF(MONTH(Table5[[#This Row],[Date]])&gt;=4,1,0)</f>
        <v>2026</v>
      </c>
      <c r="B45" s="55">
        <v>5</v>
      </c>
      <c r="C45" s="124">
        <f>YEAR(Table5[[#This Row],[Date]])</f>
        <v>2025</v>
      </c>
      <c r="D45" s="55" t="s">
        <v>329</v>
      </c>
      <c r="E45" s="55" t="s">
        <v>329</v>
      </c>
      <c r="F45" s="126" t="str">
        <f>TEXT(Table5[[#This Row],[Date]],"mmm-yy")</f>
        <v>May-25</v>
      </c>
      <c r="G45" s="124">
        <f t="shared" ref="G45:G108" si="5">DAY(EOMONTH(F45,0))</f>
        <v>31</v>
      </c>
      <c r="H45" s="125">
        <f t="shared" si="2"/>
        <v>45788</v>
      </c>
      <c r="I45" s="55">
        <v>8.02</v>
      </c>
      <c r="J45" s="59">
        <f>IFERROR(Inv_SY!J47/Inv_SY!$Y47-1,"")</f>
        <v>0.36024689354009509</v>
      </c>
      <c r="K45" s="59">
        <f>IFERROR(Inv_SY!K47/Inv_SY!$Y47-1,"")</f>
        <v>0.38150623272318951</v>
      </c>
      <c r="L45" s="59">
        <f>IFERROR(Inv_SY!L47/Inv_SY!$Y47-1,"")</f>
        <v>-1</v>
      </c>
      <c r="M45" s="59">
        <f>IFERROR(Inv_SY!M47/Inv_SY!$Y47-1,"")</f>
        <v>0.33837947644857347</v>
      </c>
      <c r="N45" s="59">
        <f>IFERROR(Inv_SY!N47/Inv_SY!$Y47-1,"")</f>
        <v>0.3119817639182263</v>
      </c>
      <c r="O45" s="59">
        <f>IFERROR(Inv_SY!O47/Inv_SY!$Y47-1,"")</f>
        <v>0.28092493238207283</v>
      </c>
      <c r="P45" s="59">
        <f>IFERROR(Inv_SY!P47/Inv_SY!$Y47-1,"")</f>
        <v>0.28288604114727178</v>
      </c>
      <c r="Q45" s="59">
        <f>IFERROR(Inv_SY!Q47/Inv_SY!$Y47-1,"")</f>
        <v>-1</v>
      </c>
      <c r="R45" s="59">
        <f>IFERROR(Inv_SY!R47/Inv_SY!$Y47-1,"")</f>
        <v>9.7887186705623019E-3</v>
      </c>
      <c r="S45" s="59">
        <f>IFERROR(Inv_SY!S47/Inv_SY!$Y47-1,"")</f>
        <v>2.9139840501113623E-2</v>
      </c>
      <c r="T45" s="59">
        <f>IFERROR(Inv_SY!T47/Inv_SY!$Y47-1,"")</f>
        <v>-3.473420433793728E-3</v>
      </c>
      <c r="U45" s="59">
        <f>IFERROR(Inv_SY!U47/Inv_SY!$Y47-1,"")</f>
        <v>9.2038042429991584E-3</v>
      </c>
      <c r="V45" s="59">
        <f>IFERROR(Inv_SY!J47/Inv_SY!$Z47-1,"")</f>
        <v>0.33453712491585086</v>
      </c>
      <c r="W45" s="59">
        <f>IFERROR(Inv_SY!K47/Inv_SY!$Z47-1,"")</f>
        <v>0.35539464535993726</v>
      </c>
      <c r="X45" s="59">
        <f>IFERROR(Inv_SY!L47/Inv_SY!$Z47-1,"")</f>
        <v>-1</v>
      </c>
      <c r="Y45" s="59">
        <f>IFERROR(Inv_SY!M47/Inv_SY!$Z47-1,"")</f>
        <v>0.31308301972858921</v>
      </c>
      <c r="Z45" s="59">
        <f>IFERROR(Inv_SY!N47/Inv_SY!$Z47-1,"")</f>
        <v>0.28718424535762144</v>
      </c>
      <c r="AA45" s="59">
        <f>IFERROR(Inv_SY!O47/Inv_SY!$Z47-1,"")</f>
        <v>0.25671441310578058</v>
      </c>
      <c r="AB45" s="59">
        <f>IFERROR(Inv_SY!P47/Inv_SY!$Z47-1,"")</f>
        <v>0.25863845532604612</v>
      </c>
      <c r="AC45" s="59">
        <f>IFERROR(Inv_SY!Q47/Inv_SY!$Z47-1,"")</f>
        <v>-1</v>
      </c>
      <c r="AD45" s="59">
        <f>IFERROR(Inv_SY!R47/Inv_SY!$Z47-1,"")</f>
        <v>-9.297106439338676E-3</v>
      </c>
      <c r="AE45" s="59">
        <f>IFERROR(Inv_SY!S47/Inv_SY!$Z47-1,"")</f>
        <v>9.6882635065764777E-3</v>
      </c>
      <c r="AF45" s="59">
        <f>IFERROR(Inv_SY!T47/Inv_SY!$Z47-1,"")</f>
        <v>-2.2308580367060293E-2</v>
      </c>
      <c r="AG45" s="59">
        <f>IFERROR(Inv_SY!U47/Inv_SY!$Z47-1,"")</f>
        <v>-9.8709655102096061E-3</v>
      </c>
      <c r="AH45" s="59">
        <f>IFERROR(Inv_SY!V47/Inv_SY!$Y47-1,"")</f>
        <v>1.9264933244824922E-2</v>
      </c>
      <c r="AI45" s="59">
        <f>IFERROR(Inv_SY!W47/Inv_SY!$Y47-1,"")</f>
        <v>-2.9431254587783506E-2</v>
      </c>
      <c r="AJ45" s="59">
        <f>IFERROR(Inv_SY!X47/Inv_SY!$Y47-1,"")</f>
        <v>1.0166321342958806E-2</v>
      </c>
      <c r="AK45" s="59">
        <f>IFERROR(Inv_SY!V47/Inv_SY!$Z47-1,"")</f>
        <v>0</v>
      </c>
      <c r="AL45" s="59">
        <f>IFERROR(Inv_SY!W47/Inv_SY!$Z47-1,"")</f>
        <v>-4.7775790419458675E-2</v>
      </c>
      <c r="AM45" s="59">
        <f>IFERROR(Inv_SY!X47/Inv_SY!$Z47-1,"")</f>
        <v>-8.9266407634573941E-3</v>
      </c>
    </row>
    <row r="46" spans="1:39" x14ac:dyDescent="0.3">
      <c r="A46" s="55">
        <f>YEAR(Table5[[#This Row],[Date]])+IF(MONTH(Table5[[#This Row],[Date]])&gt;=4,1,0)</f>
        <v>2026</v>
      </c>
      <c r="B46" s="55">
        <v>6</v>
      </c>
      <c r="C46" s="124">
        <f>YEAR(Table5[[#This Row],[Date]])</f>
        <v>2025</v>
      </c>
      <c r="D46" s="55" t="s">
        <v>329</v>
      </c>
      <c r="E46" s="55" t="s">
        <v>329</v>
      </c>
      <c r="F46" s="126" t="str">
        <f>TEXT(Table5[[#This Row],[Date]],"mmm-yy")</f>
        <v>May-25</v>
      </c>
      <c r="G46" s="124">
        <f t="shared" si="5"/>
        <v>31</v>
      </c>
      <c r="H46" s="125">
        <f t="shared" si="2"/>
        <v>45789</v>
      </c>
      <c r="I46" s="55">
        <v>8.02</v>
      </c>
      <c r="J46" s="59">
        <f>IFERROR(Inv_SY!J48/Inv_SY!$Y48-1,"")</f>
        <v>0.34193439660506142</v>
      </c>
      <c r="K46" s="59">
        <f>IFERROR(Inv_SY!K48/Inv_SY!$Y48-1,"")</f>
        <v>0.34268341111533429</v>
      </c>
      <c r="L46" s="59">
        <f>IFERROR(Inv_SY!L48/Inv_SY!$Y48-1,"")</f>
        <v>-1</v>
      </c>
      <c r="M46" s="59">
        <f>IFERROR(Inv_SY!M48/Inv_SY!$Y48-1,"")</f>
        <v>0.34121439154566269</v>
      </c>
      <c r="N46" s="59">
        <f>IFERROR(Inv_SY!N48/Inv_SY!$Y48-1,"")</f>
        <v>0.3110691048971439</v>
      </c>
      <c r="O46" s="59">
        <f>IFERROR(Inv_SY!O48/Inv_SY!$Y48-1,"")</f>
        <v>0.30217719755682793</v>
      </c>
      <c r="P46" s="59">
        <f>IFERROR(Inv_SY!P48/Inv_SY!$Y48-1,"")</f>
        <v>0.3258686493060261</v>
      </c>
      <c r="Q46" s="59">
        <f>IFERROR(Inv_SY!Q48/Inv_SY!$Y48-1,"")</f>
        <v>-1</v>
      </c>
      <c r="R46" s="59">
        <f>IFERROR(Inv_SY!R48/Inv_SY!$Y48-1,"")</f>
        <v>8.4557961026778816E-3</v>
      </c>
      <c r="S46" s="59">
        <f>IFERROR(Inv_SY!S48/Inv_SY!$Y48-1,"")</f>
        <v>4.706699610326659E-2</v>
      </c>
      <c r="T46" s="59">
        <f>IFERROR(Inv_SY!T48/Inv_SY!$Y48-1,"")</f>
        <v>-6.2419651649956442E-3</v>
      </c>
      <c r="U46" s="59">
        <f>IFERROR(Inv_SY!U48/Inv_SY!$Y48-1,"")</f>
        <v>-1.3558120025741194E-2</v>
      </c>
      <c r="V46" s="59">
        <f>IFERROR(Inv_SY!J48/Inv_SY!$Z48-1,"")</f>
        <v>0.33155966150568128</v>
      </c>
      <c r="W46" s="59">
        <f>IFERROR(Inv_SY!K48/Inv_SY!$Z48-1,"")</f>
        <v>0.33230288525066087</v>
      </c>
      <c r="X46" s="59">
        <f>IFERROR(Inv_SY!L48/Inv_SY!$Z48-1,"")</f>
        <v>-1</v>
      </c>
      <c r="Y46" s="59">
        <f>IFERROR(Inv_SY!M48/Inv_SY!$Z48-1,"")</f>
        <v>0.33084522293431684</v>
      </c>
      <c r="Z46" s="59">
        <f>IFERROR(Inv_SY!N48/Inv_SY!$Z48-1,"")</f>
        <v>0.30093299489452319</v>
      </c>
      <c r="AA46" s="59">
        <f>IFERROR(Inv_SY!O48/Inv_SY!$Z48-1,"")</f>
        <v>0.29210983248199018</v>
      </c>
      <c r="AB46" s="59">
        <f>IFERROR(Inv_SY!P48/Inv_SY!$Z48-1,"")</f>
        <v>0.31561812137565726</v>
      </c>
      <c r="AC46" s="59">
        <f>IFERROR(Inv_SY!Q48/Inv_SY!$Z48-1,"")</f>
        <v>-1</v>
      </c>
      <c r="AD46" s="59">
        <f>IFERROR(Inv_SY!R48/Inv_SY!$Z48-1,"")</f>
        <v>6.5924377458448369E-4</v>
      </c>
      <c r="AE46" s="59">
        <f>IFERROR(Inv_SY!S48/Inv_SY!$Z48-1,"")</f>
        <v>3.8971933674464276E-2</v>
      </c>
      <c r="AF46" s="59">
        <f>IFERROR(Inv_SY!T48/Inv_SY!$Z48-1,"")</f>
        <v>-1.3924886469030229E-2</v>
      </c>
      <c r="AG46" s="59">
        <f>IFERROR(Inv_SY!U48/Inv_SY!$Z48-1,"")</f>
        <v>-2.1184478826557718E-2</v>
      </c>
      <c r="AH46" s="59">
        <f>IFERROR(Inv_SY!V48/Inv_SY!$Y48-1,"")</f>
        <v>5.782808601367817E-3</v>
      </c>
      <c r="AI46" s="59">
        <f>IFERROR(Inv_SY!W48/Inv_SY!$Y48-1,"")</f>
        <v>-1.3574224487043374E-2</v>
      </c>
      <c r="AJ46" s="59">
        <f>IFERROR(Inv_SY!X48/Inv_SY!$Y48-1,"")</f>
        <v>7.7914158856755567E-3</v>
      </c>
      <c r="AK46" s="59">
        <f>IFERROR(Inv_SY!V48/Inv_SY!$Z48-1,"")</f>
        <v>-1.9930783817428965E-3</v>
      </c>
      <c r="AL46" s="59">
        <f>IFERROR(Inv_SY!W48/Inv_SY!$Z48-1,"")</f>
        <v>-2.1200458781385989E-2</v>
      </c>
      <c r="AM46" s="59">
        <f>IFERROR(Inv_SY!X48/Inv_SY!$Z48-1,"")</f>
        <v>0</v>
      </c>
    </row>
    <row r="47" spans="1:39" x14ac:dyDescent="0.3">
      <c r="A47" s="55">
        <f>YEAR(Table5[[#This Row],[Date]])+IF(MONTH(Table5[[#This Row],[Date]])&gt;=4,1,0)</f>
        <v>2026</v>
      </c>
      <c r="B47" s="55">
        <v>7</v>
      </c>
      <c r="C47" s="124">
        <f>YEAR(Table5[[#This Row],[Date]])</f>
        <v>2025</v>
      </c>
      <c r="D47" s="55" t="s">
        <v>329</v>
      </c>
      <c r="E47" s="55" t="s">
        <v>329</v>
      </c>
      <c r="F47" s="126" t="str">
        <f>TEXT(Table5[[#This Row],[Date]],"mmm-yy")</f>
        <v>May-25</v>
      </c>
      <c r="G47" s="124">
        <f t="shared" si="5"/>
        <v>31</v>
      </c>
      <c r="H47" s="125">
        <f t="shared" si="2"/>
        <v>45790</v>
      </c>
      <c r="I47" s="55">
        <v>8.02</v>
      </c>
      <c r="J47" s="59">
        <f>IFERROR(Inv_SY!J49/Inv_SY!$Y49-1,"")</f>
        <v>0.35793099613818002</v>
      </c>
      <c r="K47" s="59">
        <f>IFERROR(Inv_SY!K49/Inv_SY!$Y49-1,"")</f>
        <v>0.33591438630610404</v>
      </c>
      <c r="L47" s="59">
        <f>IFERROR(Inv_SY!L49/Inv_SY!$Y49-1,"")</f>
        <v>-1</v>
      </c>
      <c r="M47" s="59">
        <f>IFERROR(Inv_SY!M49/Inv_SY!$Y49-1,"")</f>
        <v>0.3147093960472771</v>
      </c>
      <c r="N47" s="59">
        <f>IFERROR(Inv_SY!N49/Inv_SY!$Y49-1,"")</f>
        <v>0.3392363858847196</v>
      </c>
      <c r="O47" s="59">
        <f>IFERROR(Inv_SY!O49/Inv_SY!$Y49-1,"")</f>
        <v>0.30678547038686221</v>
      </c>
      <c r="P47" s="59">
        <f>IFERROR(Inv_SY!P49/Inv_SY!$Y49-1,"")</f>
        <v>0.30880711710960762</v>
      </c>
      <c r="Q47" s="59">
        <f>IFERROR(Inv_SY!Q49/Inv_SY!$Y49-1,"")</f>
        <v>-1</v>
      </c>
      <c r="R47" s="59">
        <f>IFERROR(Inv_SY!R49/Inv_SY!$Y49-1,"")</f>
        <v>7.8325839695063681E-3</v>
      </c>
      <c r="S47" s="59">
        <f>IFERROR(Inv_SY!S49/Inv_SY!$Y49-1,"")</f>
        <v>2.6451248766320434E-2</v>
      </c>
      <c r="T47" s="59">
        <f>IFERROR(Inv_SY!T49/Inv_SY!$Y49-1,"")</f>
        <v>1.5653008633584431E-2</v>
      </c>
      <c r="U47" s="59">
        <f>IFERROR(Inv_SY!U49/Inv_SY!$Y49-1,"")</f>
        <v>-1.2947898950452119E-2</v>
      </c>
      <c r="V47" s="59">
        <f>IFERROR(Inv_SY!J49/Inv_SY!$Z49-1,"")</f>
        <v>0.34681177249142325</v>
      </c>
      <c r="W47" s="59">
        <f>IFERROR(Inv_SY!K49/Inv_SY!$Z49-1,"")</f>
        <v>0.32497544251845811</v>
      </c>
      <c r="X47" s="59">
        <f>IFERROR(Inv_SY!L49/Inv_SY!$Z49-1,"")</f>
        <v>-1</v>
      </c>
      <c r="Y47" s="59">
        <f>IFERROR(Inv_SY!M49/Inv_SY!$Z49-1,"")</f>
        <v>0.30394408628800651</v>
      </c>
      <c r="Z47" s="59">
        <f>IFERROR(Inv_SY!N49/Inv_SY!$Z49-1,"")</f>
        <v>0.32827024037889063</v>
      </c>
      <c r="AA47" s="59">
        <f>IFERROR(Inv_SY!O49/Inv_SY!$Z49-1,"")</f>
        <v>0.29608504455897644</v>
      </c>
      <c r="AB47" s="59">
        <f>IFERROR(Inv_SY!P49/Inv_SY!$Z49-1,"")</f>
        <v>0.29809013731682299</v>
      </c>
      <c r="AC47" s="59">
        <f>IFERROR(Inv_SY!Q49/Inv_SY!$Z49-1,"")</f>
        <v>-1</v>
      </c>
      <c r="AD47" s="59">
        <f>IFERROR(Inv_SY!R49/Inv_SY!$Z49-1,"")</f>
        <v>-4.1990892705123795E-4</v>
      </c>
      <c r="AE47" s="59">
        <f>IFERROR(Inv_SY!S49/Inv_SY!$Z49-1,"")</f>
        <v>1.8046299597339166E-2</v>
      </c>
      <c r="AF47" s="59">
        <f>IFERROR(Inv_SY!T49/Inv_SY!$Z49-1,"")</f>
        <v>7.3364793087400404E-3</v>
      </c>
      <c r="AG47" s="59">
        <f>IFERROR(Inv_SY!U49/Inv_SY!$Z49-1,"")</f>
        <v>-2.1030233836233259E-2</v>
      </c>
      <c r="AH47" s="59">
        <f>IFERROR(Inv_SY!V49/Inv_SY!$Y49-1,"")</f>
        <v>1.3831890281528203E-3</v>
      </c>
      <c r="AI47" s="59">
        <f>IFERROR(Inv_SY!W49/Inv_SY!$Y49-1,"")</f>
        <v>-9.6391486758677924E-3</v>
      </c>
      <c r="AJ47" s="59">
        <f>IFERROR(Inv_SY!X49/Inv_SY!$Y49-1,"")</f>
        <v>8.2559596477151942E-3</v>
      </c>
      <c r="AK47" s="59">
        <f>IFERROR(Inv_SY!V49/Inv_SY!$Z49-1,"")</f>
        <v>-6.8164939208131825E-3</v>
      </c>
      <c r="AL47" s="59">
        <f>IFERROR(Inv_SY!W49/Inv_SY!$Z49-1,"")</f>
        <v>-1.7748576789801906E-2</v>
      </c>
      <c r="AM47" s="59">
        <f>IFERROR(Inv_SY!X49/Inv_SY!$Z49-1,"")</f>
        <v>0</v>
      </c>
    </row>
    <row r="48" spans="1:39" x14ac:dyDescent="0.3">
      <c r="A48" s="55">
        <f>YEAR(Table5[[#This Row],[Date]])+IF(MONTH(Table5[[#This Row],[Date]])&gt;=4,1,0)</f>
        <v>2026</v>
      </c>
      <c r="B48" s="55">
        <v>8</v>
      </c>
      <c r="C48" s="124">
        <f>YEAR(Table5[[#This Row],[Date]])</f>
        <v>2025</v>
      </c>
      <c r="D48" s="55" t="s">
        <v>329</v>
      </c>
      <c r="E48" s="55" t="s">
        <v>329</v>
      </c>
      <c r="F48" s="126" t="str">
        <f>TEXT(Table5[[#This Row],[Date]],"mmm-yy")</f>
        <v>May-25</v>
      </c>
      <c r="G48" s="124">
        <f t="shared" si="5"/>
        <v>31</v>
      </c>
      <c r="H48" s="125">
        <f t="shared" si="2"/>
        <v>45791</v>
      </c>
      <c r="I48" s="55">
        <v>8.02</v>
      </c>
      <c r="J48" s="59">
        <f>IFERROR(Inv_SY!J50/Inv_SY!$Y50-1,"")</f>
        <v>0.33364683290662489</v>
      </c>
      <c r="K48" s="59">
        <f>IFERROR(Inv_SY!K50/Inv_SY!$Y50-1,"")</f>
        <v>0.35752635560457735</v>
      </c>
      <c r="L48" s="59">
        <f>IFERROR(Inv_SY!L50/Inv_SY!$Y50-1,"")</f>
        <v>-1</v>
      </c>
      <c r="M48" s="59">
        <f>IFERROR(Inv_SY!M50/Inv_SY!$Y50-1,"")</f>
        <v>0.31275350104459121</v>
      </c>
      <c r="N48" s="59">
        <f>IFERROR(Inv_SY!N50/Inv_SY!$Y50-1,"")</f>
        <v>0.33066949806132206</v>
      </c>
      <c r="O48" s="59">
        <f>IFERROR(Inv_SY!O50/Inv_SY!$Y50-1,"")</f>
        <v>0.29504594780699933</v>
      </c>
      <c r="P48" s="59">
        <f>IFERROR(Inv_SY!P50/Inv_SY!$Y50-1,"")</f>
        <v>0.29739475331827347</v>
      </c>
      <c r="Q48" s="59">
        <f>IFERROR(Inv_SY!Q50/Inv_SY!$Y50-1,"")</f>
        <v>-1</v>
      </c>
      <c r="R48" s="59">
        <f>IFERROR(Inv_SY!R50/Inv_SY!$Y50-1,"")</f>
        <v>1.5909305308397403E-2</v>
      </c>
      <c r="S48" s="59">
        <f>IFERROR(Inv_SY!S50/Inv_SY!$Y50-1,"")</f>
        <v>3.4783256061525991E-2</v>
      </c>
      <c r="T48" s="59">
        <f>IFERROR(Inv_SY!T50/Inv_SY!$Y50-1,"")</f>
        <v>3.5743195746233969E-3</v>
      </c>
      <c r="U48" s="59">
        <f>IFERROR(Inv_SY!U50/Inv_SY!$Y50-1,"")</f>
        <v>1.9123188245074196E-2</v>
      </c>
      <c r="V48" s="59">
        <f>IFERROR(Inv_SY!J50/Inv_SY!$Z50-1,"")</f>
        <v>0.31089388241772542</v>
      </c>
      <c r="W48" s="59">
        <f>IFERROR(Inv_SY!K50/Inv_SY!$Z50-1,"")</f>
        <v>0.33436600370756975</v>
      </c>
      <c r="X48" s="59">
        <f>IFERROR(Inv_SY!L50/Inv_SY!$Z50-1,"")</f>
        <v>-1</v>
      </c>
      <c r="Y48" s="59">
        <f>IFERROR(Inv_SY!M50/Inv_SY!$Z50-1,"")</f>
        <v>0.29035700545340171</v>
      </c>
      <c r="Z48" s="59">
        <f>IFERROR(Inv_SY!N50/Inv_SY!$Z50-1,"")</f>
        <v>0.30796734299340867</v>
      </c>
      <c r="AA48" s="59">
        <f>IFERROR(Inv_SY!O50/Inv_SY!$Z50-1,"")</f>
        <v>0.27295155549544381</v>
      </c>
      <c r="AB48" s="59">
        <f>IFERROR(Inv_SY!P50/Inv_SY!$Z50-1,"")</f>
        <v>0.27526028873706809</v>
      </c>
      <c r="AC48" s="59">
        <f>IFERROR(Inv_SY!Q50/Inv_SY!$Z50-1,"")</f>
        <v>-1</v>
      </c>
      <c r="AD48" s="59">
        <f>IFERROR(Inv_SY!R50/Inv_SY!$Z50-1,"")</f>
        <v>-1.4228200748392927E-3</v>
      </c>
      <c r="AE48" s="59">
        <f>IFERROR(Inv_SY!S50/Inv_SY!$Z50-1,"")</f>
        <v>1.7129127838841907E-2</v>
      </c>
      <c r="AF48" s="59">
        <f>IFERROR(Inv_SY!T50/Inv_SY!$Z50-1,"")</f>
        <v>-1.3547362299314636E-2</v>
      </c>
      <c r="AG48" s="59">
        <f>IFERROR(Inv_SY!U50/Inv_SY!$Z50-1,"")</f>
        <v>1.7362317644802339E-3</v>
      </c>
      <c r="AH48" s="59">
        <f>IFERROR(Inv_SY!V50/Inv_SY!$Y50-1,"")</f>
        <v>2.2528358117757108E-4</v>
      </c>
      <c r="AI48" s="59">
        <f>IFERROR(Inv_SY!W50/Inv_SY!$Y50-1,"")</f>
        <v>-1.7582104597792081E-2</v>
      </c>
      <c r="AJ48" s="59">
        <f>IFERROR(Inv_SY!X50/Inv_SY!$Y50-1,"")</f>
        <v>1.7356821016614621E-2</v>
      </c>
      <c r="AK48" s="59">
        <f>IFERROR(Inv_SY!V50/Inv_SY!$Z50-1,"")</f>
        <v>-1.6839261389448468E-2</v>
      </c>
      <c r="AL48" s="59">
        <f>IFERROR(Inv_SY!W50/Inv_SY!$Z50-1,"")</f>
        <v>-3.4342843034652515E-2</v>
      </c>
      <c r="AM48" s="59">
        <f>IFERROR(Inv_SY!X50/Inv_SY!$Z50-1,"")</f>
        <v>0</v>
      </c>
    </row>
    <row r="49" spans="1:39" x14ac:dyDescent="0.3">
      <c r="A49" s="55">
        <f>YEAR(Table5[[#This Row],[Date]])+IF(MONTH(Table5[[#This Row],[Date]])&gt;=4,1,0)</f>
        <v>2026</v>
      </c>
      <c r="B49" s="55">
        <v>9</v>
      </c>
      <c r="C49" s="124">
        <f>YEAR(Table5[[#This Row],[Date]])</f>
        <v>2025</v>
      </c>
      <c r="D49" s="55" t="s">
        <v>329</v>
      </c>
      <c r="E49" s="55" t="s">
        <v>329</v>
      </c>
      <c r="F49" s="126" t="str">
        <f>TEXT(Table5[[#This Row],[Date]],"mmm-yy")</f>
        <v>May-25</v>
      </c>
      <c r="G49" s="124">
        <f t="shared" si="5"/>
        <v>31</v>
      </c>
      <c r="H49" s="125">
        <f t="shared" si="2"/>
        <v>45792</v>
      </c>
      <c r="I49" s="55">
        <v>8.02</v>
      </c>
      <c r="J49" s="59">
        <f>IFERROR(Inv_SY!J51/Inv_SY!$Y51-1,"")</f>
        <v>0.42784244866286492</v>
      </c>
      <c r="K49" s="59">
        <f>IFERROR(Inv_SY!K51/Inv_SY!$Y51-1,"")</f>
        <v>0.42765346395687409</v>
      </c>
      <c r="L49" s="59">
        <f>IFERROR(Inv_SY!L51/Inv_SY!$Y51-1,"")</f>
        <v>-1</v>
      </c>
      <c r="M49" s="59">
        <f>IFERROR(Inv_SY!M51/Inv_SY!$Y51-1,"")</f>
        <v>0.47002503494291781</v>
      </c>
      <c r="N49" s="59">
        <f>IFERROR(Inv_SY!N51/Inv_SY!$Y51-1,"")</f>
        <v>0.29879997368039191</v>
      </c>
      <c r="O49" s="59">
        <f>IFERROR(Inv_SY!O51/Inv_SY!$Y51-1,"")</f>
        <v>0.29041235738499482</v>
      </c>
      <c r="P49" s="59">
        <f>IFERROR(Inv_SY!P51/Inv_SY!$Y51-1,"")</f>
        <v>0.29182096470177887</v>
      </c>
      <c r="Q49" s="59">
        <f>IFERROR(Inv_SY!Q51/Inv_SY!$Y51-1,"")</f>
        <v>-1</v>
      </c>
      <c r="R49" s="59">
        <f>IFERROR(Inv_SY!R51/Inv_SY!$Y51-1,"")</f>
        <v>-6.5524306203317173E-2</v>
      </c>
      <c r="S49" s="59">
        <f>IFERROR(Inv_SY!S51/Inv_SY!$Y51-1,"")</f>
        <v>-4.6626168603134732E-2</v>
      </c>
      <c r="T49" s="59">
        <f>IFERROR(Inv_SY!T51/Inv_SY!$Y51-1,"")</f>
        <v>-1.2703477787751272E-2</v>
      </c>
      <c r="U49" s="59">
        <f>IFERROR(Inv_SY!U51/Inv_SY!$Y51-1,"")</f>
        <v>-8.2484754880719824E-2</v>
      </c>
      <c r="V49" s="59">
        <f>IFERROR(Inv_SY!J51/Inv_SY!$Z51-1,"")</f>
        <v>0.32113339852756972</v>
      </c>
      <c r="W49" s="59">
        <f>IFERROR(Inv_SY!K51/Inv_SY!$Z51-1,"")</f>
        <v>0.32095853749361658</v>
      </c>
      <c r="X49" s="59">
        <f>IFERROR(Inv_SY!L51/Inv_SY!$Z51-1,"")</f>
        <v>-1</v>
      </c>
      <c r="Y49" s="59">
        <f>IFERROR(Inv_SY!M51/Inv_SY!$Z51-1,"")</f>
        <v>0.36016349153470584</v>
      </c>
      <c r="Z49" s="59">
        <f>IFERROR(Inv_SY!N51/Inv_SY!$Z51-1,"")</f>
        <v>0.2017348446551479</v>
      </c>
      <c r="AA49" s="59">
        <f>IFERROR(Inv_SY!O51/Inv_SY!$Z51-1,"")</f>
        <v>0.19397407242690945</v>
      </c>
      <c r="AB49" s="59">
        <f>IFERROR(Inv_SY!P51/Inv_SY!$Z51-1,"")</f>
        <v>0.19527740822096451</v>
      </c>
      <c r="AC49" s="59">
        <f>IFERROR(Inv_SY!Q51/Inv_SY!$Z51-1,"")</f>
        <v>-1</v>
      </c>
      <c r="AD49" s="59">
        <f>IFERROR(Inv_SY!R51/Inv_SY!$Z51-1,"")</f>
        <v>-0.13536185288288771</v>
      </c>
      <c r="AE49" s="59">
        <f>IFERROR(Inv_SY!S51/Inv_SY!$Z51-1,"")</f>
        <v>-0.11787605759997566</v>
      </c>
      <c r="AF49" s="59">
        <f>IFERROR(Inv_SY!T51/Inv_SY!$Z51-1,"")</f>
        <v>-8.6488561139076214E-2</v>
      </c>
      <c r="AG49" s="59">
        <f>IFERROR(Inv_SY!U51/Inv_SY!$Z51-1,"")</f>
        <v>-0.15105477139971202</v>
      </c>
      <c r="AH49" s="59">
        <f>IFERROR(Inv_SY!V51/Inv_SY!$Y51-1,"")</f>
        <v>8.0770836808928381E-2</v>
      </c>
      <c r="AI49" s="59">
        <f>IFERROR(Inv_SY!W51/Inv_SY!$Y51-1,"")</f>
        <v>-2.81189238059113E-2</v>
      </c>
      <c r="AJ49" s="59">
        <f>IFERROR(Inv_SY!X51/Inv_SY!$Y51-1,"")</f>
        <v>-5.2651913003017081E-2</v>
      </c>
      <c r="AK49" s="59">
        <f>IFERROR(Inv_SY!V51/Inv_SY!$Z51-1,"")</f>
        <v>0</v>
      </c>
      <c r="AL49" s="59">
        <f>IFERROR(Inv_SY!W51/Inv_SY!$Z51-1,"")</f>
        <v>-0.10075194195315851</v>
      </c>
      <c r="AM49" s="59">
        <f>IFERROR(Inv_SY!X51/Inv_SY!$Z51-1,"")</f>
        <v>-0.12345147117948507</v>
      </c>
    </row>
    <row r="50" spans="1:39" x14ac:dyDescent="0.3">
      <c r="A50" s="55">
        <f>YEAR(Table5[[#This Row],[Date]])+IF(MONTH(Table5[[#This Row],[Date]])&gt;=4,1,0)</f>
        <v>2026</v>
      </c>
      <c r="B50" s="55">
        <v>10</v>
      </c>
      <c r="C50" s="124">
        <f>YEAR(Table5[[#This Row],[Date]])</f>
        <v>2025</v>
      </c>
      <c r="D50" s="55" t="s">
        <v>329</v>
      </c>
      <c r="E50" s="55" t="s">
        <v>329</v>
      </c>
      <c r="F50" s="126" t="str">
        <f>TEXT(Table5[[#This Row],[Date]],"mmm-yy")</f>
        <v>May-25</v>
      </c>
      <c r="G50" s="124">
        <f t="shared" si="5"/>
        <v>31</v>
      </c>
      <c r="H50" s="125">
        <f t="shared" si="2"/>
        <v>45793</v>
      </c>
      <c r="I50" s="55">
        <v>8.02</v>
      </c>
      <c r="J50" s="59">
        <f>IFERROR(Inv_SY!J52/Inv_SY!$Y52-1,"")</f>
        <v>5.3472412598689623E-2</v>
      </c>
      <c r="K50" s="59">
        <f>IFERROR(Inv_SY!K52/Inv_SY!$Y52-1,"")</f>
        <v>1.7896316481722074E-2</v>
      </c>
      <c r="L50" s="59">
        <f>IFERROR(Inv_SY!L52/Inv_SY!$Y52-1,"")</f>
        <v>-1</v>
      </c>
      <c r="M50" s="59">
        <f>IFERROR(Inv_SY!M52/Inv_SY!$Y52-1,"")</f>
        <v>1.9776751999016629E-3</v>
      </c>
      <c r="N50" s="59">
        <f>IFERROR(Inv_SY!N52/Inv_SY!$Y52-1,"")</f>
        <v>0.50793766068583945</v>
      </c>
      <c r="O50" s="59">
        <f>IFERROR(Inv_SY!O52/Inv_SY!$Y52-1,"")</f>
        <v>0.46237939167763908</v>
      </c>
      <c r="P50" s="59">
        <f>IFERROR(Inv_SY!P52/Inv_SY!$Y52-1,"")</f>
        <v>0.46475991384203175</v>
      </c>
      <c r="Q50" s="59">
        <f>IFERROR(Inv_SY!Q52/Inv_SY!$Y52-1,"")</f>
        <v>-1</v>
      </c>
      <c r="R50" s="59">
        <f>IFERROR(Inv_SY!R52/Inv_SY!$Y52-1,"")</f>
        <v>0.11762730995891157</v>
      </c>
      <c r="S50" s="59">
        <f>IFERROR(Inv_SY!S52/Inv_SY!$Y52-1,"")</f>
        <v>0.14001375694338924</v>
      </c>
      <c r="T50" s="59">
        <f>IFERROR(Inv_SY!T52/Inv_SY!$Y52-1,"")</f>
        <v>0.10386030813593883</v>
      </c>
      <c r="U50" s="59">
        <f>IFERROR(Inv_SY!U52/Inv_SY!$Y52-1,"")</f>
        <v>0.12938722686741611</v>
      </c>
      <c r="V50" s="59">
        <f>IFERROR(Inv_SY!J52/Inv_SY!$Z52-1,"")</f>
        <v>-6.0777489344343127E-2</v>
      </c>
      <c r="W50" s="59">
        <f>IFERROR(Inv_SY!K52/Inv_SY!$Z52-1,"")</f>
        <v>-9.2495330186402214E-2</v>
      </c>
      <c r="X50" s="59">
        <f>IFERROR(Inv_SY!L52/Inv_SY!$Z52-1,"")</f>
        <v>-1</v>
      </c>
      <c r="Y50" s="59">
        <f>IFERROR(Inv_SY!M52/Inv_SY!$Z52-1,"")</f>
        <v>-0.10668758244866783</v>
      </c>
      <c r="Z50" s="59">
        <f>IFERROR(Inv_SY!N52/Inv_SY!$Z52-1,"")</f>
        <v>0.34440064936099479</v>
      </c>
      <c r="AA50" s="59">
        <f>IFERROR(Inv_SY!O52/Inv_SY!$Z52-1,"")</f>
        <v>0.30378321003626141</v>
      </c>
      <c r="AB50" s="59">
        <f>IFERROR(Inv_SY!P52/Inv_SY!$Z52-1,"")</f>
        <v>0.305905562721698</v>
      </c>
      <c r="AC50" s="59">
        <f>IFERROR(Inv_SY!Q52/Inv_SY!$Z52-1,"")</f>
        <v>-1</v>
      </c>
      <c r="AD50" s="59">
        <f>IFERROR(Inv_SY!R52/Inv_SY!$Z52-1,"")</f>
        <v>-3.5802404663342058E-3</v>
      </c>
      <c r="AE50" s="59">
        <f>IFERROR(Inv_SY!S52/Inv_SY!$Z52-1,"")</f>
        <v>1.6378378943123773E-2</v>
      </c>
      <c r="AF50" s="59">
        <f>IFERROR(Inv_SY!T52/Inv_SY!$Z52-1,"")</f>
        <v>-1.5854200241395944E-2</v>
      </c>
      <c r="AG50" s="59">
        <f>IFERROR(Inv_SY!U52/Inv_SY!$Z52-1,"")</f>
        <v>6.9043043132119841E-3</v>
      </c>
      <c r="AH50" s="59">
        <f>IFERROR(Inv_SY!V52/Inv_SY!$Y52-1,"")</f>
        <v>-0.23226671446661595</v>
      </c>
      <c r="AI50" s="59">
        <f>IFERROR(Inv_SY!W52/Inv_SY!$Y52-1,"")</f>
        <v>0.11062365262893015</v>
      </c>
      <c r="AJ50" s="59">
        <f>IFERROR(Inv_SY!X52/Inv_SY!$Y52-1,"")</f>
        <v>0.12164306183768603</v>
      </c>
      <c r="AK50" s="59">
        <f>IFERROR(Inv_SY!V52/Inv_SY!$Z52-1,"")</f>
        <v>-0.31552798599267451</v>
      </c>
      <c r="AL50" s="59">
        <f>IFERROR(Inv_SY!W52/Inv_SY!$Z52-1,"")</f>
        <v>-9.824345715384486E-3</v>
      </c>
      <c r="AM50" s="59">
        <f>IFERROR(Inv_SY!X52/Inv_SY!$Z52-1,"")</f>
        <v>0</v>
      </c>
    </row>
    <row r="51" spans="1:39" x14ac:dyDescent="0.3">
      <c r="A51" s="55">
        <f>YEAR(Table5[[#This Row],[Date]])+IF(MONTH(Table5[[#This Row],[Date]])&gt;=4,1,0)</f>
        <v>2026</v>
      </c>
      <c r="B51" s="55">
        <v>11</v>
      </c>
      <c r="C51" s="124">
        <f>YEAR(Table5[[#This Row],[Date]])</f>
        <v>2025</v>
      </c>
      <c r="D51" s="55" t="s">
        <v>329</v>
      </c>
      <c r="E51" s="55" t="s">
        <v>329</v>
      </c>
      <c r="F51" s="126" t="str">
        <f>TEXT(Table5[[#This Row],[Date]],"mmm-yy")</f>
        <v>May-25</v>
      </c>
      <c r="G51" s="124">
        <f t="shared" si="5"/>
        <v>31</v>
      </c>
      <c r="H51" s="125">
        <f t="shared" si="2"/>
        <v>45794</v>
      </c>
      <c r="I51" s="55">
        <v>8.02</v>
      </c>
      <c r="J51" s="59">
        <f>IFERROR(Inv_SY!J53/Inv_SY!$Y53-1,"")</f>
        <v>0.33131886520702714</v>
      </c>
      <c r="K51" s="59">
        <f>IFERROR(Inv_SY!K53/Inv_SY!$Y53-1,"")</f>
        <v>0.33183952178317377</v>
      </c>
      <c r="L51" s="59">
        <f>IFERROR(Inv_SY!L53/Inv_SY!$Y53-1,"")</f>
        <v>-1</v>
      </c>
      <c r="M51" s="59">
        <f>IFERROR(Inv_SY!M53/Inv_SY!$Y53-1,"")</f>
        <v>0.31150439963453413</v>
      </c>
      <c r="N51" s="59">
        <f>IFERROR(Inv_SY!N53/Inv_SY!$Y53-1,"")</f>
        <v>0.33492444248024911</v>
      </c>
      <c r="O51" s="59">
        <f>IFERROR(Inv_SY!O53/Inv_SY!$Y53-1,"")</f>
        <v>0.32623057506121933</v>
      </c>
      <c r="P51" s="59">
        <f>IFERROR(Inv_SY!P53/Inv_SY!$Y53-1,"")</f>
        <v>0.32834734278063515</v>
      </c>
      <c r="Q51" s="59">
        <f>IFERROR(Inv_SY!Q53/Inv_SY!$Y53-1,"")</f>
        <v>-1</v>
      </c>
      <c r="R51" s="59">
        <f>IFERROR(Inv_SY!R53/Inv_SY!$Y53-1,"")</f>
        <v>1.2571809142931656E-2</v>
      </c>
      <c r="S51" s="59">
        <f>IFERROR(Inv_SY!S53/Inv_SY!$Y53-1,"")</f>
        <v>3.1456348739624884E-2</v>
      </c>
      <c r="T51" s="59">
        <f>IFERROR(Inv_SY!T53/Inv_SY!$Y53-1,"")</f>
        <v>-3.4291755487347864E-4</v>
      </c>
      <c r="U51" s="59">
        <f>IFERROR(Inv_SY!U53/Inv_SY!$Y53-1,"")</f>
        <v>-7.4835868496021529E-3</v>
      </c>
      <c r="V51" s="59">
        <f>IFERROR(Inv_SY!J53/Inv_SY!$Z53-1,"")</f>
        <v>0.3207423355930632</v>
      </c>
      <c r="W51" s="59">
        <f>IFERROR(Inv_SY!K53/Inv_SY!$Z53-1,"")</f>
        <v>0.32125885586509795</v>
      </c>
      <c r="X51" s="59">
        <f>IFERROR(Inv_SY!L53/Inv_SY!$Z53-1,"")</f>
        <v>-1</v>
      </c>
      <c r="Y51" s="59">
        <f>IFERROR(Inv_SY!M53/Inv_SY!$Z53-1,"")</f>
        <v>0.30108528406117996</v>
      </c>
      <c r="Z51" s="59">
        <f>IFERROR(Inv_SY!N53/Inv_SY!$Z53-1,"")</f>
        <v>0.32431926871813821</v>
      </c>
      <c r="AA51" s="59">
        <f>IFERROR(Inv_SY!O53/Inv_SY!$Z53-1,"")</f>
        <v>0.31569446885957064</v>
      </c>
      <c r="AB51" s="59">
        <f>IFERROR(Inv_SY!P53/Inv_SY!$Z53-1,"")</f>
        <v>0.31779442012948267</v>
      </c>
      <c r="AC51" s="59">
        <f>IFERROR(Inv_SY!Q53/Inv_SY!$Z53-1,"")</f>
        <v>-1</v>
      </c>
      <c r="AD51" s="59">
        <f>IFERROR(Inv_SY!R53/Inv_SY!$Z53-1,"")</f>
        <v>4.5275336462422544E-3</v>
      </c>
      <c r="AE51" s="59">
        <f>IFERROR(Inv_SY!S53/Inv_SY!$Z53-1,"")</f>
        <v>2.3262046906262546E-2</v>
      </c>
      <c r="AF51" s="59">
        <f>IFERROR(Inv_SY!T53/Inv_SY!$Z53-1,"")</f>
        <v>-8.2845932965791569E-3</v>
      </c>
      <c r="AG51" s="59">
        <f>IFERROR(Inv_SY!U53/Inv_SY!$Z53-1,"")</f>
        <v>-1.5368534258049071E-2</v>
      </c>
      <c r="AH51" s="59">
        <f>IFERROR(Inv_SY!V53/Inv_SY!$Y53-1,"")</f>
        <v>-7.0517147480235742E-3</v>
      </c>
      <c r="AI51" s="59">
        <f>IFERROR(Inv_SY!W53/Inv_SY!$Y53-1,"")</f>
        <v>-9.5630417355885289E-4</v>
      </c>
      <c r="AJ51" s="59">
        <f>IFERROR(Inv_SY!X53/Inv_SY!$Y53-1,"")</f>
        <v>8.0080189215823161E-3</v>
      </c>
      <c r="AK51" s="59">
        <f>IFERROR(Inv_SY!V53/Inv_SY!$Z53-1,"")</f>
        <v>-1.4940093121201148E-2</v>
      </c>
      <c r="AL51" s="59">
        <f>IFERROR(Inv_SY!W53/Inv_SY!$Z53-1,"")</f>
        <v>-8.8931069266013907E-3</v>
      </c>
      <c r="AM51" s="59">
        <f>IFERROR(Inv_SY!X53/Inv_SY!$Z53-1,"")</f>
        <v>0</v>
      </c>
    </row>
    <row r="52" spans="1:39" x14ac:dyDescent="0.3">
      <c r="A52" s="55">
        <f>YEAR(Table5[[#This Row],[Date]])+IF(MONTH(Table5[[#This Row],[Date]])&gt;=4,1,0)</f>
        <v>2026</v>
      </c>
      <c r="B52" s="55">
        <v>12</v>
      </c>
      <c r="C52" s="124">
        <f>YEAR(Table5[[#This Row],[Date]])</f>
        <v>2025</v>
      </c>
      <c r="D52" s="55" t="s">
        <v>329</v>
      </c>
      <c r="E52" s="55" t="s">
        <v>329</v>
      </c>
      <c r="F52" s="126" t="str">
        <f>TEXT(Table5[[#This Row],[Date]],"mmm-yy")</f>
        <v>May-25</v>
      </c>
      <c r="G52" s="124">
        <f t="shared" si="5"/>
        <v>31</v>
      </c>
      <c r="H52" s="125">
        <f t="shared" si="2"/>
        <v>45795</v>
      </c>
      <c r="I52" s="55">
        <v>8.02</v>
      </c>
      <c r="J52" s="59">
        <f>IFERROR(Inv_SY!J54/Inv_SY!$Y54-1,"")</f>
        <v>0.32053178635360324</v>
      </c>
      <c r="K52" s="59">
        <f>IFERROR(Inv_SY!K54/Inv_SY!$Y54-1,"")</f>
        <v>0.32031285622779349</v>
      </c>
      <c r="L52" s="59">
        <f>IFERROR(Inv_SY!L54/Inv_SY!$Y54-1,"")</f>
        <v>-1</v>
      </c>
      <c r="M52" s="59">
        <f>IFERROR(Inv_SY!M54/Inv_SY!$Y54-1,"")</f>
        <v>0.38968503668828114</v>
      </c>
      <c r="N52" s="59">
        <f>IFERROR(Inv_SY!N54/Inv_SY!$Y54-1,"")</f>
        <v>0.37238682225905051</v>
      </c>
      <c r="O52" s="59">
        <f>IFERROR(Inv_SY!O54/Inv_SY!$Y54-1,"")</f>
        <v>0.27258698605585874</v>
      </c>
      <c r="P52" s="59">
        <f>IFERROR(Inv_SY!P54/Inv_SY!$Y54-1,"")</f>
        <v>0.2706955733295997</v>
      </c>
      <c r="Q52" s="59">
        <f>IFERROR(Inv_SY!Q54/Inv_SY!$Y54-1,"")</f>
        <v>-1</v>
      </c>
      <c r="R52" s="59">
        <f>IFERROR(Inv_SY!R54/Inv_SY!$Y54-1,"")</f>
        <v>-6.0889068157309323E-3</v>
      </c>
      <c r="S52" s="59">
        <f>IFERROR(Inv_SY!S54/Inv_SY!$Y54-1,"")</f>
        <v>1.2926646919946272E-2</v>
      </c>
      <c r="T52" s="59">
        <f>IFERROR(Inv_SY!T54/Inv_SY!$Y54-1,"")</f>
        <v>7.0947299599505076E-2</v>
      </c>
      <c r="U52" s="59">
        <f>IFERROR(Inv_SY!U54/Inv_SY!$Y54-1,"")</f>
        <v>-2.5304304521102772E-2</v>
      </c>
      <c r="V52" s="59">
        <f>IFERROR(Inv_SY!J54/Inv_SY!$Z54-1,"")</f>
        <v>0.30448527285809135</v>
      </c>
      <c r="W52" s="59">
        <f>IFERROR(Inv_SY!K54/Inv_SY!$Z54-1,"")</f>
        <v>0.30426900307355842</v>
      </c>
      <c r="X52" s="59">
        <f>IFERROR(Inv_SY!L54/Inv_SY!$Z54-1,"")</f>
        <v>-1</v>
      </c>
      <c r="Y52" s="59">
        <f>IFERROR(Inv_SY!M54/Inv_SY!$Z54-1,"")</f>
        <v>0.37279820372736827</v>
      </c>
      <c r="Z52" s="59">
        <f>IFERROR(Inv_SY!N54/Inv_SY!$Z54-1,"")</f>
        <v>0.35571018948730027</v>
      </c>
      <c r="AA52" s="59">
        <f>IFERROR(Inv_SY!O54/Inv_SY!$Z54-1,"")</f>
        <v>0.25712307639689813</v>
      </c>
      <c r="AB52" s="59">
        <f>IFERROR(Inv_SY!P54/Inv_SY!$Z54-1,"")</f>
        <v>0.25525464727478342</v>
      </c>
      <c r="AC52" s="59">
        <f>IFERROR(Inv_SY!Q54/Inv_SY!$Z54-1,"")</f>
        <v>-1</v>
      </c>
      <c r="AD52" s="59">
        <f>IFERROR(Inv_SY!R54/Inv_SY!$Z54-1,"")</f>
        <v>-1.8166471274939977E-2</v>
      </c>
      <c r="AE52" s="59">
        <f>IFERROR(Inv_SY!S54/Inv_SY!$Z54-1,"")</f>
        <v>6.1801393001514882E-4</v>
      </c>
      <c r="AF52" s="59">
        <f>IFERROR(Inv_SY!T54/Inv_SY!$Z54-1,"")</f>
        <v>5.7933625507298192E-2</v>
      </c>
      <c r="AG52" s="59">
        <f>IFERROR(Inv_SY!U54/Inv_SY!$Z54-1,"")</f>
        <v>-3.7148372034772836E-2</v>
      </c>
      <c r="AH52" s="59">
        <f>IFERROR(Inv_SY!V54/Inv_SY!$Y54-1,"")</f>
        <v>7.1443893844020945E-3</v>
      </c>
      <c r="AI52" s="59">
        <f>IFERROR(Inv_SY!W54/Inv_SY!$Y54-1,"")</f>
        <v>-1.9445420165956184E-2</v>
      </c>
      <c r="AJ52" s="59">
        <f>IFERROR(Inv_SY!X54/Inv_SY!$Y54-1,"")</f>
        <v>1.2301030781554312E-2</v>
      </c>
      <c r="AK52" s="59">
        <f>IFERROR(Inv_SY!V54/Inv_SY!$Z54-1,"")</f>
        <v>-5.093980190034042E-3</v>
      </c>
      <c r="AL52" s="59">
        <f>IFERROR(Inv_SY!W54/Inv_SY!$Z54-1,"")</f>
        <v>-3.1360682230068049E-2</v>
      </c>
      <c r="AM52" s="59">
        <f>IFERROR(Inv_SY!X54/Inv_SY!$Z54-1,"")</f>
        <v>0</v>
      </c>
    </row>
    <row r="53" spans="1:39" x14ac:dyDescent="0.3">
      <c r="A53" s="55">
        <f>YEAR(Table5[[#This Row],[Date]])+IF(MONTH(Table5[[#This Row],[Date]])&gt;=4,1,0)</f>
        <v>2026</v>
      </c>
      <c r="B53" s="55">
        <v>13</v>
      </c>
      <c r="C53" s="124">
        <f>YEAR(Table5[[#This Row],[Date]])</f>
        <v>2025</v>
      </c>
      <c r="D53" s="55" t="s">
        <v>329</v>
      </c>
      <c r="E53" s="55" t="s">
        <v>329</v>
      </c>
      <c r="F53" s="126" t="str">
        <f>TEXT(Table5[[#This Row],[Date]],"mmm-yy")</f>
        <v>May-25</v>
      </c>
      <c r="G53" s="124">
        <f t="shared" si="5"/>
        <v>31</v>
      </c>
      <c r="H53" s="125">
        <f t="shared" si="2"/>
        <v>45796</v>
      </c>
      <c r="I53" s="55">
        <v>8.02</v>
      </c>
      <c r="J53" s="59">
        <f>IFERROR(Inv_SY!J55/Inv_SY!$Y55-1,"")</f>
        <v>0.37140076619081897</v>
      </c>
      <c r="K53" s="59">
        <f>IFERROR(Inv_SY!K55/Inv_SY!$Y55-1,"")</f>
        <v>0.33572533058956089</v>
      </c>
      <c r="L53" s="59">
        <f>IFERROR(Inv_SY!L55/Inv_SY!$Y55-1,"")</f>
        <v>-1</v>
      </c>
      <c r="M53" s="59">
        <f>IFERROR(Inv_SY!M55/Inv_SY!$Y55-1,"")</f>
        <v>0.31584821513382821</v>
      </c>
      <c r="N53" s="59">
        <f>IFERROR(Inv_SY!N55/Inv_SY!$Y55-1,"")</f>
        <v>0.34321242711150757</v>
      </c>
      <c r="O53" s="59">
        <f>IFERROR(Inv_SY!O55/Inv_SY!$Y55-1,"")</f>
        <v>0.29125931537622352</v>
      </c>
      <c r="P53" s="59">
        <f>IFERROR(Inv_SY!P55/Inv_SY!$Y55-1,"")</f>
        <v>0.29190071181739974</v>
      </c>
      <c r="Q53" s="59">
        <f>IFERROR(Inv_SY!Q55/Inv_SY!$Y55-1,"")</f>
        <v>-1</v>
      </c>
      <c r="R53" s="59">
        <f>IFERROR(Inv_SY!R55/Inv_SY!$Y55-1,"")</f>
        <v>8.0290962838369673E-3</v>
      </c>
      <c r="S53" s="59">
        <f>IFERROR(Inv_SY!S55/Inv_SY!$Y55-1,"")</f>
        <v>2.7350203011171192E-2</v>
      </c>
      <c r="T53" s="59">
        <f>IFERROR(Inv_SY!T55/Inv_SY!$Y55-1,"")</f>
        <v>-4.2858426152377893E-3</v>
      </c>
      <c r="U53" s="59">
        <f>IFERROR(Inv_SY!U55/Inv_SY!$Y55-1,"")</f>
        <v>1.9947330495803106E-2</v>
      </c>
      <c r="V53" s="59">
        <f>IFERROR(Inv_SY!J55/Inv_SY!$Z55-1,"")</f>
        <v>0.35541471679441838</v>
      </c>
      <c r="W53" s="59">
        <f>IFERROR(Inv_SY!K55/Inv_SY!$Z55-1,"")</f>
        <v>0.32015514013813084</v>
      </c>
      <c r="X53" s="59">
        <f>IFERROR(Inv_SY!L55/Inv_SY!$Z55-1,"")</f>
        <v>-1</v>
      </c>
      <c r="Y53" s="59">
        <f>IFERROR(Inv_SY!M55/Inv_SY!$Z55-1,"")</f>
        <v>0.30050972686411392</v>
      </c>
      <c r="Z53" s="59">
        <f>IFERROR(Inv_SY!N55/Inv_SY!$Z55-1,"")</f>
        <v>0.32755496159228836</v>
      </c>
      <c r="AA53" s="59">
        <f>IFERROR(Inv_SY!O55/Inv_SY!$Z55-1,"")</f>
        <v>0.27620745328889074</v>
      </c>
      <c r="AB53" s="59">
        <f>IFERROR(Inv_SY!P55/Inv_SY!$Z55-1,"")</f>
        <v>0.27684137314448809</v>
      </c>
      <c r="AC53" s="59">
        <f>IFERROR(Inv_SY!Q55/Inv_SY!$Z55-1,"")</f>
        <v>-1</v>
      </c>
      <c r="AD53" s="59">
        <f>IFERROR(Inv_SY!R55/Inv_SY!$Z55-1,"")</f>
        <v>-3.7212274169157178E-3</v>
      </c>
      <c r="AE53" s="59">
        <f>IFERROR(Inv_SY!S55/Inv_SY!$Z55-1,"")</f>
        <v>1.537465837270946E-2</v>
      </c>
      <c r="AF53" s="59">
        <f>IFERROR(Inv_SY!T55/Inv_SY!$Z55-1,"")</f>
        <v>-1.589261438980849E-2</v>
      </c>
      <c r="AG53" s="59">
        <f>IFERROR(Inv_SY!U55/Inv_SY!$Z55-1,"")</f>
        <v>8.0580791485684866E-3</v>
      </c>
      <c r="AH53" s="59">
        <f>IFERROR(Inv_SY!V55/Inv_SY!$Y55-1,"")</f>
        <v>4.9709641435460306E-3</v>
      </c>
      <c r="AI53" s="59">
        <f>IFERROR(Inv_SY!W55/Inv_SY!$Y55-1,"")</f>
        <v>-1.6765176791766589E-2</v>
      </c>
      <c r="AJ53" s="59">
        <f>IFERROR(Inv_SY!X55/Inv_SY!$Y55-1,"")</f>
        <v>1.1794212648220226E-2</v>
      </c>
      <c r="AK53" s="59">
        <f>IFERROR(Inv_SY!V55/Inv_SY!$Z55-1,"")</f>
        <v>-6.7437117344398834E-3</v>
      </c>
      <c r="AL53" s="59">
        <f>IFERROR(Inv_SY!W55/Inv_SY!$Z55-1,"")</f>
        <v>-2.8226480328679582E-2</v>
      </c>
      <c r="AM53" s="59">
        <f>IFERROR(Inv_SY!X55/Inv_SY!$Z55-1,"")</f>
        <v>0</v>
      </c>
    </row>
    <row r="54" spans="1:39" x14ac:dyDescent="0.3">
      <c r="A54" s="55">
        <f>YEAR(Table5[[#This Row],[Date]])+IF(MONTH(Table5[[#This Row],[Date]])&gt;=4,1,0)</f>
        <v>2026</v>
      </c>
      <c r="B54" s="55">
        <v>14</v>
      </c>
      <c r="C54" s="124">
        <f>YEAR(Table5[[#This Row],[Date]])</f>
        <v>2025</v>
      </c>
      <c r="D54" s="55" t="s">
        <v>329</v>
      </c>
      <c r="E54" s="55" t="s">
        <v>329</v>
      </c>
      <c r="F54" s="126" t="str">
        <f>TEXT(Table5[[#This Row],[Date]],"mmm-yy")</f>
        <v>May-25</v>
      </c>
      <c r="G54" s="124">
        <f t="shared" si="5"/>
        <v>31</v>
      </c>
      <c r="H54" s="125">
        <f t="shared" si="2"/>
        <v>45797</v>
      </c>
      <c r="I54" s="55">
        <v>8.02</v>
      </c>
      <c r="J54" s="59">
        <f>IFERROR(Inv_SY!J56/Inv_SY!$Y56-1,"")</f>
        <v>0.36040695811299384</v>
      </c>
      <c r="K54" s="59">
        <f>IFERROR(Inv_SY!K56/Inv_SY!$Y56-1,"")</f>
        <v>0.3600117666889544</v>
      </c>
      <c r="L54" s="59">
        <f>IFERROR(Inv_SY!L56/Inv_SY!$Y56-1,"")</f>
        <v>-1</v>
      </c>
      <c r="M54" s="59">
        <f>IFERROR(Inv_SY!M56/Inv_SY!$Y56-1,"")</f>
        <v>0.36837100623934838</v>
      </c>
      <c r="N54" s="59">
        <f>IFERROR(Inv_SY!N56/Inv_SY!$Y56-1,"")</f>
        <v>0.33884635058507739</v>
      </c>
      <c r="O54" s="59">
        <f>IFERROR(Inv_SY!O56/Inv_SY!$Y56-1,"")</f>
        <v>0.33065228315679995</v>
      </c>
      <c r="P54" s="59">
        <f>IFERROR(Inv_SY!P56/Inv_SY!$Y56-1,"")</f>
        <v>0.36495489876341369</v>
      </c>
      <c r="Q54" s="59">
        <f>IFERROR(Inv_SY!Q56/Inv_SY!$Y56-1,"")</f>
        <v>-1</v>
      </c>
      <c r="R54" s="59">
        <f>IFERROR(Inv_SY!R56/Inv_SY!$Y56-1,"")</f>
        <v>-3.4894255440925837E-2</v>
      </c>
      <c r="S54" s="59">
        <f>IFERROR(Inv_SY!S56/Inv_SY!$Y56-1,"")</f>
        <v>-9.6950381272781216E-3</v>
      </c>
      <c r="T54" s="59">
        <f>IFERROR(Inv_SY!T56/Inv_SY!$Y56-1,"")</f>
        <v>-2.5826988907683424E-2</v>
      </c>
      <c r="U54" s="59">
        <f>IFERROR(Inv_SY!U56/Inv_SY!$Y56-1,"")</f>
        <v>-5.3026786581081953E-2</v>
      </c>
      <c r="V54" s="59">
        <f>IFERROR(Inv_SY!J56/Inv_SY!$Z56-1,"")</f>
        <v>0.33172635317218857</v>
      </c>
      <c r="W54" s="59">
        <f>IFERROR(Inv_SY!K56/Inv_SY!$Z56-1,"")</f>
        <v>0.33133949332058132</v>
      </c>
      <c r="X54" s="59">
        <f>IFERROR(Inv_SY!L56/Inv_SY!$Z56-1,"")</f>
        <v>-1</v>
      </c>
      <c r="Y54" s="59">
        <f>IFERROR(Inv_SY!M56/Inv_SY!$Z56-1,"")</f>
        <v>0.33952250027695596</v>
      </c>
      <c r="Z54" s="59">
        <f>IFERROR(Inv_SY!N56/Inv_SY!$Z56-1,"")</f>
        <v>0.31062029438287153</v>
      </c>
      <c r="AA54" s="59">
        <f>IFERROR(Inv_SY!O56/Inv_SY!$Z56-1,"")</f>
        <v>0.30259897732856644</v>
      </c>
      <c r="AB54" s="59">
        <f>IFERROR(Inv_SY!P56/Inv_SY!$Z56-1,"")</f>
        <v>0.33617841244806024</v>
      </c>
      <c r="AC54" s="59">
        <f>IFERROR(Inv_SY!Q56/Inv_SY!$Z56-1,"")</f>
        <v>-1</v>
      </c>
      <c r="AD54" s="59">
        <f>IFERROR(Inv_SY!R56/Inv_SY!$Z56-1,"")</f>
        <v>-5.5240973326134868E-2</v>
      </c>
      <c r="AE54" s="59">
        <f>IFERROR(Inv_SY!S56/Inv_SY!$Z56-1,"")</f>
        <v>-3.0573015274489745E-2</v>
      </c>
      <c r="AF54" s="59">
        <f>IFERROR(Inv_SY!T56/Inv_SY!$Z56-1,"")</f>
        <v>-4.6364866274826944E-2</v>
      </c>
      <c r="AG54" s="59">
        <f>IFERROR(Inv_SY!U56/Inv_SY!$Z56-1,"")</f>
        <v>-7.2991227707776773E-2</v>
      </c>
      <c r="AH54" s="59">
        <f>IFERROR(Inv_SY!V56/Inv_SY!$Y56-1,"")</f>
        <v>2.1536410143486062E-2</v>
      </c>
      <c r="AI54" s="59">
        <f>IFERROR(Inv_SY!W56/Inv_SY!$Y56-1,"")</f>
        <v>1.0300284025576145E-2</v>
      </c>
      <c r="AJ54" s="59">
        <f>IFERROR(Inv_SY!X56/Inv_SY!$Y56-1,"")</f>
        <v>-3.1836694169062429E-2</v>
      </c>
      <c r="AK54" s="59">
        <f>IFERROR(Inv_SY!V56/Inv_SY!$Z56-1,"")</f>
        <v>0</v>
      </c>
      <c r="AL54" s="59">
        <f>IFERROR(Inv_SY!W56/Inv_SY!$Z56-1,"")</f>
        <v>-1.0999241932386661E-2</v>
      </c>
      <c r="AM54" s="59">
        <f>IFERROR(Inv_SY!X56/Inv_SY!$Z56-1,"")</f>
        <v>-5.2247872697020803E-2</v>
      </c>
    </row>
    <row r="55" spans="1:39" x14ac:dyDescent="0.3">
      <c r="A55" s="55">
        <f>YEAR(Table5[[#This Row],[Date]])+IF(MONTH(Table5[[#This Row],[Date]])&gt;=4,1,0)</f>
        <v>2026</v>
      </c>
      <c r="B55" s="55">
        <v>15</v>
      </c>
      <c r="C55" s="124">
        <f>YEAR(Table5[[#This Row],[Date]])</f>
        <v>2025</v>
      </c>
      <c r="D55" s="55" t="s">
        <v>329</v>
      </c>
      <c r="E55" s="55" t="s">
        <v>329</v>
      </c>
      <c r="F55" s="126" t="str">
        <f>TEXT(Table5[[#This Row],[Date]],"mmm-yy")</f>
        <v>May-25</v>
      </c>
      <c r="G55" s="124">
        <f t="shared" si="5"/>
        <v>31</v>
      </c>
      <c r="H55" s="125">
        <f t="shared" si="2"/>
        <v>45798</v>
      </c>
      <c r="I55" s="55">
        <v>8.02</v>
      </c>
      <c r="J55" s="59">
        <f>IFERROR(Inv_SY!J57/Inv_SY!$Y57-1,"")</f>
        <v>0.33127784806511418</v>
      </c>
      <c r="K55" s="59">
        <f>IFERROR(Inv_SY!K57/Inv_SY!$Y57-1,"")</f>
        <v>0.32558235336823604</v>
      </c>
      <c r="L55" s="59">
        <f>IFERROR(Inv_SY!L57/Inv_SY!$Y57-1,"")</f>
        <v>-1</v>
      </c>
      <c r="M55" s="59">
        <f>IFERROR(Inv_SY!M57/Inv_SY!$Y57-1,"")</f>
        <v>0.35654735350063294</v>
      </c>
      <c r="N55" s="59">
        <f>IFERROR(Inv_SY!N57/Inv_SY!$Y57-1,"")</f>
        <v>0.36277007385483184</v>
      </c>
      <c r="O55" s="59">
        <f>IFERROR(Inv_SY!O57/Inv_SY!$Y57-1,"")</f>
        <v>0.29670541557774421</v>
      </c>
      <c r="P55" s="59">
        <f>IFERROR(Inv_SY!P57/Inv_SY!$Y57-1,"")</f>
        <v>0.29813771169215242</v>
      </c>
      <c r="Q55" s="59">
        <f>IFERROR(Inv_SY!Q57/Inv_SY!$Y57-1,"")</f>
        <v>-1</v>
      </c>
      <c r="R55" s="59">
        <f>IFERROR(Inv_SY!R57/Inv_SY!$Y57-1,"")</f>
        <v>-2.6889917198057445E-3</v>
      </c>
      <c r="S55" s="59">
        <f>IFERROR(Inv_SY!S57/Inv_SY!$Y57-1,"")</f>
        <v>1.6443907696293003E-2</v>
      </c>
      <c r="T55" s="59">
        <f>IFERROR(Inv_SY!T57/Inv_SY!$Y57-1,"")</f>
        <v>-1.4716375538226689E-2</v>
      </c>
      <c r="U55" s="59">
        <f>IFERROR(Inv_SY!U57/Inv_SY!$Y57-1,"")</f>
        <v>2.9338672099366914E-2</v>
      </c>
      <c r="V55" s="59">
        <f>IFERROR(Inv_SY!J57/Inv_SY!$Z57-1,"")</f>
        <v>0.32309430997414212</v>
      </c>
      <c r="W55" s="59">
        <f>IFERROR(Inv_SY!K57/Inv_SY!$Z57-1,"")</f>
        <v>0.31743382622397709</v>
      </c>
      <c r="X55" s="59">
        <f>IFERROR(Inv_SY!L57/Inv_SY!$Z57-1,"")</f>
        <v>-1</v>
      </c>
      <c r="Y55" s="59">
        <f>IFERROR(Inv_SY!M57/Inv_SY!$Z57-1,"")</f>
        <v>0.3482084804729515</v>
      </c>
      <c r="Z55" s="59">
        <f>IFERROR(Inv_SY!N57/Inv_SY!$Z57-1,"")</f>
        <v>0.3543929489557458</v>
      </c>
      <c r="AA55" s="59">
        <f>IFERROR(Inv_SY!O57/Inv_SY!$Z57-1,"")</f>
        <v>0.28873439872609796</v>
      </c>
      <c r="AB55" s="59">
        <f>IFERROR(Inv_SY!P57/Inv_SY!$Z57-1,"")</f>
        <v>0.29015789032999262</v>
      </c>
      <c r="AC55" s="59">
        <f>IFERROR(Inv_SY!Q57/Inv_SY!$Z57-1,"")</f>
        <v>-1</v>
      </c>
      <c r="AD55" s="59">
        <f>IFERROR(Inv_SY!R57/Inv_SY!$Z57-1,"")</f>
        <v>-8.8195922076519384E-3</v>
      </c>
      <c r="AE55" s="59">
        <f>IFERROR(Inv_SY!S57/Inv_SY!$Z57-1,"")</f>
        <v>1.0195694787125564E-2</v>
      </c>
      <c r="AF55" s="59">
        <f>IFERROR(Inv_SY!T57/Inv_SY!$Z57-1,"")</f>
        <v>-2.0773042133342745E-2</v>
      </c>
      <c r="AG55" s="59">
        <f>IFERROR(Inv_SY!U57/Inv_SY!$Z57-1,"")</f>
        <v>2.3011193396195617E-2</v>
      </c>
      <c r="AH55" s="59">
        <f>IFERROR(Inv_SY!V57/Inv_SY!$Y57-1,"")</f>
        <v>2.7567765908118602E-3</v>
      </c>
      <c r="AI55" s="59">
        <f>IFERROR(Inv_SY!W57/Inv_SY!$Y57-1,"")</f>
        <v>-8.9419275881972293E-3</v>
      </c>
      <c r="AJ55" s="59">
        <f>IFERROR(Inv_SY!X57/Inv_SY!$Y57-1,"")</f>
        <v>6.1851509973858132E-3</v>
      </c>
      <c r="AK55" s="59">
        <f>IFERROR(Inv_SY!V57/Inv_SY!$Z57-1,"")</f>
        <v>-3.4072997431691121E-3</v>
      </c>
      <c r="AL55" s="59">
        <f>IFERROR(Inv_SY!W57/Inv_SY!$Z57-1,"")</f>
        <v>-1.503409046594284E-2</v>
      </c>
      <c r="AM55" s="59">
        <f>IFERROR(Inv_SY!X57/Inv_SY!$Z57-1,"")</f>
        <v>0</v>
      </c>
    </row>
    <row r="56" spans="1:39" x14ac:dyDescent="0.3">
      <c r="A56" s="55">
        <f>YEAR(Table5[[#This Row],[Date]])+IF(MONTH(Table5[[#This Row],[Date]])&gt;=4,1,0)</f>
        <v>2026</v>
      </c>
      <c r="B56" s="55">
        <v>16</v>
      </c>
      <c r="C56" s="124">
        <f>YEAR(Table5[[#This Row],[Date]])</f>
        <v>2025</v>
      </c>
      <c r="D56" s="55" t="s">
        <v>329</v>
      </c>
      <c r="E56" s="55" t="s">
        <v>329</v>
      </c>
      <c r="F56" s="126" t="str">
        <f>TEXT(Table5[[#This Row],[Date]],"mmm-yy")</f>
        <v>May-25</v>
      </c>
      <c r="G56" s="124">
        <f t="shared" si="5"/>
        <v>31</v>
      </c>
      <c r="H56" s="125">
        <f t="shared" si="2"/>
        <v>45799</v>
      </c>
      <c r="I56" s="55">
        <v>8.02</v>
      </c>
      <c r="J56" s="59">
        <f>IFERROR(Inv_SY!J58/Inv_SY!$Y58-1,"")</f>
        <v>0.31268644980720062</v>
      </c>
      <c r="K56" s="59">
        <f>IFERROR(Inv_SY!K58/Inv_SY!$Y58-1,"")</f>
        <v>0.35983216949413332</v>
      </c>
      <c r="L56" s="59">
        <f>IFERROR(Inv_SY!L58/Inv_SY!$Y58-1,"")</f>
        <v>-1</v>
      </c>
      <c r="M56" s="59">
        <f>IFERROR(Inv_SY!M58/Inv_SY!$Y58-1,"")</f>
        <v>0.29180735494672527</v>
      </c>
      <c r="N56" s="59">
        <f>IFERROR(Inv_SY!N58/Inv_SY!$Y58-1,"")</f>
        <v>0.29839956560348102</v>
      </c>
      <c r="O56" s="59">
        <f>IFERROR(Inv_SY!O58/Inv_SY!$Y58-1,"")</f>
        <v>0.33575308708431129</v>
      </c>
      <c r="P56" s="59">
        <f>IFERROR(Inv_SY!P58/Inv_SY!$Y58-1,"")</f>
        <v>0.29048680779866642</v>
      </c>
      <c r="Q56" s="59">
        <f>IFERROR(Inv_SY!Q58/Inv_SY!$Y58-1,"")</f>
        <v>-1</v>
      </c>
      <c r="R56" s="59">
        <f>IFERROR(Inv_SY!R58/Inv_SY!$Y58-1,"")</f>
        <v>1.9391026277413514E-2</v>
      </c>
      <c r="S56" s="59">
        <f>IFERROR(Inv_SY!S58/Inv_SY!$Y58-1,"")</f>
        <v>4.2221399685526961E-2</v>
      </c>
      <c r="T56" s="59">
        <f>IFERROR(Inv_SY!T58/Inv_SY!$Y58-1,"")</f>
        <v>4.9761011818059808E-2</v>
      </c>
      <c r="U56" s="59">
        <f>IFERROR(Inv_SY!U58/Inv_SY!$Y58-1,"")</f>
        <v>8.4400480853119575E-5</v>
      </c>
      <c r="V56" s="59">
        <f>IFERROR(Inv_SY!J58/Inv_SY!$Z58-1,"")</f>
        <v>0.27830207036224608</v>
      </c>
      <c r="W56" s="59">
        <f>IFERROR(Inv_SY!K58/Inv_SY!$Z58-1,"")</f>
        <v>0.32421285971592306</v>
      </c>
      <c r="X56" s="59">
        <f>IFERROR(Inv_SY!L58/Inv_SY!$Z58-1,"")</f>
        <v>-1</v>
      </c>
      <c r="Y56" s="59">
        <f>IFERROR(Inv_SY!M58/Inv_SY!$Z58-1,"")</f>
        <v>0.25796988045401981</v>
      </c>
      <c r="Z56" s="59">
        <f>IFERROR(Inv_SY!N58/Inv_SY!$Z58-1,"")</f>
        <v>0.26438941539477634</v>
      </c>
      <c r="AA56" s="59">
        <f>IFERROR(Inv_SY!O58/Inv_SY!$Z58-1,"")</f>
        <v>0.30076450241672203</v>
      </c>
      <c r="AB56" s="59">
        <f>IFERROR(Inv_SY!P58/Inv_SY!$Z58-1,"")</f>
        <v>0.25668392358776093</v>
      </c>
      <c r="AC56" s="59">
        <f>IFERROR(Inv_SY!Q58/Inv_SY!$Z58-1,"")</f>
        <v>-1</v>
      </c>
      <c r="AD56" s="59">
        <f>IFERROR(Inv_SY!R58/Inv_SY!$Z58-1,"")</f>
        <v>-7.3108017603881192E-3</v>
      </c>
      <c r="AE56" s="59">
        <f>IFERROR(Inv_SY!S58/Inv_SY!$Z58-1,"")</f>
        <v>1.4921555097581418E-2</v>
      </c>
      <c r="AF56" s="59">
        <f>IFERROR(Inv_SY!T58/Inv_SY!$Z58-1,"")</f>
        <v>2.2263675373265235E-2</v>
      </c>
      <c r="AG56" s="59">
        <f>IFERROR(Inv_SY!U58/Inv_SY!$Z58-1,"")</f>
        <v>-2.6111711704325691E-2</v>
      </c>
      <c r="AH56" s="59">
        <f>IFERROR(Inv_SY!V58/Inv_SY!$Y58-1,"")</f>
        <v>-9.6993276219381475E-3</v>
      </c>
      <c r="AI56" s="59">
        <f>IFERROR(Inv_SY!W58/Inv_SY!$Y58-1,"")</f>
        <v>-1.7199149852334394E-2</v>
      </c>
      <c r="AJ56" s="59">
        <f>IFERROR(Inv_SY!X58/Inv_SY!$Y58-1,"")</f>
        <v>2.6898477474272209E-2</v>
      </c>
      <c r="AK56" s="59">
        <f>IFERROR(Inv_SY!V58/Inv_SY!$Z58-1,"")</f>
        <v>-3.5639165797796579E-2</v>
      </c>
      <c r="AL56" s="59">
        <f>IFERROR(Inv_SY!W58/Inv_SY!$Z58-1,"")</f>
        <v>-4.2942538424117438E-2</v>
      </c>
      <c r="AM56" s="59">
        <f>IFERROR(Inv_SY!X58/Inv_SY!$Z58-1,"")</f>
        <v>0</v>
      </c>
    </row>
    <row r="57" spans="1:39" x14ac:dyDescent="0.3">
      <c r="A57" s="55">
        <f>YEAR(Table5[[#This Row],[Date]])+IF(MONTH(Table5[[#This Row],[Date]])&gt;=4,1,0)</f>
        <v>2026</v>
      </c>
      <c r="B57" s="55">
        <v>17</v>
      </c>
      <c r="C57" s="124">
        <f>YEAR(Table5[[#This Row],[Date]])</f>
        <v>2025</v>
      </c>
      <c r="D57" s="55" t="s">
        <v>329</v>
      </c>
      <c r="E57" s="55" t="s">
        <v>329</v>
      </c>
      <c r="F57" s="126" t="str">
        <f>TEXT(Table5[[#This Row],[Date]],"mmm-yy")</f>
        <v>May-25</v>
      </c>
      <c r="G57" s="124">
        <f t="shared" si="5"/>
        <v>31</v>
      </c>
      <c r="H57" s="125">
        <f t="shared" si="2"/>
        <v>45800</v>
      </c>
      <c r="I57" s="55">
        <v>8.02</v>
      </c>
      <c r="J57" s="59">
        <f>IFERROR(Inv_SY!J59/Inv_SY!$Y59-1,"")</f>
        <v>0.30605137572666163</v>
      </c>
      <c r="K57" s="59">
        <f>IFERROR(Inv_SY!K59/Inv_SY!$Y59-1,"")</f>
        <v>0.30529016790866437</v>
      </c>
      <c r="L57" s="59">
        <f>IFERROR(Inv_SY!L59/Inv_SY!$Y59-1,"")</f>
        <v>-1</v>
      </c>
      <c r="M57" s="59">
        <f>IFERROR(Inv_SY!M59/Inv_SY!$Y59-1,"")</f>
        <v>0.31089767463141715</v>
      </c>
      <c r="N57" s="59">
        <f>IFERROR(Inv_SY!N59/Inv_SY!$Y59-1,"")</f>
        <v>0.29776722413360956</v>
      </c>
      <c r="O57" s="59">
        <f>IFERROR(Inv_SY!O59/Inv_SY!$Y59-1,"")</f>
        <v>0.28969877780045805</v>
      </c>
      <c r="P57" s="59">
        <f>IFERROR(Inv_SY!P59/Inv_SY!$Y59-1,"")</f>
        <v>0.31508306786229068</v>
      </c>
      <c r="Q57" s="59">
        <f>IFERROR(Inv_SY!Q59/Inv_SY!$Y59-1,"")</f>
        <v>-1</v>
      </c>
      <c r="R57" s="59">
        <f>IFERROR(Inv_SY!R59/Inv_SY!$Y59-1,"")</f>
        <v>4.1344183429008252E-2</v>
      </c>
      <c r="S57" s="59">
        <f>IFERROR(Inv_SY!S59/Inv_SY!$Y59-1,"")</f>
        <v>6.1453659589823406E-2</v>
      </c>
      <c r="T57" s="59">
        <f>IFERROR(Inv_SY!T59/Inv_SY!$Y59-1,"")</f>
        <v>2.8343808842568263E-2</v>
      </c>
      <c r="U57" s="59">
        <f>IFERROR(Inv_SY!U59/Inv_SY!$Y59-1,"")</f>
        <v>4.4190839632728629E-2</v>
      </c>
      <c r="V57" s="59">
        <f>IFERROR(Inv_SY!J59/Inv_SY!$Z59-1,"")</f>
        <v>0.25243197051529509</v>
      </c>
      <c r="W57" s="59">
        <f>IFERROR(Inv_SY!K59/Inv_SY!$Z59-1,"")</f>
        <v>0.25170201377302259</v>
      </c>
      <c r="X57" s="59">
        <f>IFERROR(Inv_SY!L59/Inv_SY!$Z59-1,"")</f>
        <v>-1</v>
      </c>
      <c r="Y57" s="59">
        <f>IFERROR(Inv_SY!M59/Inv_SY!$Z59-1,"")</f>
        <v>0.25707930660007339</v>
      </c>
      <c r="Z57" s="59">
        <f>IFERROR(Inv_SY!N59/Inv_SY!$Z59-1,"")</f>
        <v>0.24448792137866682</v>
      </c>
      <c r="AA57" s="59">
        <f>IFERROR(Inv_SY!O59/Inv_SY!$Z59-1,"")</f>
        <v>0.23675072181069146</v>
      </c>
      <c r="AB57" s="59">
        <f>IFERROR(Inv_SY!P59/Inv_SY!$Z59-1,"")</f>
        <v>0.26109287022317984</v>
      </c>
      <c r="AC57" s="59">
        <f>IFERROR(Inv_SY!Q59/Inv_SY!$Z59-1,"")</f>
        <v>-1</v>
      </c>
      <c r="AD57" s="59">
        <f>IFERROR(Inv_SY!R59/Inv_SY!$Z59-1,"")</f>
        <v>-1.4077762362180168E-3</v>
      </c>
      <c r="AE57" s="59">
        <f>IFERROR(Inv_SY!S59/Inv_SY!$Z59-1,"")</f>
        <v>1.7876113603189747E-2</v>
      </c>
      <c r="AF57" s="59">
        <f>IFERROR(Inv_SY!T59/Inv_SY!$Z59-1,"")</f>
        <v>-1.3874425759613063E-2</v>
      </c>
      <c r="AG57" s="59">
        <f>IFERROR(Inv_SY!U59/Inv_SY!$Z59-1,"")</f>
        <v>1.322011661001099E-3</v>
      </c>
      <c r="AH57" s="59">
        <f>IFERROR(Inv_SY!V59/Inv_SY!$Y59-1,"")</f>
        <v>-2.008124566264724E-2</v>
      </c>
      <c r="AI57" s="59">
        <f>IFERROR(Inv_SY!W59/Inv_SY!$Y59-1,"")</f>
        <v>-2.2730984042177105E-2</v>
      </c>
      <c r="AJ57" s="59">
        <f>IFERROR(Inv_SY!X59/Inv_SY!$Y59-1,"")</f>
        <v>4.2812229704824345E-2</v>
      </c>
      <c r="AK57" s="59">
        <f>IFERROR(Inv_SY!V59/Inv_SY!$Z59-1,"")</f>
        <v>-6.031140945218294E-2</v>
      </c>
      <c r="AL57" s="59">
        <f>IFERROR(Inv_SY!W59/Inv_SY!$Z59-1,"")</f>
        <v>-6.2852363905967823E-2</v>
      </c>
      <c r="AM57" s="59">
        <f>IFERROR(Inv_SY!X59/Inv_SY!$Z59-1,"")</f>
        <v>0</v>
      </c>
    </row>
    <row r="58" spans="1:39" x14ac:dyDescent="0.3">
      <c r="A58" s="55">
        <f>YEAR(Table5[[#This Row],[Date]])+IF(MONTH(Table5[[#This Row],[Date]])&gt;=4,1,0)</f>
        <v>2026</v>
      </c>
      <c r="B58" s="55">
        <v>18</v>
      </c>
      <c r="C58" s="124">
        <f>YEAR(Table5[[#This Row],[Date]])</f>
        <v>2025</v>
      </c>
      <c r="D58" s="55" t="s">
        <v>329</v>
      </c>
      <c r="E58" s="55" t="s">
        <v>329</v>
      </c>
      <c r="F58" s="126" t="str">
        <f>TEXT(Table5[[#This Row],[Date]],"mmm-yy")</f>
        <v>May-25</v>
      </c>
      <c r="G58" s="124">
        <f t="shared" si="5"/>
        <v>31</v>
      </c>
      <c r="H58" s="125">
        <f t="shared" si="2"/>
        <v>45801</v>
      </c>
      <c r="I58" s="55">
        <v>8.02</v>
      </c>
      <c r="J58" s="59">
        <f>IFERROR(Inv_SY!J60/Inv_SY!$Y60-1,"")</f>
        <v>0.32490264220145804</v>
      </c>
      <c r="K58" s="59">
        <f>IFERROR(Inv_SY!K60/Inv_SY!$Y60-1,"")</f>
        <v>0.31090502867352976</v>
      </c>
      <c r="L58" s="59">
        <f>IFERROR(Inv_SY!L60/Inv_SY!$Y60-1,"")</f>
        <v>-1</v>
      </c>
      <c r="M58" s="59">
        <f>IFERROR(Inv_SY!M60/Inv_SY!$Y60-1,"")</f>
        <v>0.30892487167199212</v>
      </c>
      <c r="N58" s="59">
        <f>IFERROR(Inv_SY!N60/Inv_SY!$Y60-1,"")</f>
        <v>0.33618619047213394</v>
      </c>
      <c r="O58" s="59">
        <f>IFERROR(Inv_SY!O60/Inv_SY!$Y60-1,"")</f>
        <v>0.29283595759032766</v>
      </c>
      <c r="P58" s="59">
        <f>IFERROR(Inv_SY!P60/Inv_SY!$Y60-1,"")</f>
        <v>0.29346034366064178</v>
      </c>
      <c r="Q58" s="59">
        <f>IFERROR(Inv_SY!Q60/Inv_SY!$Y60-1,"")</f>
        <v>-1</v>
      </c>
      <c r="R58" s="59">
        <f>IFERROR(Inv_SY!R60/Inv_SY!$Y60-1,"")</f>
        <v>2.825013751474259E-2</v>
      </c>
      <c r="S58" s="59">
        <f>IFERROR(Inv_SY!S60/Inv_SY!$Y60-1,"")</f>
        <v>0.11592464493289389</v>
      </c>
      <c r="T58" s="59">
        <f>IFERROR(Inv_SY!T60/Inv_SY!$Y60-1,"")</f>
        <v>-1.1199329179469864E-3</v>
      </c>
      <c r="U58" s="59">
        <f>IFERROR(Inv_SY!U60/Inv_SY!$Y60-1,"")</f>
        <v>-8.2921328892096025E-3</v>
      </c>
      <c r="V58" s="59">
        <f>IFERROR(Inv_SY!J60/Inv_SY!$Z60-1,"")</f>
        <v>0.28352323526720058</v>
      </c>
      <c r="W58" s="59">
        <f>IFERROR(Inv_SY!K60/Inv_SY!$Z60-1,"")</f>
        <v>0.26996279570800863</v>
      </c>
      <c r="X58" s="59">
        <f>IFERROR(Inv_SY!L60/Inv_SY!$Z60-1,"")</f>
        <v>-1</v>
      </c>
      <c r="Y58" s="59">
        <f>IFERROR(Inv_SY!M60/Inv_SY!$Z60-1,"")</f>
        <v>0.26804448304110418</v>
      </c>
      <c r="Z58" s="59">
        <f>IFERROR(Inv_SY!N60/Inv_SY!$Z60-1,"")</f>
        <v>0.29445437535278995</v>
      </c>
      <c r="AA58" s="59">
        <f>IFERROR(Inv_SY!O60/Inv_SY!$Z60-1,"")</f>
        <v>0.25245805850222536</v>
      </c>
      <c r="AB58" s="59">
        <f>IFERROR(Inv_SY!P60/Inv_SY!$Z60-1,"")</f>
        <v>0.25306294372435278</v>
      </c>
      <c r="AC58" s="59">
        <f>IFERROR(Inv_SY!Q60/Inv_SY!$Z60-1,"")</f>
        <v>-1</v>
      </c>
      <c r="AD58" s="59">
        <f>IFERROR(Inv_SY!R60/Inv_SY!$Z60-1,"")</f>
        <v>-3.8642077323393087E-3</v>
      </c>
      <c r="AE58" s="59">
        <f>IFERROR(Inv_SY!S60/Inv_SY!$Z60-1,"")</f>
        <v>8.1072046319369706E-2</v>
      </c>
      <c r="AF58" s="59">
        <f>IFERROR(Inv_SY!T60/Inv_SY!$Z60-1,"")</f>
        <v>-3.2316991069803014E-2</v>
      </c>
      <c r="AG58" s="59">
        <f>IFERROR(Inv_SY!U60/Inv_SY!$Z60-1,"")</f>
        <v>-3.9265188633815895E-2</v>
      </c>
      <c r="AH58" s="59">
        <f>IFERROR(Inv_SY!V60/Inv_SY!$Y60-1,"")</f>
        <v>-1.4499629220101173E-2</v>
      </c>
      <c r="AI58" s="59">
        <f>IFERROR(Inv_SY!W60/Inv_SY!$Y60-1,"")</f>
        <v>-1.773929392307283E-2</v>
      </c>
      <c r="AJ58" s="59">
        <f>IFERROR(Inv_SY!X60/Inv_SY!$Y60-1,"")</f>
        <v>3.2238923143174114E-2</v>
      </c>
      <c r="AK58" s="59">
        <f>IFERROR(Inv_SY!V60/Inv_SY!$Z60-1,"")</f>
        <v>-4.5278812216222319E-2</v>
      </c>
      <c r="AL58" s="59">
        <f>IFERROR(Inv_SY!W60/Inv_SY!$Z60-1,"")</f>
        <v>-4.8417295594766929E-2</v>
      </c>
      <c r="AM58" s="59">
        <f>IFERROR(Inv_SY!X60/Inv_SY!$Z60-1,"")</f>
        <v>0</v>
      </c>
    </row>
    <row r="59" spans="1:39" x14ac:dyDescent="0.3">
      <c r="A59" s="55">
        <f>YEAR(Table5[[#This Row],[Date]])+IF(MONTH(Table5[[#This Row],[Date]])&gt;=4,1,0)</f>
        <v>2026</v>
      </c>
      <c r="B59" s="55">
        <v>19</v>
      </c>
      <c r="C59" s="124">
        <f>YEAR(Table5[[#This Row],[Date]])</f>
        <v>2025</v>
      </c>
      <c r="D59" s="55" t="s">
        <v>329</v>
      </c>
      <c r="E59" s="55" t="s">
        <v>329</v>
      </c>
      <c r="F59" s="126" t="str">
        <f>TEXT(Table5[[#This Row],[Date]],"mmm-yy")</f>
        <v>May-25</v>
      </c>
      <c r="G59" s="124">
        <f t="shared" si="5"/>
        <v>31</v>
      </c>
      <c r="H59" s="125">
        <f t="shared" si="2"/>
        <v>45802</v>
      </c>
      <c r="I59" s="55">
        <v>8.02</v>
      </c>
      <c r="J59" s="59">
        <f>IFERROR(Inv_SY!J61/Inv_SY!$Y61-1,"")</f>
        <v>0.34952171489488792</v>
      </c>
      <c r="K59" s="59">
        <f>IFERROR(Inv_SY!K61/Inv_SY!$Y61-1,"")</f>
        <v>0.39192354448815103</v>
      </c>
      <c r="L59" s="59">
        <f>IFERROR(Inv_SY!L61/Inv_SY!$Y61-1,"")</f>
        <v>-1</v>
      </c>
      <c r="M59" s="59">
        <f>IFERROR(Inv_SY!M61/Inv_SY!$Y61-1,"")</f>
        <v>0.32884767058000031</v>
      </c>
      <c r="N59" s="59">
        <f>IFERROR(Inv_SY!N61/Inv_SY!$Y61-1,"")</f>
        <v>0.31851955555672529</v>
      </c>
      <c r="O59" s="59">
        <f>IFERROR(Inv_SY!O61/Inv_SY!$Y61-1,"")</f>
        <v>0.35225654083035085</v>
      </c>
      <c r="P59" s="59">
        <f>IFERROR(Inv_SY!P61/Inv_SY!$Y61-1,"")</f>
        <v>0.31013673756952875</v>
      </c>
      <c r="Q59" s="59">
        <f>IFERROR(Inv_SY!Q61/Inv_SY!$Y61-1,"")</f>
        <v>-1</v>
      </c>
      <c r="R59" s="59">
        <f>IFERROR(Inv_SY!R61/Inv_SY!$Y61-1,"")</f>
        <v>-2.0731813425527212E-2</v>
      </c>
      <c r="S59" s="59">
        <f>IFERROR(Inv_SY!S61/Inv_SY!$Y61-1,"")</f>
        <v>2.4391046841550912E-2</v>
      </c>
      <c r="T59" s="59">
        <f>IFERROR(Inv_SY!T61/Inv_SY!$Y61-1,"")</f>
        <v>-3.2505676185120236E-2</v>
      </c>
      <c r="U59" s="59">
        <f>IFERROR(Inv_SY!U61/Inv_SY!$Y61-1,"")</f>
        <v>-2.1495003876397467E-2</v>
      </c>
      <c r="V59" s="59">
        <f>IFERROR(Inv_SY!J61/Inv_SY!$Z61-1,"")</f>
        <v>0.32724836308253469</v>
      </c>
      <c r="W59" s="59">
        <f>IFERROR(Inv_SY!K61/Inv_SY!$Z61-1,"")</f>
        <v>0.36895036631687783</v>
      </c>
      <c r="X59" s="59">
        <f>IFERROR(Inv_SY!L61/Inv_SY!$Z61-1,"")</f>
        <v>-1</v>
      </c>
      <c r="Y59" s="59">
        <f>IFERROR(Inv_SY!M61/Inv_SY!$Z61-1,"")</f>
        <v>0.3069155361466096</v>
      </c>
      <c r="Z59" s="59">
        <f>IFERROR(Inv_SY!N61/Inv_SY!$Z61-1,"")</f>
        <v>0.29675788280389392</v>
      </c>
      <c r="AA59" s="59">
        <f>IFERROR(Inv_SY!O61/Inv_SY!$Z61-1,"")</f>
        <v>0.32993805173748281</v>
      </c>
      <c r="AB59" s="59">
        <f>IFERROR(Inv_SY!P61/Inv_SY!$Z61-1,"")</f>
        <v>0.28851342009630998</v>
      </c>
      <c r="AC59" s="59">
        <f>IFERROR(Inv_SY!Q61/Inv_SY!$Z61-1,"")</f>
        <v>-1</v>
      </c>
      <c r="AD59" s="59">
        <f>IFERROR(Inv_SY!R61/Inv_SY!$Z61-1,"")</f>
        <v>-3.6894269055162909E-2</v>
      </c>
      <c r="AE59" s="59">
        <f>IFERROR(Inv_SY!S61/Inv_SY!$Z61-1,"")</f>
        <v>7.4838552581211193E-3</v>
      </c>
      <c r="AF59" s="59">
        <f>IFERROR(Inv_SY!T61/Inv_SY!$Z61-1,"")</f>
        <v>-4.847380860784456E-2</v>
      </c>
      <c r="AG59" s="59">
        <f>IFERROR(Inv_SY!U61/Inv_SY!$Z61-1,"")</f>
        <v>-3.7644863332718881E-2</v>
      </c>
      <c r="AH59" s="59">
        <f>IFERROR(Inv_SY!V61/Inv_SY!$Y61-1,"")</f>
        <v>1.6781600514182093E-2</v>
      </c>
      <c r="AI59" s="59">
        <f>IFERROR(Inv_SY!W61/Inv_SY!$Y61-1,"")</f>
        <v>-3.1072772500337908E-3</v>
      </c>
      <c r="AJ59" s="59">
        <f>IFERROR(Inv_SY!X61/Inv_SY!$Y61-1,"")</f>
        <v>-1.3674323264148414E-2</v>
      </c>
      <c r="AK59" s="59">
        <f>IFERROR(Inv_SY!V61/Inv_SY!$Z61-1,"")</f>
        <v>0</v>
      </c>
      <c r="AL59" s="59">
        <f>IFERROR(Inv_SY!W61/Inv_SY!$Z61-1,"")</f>
        <v>-1.9560619265885815E-2</v>
      </c>
      <c r="AM59" s="59">
        <f>IFERROR(Inv_SY!X61/Inv_SY!$Z61-1,"")</f>
        <v>-2.9953260132686399E-2</v>
      </c>
    </row>
    <row r="60" spans="1:39" x14ac:dyDescent="0.3">
      <c r="A60" s="55">
        <f>YEAR(Table5[[#This Row],[Date]])+IF(MONTH(Table5[[#This Row],[Date]])&gt;=4,1,0)</f>
        <v>2026</v>
      </c>
      <c r="B60" s="55">
        <v>20</v>
      </c>
      <c r="C60" s="124">
        <f>YEAR(Table5[[#This Row],[Date]])</f>
        <v>2025</v>
      </c>
      <c r="D60" s="55" t="s">
        <v>329</v>
      </c>
      <c r="E60" s="55" t="s">
        <v>329</v>
      </c>
      <c r="F60" s="126" t="str">
        <f>TEXT(Table5[[#This Row],[Date]],"mmm-yy")</f>
        <v>May-25</v>
      </c>
      <c r="G60" s="124">
        <f t="shared" si="5"/>
        <v>31</v>
      </c>
      <c r="H60" s="125">
        <f t="shared" si="2"/>
        <v>45803</v>
      </c>
      <c r="I60" s="55">
        <v>8.02</v>
      </c>
      <c r="J60" s="59">
        <f>IFERROR(Inv_SY!J62/Inv_SY!$Y62-1,"")</f>
        <v>0.32509277571593098</v>
      </c>
      <c r="K60" s="59">
        <f>IFERROR(Inv_SY!K62/Inv_SY!$Y62-1,"")</f>
        <v>0.32559541877926557</v>
      </c>
      <c r="L60" s="59">
        <f>IFERROR(Inv_SY!L62/Inv_SY!$Y62-1,"")</f>
        <v>-1</v>
      </c>
      <c r="M60" s="59">
        <f>IFERROR(Inv_SY!M62/Inv_SY!$Y62-1,"")</f>
        <v>0.37992874038734281</v>
      </c>
      <c r="N60" s="59">
        <f>IFERROR(Inv_SY!N62/Inv_SY!$Y62-1,"")</f>
        <v>0.29457780974389847</v>
      </c>
      <c r="O60" s="59">
        <f>IFERROR(Inv_SY!O62/Inv_SY!$Y62-1,"")</f>
        <v>0.28755316693254152</v>
      </c>
      <c r="P60" s="59">
        <f>IFERROR(Inv_SY!P62/Inv_SY!$Y62-1,"")</f>
        <v>0.35237146196460811</v>
      </c>
      <c r="Q60" s="59">
        <f>IFERROR(Inv_SY!Q62/Inv_SY!$Y62-1,"")</f>
        <v>-1</v>
      </c>
      <c r="R60" s="59">
        <f>IFERROR(Inv_SY!R62/Inv_SY!$Y62-1,"")</f>
        <v>-8.9062668995639749E-3</v>
      </c>
      <c r="S60" s="59">
        <f>IFERROR(Inv_SY!S62/Inv_SY!$Y62-1,"")</f>
        <v>1.0556764670077046E-2</v>
      </c>
      <c r="T60" s="59">
        <f>IFERROR(Inv_SY!T62/Inv_SY!$Y62-1,"")</f>
        <v>-1.5962450261692629E-2</v>
      </c>
      <c r="U60" s="59">
        <f>IFERROR(Inv_SY!U62/Inv_SY!$Y62-1,"")</f>
        <v>4.8068661518714029E-2</v>
      </c>
      <c r="V60" s="59">
        <f>IFERROR(Inv_SY!J62/Inv_SY!$Z62-1,"")</f>
        <v>0.31509501230970161</v>
      </c>
      <c r="W60" s="59">
        <f>IFERROR(Inv_SY!K62/Inv_SY!$Z62-1,"")</f>
        <v>0.31559386295448477</v>
      </c>
      <c r="X60" s="59">
        <f>IFERROR(Inv_SY!L62/Inv_SY!$Z62-1,"")</f>
        <v>-1</v>
      </c>
      <c r="Y60" s="59">
        <f>IFERROR(Inv_SY!M62/Inv_SY!$Z62-1,"")</f>
        <v>0.36951724217628734</v>
      </c>
      <c r="Z60" s="59">
        <f>IFERROR(Inv_SY!N62/Inv_SY!$Z62-1,"")</f>
        <v>0.2848102803376793</v>
      </c>
      <c r="AA60" s="59">
        <f>IFERROR(Inv_SY!O62/Inv_SY!$Z62-1,"")</f>
        <v>0.27783863812984855</v>
      </c>
      <c r="AB60" s="59">
        <f>IFERROR(Inv_SY!P62/Inv_SY!$Z62-1,"")</f>
        <v>0.34216788213846838</v>
      </c>
      <c r="AC60" s="59">
        <f>IFERROR(Inv_SY!Q62/Inv_SY!$Z62-1,"")</f>
        <v>-1</v>
      </c>
      <c r="AD60" s="59">
        <f>IFERROR(Inv_SY!R62/Inv_SY!$Z62-1,"")</f>
        <v>-1.6384023052586016E-2</v>
      </c>
      <c r="AE60" s="59">
        <f>IFERROR(Inv_SY!S62/Inv_SY!$Z62-1,"")</f>
        <v>2.9321608484487172E-3</v>
      </c>
      <c r="AF60" s="59">
        <f>IFERROR(Inv_SY!T62/Inv_SY!$Z62-1,"")</f>
        <v>-2.3386967839198691E-2</v>
      </c>
      <c r="AG60" s="59">
        <f>IFERROR(Inv_SY!U62/Inv_SY!$Z62-1,"")</f>
        <v>4.0161032178808842E-2</v>
      </c>
      <c r="AH60" s="59">
        <f>IFERROR(Inv_SY!V62/Inv_SY!$Y62-1,"")</f>
        <v>7.126968749918916E-3</v>
      </c>
      <c r="AI60" s="59">
        <f>IFERROR(Inv_SY!W62/Inv_SY!$Y62-1,"")</f>
        <v>-1.4729281368130565E-2</v>
      </c>
      <c r="AJ60" s="59">
        <f>IFERROR(Inv_SY!X62/Inv_SY!$Y62-1,"")</f>
        <v>7.6023126182116485E-3</v>
      </c>
      <c r="AK60" s="59">
        <f>IFERROR(Inv_SY!V62/Inv_SY!$Z62-1,"")</f>
        <v>-4.7175742089911044E-4</v>
      </c>
      <c r="AL60" s="59">
        <f>IFERROR(Inv_SY!W62/Inv_SY!$Z62-1,"")</f>
        <v>-2.2163103147624375E-2</v>
      </c>
      <c r="AM60" s="59">
        <f>IFERROR(Inv_SY!X62/Inv_SY!$Z62-1,"")</f>
        <v>0</v>
      </c>
    </row>
    <row r="61" spans="1:39" x14ac:dyDescent="0.3">
      <c r="A61" s="55">
        <f>YEAR(Table5[[#This Row],[Date]])+IF(MONTH(Table5[[#This Row],[Date]])&gt;=4,1,0)</f>
        <v>2026</v>
      </c>
      <c r="B61" s="55">
        <v>21</v>
      </c>
      <c r="C61" s="124">
        <f>YEAR(Table5[[#This Row],[Date]])</f>
        <v>2025</v>
      </c>
      <c r="D61" s="55" t="s">
        <v>329</v>
      </c>
      <c r="E61" s="55" t="s">
        <v>329</v>
      </c>
      <c r="F61" s="126" t="str">
        <f>TEXT(Table5[[#This Row],[Date]],"mmm-yy")</f>
        <v>May-25</v>
      </c>
      <c r="G61" s="124">
        <f t="shared" si="5"/>
        <v>31</v>
      </c>
      <c r="H61" s="125">
        <f t="shared" si="2"/>
        <v>45804</v>
      </c>
      <c r="I61" s="55">
        <v>8.02</v>
      </c>
      <c r="J61" s="59">
        <f>IFERROR(Inv_SY!J63/Inv_SY!$Y63-1,"")</f>
        <v>0.35399238172821534</v>
      </c>
      <c r="K61" s="59">
        <f>IFERROR(Inv_SY!K63/Inv_SY!$Y63-1,"")</f>
        <v>0.32153407194692973</v>
      </c>
      <c r="L61" s="59">
        <f>IFERROR(Inv_SY!L63/Inv_SY!$Y63-1,"")</f>
        <v>-1</v>
      </c>
      <c r="M61" s="59">
        <f>IFERROR(Inv_SY!M63/Inv_SY!$Y63-1,"")</f>
        <v>0.30215449557193108</v>
      </c>
      <c r="N61" s="59">
        <f>IFERROR(Inv_SY!N63/Inv_SY!$Y63-1,"")</f>
        <v>0.34081592397486538</v>
      </c>
      <c r="O61" s="59">
        <f>IFERROR(Inv_SY!O63/Inv_SY!$Y63-1,"")</f>
        <v>0.30214382847770915</v>
      </c>
      <c r="P61" s="59">
        <f>IFERROR(Inv_SY!P63/Inv_SY!$Y63-1,"")</f>
        <v>0.29957790744946178</v>
      </c>
      <c r="Q61" s="59">
        <f>IFERROR(Inv_SY!Q63/Inv_SY!$Y63-1,"")</f>
        <v>-1</v>
      </c>
      <c r="R61" s="59">
        <f>IFERROR(Inv_SY!R63/Inv_SY!$Y63-1,"")</f>
        <v>1.3936600529326437E-2</v>
      </c>
      <c r="S61" s="59">
        <f>IFERROR(Inv_SY!S63/Inv_SY!$Y63-1,"")</f>
        <v>4.8566551495480947E-2</v>
      </c>
      <c r="T61" s="59">
        <f>IFERROR(Inv_SY!T63/Inv_SY!$Y63-1,"")</f>
        <v>2.0767162680591644E-2</v>
      </c>
      <c r="U61" s="59">
        <f>IFERROR(Inv_SY!U63/Inv_SY!$Y63-1,"")</f>
        <v>-2.7885473412597728E-3</v>
      </c>
      <c r="V61" s="59">
        <f>IFERROR(Inv_SY!J63/Inv_SY!$Z63-1,"")</f>
        <v>0.32867279264869564</v>
      </c>
      <c r="W61" s="59">
        <f>IFERROR(Inv_SY!K63/Inv_SY!$Z63-1,"")</f>
        <v>0.29682145161920537</v>
      </c>
      <c r="X61" s="59">
        <f>IFERROR(Inv_SY!L63/Inv_SY!$Z63-1,"")</f>
        <v>-1</v>
      </c>
      <c r="Y61" s="59">
        <f>IFERROR(Inv_SY!M63/Inv_SY!$Z63-1,"")</f>
        <v>0.27780427234257421</v>
      </c>
      <c r="Z61" s="59">
        <f>IFERROR(Inv_SY!N63/Inv_SY!$Z63-1,"")</f>
        <v>0.31574273398912256</v>
      </c>
      <c r="AA61" s="59">
        <f>IFERROR(Inv_SY!O63/Inv_SY!$Z63-1,"")</f>
        <v>0.27779380472247506</v>
      </c>
      <c r="AB61" s="59">
        <f>IFERROR(Inv_SY!P63/Inv_SY!$Z63-1,"")</f>
        <v>0.27527586628772105</v>
      </c>
      <c r="AC61" s="59">
        <f>IFERROR(Inv_SY!Q63/Inv_SY!$Z63-1,"")</f>
        <v>-1</v>
      </c>
      <c r="AD61" s="59">
        <f>IFERROR(Inv_SY!R63/Inv_SY!$Z63-1,"")</f>
        <v>-5.0239626352311939E-3</v>
      </c>
      <c r="AE61" s="59">
        <f>IFERROR(Inv_SY!S63/Inv_SY!$Z63-1,"")</f>
        <v>2.8958409998770751E-2</v>
      </c>
      <c r="AF61" s="59">
        <f>IFERROR(Inv_SY!T63/Inv_SY!$Z63-1,"")</f>
        <v>1.6788683491633094E-3</v>
      </c>
      <c r="AG61" s="59">
        <f>IFERROR(Inv_SY!U63/Inv_SY!$Z63-1,"")</f>
        <v>-2.143635108627262E-2</v>
      </c>
      <c r="AH61" s="59">
        <f>IFERROR(Inv_SY!V63/Inv_SY!$Y63-1,"")</f>
        <v>-6.339184974386125E-3</v>
      </c>
      <c r="AI61" s="59">
        <f>IFERROR(Inv_SY!W63/Inv_SY!$Y63-1,"")</f>
        <v>-1.2717116335920209E-2</v>
      </c>
      <c r="AJ61" s="59">
        <f>IFERROR(Inv_SY!X63/Inv_SY!$Y63-1,"")</f>
        <v>1.9056301310306223E-2</v>
      </c>
      <c r="AK61" s="59">
        <f>IFERROR(Inv_SY!V63/Inv_SY!$Z63-1,"")</f>
        <v>-2.492059197518226E-2</v>
      </c>
      <c r="AL61" s="59">
        <f>IFERROR(Inv_SY!W63/Inv_SY!$Z63-1,"")</f>
        <v>-3.1179256342728223E-2</v>
      </c>
      <c r="AM61" s="59">
        <f>IFERROR(Inv_SY!X63/Inv_SY!$Z63-1,"")</f>
        <v>0</v>
      </c>
    </row>
    <row r="62" spans="1:39" x14ac:dyDescent="0.3">
      <c r="A62" s="55">
        <f>YEAR(Table5[[#This Row],[Date]])+IF(MONTH(Table5[[#This Row],[Date]])&gt;=4,1,0)</f>
        <v>2026</v>
      </c>
      <c r="B62" s="55">
        <v>22</v>
      </c>
      <c r="C62" s="124">
        <f>YEAR(Table5[[#This Row],[Date]])</f>
        <v>2025</v>
      </c>
      <c r="D62" s="55" t="s">
        <v>329</v>
      </c>
      <c r="E62" s="55" t="s">
        <v>329</v>
      </c>
      <c r="F62" s="126" t="str">
        <f>TEXT(Table5[[#This Row],[Date]],"mmm-yy")</f>
        <v>May-25</v>
      </c>
      <c r="G62" s="124">
        <f t="shared" si="5"/>
        <v>31</v>
      </c>
      <c r="H62" s="125">
        <f t="shared" si="2"/>
        <v>45805</v>
      </c>
      <c r="I62" s="55">
        <v>8.02</v>
      </c>
      <c r="J62" s="59">
        <f>IFERROR(Inv_SY!J64/Inv_SY!$Y64-1,"")</f>
        <v>0.32970485851638132</v>
      </c>
      <c r="K62" s="59">
        <f>IFERROR(Inv_SY!K64/Inv_SY!$Y64-1,"")</f>
        <v>0.33810741686403634</v>
      </c>
      <c r="L62" s="59">
        <f>IFERROR(Inv_SY!L64/Inv_SY!$Y64-1,"")</f>
        <v>-1</v>
      </c>
      <c r="M62" s="59">
        <f>IFERROR(Inv_SY!M64/Inv_SY!$Y64-1,"")</f>
        <v>0.35672932603887064</v>
      </c>
      <c r="N62" s="59">
        <f>IFERROR(Inv_SY!N64/Inv_SY!$Y64-1,"")</f>
        <v>0.29840011901455221</v>
      </c>
      <c r="O62" s="59">
        <f>IFERROR(Inv_SY!O64/Inv_SY!$Y64-1,"")</f>
        <v>0.32911237042776498</v>
      </c>
      <c r="P62" s="59">
        <f>IFERROR(Inv_SY!P64/Inv_SY!$Y64-1,"")</f>
        <v>0.28268814725770386</v>
      </c>
      <c r="Q62" s="59">
        <f>IFERROR(Inv_SY!Q64/Inv_SY!$Y64-1,"")</f>
        <v>-1</v>
      </c>
      <c r="R62" s="59">
        <f>IFERROR(Inv_SY!R64/Inv_SY!$Y64-1,"")</f>
        <v>9.7895208763028041E-3</v>
      </c>
      <c r="S62" s="59">
        <f>IFERROR(Inv_SY!S64/Inv_SY!$Y64-1,"")</f>
        <v>1.3296251639848933E-2</v>
      </c>
      <c r="T62" s="59">
        <f>IFERROR(Inv_SY!T64/Inv_SY!$Y64-1,"")</f>
        <v>-2.6645352532601585E-3</v>
      </c>
      <c r="U62" s="59">
        <f>IFERROR(Inv_SY!U64/Inv_SY!$Y64-1,"")</f>
        <v>4.411291116559779E-2</v>
      </c>
      <c r="V62" s="59">
        <f>IFERROR(Inv_SY!J64/Inv_SY!$Z64-1,"")</f>
        <v>0.30967906669274048</v>
      </c>
      <c r="W62" s="59">
        <f>IFERROR(Inv_SY!K64/Inv_SY!$Z64-1,"")</f>
        <v>0.31795507975241044</v>
      </c>
      <c r="X62" s="59">
        <f>IFERROR(Inv_SY!L64/Inv_SY!$Z64-1,"")</f>
        <v>-1</v>
      </c>
      <c r="Y62" s="59">
        <f>IFERROR(Inv_SY!M64/Inv_SY!$Z64-1,"")</f>
        <v>0.33629653685992644</v>
      </c>
      <c r="Z62" s="59">
        <f>IFERROR(Inv_SY!N64/Inv_SY!$Z64-1,"")</f>
        <v>0.27884578684779804</v>
      </c>
      <c r="AA62" s="59">
        <f>IFERROR(Inv_SY!O64/Inv_SY!$Z64-1,"")</f>
        <v>0.30909550166930244</v>
      </c>
      <c r="AB62" s="59">
        <f>IFERROR(Inv_SY!P64/Inv_SY!$Z64-1,"")</f>
        <v>0.26337044254517505</v>
      </c>
      <c r="AC62" s="59">
        <f>IFERROR(Inv_SY!Q64/Inv_SY!$Z64-1,"")</f>
        <v>-1</v>
      </c>
      <c r="AD62" s="59">
        <f>IFERROR(Inv_SY!R64/Inv_SY!$Z64-1,"")</f>
        <v>-5.4182409072597304E-3</v>
      </c>
      <c r="AE62" s="59">
        <f>IFERROR(Inv_SY!S64/Inv_SY!$Z64-1,"")</f>
        <v>-1.9643226605685626E-3</v>
      </c>
      <c r="AF62" s="59">
        <f>IFERROR(Inv_SY!T64/Inv_SY!$Z64-1,"")</f>
        <v>-1.7684734861793228E-2</v>
      </c>
      <c r="AG62" s="59">
        <f>IFERROR(Inv_SY!U64/Inv_SY!$Z64-1,"")</f>
        <v>2.8388227853011205E-2</v>
      </c>
      <c r="AH62" s="59">
        <f>IFERROR(Inv_SY!V64/Inv_SY!$Y64-1,"")</f>
        <v>5.5242830221833295E-3</v>
      </c>
      <c r="AI62" s="59">
        <f>IFERROR(Inv_SY!W64/Inv_SY!$Y64-1,"")</f>
        <v>-2.0814893014302394E-2</v>
      </c>
      <c r="AJ62" s="59">
        <f>IFERROR(Inv_SY!X64/Inv_SY!$Y64-1,"")</f>
        <v>1.5290609992118842E-2</v>
      </c>
      <c r="AK62" s="59">
        <f>IFERROR(Inv_SY!V64/Inv_SY!$Z64-1,"")</f>
        <v>-9.6192428786583406E-3</v>
      </c>
      <c r="AL62" s="59">
        <f>IFERROR(Inv_SY!W64/Inv_SY!$Z64-1,"")</f>
        <v>-3.5561742274659136E-2</v>
      </c>
      <c r="AM62" s="59">
        <f>IFERROR(Inv_SY!X64/Inv_SY!$Z64-1,"")</f>
        <v>0</v>
      </c>
    </row>
    <row r="63" spans="1:39" x14ac:dyDescent="0.3">
      <c r="A63" s="55">
        <f>YEAR(Table5[[#This Row],[Date]])+IF(MONTH(Table5[[#This Row],[Date]])&gt;=4,1,0)</f>
        <v>2026</v>
      </c>
      <c r="B63" s="55">
        <v>23</v>
      </c>
      <c r="C63" s="124">
        <f>YEAR(Table5[[#This Row],[Date]])</f>
        <v>2025</v>
      </c>
      <c r="D63" s="55" t="s">
        <v>329</v>
      </c>
      <c r="E63" s="55" t="s">
        <v>329</v>
      </c>
      <c r="F63" s="126" t="str">
        <f>TEXT(Table5[[#This Row],[Date]],"mmm-yy")</f>
        <v>May-25</v>
      </c>
      <c r="G63" s="124">
        <f t="shared" si="5"/>
        <v>31</v>
      </c>
      <c r="H63" s="125">
        <f t="shared" si="2"/>
        <v>45806</v>
      </c>
      <c r="I63" s="55">
        <v>8.02</v>
      </c>
      <c r="J63" s="59">
        <f>IFERROR(Inv_SY!J65/Inv_SY!$Y65-1,"")</f>
        <v>0.32955571996478428</v>
      </c>
      <c r="K63" s="59">
        <f>IFERROR(Inv_SY!K65/Inv_SY!$Y65-1,"")</f>
        <v>0.3290516230093472</v>
      </c>
      <c r="L63" s="59">
        <f>IFERROR(Inv_SY!L65/Inv_SY!$Y65-1,"")</f>
        <v>-1</v>
      </c>
      <c r="M63" s="59">
        <f>IFERROR(Inv_SY!M65/Inv_SY!$Y65-1,"")</f>
        <v>0.36519257417553086</v>
      </c>
      <c r="N63" s="59">
        <f>IFERROR(Inv_SY!N65/Inv_SY!$Y65-1,"")</f>
        <v>0.29960327053886648</v>
      </c>
      <c r="O63" s="59">
        <f>IFERROR(Inv_SY!O65/Inv_SY!$Y65-1,"")</f>
        <v>0.29255830898952317</v>
      </c>
      <c r="P63" s="59">
        <f>IFERROR(Inv_SY!P65/Inv_SY!$Y65-1,"")</f>
        <v>0.34782923459937143</v>
      </c>
      <c r="Q63" s="59">
        <f>IFERROR(Inv_SY!Q65/Inv_SY!$Y65-1,"")</f>
        <v>-1</v>
      </c>
      <c r="R63" s="59">
        <f>IFERROR(Inv_SY!R65/Inv_SY!$Y65-1,"")</f>
        <v>5.519973630036068E-2</v>
      </c>
      <c r="S63" s="59">
        <f>IFERROR(Inv_SY!S65/Inv_SY!$Y65-1,"")</f>
        <v>1.411780473631441E-2</v>
      </c>
      <c r="T63" s="59">
        <f>IFERROR(Inv_SY!T65/Inv_SY!$Y65-1,"")</f>
        <v>-1.3798619745574947E-2</v>
      </c>
      <c r="U63" s="59">
        <f>IFERROR(Inv_SY!U65/Inv_SY!$Y65-1,"")</f>
        <v>-1.9382647692910315E-2</v>
      </c>
      <c r="V63" s="59">
        <f>IFERROR(Inv_SY!J65/Inv_SY!$Z65-1,"")</f>
        <v>0.31902855945370767</v>
      </c>
      <c r="W63" s="59">
        <f>IFERROR(Inv_SY!K65/Inv_SY!$Z65-1,"")</f>
        <v>0.31852845383874873</v>
      </c>
      <c r="X63" s="59">
        <f>IFERROR(Inv_SY!L65/Inv_SY!$Z65-1,"")</f>
        <v>-1</v>
      </c>
      <c r="Y63" s="59">
        <f>IFERROR(Inv_SY!M65/Inv_SY!$Z65-1,"")</f>
        <v>0.35438324806676391</v>
      </c>
      <c r="Z63" s="59">
        <f>IFERROR(Inv_SY!N65/Inv_SY!$Z65-1,"")</f>
        <v>0.28931326762718323</v>
      </c>
      <c r="AA63" s="59">
        <f>IFERROR(Inv_SY!O65/Inv_SY!$Z65-1,"")</f>
        <v>0.28232408669681708</v>
      </c>
      <c r="AB63" s="59">
        <f>IFERROR(Inv_SY!P65/Inv_SY!$Z65-1,"")</f>
        <v>0.3371573879959624</v>
      </c>
      <c r="AC63" s="59">
        <f>IFERROR(Inv_SY!Q65/Inv_SY!$Z65-1,"")</f>
        <v>-1</v>
      </c>
      <c r="AD63" s="59">
        <f>IFERROR(Inv_SY!R65/Inv_SY!$Z65-1,"")</f>
        <v>4.6844872469927301E-2</v>
      </c>
      <c r="AE63" s="59">
        <f>IFERROR(Inv_SY!S65/Inv_SY!$Z65-1,"")</f>
        <v>6.088219554369001E-3</v>
      </c>
      <c r="AF63" s="59">
        <f>IFERROR(Inv_SY!T65/Inv_SY!$Z65-1,"")</f>
        <v>-2.1607168172908753E-2</v>
      </c>
      <c r="AG63" s="59">
        <f>IFERROR(Inv_SY!U65/Inv_SY!$Z65-1,"")</f>
        <v>-2.71469828859906E-2</v>
      </c>
      <c r="AH63" s="59">
        <f>IFERROR(Inv_SY!V65/Inv_SY!$Y65-1,"")</f>
        <v>5.373897544908246E-3</v>
      </c>
      <c r="AI63" s="59">
        <f>IFERROR(Inv_SY!W65/Inv_SY!$Y65-1,"")</f>
        <v>-1.3354892676232133E-2</v>
      </c>
      <c r="AJ63" s="59">
        <f>IFERROR(Inv_SY!X65/Inv_SY!$Y65-1,"")</f>
        <v>7.9809951313234428E-3</v>
      </c>
      <c r="AK63" s="59">
        <f>IFERROR(Inv_SY!V65/Inv_SY!$Z65-1,"")</f>
        <v>-2.5864551008479841E-3</v>
      </c>
      <c r="AL63" s="59">
        <f>IFERROR(Inv_SY!W65/Inv_SY!$Z65-1,"")</f>
        <v>-2.1166954447167874E-2</v>
      </c>
      <c r="AM63" s="59">
        <f>IFERROR(Inv_SY!X65/Inv_SY!$Z65-1,"")</f>
        <v>0</v>
      </c>
    </row>
    <row r="64" spans="1:39" x14ac:dyDescent="0.3">
      <c r="A64" s="55">
        <f>YEAR(Table5[[#This Row],[Date]])+IF(MONTH(Table5[[#This Row],[Date]])&gt;=4,1,0)</f>
        <v>2026</v>
      </c>
      <c r="B64" s="55">
        <v>24</v>
      </c>
      <c r="C64" s="124">
        <f>YEAR(Table5[[#This Row],[Date]])</f>
        <v>2025</v>
      </c>
      <c r="D64" s="55" t="s">
        <v>329</v>
      </c>
      <c r="E64" s="55" t="s">
        <v>329</v>
      </c>
      <c r="F64" s="126" t="str">
        <f>TEXT(Table5[[#This Row],[Date]],"mmm-yy")</f>
        <v>May-25</v>
      </c>
      <c r="G64" s="124">
        <f t="shared" si="5"/>
        <v>31</v>
      </c>
      <c r="H64" s="125">
        <f t="shared" si="2"/>
        <v>45807</v>
      </c>
      <c r="I64" s="55">
        <v>8.02</v>
      </c>
      <c r="J64" s="59">
        <f>IFERROR(Inv_SY!J66/Inv_SY!$Y66-1,"")</f>
        <v>0.36328940773407004</v>
      </c>
      <c r="K64" s="59">
        <f>IFERROR(Inv_SY!K66/Inv_SY!$Y66-1,"")</f>
        <v>0.3413738343334336</v>
      </c>
      <c r="L64" s="59">
        <f>IFERROR(Inv_SY!L66/Inv_SY!$Y66-1,"")</f>
        <v>-1</v>
      </c>
      <c r="M64" s="59">
        <f>IFERROR(Inv_SY!M66/Inv_SY!$Y66-1,"")</f>
        <v>0.32110450867987228</v>
      </c>
      <c r="N64" s="59">
        <f>IFERROR(Inv_SY!N66/Inv_SY!$Y66-1,"")</f>
        <v>0.33117743994106386</v>
      </c>
      <c r="O64" s="59">
        <f>IFERROR(Inv_SY!O66/Inv_SY!$Y66-1,"")</f>
        <v>0.29967249848303812</v>
      </c>
      <c r="P64" s="59">
        <f>IFERROR(Inv_SY!P66/Inv_SY!$Y66-1,"")</f>
        <v>0.3015117058762633</v>
      </c>
      <c r="Q64" s="59">
        <f>IFERROR(Inv_SY!Q66/Inv_SY!$Y66-1,"")</f>
        <v>-1</v>
      </c>
      <c r="R64" s="59">
        <f>IFERROR(Inv_SY!R66/Inv_SY!$Y66-1,"")</f>
        <v>7.9478564296644461E-3</v>
      </c>
      <c r="S64" s="59">
        <f>IFERROR(Inv_SY!S66/Inv_SY!$Y66-1,"")</f>
        <v>5.0426819965698089E-2</v>
      </c>
      <c r="T64" s="59">
        <f>IFERROR(Inv_SY!T66/Inv_SY!$Y66-1,"")</f>
        <v>-4.4236558958306027E-3</v>
      </c>
      <c r="U64" s="59">
        <f>IFERROR(Inv_SY!U66/Inv_SY!$Y66-1,"")</f>
        <v>-1.1055772197323344E-2</v>
      </c>
      <c r="V64" s="59">
        <f>IFERROR(Inv_SY!J66/Inv_SY!$Z66-1,"")</f>
        <v>0.35035411923355175</v>
      </c>
      <c r="W64" s="59">
        <f>IFERROR(Inv_SY!K66/Inv_SY!$Z66-1,"")</f>
        <v>0.3286464872010384</v>
      </c>
      <c r="X64" s="59">
        <f>IFERROR(Inv_SY!L66/Inv_SY!$Z66-1,"")</f>
        <v>-1</v>
      </c>
      <c r="Y64" s="59">
        <f>IFERROR(Inv_SY!M66/Inv_SY!$Z66-1,"")</f>
        <v>0.308569482835644</v>
      </c>
      <c r="Z64" s="59">
        <f>IFERROR(Inv_SY!N66/Inv_SY!$Z66-1,"")</f>
        <v>0.31854683917989557</v>
      </c>
      <c r="AA64" s="59">
        <f>IFERROR(Inv_SY!O66/Inv_SY!$Z66-1,"")</f>
        <v>0.28734082581787002</v>
      </c>
      <c r="AB64" s="59">
        <f>IFERROR(Inv_SY!P66/Inv_SY!$Z66-1,"")</f>
        <v>0.28916258227359903</v>
      </c>
      <c r="AC64" s="59">
        <f>IFERROR(Inv_SY!Q66/Inv_SY!$Z66-1,"")</f>
        <v>-1</v>
      </c>
      <c r="AD64" s="59">
        <f>IFERROR(Inv_SY!R66/Inv_SY!$Z66-1,"")</f>
        <v>-1.615847536954762E-3</v>
      </c>
      <c r="AE64" s="59">
        <f>IFERROR(Inv_SY!S66/Inv_SY!$Z66-1,"")</f>
        <v>4.0460063173006544E-2</v>
      </c>
      <c r="AF64" s="59">
        <f>IFERROR(Inv_SY!T66/Inv_SY!$Z66-1,"")</f>
        <v>-1.3869975336310292E-2</v>
      </c>
      <c r="AG64" s="59">
        <f>IFERROR(Inv_SY!U66/Inv_SY!$Z66-1,"")</f>
        <v>-2.0439164179229641E-2</v>
      </c>
      <c r="AH64" s="59">
        <f>IFERROR(Inv_SY!V66/Inv_SY!$Y66-1,"")</f>
        <v>5.686192605279361E-3</v>
      </c>
      <c r="AI64" s="59">
        <f>IFERROR(Inv_SY!W66/Inv_SY!$Y66-1,"")</f>
        <v>-1.5265375070290355E-2</v>
      </c>
      <c r="AJ64" s="59">
        <f>IFERROR(Inv_SY!X66/Inv_SY!$Y66-1,"")</f>
        <v>9.5791824650115487E-3</v>
      </c>
      <c r="AK64" s="59">
        <f>IFERROR(Inv_SY!V66/Inv_SY!$Z66-1,"")</f>
        <v>-3.8560520337067583E-3</v>
      </c>
      <c r="AL64" s="59">
        <f>IFERROR(Inv_SY!W66/Inv_SY!$Z66-1,"")</f>
        <v>-2.4608825109330046E-2</v>
      </c>
      <c r="AM64" s="59">
        <f>IFERROR(Inv_SY!X66/Inv_SY!$Z66-1,"")</f>
        <v>0</v>
      </c>
    </row>
    <row r="65" spans="1:39" x14ac:dyDescent="0.3">
      <c r="A65" s="55">
        <f>YEAR(Table5[[#This Row],[Date]])+IF(MONTH(Table5[[#This Row],[Date]])&gt;=4,1,0)</f>
        <v>2026</v>
      </c>
      <c r="B65" s="55">
        <v>25</v>
      </c>
      <c r="C65" s="124">
        <f>YEAR(Table5[[#This Row],[Date]])</f>
        <v>2025</v>
      </c>
      <c r="D65" s="55" t="s">
        <v>329</v>
      </c>
      <c r="E65" s="55" t="s">
        <v>329</v>
      </c>
      <c r="F65" s="126" t="str">
        <f>TEXT(Table5[[#This Row],[Date]],"mmm-yy")</f>
        <v>May-25</v>
      </c>
      <c r="G65" s="124">
        <f t="shared" si="5"/>
        <v>31</v>
      </c>
      <c r="H65" s="125">
        <f t="shared" si="2"/>
        <v>45808</v>
      </c>
      <c r="I65" s="55">
        <v>8.02</v>
      </c>
      <c r="J65" s="59">
        <f>IFERROR(Inv_SY!J67/Inv_SY!$Y67-1,"")</f>
        <v>0.33163917867305637</v>
      </c>
      <c r="K65" s="59">
        <f>IFERROR(Inv_SY!K67/Inv_SY!$Y67-1,"")</f>
        <v>0.3569274398047857</v>
      </c>
      <c r="L65" s="59">
        <f>IFERROR(Inv_SY!L67/Inv_SY!$Y67-1,"")</f>
        <v>-1</v>
      </c>
      <c r="M65" s="59">
        <f>IFERROR(Inv_SY!M67/Inv_SY!$Y67-1,"")</f>
        <v>0.31173756673320185</v>
      </c>
      <c r="N65" s="59">
        <f>IFERROR(Inv_SY!N67/Inv_SY!$Y67-1,"")</f>
        <v>0.33688098252001453</v>
      </c>
      <c r="O65" s="59">
        <f>IFERROR(Inv_SY!O67/Inv_SY!$Y67-1,"")</f>
        <v>0.30209406515107573</v>
      </c>
      <c r="P65" s="59">
        <f>IFERROR(Inv_SY!P67/Inv_SY!$Y67-1,"")</f>
        <v>0.30452459212881799</v>
      </c>
      <c r="Q65" s="59">
        <f>IFERROR(Inv_SY!Q67/Inv_SY!$Y67-1,"")</f>
        <v>-1</v>
      </c>
      <c r="R65" s="59">
        <f>IFERROR(Inv_SY!R67/Inv_SY!$Y67-1,"")</f>
        <v>1.1168094184562438E-2</v>
      </c>
      <c r="S65" s="59">
        <f>IFERROR(Inv_SY!S67/Inv_SY!$Y67-1,"")</f>
        <v>3.0944501976043481E-2</v>
      </c>
      <c r="T65" s="59">
        <f>IFERROR(Inv_SY!T67/Inv_SY!$Y67-1,"")</f>
        <v>2.3197173989258024E-2</v>
      </c>
      <c r="U65" s="59">
        <f>IFERROR(Inv_SY!U67/Inv_SY!$Y67-1,"")</f>
        <v>-8.7372677832175949E-3</v>
      </c>
      <c r="V65" s="59">
        <f>IFERROR(Inv_SY!J67/Inv_SY!$Z67-1,"")</f>
        <v>0.31434867362392205</v>
      </c>
      <c r="W65" s="59">
        <f>IFERROR(Inv_SY!K67/Inv_SY!$Z67-1,"")</f>
        <v>0.33930858244086171</v>
      </c>
      <c r="X65" s="59">
        <f>IFERROR(Inv_SY!L67/Inv_SY!$Z67-1,"")</f>
        <v>-1</v>
      </c>
      <c r="Y65" s="59">
        <f>IFERROR(Inv_SY!M67/Inv_SY!$Z67-1,"")</f>
        <v>0.29470547171528549</v>
      </c>
      <c r="Z65" s="59">
        <f>IFERROR(Inv_SY!N67/Inv_SY!$Z67-1,"")</f>
        <v>0.31952241591386543</v>
      </c>
      <c r="AA65" s="59">
        <f>IFERROR(Inv_SY!O67/Inv_SY!$Z67-1,"")</f>
        <v>0.28518718499276052</v>
      </c>
      <c r="AB65" s="59">
        <f>IFERROR(Inv_SY!P67/Inv_SY!$Z67-1,"")</f>
        <v>0.2875861530920516</v>
      </c>
      <c r="AC65" s="59">
        <f>IFERROR(Inv_SY!Q67/Inv_SY!$Z67-1,"")</f>
        <v>-1</v>
      </c>
      <c r="AD65" s="59">
        <f>IFERROR(Inv_SY!R67/Inv_SY!$Z67-1,"")</f>
        <v>-1.9612935039581281E-3</v>
      </c>
      <c r="AE65" s="59">
        <f>IFERROR(Inv_SY!S67/Inv_SY!$Z67-1,"")</f>
        <v>1.7558329954162399E-2</v>
      </c>
      <c r="AF65" s="59">
        <f>IFERROR(Inv_SY!T67/Inv_SY!$Z67-1,"")</f>
        <v>9.911596194265071E-3</v>
      </c>
      <c r="AG65" s="59">
        <f>IFERROR(Inv_SY!U67/Inv_SY!$Z67-1,"")</f>
        <v>-2.1608196748744035E-2</v>
      </c>
      <c r="AH65" s="59">
        <f>IFERROR(Inv_SY!V67/Inv_SY!$Y67-1,"")</f>
        <v>-6.7896974020875689E-4</v>
      </c>
      <c r="AI65" s="59">
        <f>IFERROR(Inv_SY!W67/Inv_SY!$Y67-1,"")</f>
        <v>-1.2476219134795685E-2</v>
      </c>
      <c r="AJ65" s="59">
        <f>IFERROR(Inv_SY!X67/Inv_SY!$Y67-1,"")</f>
        <v>1.3155188875004553E-2</v>
      </c>
      <c r="AK65" s="59">
        <f>IFERROR(Inv_SY!V67/Inv_SY!$Z67-1,"")</f>
        <v>-1.3654530685051847E-2</v>
      </c>
      <c r="AL65" s="59">
        <f>IFERROR(Inv_SY!W67/Inv_SY!$Z67-1,"")</f>
        <v>-2.529860014659846E-2</v>
      </c>
      <c r="AM65" s="59">
        <f>IFERROR(Inv_SY!X67/Inv_SY!$Z67-1,"")</f>
        <v>0</v>
      </c>
    </row>
    <row r="66" spans="1:39" x14ac:dyDescent="0.3">
      <c r="A66" s="55">
        <f>YEAR(Table5[[#This Row],[Date]])+IF(MONTH(Table5[[#This Row],[Date]])&gt;=4,1,0)</f>
        <v>2026</v>
      </c>
      <c r="B66" s="55">
        <v>26</v>
      </c>
      <c r="C66" s="124">
        <f>YEAR(Table5[[#This Row],[Date]])</f>
        <v>2025</v>
      </c>
      <c r="D66" s="55" t="s">
        <v>329</v>
      </c>
      <c r="E66" s="55" t="s">
        <v>329</v>
      </c>
      <c r="F66" s="126" t="str">
        <f>TEXT(Table5[[#This Row],[Date]],"mmm-yy")</f>
        <v>Jun-25</v>
      </c>
      <c r="G66" s="124">
        <f t="shared" si="5"/>
        <v>30</v>
      </c>
      <c r="H66" s="125">
        <f t="shared" si="2"/>
        <v>45809</v>
      </c>
      <c r="I66" s="55">
        <v>8.02</v>
      </c>
      <c r="J66" s="59">
        <f>IFERROR(Inv_SY!J68/Inv_SY!$Y68-1,"")</f>
        <v>0.32712497920304595</v>
      </c>
      <c r="K66" s="59">
        <f>IFERROR(Inv_SY!K68/Inv_SY!$Y68-1,"")</f>
        <v>0.32706333847015223</v>
      </c>
      <c r="L66" s="59">
        <f>IFERROR(Inv_SY!L68/Inv_SY!$Y68-1,"")</f>
        <v>-1</v>
      </c>
      <c r="M66" s="59">
        <f>IFERROR(Inv_SY!M68/Inv_SY!$Y68-1,"")</f>
        <v>0.33159833524733751</v>
      </c>
      <c r="N66" s="59">
        <f>IFERROR(Inv_SY!N68/Inv_SY!$Y68-1,"")</f>
        <v>0.30443007395613852</v>
      </c>
      <c r="O66" s="59">
        <f>IFERROR(Inv_SY!O68/Inv_SY!$Y68-1,"")</f>
        <v>0.32228567641897565</v>
      </c>
      <c r="P66" s="59">
        <f>IFERROR(Inv_SY!P68/Inv_SY!$Y68-1,"")</f>
        <v>0.29807097342990008</v>
      </c>
      <c r="Q66" s="59">
        <f>IFERROR(Inv_SY!Q68/Inv_SY!$Y68-1,"")</f>
        <v>-1</v>
      </c>
      <c r="R66" s="59">
        <f>IFERROR(Inv_SY!R68/Inv_SY!$Y68-1,"")</f>
        <v>1.9761689999330478E-2</v>
      </c>
      <c r="S66" s="59">
        <f>IFERROR(Inv_SY!S68/Inv_SY!$Y68-1,"")</f>
        <v>3.9511399937355751E-2</v>
      </c>
      <c r="T66" s="59">
        <f>IFERROR(Inv_SY!T68/Inv_SY!$Y68-1,"")</f>
        <v>6.8294195615137276E-3</v>
      </c>
      <c r="U66" s="59">
        <f>IFERROR(Inv_SY!U68/Inv_SY!$Y68-1,"")</f>
        <v>2.3368649560037591E-2</v>
      </c>
      <c r="V66" s="59">
        <f>IFERROR(Inv_SY!J68/Inv_SY!$Z68-1,"")</f>
        <v>0.299358718911235</v>
      </c>
      <c r="W66" s="59">
        <f>IFERROR(Inv_SY!K68/Inv_SY!$Z68-1,"")</f>
        <v>0.29929836783279029</v>
      </c>
      <c r="X66" s="59">
        <f>IFERROR(Inv_SY!L68/Inv_SY!$Z68-1,"")</f>
        <v>-1</v>
      </c>
      <c r="Y66" s="59">
        <f>IFERROR(Inv_SY!M68/Inv_SY!$Z68-1,"")</f>
        <v>0.30373848288978267</v>
      </c>
      <c r="Z66" s="59">
        <f>IFERROR(Inv_SY!N68/Inv_SY!$Z68-1,"")</f>
        <v>0.27713863906228076</v>
      </c>
      <c r="AA66" s="59">
        <f>IFERROR(Inv_SY!O68/Inv_SY!$Z68-1,"")</f>
        <v>0.2946206645723668</v>
      </c>
      <c r="AB66" s="59">
        <f>IFERROR(Inv_SY!P68/Inv_SY!$Z68-1,"")</f>
        <v>0.27091258436307464</v>
      </c>
      <c r="AC66" s="59">
        <f>IFERROR(Inv_SY!Q68/Inv_SY!$Z68-1,"")</f>
        <v>-1</v>
      </c>
      <c r="AD66" s="59">
        <f>IFERROR(Inv_SY!R68/Inv_SY!$Z68-1,"")</f>
        <v>-1.5738804735740963E-3</v>
      </c>
      <c r="AE66" s="59">
        <f>IFERROR(Inv_SY!S68/Inv_SY!$Z68-1,"")</f>
        <v>1.7762623778912578E-2</v>
      </c>
      <c r="AF66" s="59">
        <f>IFERROR(Inv_SY!T68/Inv_SY!$Z68-1,"")</f>
        <v>-1.4235580473212384E-2</v>
      </c>
      <c r="AG66" s="59">
        <f>IFERROR(Inv_SY!U68/Inv_SY!$Z68-1,"")</f>
        <v>1.9576138675085897E-3</v>
      </c>
      <c r="AH66" s="59">
        <f>IFERROR(Inv_SY!V68/Inv_SY!$Y68-1,"")</f>
        <v>-4.206930595909486E-3</v>
      </c>
      <c r="AI66" s="59">
        <f>IFERROR(Inv_SY!W68/Inv_SY!$Y68-1,"")</f>
        <v>-1.7162272448402516E-2</v>
      </c>
      <c r="AJ66" s="59">
        <f>IFERROR(Inv_SY!X68/Inv_SY!$Y68-1,"")</f>
        <v>2.136920304431178E-2</v>
      </c>
      <c r="AK66" s="59">
        <f>IFERROR(Inv_SY!V68/Inv_SY!$Z68-1,"")</f>
        <v>-2.5041026852962278E-2</v>
      </c>
      <c r="AL66" s="59">
        <f>IFERROR(Inv_SY!W68/Inv_SY!$Z68-1,"")</f>
        <v>-3.7725315564505646E-2</v>
      </c>
      <c r="AM66" s="59">
        <f>IFERROR(Inv_SY!X68/Inv_SY!$Z68-1,"")</f>
        <v>0</v>
      </c>
    </row>
    <row r="67" spans="1:39" x14ac:dyDescent="0.3">
      <c r="A67" s="55">
        <f>YEAR(Table5[[#This Row],[Date]])+IF(MONTH(Table5[[#This Row],[Date]])&gt;=4,1,0)</f>
        <v>2026</v>
      </c>
      <c r="B67" s="55">
        <v>27</v>
      </c>
      <c r="C67" s="124">
        <f>YEAR(Table5[[#This Row],[Date]])</f>
        <v>2025</v>
      </c>
      <c r="D67" s="55" t="s">
        <v>329</v>
      </c>
      <c r="E67" s="55" t="s">
        <v>329</v>
      </c>
      <c r="F67" s="126" t="str">
        <f>TEXT(Table5[[#This Row],[Date]],"mmm-yy")</f>
        <v>Jun-25</v>
      </c>
      <c r="G67" s="124">
        <f t="shared" si="5"/>
        <v>30</v>
      </c>
      <c r="H67" s="125">
        <f t="shared" si="2"/>
        <v>45810</v>
      </c>
      <c r="I67" s="55">
        <v>8.02</v>
      </c>
      <c r="J67" s="59">
        <f>IFERROR(Inv_SY!J69/Inv_SY!$Y69-1,"")</f>
        <v>0.31238733563186627</v>
      </c>
      <c r="K67" s="59">
        <f>IFERROR(Inv_SY!K69/Inv_SY!$Y69-1,"")</f>
        <v>0.31194638230616034</v>
      </c>
      <c r="L67" s="59">
        <f>IFERROR(Inv_SY!L69/Inv_SY!$Y69-1,"")</f>
        <v>-1</v>
      </c>
      <c r="M67" s="59">
        <f>IFERROR(Inv_SY!M69/Inv_SY!$Y69-1,"")</f>
        <v>0.32193257528156916</v>
      </c>
      <c r="N67" s="59">
        <f>IFERROR(Inv_SY!N69/Inv_SY!$Y69-1,"")</f>
        <v>0.29039087294314081</v>
      </c>
      <c r="O67" s="59">
        <f>IFERROR(Inv_SY!O69/Inv_SY!$Y69-1,"")</f>
        <v>0.28228624719990902</v>
      </c>
      <c r="P67" s="59">
        <f>IFERROR(Inv_SY!P69/Inv_SY!$Y69-1,"")</f>
        <v>0.31511558373585746</v>
      </c>
      <c r="Q67" s="59">
        <f>IFERROR(Inv_SY!Q69/Inv_SY!$Y69-1,"")</f>
        <v>-1</v>
      </c>
      <c r="R67" s="59">
        <f>IFERROR(Inv_SY!R69/Inv_SY!$Y69-1,"")</f>
        <v>6.7485143235419542E-2</v>
      </c>
      <c r="S67" s="59">
        <f>IFERROR(Inv_SY!S69/Inv_SY!$Y69-1,"")</f>
        <v>5.7288215443731749E-2</v>
      </c>
      <c r="T67" s="59">
        <f>IFERROR(Inv_SY!T69/Inv_SY!$Y69-1,"")</f>
        <v>2.4348114679083599E-2</v>
      </c>
      <c r="U67" s="59">
        <f>IFERROR(Inv_SY!U69/Inv_SY!$Y69-1,"")</f>
        <v>1.7220264070070268E-2</v>
      </c>
      <c r="V67" s="59">
        <f>IFERROR(Inv_SY!J69/Inv_SY!$Z69-1,"")</f>
        <v>0.26131346492466823</v>
      </c>
      <c r="W67" s="59">
        <f>IFERROR(Inv_SY!K69/Inv_SY!$Z69-1,"")</f>
        <v>0.26088967207631053</v>
      </c>
      <c r="X67" s="59">
        <f>IFERROR(Inv_SY!L69/Inv_SY!$Z69-1,"")</f>
        <v>-1</v>
      </c>
      <c r="Y67" s="59">
        <f>IFERROR(Inv_SY!M69/Inv_SY!$Z69-1,"")</f>
        <v>0.27048723471749114</v>
      </c>
      <c r="Z67" s="59">
        <f>IFERROR(Inv_SY!N69/Inv_SY!$Z69-1,"")</f>
        <v>0.24017303342496588</v>
      </c>
      <c r="AA67" s="59">
        <f>IFERROR(Inv_SY!O69/Inv_SY!$Z69-1,"")</f>
        <v>0.23238381350446757</v>
      </c>
      <c r="AB67" s="59">
        <f>IFERROR(Inv_SY!P69/Inv_SY!$Z69-1,"")</f>
        <v>0.26393553843588702</v>
      </c>
      <c r="AC67" s="59">
        <f>IFERROR(Inv_SY!Q69/Inv_SY!$Z69-1,"")</f>
        <v>-1</v>
      </c>
      <c r="AD67" s="59">
        <f>IFERROR(Inv_SY!R69/Inv_SY!$Z69-1,"")</f>
        <v>2.5942073817418088E-2</v>
      </c>
      <c r="AE67" s="59">
        <f>IFERROR(Inv_SY!S69/Inv_SY!$Z69-1,"")</f>
        <v>1.6141977477469815E-2</v>
      </c>
      <c r="AF67" s="59">
        <f>IFERROR(Inv_SY!T69/Inv_SY!$Z69-1,"")</f>
        <v>-1.5516201097091287E-2</v>
      </c>
      <c r="AG67" s="59">
        <f>IFERROR(Inv_SY!U69/Inv_SY!$Z69-1,"")</f>
        <v>-2.236665881260369E-2</v>
      </c>
      <c r="AH67" s="59">
        <f>IFERROR(Inv_SY!V69/Inv_SY!$Y69-1,"")</f>
        <v>-1.4066361703821695E-2</v>
      </c>
      <c r="AI67" s="59">
        <f>IFERROR(Inv_SY!W69/Inv_SY!$Y69-1,"")</f>
        <v>-2.6426245508809565E-2</v>
      </c>
      <c r="AJ67" s="59">
        <f>IFERROR(Inv_SY!X69/Inv_SY!$Y69-1,"")</f>
        <v>4.0492607212631704E-2</v>
      </c>
      <c r="AK67" s="59">
        <f>IFERROR(Inv_SY!V69/Inv_SY!$Z69-1,"")</f>
        <v>-5.2435710295540616E-2</v>
      </c>
      <c r="AL67" s="59">
        <f>IFERROR(Inv_SY!W69/Inv_SY!$Z69-1,"")</f>
        <v>-6.4314587395973621E-2</v>
      </c>
      <c r="AM67" s="59">
        <f>IFERROR(Inv_SY!X69/Inv_SY!$Z69-1,"")</f>
        <v>0</v>
      </c>
    </row>
    <row r="68" spans="1:39" x14ac:dyDescent="0.3">
      <c r="A68" s="55">
        <f>YEAR(Table5[[#This Row],[Date]])+IF(MONTH(Table5[[#This Row],[Date]])&gt;=4,1,0)</f>
        <v>2026</v>
      </c>
      <c r="B68" s="55">
        <v>28</v>
      </c>
      <c r="C68" s="124">
        <f>YEAR(Table5[[#This Row],[Date]])</f>
        <v>2025</v>
      </c>
      <c r="D68" s="55" t="s">
        <v>329</v>
      </c>
      <c r="E68" s="55" t="s">
        <v>329</v>
      </c>
      <c r="F68" s="126" t="str">
        <f>TEXT(Table5[[#This Row],[Date]],"mmm-yy")</f>
        <v>Jun-25</v>
      </c>
      <c r="G68" s="124">
        <f t="shared" si="5"/>
        <v>30</v>
      </c>
      <c r="H68" s="125">
        <f t="shared" si="2"/>
        <v>45811</v>
      </c>
      <c r="I68" s="55">
        <v>8.02</v>
      </c>
      <c r="J68" s="59">
        <f>IFERROR(Inv_SY!J70/Inv_SY!$Y70-1,"")</f>
        <v>0.34590090622898439</v>
      </c>
      <c r="K68" s="59">
        <f>IFERROR(Inv_SY!K70/Inv_SY!$Y70-1,"")</f>
        <v>0.32352242819304777</v>
      </c>
      <c r="L68" s="59">
        <f>IFERROR(Inv_SY!L70/Inv_SY!$Y70-1,"")</f>
        <v>-1</v>
      </c>
      <c r="M68" s="59">
        <f>IFERROR(Inv_SY!M70/Inv_SY!$Y70-1,"")</f>
        <v>0.30303233013143194</v>
      </c>
      <c r="N68" s="59">
        <f>IFERROR(Inv_SY!N70/Inv_SY!$Y70-1,"")</f>
        <v>0.32979951575206723</v>
      </c>
      <c r="O68" s="59">
        <f>IFERROR(Inv_SY!O70/Inv_SY!$Y70-1,"")</f>
        <v>0.29521322187723986</v>
      </c>
      <c r="P68" s="59">
        <f>IFERROR(Inv_SY!P70/Inv_SY!$Y70-1,"")</f>
        <v>0.29681877517123567</v>
      </c>
      <c r="Q68" s="59">
        <f>IFERROR(Inv_SY!Q70/Inv_SY!$Y70-1,"")</f>
        <v>-1</v>
      </c>
      <c r="R68" s="59">
        <f>IFERROR(Inv_SY!R70/Inv_SY!$Y70-1,"")</f>
        <v>2.5771952605263326E-2</v>
      </c>
      <c r="S68" s="59">
        <f>IFERROR(Inv_SY!S70/Inv_SY!$Y70-1,"")</f>
        <v>4.7363506855450765E-2</v>
      </c>
      <c r="T68" s="59">
        <f>IFERROR(Inv_SY!T70/Inv_SY!$Y70-1,"")</f>
        <v>2.9614171575199411E-2</v>
      </c>
      <c r="U68" s="59">
        <f>IFERROR(Inv_SY!U70/Inv_SY!$Y70-1,"")</f>
        <v>3.528711509798832E-3</v>
      </c>
      <c r="V68" s="59">
        <f>IFERROR(Inv_SY!J70/Inv_SY!$Z70-1,"")</f>
        <v>0.31238720263389186</v>
      </c>
      <c r="W68" s="59">
        <f>IFERROR(Inv_SY!K70/Inv_SY!$Z70-1,"")</f>
        <v>0.29056596152107095</v>
      </c>
      <c r="X68" s="59">
        <f>IFERROR(Inv_SY!L70/Inv_SY!$Z70-1,"")</f>
        <v>-1</v>
      </c>
      <c r="Y68" s="59">
        <f>IFERROR(Inv_SY!M70/Inv_SY!$Z70-1,"")</f>
        <v>0.27058607863940876</v>
      </c>
      <c r="Z68" s="59">
        <f>IFERROR(Inv_SY!N70/Inv_SY!$Z70-1,"")</f>
        <v>0.29668674600389822</v>
      </c>
      <c r="AA68" s="59">
        <f>IFERROR(Inv_SY!O70/Inv_SY!$Z70-1,"")</f>
        <v>0.26296167066010034</v>
      </c>
      <c r="AB68" s="59">
        <f>IFERROR(Inv_SY!P70/Inv_SY!$Z70-1,"")</f>
        <v>0.26452724475729794</v>
      </c>
      <c r="AC68" s="59">
        <f>IFERROR(Inv_SY!Q70/Inv_SY!$Z70-1,"")</f>
        <v>-1</v>
      </c>
      <c r="AD68" s="59">
        <f>IFERROR(Inv_SY!R70/Inv_SY!$Z70-1,"")</f>
        <v>2.2964334856445667E-4</v>
      </c>
      <c r="AE68" s="59">
        <f>IFERROR(Inv_SY!S70/Inv_SY!$Z70-1,"")</f>
        <v>2.1283555528708531E-2</v>
      </c>
      <c r="AF68" s="59">
        <f>IFERROR(Inv_SY!T70/Inv_SY!$Z70-1,"")</f>
        <v>3.9761888650462485E-3</v>
      </c>
      <c r="AG68" s="59">
        <f>IFERROR(Inv_SY!U70/Inv_SY!$Z70-1,"")</f>
        <v>-2.1459728301075787E-2</v>
      </c>
      <c r="AH68" s="59">
        <f>IFERROR(Inv_SY!V70/Inv_SY!$Y70-1,"")</f>
        <v>-7.6341341384920103E-3</v>
      </c>
      <c r="AI68" s="59">
        <f>IFERROR(Inv_SY!W70/Inv_SY!$Y70-1,"")</f>
        <v>-1.7902310843470826E-2</v>
      </c>
      <c r="AJ68" s="59">
        <f>IFERROR(Inv_SY!X70/Inv_SY!$Y70-1,"")</f>
        <v>2.5536444981962836E-2</v>
      </c>
      <c r="AK68" s="59">
        <f>IFERROR(Inv_SY!V70/Inv_SY!$Z70-1,"")</f>
        <v>-3.234461269783373E-2</v>
      </c>
      <c r="AL68" s="59">
        <f>IFERROR(Inv_SY!W70/Inv_SY!$Z70-1,"")</f>
        <v>-4.2357105920499682E-2</v>
      </c>
      <c r="AM68" s="59">
        <f>IFERROR(Inv_SY!X70/Inv_SY!$Z70-1,"")</f>
        <v>0</v>
      </c>
    </row>
    <row r="69" spans="1:39" x14ac:dyDescent="0.3">
      <c r="A69" s="55">
        <f>YEAR(Table5[[#This Row],[Date]])+IF(MONTH(Table5[[#This Row],[Date]])&gt;=4,1,0)</f>
        <v>2026</v>
      </c>
      <c r="B69" s="55">
        <v>29</v>
      </c>
      <c r="C69" s="124">
        <f>YEAR(Table5[[#This Row],[Date]])</f>
        <v>2025</v>
      </c>
      <c r="D69" s="55" t="s">
        <v>329</v>
      </c>
      <c r="E69" s="55" t="s">
        <v>329</v>
      </c>
      <c r="F69" s="126" t="str">
        <f>TEXT(Table5[[#This Row],[Date]],"mmm-yy")</f>
        <v>Jun-25</v>
      </c>
      <c r="G69" s="124">
        <f t="shared" si="5"/>
        <v>30</v>
      </c>
      <c r="H69" s="125">
        <f t="shared" ref="H69:H132" si="6">H68+1</f>
        <v>45812</v>
      </c>
      <c r="I69" s="55">
        <v>8.02</v>
      </c>
      <c r="J69" s="59">
        <f>IFERROR(Inv_SY!J71/Inv_SY!$Y71-1,"")</f>
        <v>0.33132877181180143</v>
      </c>
      <c r="K69" s="59">
        <f>IFERROR(Inv_SY!K71/Inv_SY!$Y71-1,"")</f>
        <v>0.35420603427202768</v>
      </c>
      <c r="L69" s="59">
        <f>IFERROR(Inv_SY!L71/Inv_SY!$Y71-1,"")</f>
        <v>-1</v>
      </c>
      <c r="M69" s="59">
        <f>IFERROR(Inv_SY!M71/Inv_SY!$Y71-1,"")</f>
        <v>0.3105970745971347</v>
      </c>
      <c r="N69" s="59">
        <f>IFERROR(Inv_SY!N71/Inv_SY!$Y71-1,"")</f>
        <v>0.33256062807150744</v>
      </c>
      <c r="O69" s="59">
        <f>IFERROR(Inv_SY!O71/Inv_SY!$Y71-1,"")</f>
        <v>0.29917422592258247</v>
      </c>
      <c r="P69" s="59">
        <f>IFERROR(Inv_SY!P71/Inv_SY!$Y71-1,"")</f>
        <v>0.30156741050139946</v>
      </c>
      <c r="Q69" s="59">
        <f>IFERROR(Inv_SY!Q71/Inv_SY!$Y71-1,"")</f>
        <v>-1</v>
      </c>
      <c r="R69" s="59">
        <f>IFERROR(Inv_SY!R71/Inv_SY!$Y71-1,"")</f>
        <v>1.761882952059346E-2</v>
      </c>
      <c r="S69" s="59">
        <f>IFERROR(Inv_SY!S71/Inv_SY!$Y71-1,"")</f>
        <v>3.4802030029708719E-2</v>
      </c>
      <c r="T69" s="59">
        <f>IFERROR(Inv_SY!T71/Inv_SY!$Y71-1,"")</f>
        <v>2.4291258080830769E-2</v>
      </c>
      <c r="U69" s="59">
        <f>IFERROR(Inv_SY!U71/Inv_SY!$Y71-1,"")</f>
        <v>-5.7053114846057351E-3</v>
      </c>
      <c r="V69" s="59">
        <f>IFERROR(Inv_SY!J71/Inv_SY!$Z71-1,"")</f>
        <v>0.30939615998550818</v>
      </c>
      <c r="W69" s="59">
        <f>IFERROR(Inv_SY!K71/Inv_SY!$Z71-1,"")</f>
        <v>0.33189653724065815</v>
      </c>
      <c r="X69" s="59">
        <f>IFERROR(Inv_SY!L71/Inv_SY!$Z71-1,"")</f>
        <v>-1</v>
      </c>
      <c r="Y69" s="59">
        <f>IFERROR(Inv_SY!M71/Inv_SY!$Z71-1,"")</f>
        <v>0.28900600144794142</v>
      </c>
      <c r="Z69" s="59">
        <f>IFERROR(Inv_SY!N71/Inv_SY!$Z71-1,"")</f>
        <v>0.31060772236608991</v>
      </c>
      <c r="AA69" s="59">
        <f>IFERROR(Inv_SY!O71/Inv_SY!$Z71-1,"")</f>
        <v>0.27777133537053111</v>
      </c>
      <c r="AB69" s="59">
        <f>IFERROR(Inv_SY!P71/Inv_SY!$Z71-1,"")</f>
        <v>0.28012509408437225</v>
      </c>
      <c r="AC69" s="59">
        <f>IFERROR(Inv_SY!Q71/Inv_SY!$Z71-1,"")</f>
        <v>-1</v>
      </c>
      <c r="AD69" s="59">
        <f>IFERROR(Inv_SY!R71/Inv_SY!$Z71-1,"")</f>
        <v>8.5434636093917327E-4</v>
      </c>
      <c r="AE69" s="59">
        <f>IFERROR(Inv_SY!S71/Inv_SY!$Z71-1,"")</f>
        <v>1.7754466931665602E-2</v>
      </c>
      <c r="AF69" s="59">
        <f>IFERROR(Inv_SY!T71/Inv_SY!$Z71-1,"")</f>
        <v>7.4168518213018064E-3</v>
      </c>
      <c r="AG69" s="59">
        <f>IFERROR(Inv_SY!U71/Inv_SY!$Z71-1,"")</f>
        <v>-2.2085547460784172E-2</v>
      </c>
      <c r="AH69" s="59">
        <f>IFERROR(Inv_SY!V71/Inv_SY!$Y71-1,"")</f>
        <v>-1.7203459847018321E-3</v>
      </c>
      <c r="AI69" s="59">
        <f>IFERROR(Inv_SY!W71/Inv_SY!$Y71-1,"")</f>
        <v>-1.502982672585218E-2</v>
      </c>
      <c r="AJ69" s="59">
        <f>IFERROR(Inv_SY!X71/Inv_SY!$Y71-1,"")</f>
        <v>1.6750172710553679E-2</v>
      </c>
      <c r="AK69" s="59">
        <f>IFERROR(Inv_SY!V71/Inv_SY!$Z71-1,"")</f>
        <v>-1.8166231185400283E-2</v>
      </c>
      <c r="AL69" s="59">
        <f>IFERROR(Inv_SY!W71/Inv_SY!$Z71-1,"")</f>
        <v>-3.125644852528886E-2</v>
      </c>
      <c r="AM69" s="59">
        <f>IFERROR(Inv_SY!X71/Inv_SY!$Z71-1,"")</f>
        <v>0</v>
      </c>
    </row>
    <row r="70" spans="1:39" x14ac:dyDescent="0.3">
      <c r="A70" s="55">
        <f>YEAR(Table5[[#This Row],[Date]])+IF(MONTH(Table5[[#This Row],[Date]])&gt;=4,1,0)</f>
        <v>2026</v>
      </c>
      <c r="B70" s="55">
        <v>30</v>
      </c>
      <c r="C70" s="124">
        <f>YEAR(Table5[[#This Row],[Date]])</f>
        <v>2025</v>
      </c>
      <c r="D70" s="55" t="s">
        <v>329</v>
      </c>
      <c r="E70" s="55" t="s">
        <v>329</v>
      </c>
      <c r="F70" s="126" t="str">
        <f>TEXT(Table5[[#This Row],[Date]],"mmm-yy")</f>
        <v>Jun-25</v>
      </c>
      <c r="G70" s="124">
        <f t="shared" si="5"/>
        <v>30</v>
      </c>
      <c r="H70" s="125">
        <f t="shared" si="6"/>
        <v>45813</v>
      </c>
      <c r="I70" s="55">
        <v>8.02</v>
      </c>
      <c r="J70" s="59">
        <f>IFERROR(Inv_SY!J72/Inv_SY!$Y72-1,"")</f>
        <v>0.34023980382164565</v>
      </c>
      <c r="K70" s="59">
        <f>IFERROR(Inv_SY!K72/Inv_SY!$Y72-1,"")</f>
        <v>0.33937552330070564</v>
      </c>
      <c r="L70" s="59">
        <f>IFERROR(Inv_SY!L72/Inv_SY!$Y72-1,"")</f>
        <v>-1</v>
      </c>
      <c r="M70" s="59">
        <f>IFERROR(Inv_SY!M72/Inv_SY!$Y72-1,"")</f>
        <v>0.34014514452649491</v>
      </c>
      <c r="N70" s="59">
        <f>IFERROR(Inv_SY!N72/Inv_SY!$Y72-1,"")</f>
        <v>0.30893301301723564</v>
      </c>
      <c r="O70" s="59">
        <f>IFERROR(Inv_SY!O72/Inv_SY!$Y72-1,"")</f>
        <v>0.32298819788235811</v>
      </c>
      <c r="P70" s="59">
        <f>IFERROR(Inv_SY!P72/Inv_SY!$Y72-1,"")</f>
        <v>0.30120266134141849</v>
      </c>
      <c r="Q70" s="59">
        <f>IFERROR(Inv_SY!Q72/Inv_SY!$Y72-1,"")</f>
        <v>-1</v>
      </c>
      <c r="R70" s="59">
        <f>IFERROR(Inv_SY!R72/Inv_SY!$Y72-1,"")</f>
        <v>9.3782136057747323E-3</v>
      </c>
      <c r="S70" s="59">
        <f>IFERROR(Inv_SY!S72/Inv_SY!$Y72-1,"")</f>
        <v>2.9557115496883668E-2</v>
      </c>
      <c r="T70" s="59">
        <f>IFERROR(Inv_SY!T72/Inv_SY!$Y72-1,"")</f>
        <v>-2.911727586884405E-3</v>
      </c>
      <c r="U70" s="59">
        <f>IFERROR(Inv_SY!U72/Inv_SY!$Y72-1,"")</f>
        <v>1.1172521897549581E-2</v>
      </c>
      <c r="V70" s="59">
        <f>IFERROR(Inv_SY!J72/Inv_SY!$Z72-1,"")</f>
        <v>0.32591359593827929</v>
      </c>
      <c r="W70" s="59">
        <f>IFERROR(Inv_SY!K72/Inv_SY!$Z72-1,"")</f>
        <v>0.32505855395985761</v>
      </c>
      <c r="X70" s="59">
        <f>IFERROR(Inv_SY!L72/Inv_SY!$Z72-1,"")</f>
        <v>-1</v>
      </c>
      <c r="Y70" s="59">
        <f>IFERROR(Inv_SY!M72/Inv_SY!$Z72-1,"")</f>
        <v>0.3258199484834996</v>
      </c>
      <c r="Z70" s="59">
        <f>IFERROR(Inv_SY!N72/Inv_SY!$Z72-1,"")</f>
        <v>0.29494145240516079</v>
      </c>
      <c r="AA70" s="59">
        <f>IFERROR(Inv_SY!O72/Inv_SY!$Z72-1,"")</f>
        <v>0.30884639736572073</v>
      </c>
      <c r="AB70" s="59">
        <f>IFERROR(Inv_SY!P72/Inv_SY!$Z72-1,"")</f>
        <v>0.28729373267685299</v>
      </c>
      <c r="AC70" s="59">
        <f>IFERROR(Inv_SY!Q72/Inv_SY!$Z72-1,"")</f>
        <v>-1</v>
      </c>
      <c r="AD70" s="59">
        <f>IFERROR(Inv_SY!R72/Inv_SY!$Z72-1,"")</f>
        <v>-1.411319789535237E-3</v>
      </c>
      <c r="AE70" s="59">
        <f>IFERROR(Inv_SY!S72/Inv_SY!$Z72-1,"")</f>
        <v>1.8551884028344068E-2</v>
      </c>
      <c r="AF70" s="59">
        <f>IFERROR(Inv_SY!T72/Inv_SY!$Z72-1,"")</f>
        <v>-1.3569890273834262E-2</v>
      </c>
      <c r="AG70" s="59">
        <f>IFERROR(Inv_SY!U72/Inv_SY!$Z72-1,"")</f>
        <v>3.6380862598051067E-4</v>
      </c>
      <c r="AH70" s="59">
        <f>IFERROR(Inv_SY!V72/Inv_SY!$Y72-1,"")</f>
        <v>4.2697169809817748E-3</v>
      </c>
      <c r="AI70" s="59">
        <f>IFERROR(Inv_SY!W72/Inv_SY!$Y72-1,"")</f>
        <v>-1.5074499379512329E-2</v>
      </c>
      <c r="AJ70" s="59">
        <f>IFERROR(Inv_SY!X72/Inv_SY!$Y72-1,"")</f>
        <v>1.0804782398530666E-2</v>
      </c>
      <c r="AK70" s="59">
        <f>IFERROR(Inv_SY!V72/Inv_SY!$Z72-1,"")</f>
        <v>-6.4652102278758283E-3</v>
      </c>
      <c r="AL70" s="59">
        <f>IFERROR(Inv_SY!W72/Inv_SY!$Z72-1,"")</f>
        <v>-2.5602650708314023E-2</v>
      </c>
      <c r="AM70" s="59">
        <f>IFERROR(Inv_SY!X72/Inv_SY!$Z72-1,"")</f>
        <v>0</v>
      </c>
    </row>
    <row r="71" spans="1:39" x14ac:dyDescent="0.3">
      <c r="A71" s="55">
        <f>YEAR(Table5[[#This Row],[Date]])+IF(MONTH(Table5[[#This Row],[Date]])&gt;=4,1,0)</f>
        <v>2026</v>
      </c>
      <c r="B71" s="55">
        <v>31</v>
      </c>
      <c r="C71" s="124">
        <f>YEAR(Table5[[#This Row],[Date]])</f>
        <v>2025</v>
      </c>
      <c r="D71" s="55" t="s">
        <v>329</v>
      </c>
      <c r="E71" s="55" t="s">
        <v>329</v>
      </c>
      <c r="F71" s="126" t="str">
        <f>TEXT(Table5[[#This Row],[Date]],"mmm-yy")</f>
        <v>Jun-25</v>
      </c>
      <c r="G71" s="124">
        <f t="shared" si="5"/>
        <v>30</v>
      </c>
      <c r="H71" s="125">
        <f t="shared" si="6"/>
        <v>45814</v>
      </c>
      <c r="I71" s="55">
        <v>8.02</v>
      </c>
      <c r="J71" s="59">
        <f>IFERROR(Inv_SY!J73/Inv_SY!$Y73-1,"")</f>
        <v>0.32971595736470194</v>
      </c>
      <c r="K71" s="59">
        <f>IFERROR(Inv_SY!K73/Inv_SY!$Y73-1,"")</f>
        <v>0.3295176816940939</v>
      </c>
      <c r="L71" s="59">
        <f>IFERROR(Inv_SY!L73/Inv_SY!$Y73-1,"")</f>
        <v>-1</v>
      </c>
      <c r="M71" s="59">
        <f>IFERROR(Inv_SY!M73/Inv_SY!$Y73-1,"")</f>
        <v>0.33670784990156655</v>
      </c>
      <c r="N71" s="59">
        <f>IFERROR(Inv_SY!N73/Inv_SY!$Y73-1,"")</f>
        <v>0.29488574792263944</v>
      </c>
      <c r="O71" s="59">
        <f>IFERROR(Inv_SY!O73/Inv_SY!$Y73-1,"")</f>
        <v>0.28690531470171354</v>
      </c>
      <c r="P71" s="59">
        <f>IFERROR(Inv_SY!P73/Inv_SY!$Y73-1,"")</f>
        <v>0.3172954492904918</v>
      </c>
      <c r="Q71" s="59">
        <f>IFERROR(Inv_SY!Q73/Inv_SY!$Y73-1,"")</f>
        <v>-1</v>
      </c>
      <c r="R71" s="59">
        <f>IFERROR(Inv_SY!R73/Inv_SY!$Y73-1,"")</f>
        <v>5.0209485940872156E-2</v>
      </c>
      <c r="S71" s="59">
        <f>IFERROR(Inv_SY!S73/Inv_SY!$Y73-1,"")</f>
        <v>4.2496994196329574E-2</v>
      </c>
      <c r="T71" s="59">
        <f>IFERROR(Inv_SY!T73/Inv_SY!$Y73-1,"")</f>
        <v>9.9728112710300021E-3</v>
      </c>
      <c r="U71" s="59">
        <f>IFERROR(Inv_SY!U73/Inv_SY!$Y73-1,"")</f>
        <v>2.6711443836999749E-3</v>
      </c>
      <c r="V71" s="59">
        <f>IFERROR(Inv_SY!J73/Inv_SY!$Z73-1,"")</f>
        <v>0.29695351521925129</v>
      </c>
      <c r="W71" s="59">
        <f>IFERROR(Inv_SY!K73/Inv_SY!$Z73-1,"")</f>
        <v>0.29676012479887381</v>
      </c>
      <c r="X71" s="59">
        <f>IFERROR(Inv_SY!L73/Inv_SY!$Z73-1,"")</f>
        <v>-1</v>
      </c>
      <c r="Y71" s="59">
        <f>IFERROR(Inv_SY!M73/Inv_SY!$Z73-1,"")</f>
        <v>0.30377313677338669</v>
      </c>
      <c r="Z71" s="59">
        <f>IFERROR(Inv_SY!N73/Inv_SY!$Z73-1,"")</f>
        <v>0.26298147606193223</v>
      </c>
      <c r="AA71" s="59">
        <f>IFERROR(Inv_SY!O73/Inv_SY!$Z73-1,"")</f>
        <v>0.25519767015847838</v>
      </c>
      <c r="AB71" s="59">
        <f>IFERROR(Inv_SY!P73/Inv_SY!$Z73-1,"")</f>
        <v>0.28483903203324723</v>
      </c>
      <c r="AC71" s="59">
        <f>IFERROR(Inv_SY!Q73/Inv_SY!$Z73-1,"")</f>
        <v>-1</v>
      </c>
      <c r="AD71" s="59">
        <f>IFERROR(Inv_SY!R73/Inv_SY!$Z73-1,"")</f>
        <v>2.4333713500018117E-2</v>
      </c>
      <c r="AE71" s="59">
        <f>IFERROR(Inv_SY!S73/Inv_SY!$Z73-1,"")</f>
        <v>1.6811247349421743E-2</v>
      </c>
      <c r="AF71" s="59">
        <f>IFERROR(Inv_SY!T73/Inv_SY!$Z73-1,"")</f>
        <v>-1.4911582733929452E-2</v>
      </c>
      <c r="AG71" s="59">
        <f>IFERROR(Inv_SY!U73/Inv_SY!$Z73-1,"")</f>
        <v>-2.2033346208326421E-2</v>
      </c>
      <c r="AH71" s="59">
        <f>IFERROR(Inv_SY!V73/Inv_SY!$Y73-1,"")</f>
        <v>-1.66300534892172E-3</v>
      </c>
      <c r="AI71" s="59">
        <f>IFERROR(Inv_SY!W73/Inv_SY!$Y73-1,"")</f>
        <v>-2.3598071290292011E-2</v>
      </c>
      <c r="AJ71" s="59">
        <f>IFERROR(Inv_SY!X73/Inv_SY!$Y73-1,"")</f>
        <v>2.5261076639213398E-2</v>
      </c>
      <c r="AK71" s="59">
        <f>IFERROR(Inv_SY!V73/Inv_SY!$Z73-1,"")</f>
        <v>-2.6260708225061657E-2</v>
      </c>
      <c r="AL71" s="59">
        <f>IFERROR(Inv_SY!W73/Inv_SY!$Z73-1,"")</f>
        <v>-4.7655323158921292E-2</v>
      </c>
      <c r="AM71" s="59">
        <f>IFERROR(Inv_SY!X73/Inv_SY!$Z73-1,"")</f>
        <v>0</v>
      </c>
    </row>
    <row r="72" spans="1:39" x14ac:dyDescent="0.3">
      <c r="A72" s="55">
        <f>YEAR(Table5[[#This Row],[Date]])+IF(MONTH(Table5[[#This Row],[Date]])&gt;=4,1,0)</f>
        <v>2026</v>
      </c>
      <c r="B72" s="55">
        <v>32</v>
      </c>
      <c r="C72" s="124">
        <f>YEAR(Table5[[#This Row],[Date]])</f>
        <v>2025</v>
      </c>
      <c r="D72" s="55" t="s">
        <v>329</v>
      </c>
      <c r="E72" s="55" t="s">
        <v>329</v>
      </c>
      <c r="F72" s="126" t="str">
        <f>TEXT(Table5[[#This Row],[Date]],"mmm-yy")</f>
        <v>Jun-25</v>
      </c>
      <c r="G72" s="124">
        <f t="shared" si="5"/>
        <v>30</v>
      </c>
      <c r="H72" s="125">
        <f t="shared" si="6"/>
        <v>45815</v>
      </c>
      <c r="I72" s="55">
        <v>8.02</v>
      </c>
      <c r="J72" s="59">
        <f>IFERROR(Inv_SY!J74/Inv_SY!$Y74-1,"")</f>
        <v>0.36731226337123202</v>
      </c>
      <c r="K72" s="59">
        <f>IFERROR(Inv_SY!K74/Inv_SY!$Y74-1,"")</f>
        <v>0.32437642146722756</v>
      </c>
      <c r="L72" s="59">
        <f>IFERROR(Inv_SY!L74/Inv_SY!$Y74-1,"")</f>
        <v>-1</v>
      </c>
      <c r="M72" s="59">
        <f>IFERROR(Inv_SY!M74/Inv_SY!$Y74-1,"")</f>
        <v>0.30424070164371608</v>
      </c>
      <c r="N72" s="59">
        <f>IFERROR(Inv_SY!N74/Inv_SY!$Y74-1,"")</f>
        <v>0.34050008634030893</v>
      </c>
      <c r="O72" s="59">
        <f>IFERROR(Inv_SY!O74/Inv_SY!$Y74-1,"")</f>
        <v>0.29011693541282191</v>
      </c>
      <c r="P72" s="59">
        <f>IFERROR(Inv_SY!P74/Inv_SY!$Y74-1,"")</f>
        <v>0.29108028437893063</v>
      </c>
      <c r="Q72" s="59">
        <f>IFERROR(Inv_SY!Q74/Inv_SY!$Y74-1,"")</f>
        <v>-1</v>
      </c>
      <c r="R72" s="59">
        <f>IFERROR(Inv_SY!R74/Inv_SY!$Y74-1,"")</f>
        <v>1.3447758724042469E-2</v>
      </c>
      <c r="S72" s="59">
        <f>IFERROR(Inv_SY!S74/Inv_SY!$Y74-1,"")</f>
        <v>3.4724891193765872E-2</v>
      </c>
      <c r="T72" s="59">
        <f>IFERROR(Inv_SY!T74/Inv_SY!$Y74-1,"")</f>
        <v>4.1331784427187657E-2</v>
      </c>
      <c r="U72" s="59">
        <f>IFERROR(Inv_SY!U74/Inv_SY!$Y74-1,"")</f>
        <v>-6.7311183313714107E-3</v>
      </c>
      <c r="V72" s="59">
        <f>IFERROR(Inv_SY!J74/Inv_SY!$Z74-1,"")</f>
        <v>0.34085444271481147</v>
      </c>
      <c r="W72" s="59">
        <f>IFERROR(Inv_SY!K74/Inv_SY!$Z74-1,"")</f>
        <v>0.29874941966269675</v>
      </c>
      <c r="X72" s="59">
        <f>IFERROR(Inv_SY!L74/Inv_SY!$Z74-1,"")</f>
        <v>-1</v>
      </c>
      <c r="Y72" s="59">
        <f>IFERROR(Inv_SY!M74/Inv_SY!$Z74-1,"")</f>
        <v>0.27900333085336548</v>
      </c>
      <c r="Z72" s="59">
        <f>IFERROR(Inv_SY!N74/Inv_SY!$Z74-1,"")</f>
        <v>0.31456108774838398</v>
      </c>
      <c r="AA72" s="59">
        <f>IFERROR(Inv_SY!O74/Inv_SY!$Z74-1,"")</f>
        <v>0.26515286289086304</v>
      </c>
      <c r="AB72" s="59">
        <f>IFERROR(Inv_SY!P74/Inv_SY!$Z74-1,"")</f>
        <v>0.26609757082312924</v>
      </c>
      <c r="AC72" s="59">
        <f>IFERROR(Inv_SY!Q74/Inv_SY!$Z74-1,"")</f>
        <v>-1</v>
      </c>
      <c r="AD72" s="59">
        <f>IFERROR(Inv_SY!R74/Inv_SY!$Z74-1,"")</f>
        <v>-6.1626987868560468E-3</v>
      </c>
      <c r="AE72" s="59">
        <f>IFERROR(Inv_SY!S74/Inv_SY!$Z74-1,"")</f>
        <v>1.47027160598725E-2</v>
      </c>
      <c r="AF72" s="59">
        <f>IFERROR(Inv_SY!T74/Inv_SY!$Z74-1,"")</f>
        <v>2.1181764322581564E-2</v>
      </c>
      <c r="AG72" s="59">
        <f>IFERROR(Inv_SY!U74/Inv_SY!$Z74-1,"")</f>
        <v>-2.5951109725288135E-2</v>
      </c>
      <c r="AH72" s="59">
        <f>IFERROR(Inv_SY!V74/Inv_SY!$Y74-1,"")</f>
        <v>-1.7961416291037979E-3</v>
      </c>
      <c r="AI72" s="59">
        <f>IFERROR(Inv_SY!W74/Inv_SY!$Y74-1,"")</f>
        <v>-1.7935918625588521E-2</v>
      </c>
      <c r="AJ72" s="59">
        <f>IFERROR(Inv_SY!X74/Inv_SY!$Y74-1,"")</f>
        <v>1.9732060254692207E-2</v>
      </c>
      <c r="AK72" s="59">
        <f>IFERROR(Inv_SY!V74/Inv_SY!$Z74-1,"")</f>
        <v>-2.1111626007344508E-2</v>
      </c>
      <c r="AL72" s="59">
        <f>IFERROR(Inv_SY!W74/Inv_SY!$Z74-1,"")</f>
        <v>-3.693909444297816E-2</v>
      </c>
      <c r="AM72" s="59">
        <f>IFERROR(Inv_SY!X74/Inv_SY!$Z74-1,"")</f>
        <v>0</v>
      </c>
    </row>
    <row r="73" spans="1:39" x14ac:dyDescent="0.3">
      <c r="A73" s="55">
        <f>YEAR(Table5[[#This Row],[Date]])+IF(MONTH(Table5[[#This Row],[Date]])&gt;=4,1,0)</f>
        <v>2026</v>
      </c>
      <c r="B73" s="55">
        <v>33</v>
      </c>
      <c r="C73" s="124">
        <f>YEAR(Table5[[#This Row],[Date]])</f>
        <v>2025</v>
      </c>
      <c r="D73" s="55" t="s">
        <v>329</v>
      </c>
      <c r="E73" s="55" t="s">
        <v>329</v>
      </c>
      <c r="F73" s="126" t="str">
        <f>TEXT(Table5[[#This Row],[Date]],"mmm-yy")</f>
        <v>Jun-25</v>
      </c>
      <c r="G73" s="124">
        <f t="shared" si="5"/>
        <v>30</v>
      </c>
      <c r="H73" s="125">
        <f t="shared" si="6"/>
        <v>45816</v>
      </c>
      <c r="I73" s="55">
        <v>8.02</v>
      </c>
      <c r="J73" s="59">
        <f>IFERROR(Inv_SY!J75/Inv_SY!$Y75-1,"")</f>
        <v>0.33013871276041895</v>
      </c>
      <c r="K73" s="59">
        <f>IFERROR(Inv_SY!K75/Inv_SY!$Y75-1,"")</f>
        <v>0.37165042066168663</v>
      </c>
      <c r="L73" s="59">
        <f>IFERROR(Inv_SY!L75/Inv_SY!$Y75-1,"")</f>
        <v>-1</v>
      </c>
      <c r="M73" s="59">
        <f>IFERROR(Inv_SY!M75/Inv_SY!$Y75-1,"")</f>
        <v>0.30928396183352858</v>
      </c>
      <c r="N73" s="59">
        <f>IFERROR(Inv_SY!N75/Inv_SY!$Y75-1,"")</f>
        <v>0.34358974656158736</v>
      </c>
      <c r="O73" s="59">
        <f>IFERROR(Inv_SY!O75/Inv_SY!$Y75-1,"")</f>
        <v>0.2899911209534376</v>
      </c>
      <c r="P73" s="59">
        <f>IFERROR(Inv_SY!P75/Inv_SY!$Y75-1,"")</f>
        <v>0.29144076349657633</v>
      </c>
      <c r="Q73" s="59">
        <f>IFERROR(Inv_SY!Q75/Inv_SY!$Y75-1,"")</f>
        <v>-1</v>
      </c>
      <c r="R73" s="59">
        <f>IFERROR(Inv_SY!R75/Inv_SY!$Y75-1,"")</f>
        <v>8.7159405712573523E-3</v>
      </c>
      <c r="S73" s="59">
        <f>IFERROR(Inv_SY!S75/Inv_SY!$Y75-1,"")</f>
        <v>2.8896493849646321E-2</v>
      </c>
      <c r="T73" s="59">
        <f>IFERROR(Inv_SY!T75/Inv_SY!$Y75-1,"")</f>
        <v>3.6754126949362975E-2</v>
      </c>
      <c r="U73" s="59">
        <f>IFERROR(Inv_SY!U75/Inv_SY!$Y75-1,"")</f>
        <v>-1.0107322199455315E-2</v>
      </c>
      <c r="V73" s="59">
        <f>IFERROR(Inv_SY!J75/Inv_SY!$Z75-1,"")</f>
        <v>0.31033146780504461</v>
      </c>
      <c r="W73" s="59">
        <f>IFERROR(Inv_SY!K75/Inv_SY!$Z75-1,"")</f>
        <v>0.35122502020190627</v>
      </c>
      <c r="X73" s="59">
        <f>IFERROR(Inv_SY!L75/Inv_SY!$Z75-1,"")</f>
        <v>-1</v>
      </c>
      <c r="Y73" s="59">
        <f>IFERROR(Inv_SY!M75/Inv_SY!$Z75-1,"")</f>
        <v>0.28978726731633753</v>
      </c>
      <c r="Z73" s="59">
        <f>IFERROR(Inv_SY!N75/Inv_SY!$Z75-1,"")</f>
        <v>0.32358220075123678</v>
      </c>
      <c r="AA73" s="59">
        <f>IFERROR(Inv_SY!O75/Inv_SY!$Z75-1,"")</f>
        <v>0.27078171829650977</v>
      </c>
      <c r="AB73" s="59">
        <f>IFERROR(Inv_SY!P75/Inv_SY!$Z75-1,"")</f>
        <v>0.27220977404973379</v>
      </c>
      <c r="AC73" s="59">
        <f>IFERROR(Inv_SY!Q75/Inv_SY!$Z75-1,"")</f>
        <v>-1</v>
      </c>
      <c r="AD73" s="59">
        <f>IFERROR(Inv_SY!R75/Inv_SY!$Z75-1,"")</f>
        <v>-6.3049617854764595E-3</v>
      </c>
      <c r="AE73" s="59">
        <f>IFERROR(Inv_SY!S75/Inv_SY!$Z75-1,"")</f>
        <v>1.3575080607630019E-2</v>
      </c>
      <c r="AF73" s="59">
        <f>IFERROR(Inv_SY!T75/Inv_SY!$Z75-1,"")</f>
        <v>2.131570481039291E-2</v>
      </c>
      <c r="AG73" s="59">
        <f>IFERROR(Inv_SY!U75/Inv_SY!$Z75-1,"")</f>
        <v>-2.4847925236289425E-2</v>
      </c>
      <c r="AH73" s="59">
        <f>IFERROR(Inv_SY!V75/Inv_SY!$Y75-1,"")</f>
        <v>1.9872379466248091E-3</v>
      </c>
      <c r="AI73" s="59">
        <f>IFERROR(Inv_SY!W75/Inv_SY!$Y75-1,"")</f>
        <v>-1.7103447426470075E-2</v>
      </c>
      <c r="AJ73" s="59">
        <f>IFERROR(Inv_SY!X75/Inv_SY!$Y75-1,"")</f>
        <v>1.5116209479845377E-2</v>
      </c>
      <c r="AK73" s="59">
        <f>IFERROR(Inv_SY!V75/Inv_SY!$Z75-1,"")</f>
        <v>-1.2933466543646355E-2</v>
      </c>
      <c r="AL73" s="59">
        <f>IFERROR(Inv_SY!W75/Inv_SY!$Z75-1,"")</f>
        <v>-3.1739870376836121E-2</v>
      </c>
      <c r="AM73" s="59">
        <f>IFERROR(Inv_SY!X75/Inv_SY!$Z75-1,"")</f>
        <v>0</v>
      </c>
    </row>
    <row r="74" spans="1:39" x14ac:dyDescent="0.3">
      <c r="A74" s="55">
        <f>YEAR(Table5[[#This Row],[Date]])+IF(MONTH(Table5[[#This Row],[Date]])&gt;=4,1,0)</f>
        <v>2026</v>
      </c>
      <c r="B74" s="55">
        <v>34</v>
      </c>
      <c r="C74" s="124">
        <f>YEAR(Table5[[#This Row],[Date]])</f>
        <v>2025</v>
      </c>
      <c r="D74" s="55" t="s">
        <v>329</v>
      </c>
      <c r="E74" s="55" t="s">
        <v>329</v>
      </c>
      <c r="F74" s="126" t="str">
        <f>TEXT(Table5[[#This Row],[Date]],"mmm-yy")</f>
        <v>Jun-25</v>
      </c>
      <c r="G74" s="124">
        <f t="shared" si="5"/>
        <v>30</v>
      </c>
      <c r="H74" s="125">
        <f t="shared" si="6"/>
        <v>45817</v>
      </c>
      <c r="I74" s="55">
        <v>8.02</v>
      </c>
      <c r="J74" s="59">
        <f>IFERROR(Inv_SY!J76/Inv_SY!$Y76-1,"")</f>
        <v>0.17753718689943954</v>
      </c>
      <c r="K74" s="59">
        <f>IFERROR(Inv_SY!K76/Inv_SY!$Y76-1,"")</f>
        <v>0.18112021680958779</v>
      </c>
      <c r="L74" s="59">
        <f>IFERROR(Inv_SY!L76/Inv_SY!$Y76-1,"")</f>
        <v>-1</v>
      </c>
      <c r="M74" s="59">
        <f>IFERROR(Inv_SY!M76/Inv_SY!$Y76-1,"")</f>
        <v>0.68600650515761119</v>
      </c>
      <c r="N74" s="59">
        <f>IFERROR(Inv_SY!N76/Inv_SY!$Y76-1,"")</f>
        <v>0.12686710232700338</v>
      </c>
      <c r="O74" s="59">
        <f>IFERROR(Inv_SY!O76/Inv_SY!$Y76-1,"")</f>
        <v>0.69056077978374786</v>
      </c>
      <c r="P74" s="59">
        <f>IFERROR(Inv_SY!P76/Inv_SY!$Y76-1,"")</f>
        <v>0.11438104025135809</v>
      </c>
      <c r="Q74" s="59">
        <f>IFERROR(Inv_SY!Q76/Inv_SY!$Y76-1,"")</f>
        <v>-1</v>
      </c>
      <c r="R74" s="59">
        <f>IFERROR(Inv_SY!R76/Inv_SY!$Y76-1,"")</f>
        <v>-0.12472520837556411</v>
      </c>
      <c r="S74" s="59">
        <f>IFERROR(Inv_SY!S76/Inv_SY!$Y76-1,"")</f>
        <v>-0.10391094103412357</v>
      </c>
      <c r="T74" s="59">
        <f>IFERROR(Inv_SY!T76/Inv_SY!$Y76-1,"")</f>
        <v>-0.13462633429269522</v>
      </c>
      <c r="U74" s="59">
        <f>IFERROR(Inv_SY!U76/Inv_SY!$Y76-1,"")</f>
        <v>0.37643301167539311</v>
      </c>
      <c r="V74" s="59">
        <f>IFERROR(Inv_SY!J76/Inv_SY!$Z76-1,"")</f>
        <v>0.16375326939843049</v>
      </c>
      <c r="W74" s="59">
        <f>IFERROR(Inv_SY!K76/Inv_SY!$Z76-1,"")</f>
        <v>0.16729435737312692</v>
      </c>
      <c r="X74" s="59">
        <f>IFERROR(Inv_SY!L76/Inv_SY!$Z76-1,"")</f>
        <v>-1</v>
      </c>
      <c r="Y74" s="59">
        <f>IFERROR(Inv_SY!M76/Inv_SY!$Z76-1,"")</f>
        <v>0.66627058952640339</v>
      </c>
      <c r="Z74" s="59">
        <f>IFERROR(Inv_SY!N76/Inv_SY!$Z76-1,"")</f>
        <v>0.11367631451504878</v>
      </c>
      <c r="AA74" s="59">
        <f>IFERROR(Inv_SY!O76/Inv_SY!$Z76-1,"")</f>
        <v>0.67077155310094683</v>
      </c>
      <c r="AB74" s="59">
        <f>IFERROR(Inv_SY!P76/Inv_SY!$Z76-1,"")</f>
        <v>0.10133641075310917</v>
      </c>
      <c r="AC74" s="59">
        <f>IFERROR(Inv_SY!Q76/Inv_SY!$Z76-1,"")</f>
        <v>-1</v>
      </c>
      <c r="AD74" s="59">
        <f>IFERROR(Inv_SY!R76/Inv_SY!$Z76-1,"")</f>
        <v>-0.13497092770628993</v>
      </c>
      <c r="AE74" s="59">
        <f>IFERROR(Inv_SY!S76/Inv_SY!$Z76-1,"")</f>
        <v>-0.11440030629558551</v>
      </c>
      <c r="AF74" s="59">
        <f>IFERROR(Inv_SY!T76/Inv_SY!$Z76-1,"")</f>
        <v>-0.14475615384180296</v>
      </c>
      <c r="AG74" s="59">
        <f>IFERROR(Inv_SY!U76/Inv_SY!$Z76-1,"")</f>
        <v>0.36032087586373707</v>
      </c>
      <c r="AH74" s="59">
        <f>IFERROR(Inv_SY!V76/Inv_SY!$Y76-1,"")</f>
        <v>1.1844364147852726E-2</v>
      </c>
      <c r="AI74" s="59">
        <f>IFERROR(Inv_SY!W76/Inv_SY!$Y76-1,"")</f>
        <v>-1.5403786661031815E-2</v>
      </c>
      <c r="AJ74" s="59">
        <f>IFERROR(Inv_SY!X76/Inv_SY!$Y76-1,"")</f>
        <v>3.5594225131794222E-3</v>
      </c>
      <c r="AK74" s="59">
        <f>IFERROR(Inv_SY!V76/Inv_SY!$Z76-1,"")</f>
        <v>0</v>
      </c>
      <c r="AL74" s="59">
        <f>IFERROR(Inv_SY!W76/Inv_SY!$Z76-1,"")</f>
        <v>-2.6929191656695273E-2</v>
      </c>
      <c r="AM74" s="59">
        <f>IFERROR(Inv_SY!X76/Inv_SY!$Z76-1,"")</f>
        <v>-8.1879604494814462E-3</v>
      </c>
    </row>
    <row r="75" spans="1:39" x14ac:dyDescent="0.3">
      <c r="A75" s="55">
        <f>YEAR(Table5[[#This Row],[Date]])+IF(MONTH(Table5[[#This Row],[Date]])&gt;=4,1,0)</f>
        <v>2026</v>
      </c>
      <c r="B75" s="55">
        <v>35</v>
      </c>
      <c r="C75" s="124">
        <f>YEAR(Table5[[#This Row],[Date]])</f>
        <v>2025</v>
      </c>
      <c r="D75" s="55" t="s">
        <v>329</v>
      </c>
      <c r="E75" s="55" t="s">
        <v>329</v>
      </c>
      <c r="F75" s="126" t="str">
        <f>TEXT(Table5[[#This Row],[Date]],"mmm-yy")</f>
        <v>Jun-25</v>
      </c>
      <c r="G75" s="124">
        <f t="shared" si="5"/>
        <v>30</v>
      </c>
      <c r="H75" s="125">
        <f t="shared" si="6"/>
        <v>45818</v>
      </c>
      <c r="I75" s="55">
        <v>8.02</v>
      </c>
      <c r="J75" s="59">
        <f>IFERROR(Inv_SY!J77/Inv_SY!$Y77-1,"")</f>
        <v>0.31445379556774222</v>
      </c>
      <c r="K75" s="59">
        <f>IFERROR(Inv_SY!K77/Inv_SY!$Y77-1,"")</f>
        <v>0.43473690277562471</v>
      </c>
      <c r="L75" s="59">
        <f>IFERROR(Inv_SY!L77/Inv_SY!$Y77-1,"")</f>
        <v>-1</v>
      </c>
      <c r="M75" s="59">
        <f>IFERROR(Inv_SY!M77/Inv_SY!$Y77-1,"")</f>
        <v>0.29906095207743499</v>
      </c>
      <c r="N75" s="59">
        <f>IFERROR(Inv_SY!N77/Inv_SY!$Y77-1,"")</f>
        <v>0.395879981774655</v>
      </c>
      <c r="O75" s="59">
        <f>IFERROR(Inv_SY!O77/Inv_SY!$Y77-1,"")</f>
        <v>0.27210362527474574</v>
      </c>
      <c r="P75" s="59">
        <f>IFERROR(Inv_SY!P77/Inv_SY!$Y77-1,"")</f>
        <v>0.26493133420451409</v>
      </c>
      <c r="Q75" s="59">
        <f>IFERROR(Inv_SY!Q77/Inv_SY!$Y77-1,"")</f>
        <v>-1</v>
      </c>
      <c r="R75" s="59">
        <f>IFERROR(Inv_SY!R77/Inv_SY!$Y77-1,"")</f>
        <v>-2.2924720733464299E-2</v>
      </c>
      <c r="S75" s="59">
        <f>IFERROR(Inv_SY!S77/Inv_SY!$Y77-1,"")</f>
        <v>-2.3036807297910356E-3</v>
      </c>
      <c r="T75" s="59">
        <f>IFERROR(Inv_SY!T77/Inv_SY!$Y77-1,"")</f>
        <v>8.3509890125692987E-2</v>
      </c>
      <c r="U75" s="59">
        <f>IFERROR(Inv_SY!U77/Inv_SY!$Y77-1,"")</f>
        <v>-3.9558809986718346E-2</v>
      </c>
      <c r="V75" s="59">
        <f>IFERROR(Inv_SY!J77/Inv_SY!$Z77-1,"")</f>
        <v>0.29991422485800912</v>
      </c>
      <c r="W75" s="59">
        <f>IFERROR(Inv_SY!K77/Inv_SY!$Z77-1,"")</f>
        <v>0.41886684426302434</v>
      </c>
      <c r="X75" s="59">
        <f>IFERROR(Inv_SY!L77/Inv_SY!$Z77-1,"")</f>
        <v>-1</v>
      </c>
      <c r="Y75" s="59">
        <f>IFERROR(Inv_SY!M77/Inv_SY!$Z77-1,"")</f>
        <v>0.28469164626183963</v>
      </c>
      <c r="Z75" s="59">
        <f>IFERROR(Inv_SY!N77/Inv_SY!$Z77-1,"")</f>
        <v>0.38043973140925713</v>
      </c>
      <c r="AA75" s="59">
        <f>IFERROR(Inv_SY!O77/Inv_SY!$Z77-1,"")</f>
        <v>0.25803250259842447</v>
      </c>
      <c r="AB75" s="59">
        <f>IFERROR(Inv_SY!P77/Inv_SY!$Z77-1,"")</f>
        <v>0.25093954640745442</v>
      </c>
      <c r="AC75" s="59">
        <f>IFERROR(Inv_SY!Q77/Inv_SY!$Z77-1,"")</f>
        <v>-1</v>
      </c>
      <c r="AD75" s="59">
        <f>IFERROR(Inv_SY!R77/Inv_SY!$Z77-1,"")</f>
        <v>-3.3732445706019853E-2</v>
      </c>
      <c r="AE75" s="59">
        <f>IFERROR(Inv_SY!S77/Inv_SY!$Z77-1,"")</f>
        <v>-1.3339501258274655E-2</v>
      </c>
      <c r="AF75" s="59">
        <f>IFERROR(Inv_SY!T77/Inv_SY!$Z77-1,"")</f>
        <v>7.1524859753915537E-2</v>
      </c>
      <c r="AG75" s="59">
        <f>IFERROR(Inv_SY!U77/Inv_SY!$Z77-1,"")</f>
        <v>-5.0182540270601539E-2</v>
      </c>
      <c r="AH75" s="59">
        <f>IFERROR(Inv_SY!V77/Inv_SY!$Y77-1,"")</f>
        <v>1.1185023158986729E-2</v>
      </c>
      <c r="AI75" s="59">
        <f>IFERROR(Inv_SY!W77/Inv_SY!$Y77-1,"")</f>
        <v>-1.5126819485297593E-2</v>
      </c>
      <c r="AJ75" s="59">
        <f>IFERROR(Inv_SY!X77/Inv_SY!$Y77-1,"")</f>
        <v>3.9417963263108646E-3</v>
      </c>
      <c r="AK75" s="59">
        <f>IFERROR(Inv_SY!V77/Inv_SY!$Z77-1,"")</f>
        <v>0</v>
      </c>
      <c r="AL75" s="59">
        <f>IFERROR(Inv_SY!W77/Inv_SY!$Z77-1,"")</f>
        <v>-2.6020799400375716E-2</v>
      </c>
      <c r="AM75" s="59">
        <f>IFERROR(Inv_SY!X77/Inv_SY!$Z77-1,"")</f>
        <v>-7.1631073115061561E-3</v>
      </c>
    </row>
    <row r="76" spans="1:39" x14ac:dyDescent="0.3">
      <c r="A76" s="55">
        <f>YEAR(Table5[[#This Row],[Date]])+IF(MONTH(Table5[[#This Row],[Date]])&gt;=4,1,0)</f>
        <v>2026</v>
      </c>
      <c r="B76" s="55">
        <v>36</v>
      </c>
      <c r="C76" s="124">
        <f>YEAR(Table5[[#This Row],[Date]])</f>
        <v>2025</v>
      </c>
      <c r="D76" s="55" t="s">
        <v>329</v>
      </c>
      <c r="E76" s="55" t="s">
        <v>329</v>
      </c>
      <c r="F76" s="126" t="str">
        <f>TEXT(Table5[[#This Row],[Date]],"mmm-yy")</f>
        <v>Jun-25</v>
      </c>
      <c r="G76" s="124">
        <f t="shared" si="5"/>
        <v>30</v>
      </c>
      <c r="H76" s="125">
        <f t="shared" si="6"/>
        <v>45819</v>
      </c>
      <c r="I76" s="55">
        <v>8.02</v>
      </c>
      <c r="J76" s="59">
        <f>IFERROR(Inv_SY!J78/Inv_SY!$Y78-1,"")</f>
        <v>0.33409147804653316</v>
      </c>
      <c r="K76" s="59">
        <f>IFERROR(Inv_SY!K78/Inv_SY!$Y78-1,"")</f>
        <v>0.33342711349302934</v>
      </c>
      <c r="L76" s="59">
        <f>IFERROR(Inv_SY!L78/Inv_SY!$Y78-1,"")</f>
        <v>-1</v>
      </c>
      <c r="M76" s="59">
        <f>IFERROR(Inv_SY!M78/Inv_SY!$Y78-1,"")</f>
        <v>0.34429873889067109</v>
      </c>
      <c r="N76" s="59">
        <f>IFERROR(Inv_SY!N78/Inv_SY!$Y78-1,"")</f>
        <v>0.30039792631725715</v>
      </c>
      <c r="O76" s="59">
        <f>IFERROR(Inv_SY!O78/Inv_SY!$Y78-1,"")</f>
        <v>0.29104081056837727</v>
      </c>
      <c r="P76" s="59">
        <f>IFERROR(Inv_SY!P78/Inv_SY!$Y78-1,"")</f>
        <v>0.34916103983332647</v>
      </c>
      <c r="Q76" s="59">
        <f>IFERROR(Inv_SY!Q78/Inv_SY!$Y78-1,"")</f>
        <v>-1</v>
      </c>
      <c r="R76" s="59">
        <f>IFERROR(Inv_SY!R78/Inv_SY!$Y78-1,"")</f>
        <v>3.8421328284601985E-2</v>
      </c>
      <c r="S76" s="59">
        <f>IFERROR(Inv_SY!S78/Inv_SY!$Y78-1,"")</f>
        <v>2.5793026911838712E-2</v>
      </c>
      <c r="T76" s="59">
        <f>IFERROR(Inv_SY!T78/Inv_SY!$Y78-1,"")</f>
        <v>-5.5754384231635479E-3</v>
      </c>
      <c r="U76" s="59">
        <f>IFERROR(Inv_SY!U78/Inv_SY!$Y78-1,"")</f>
        <v>-1.0855486137578474E-2</v>
      </c>
      <c r="V76" s="59">
        <f>IFERROR(Inv_SY!J78/Inv_SY!$Z78-1,"")</f>
        <v>0.31971988753896685</v>
      </c>
      <c r="W76" s="59">
        <f>IFERROR(Inv_SY!K78/Inv_SY!$Z78-1,"")</f>
        <v>0.31906267989746495</v>
      </c>
      <c r="X76" s="59">
        <f>IFERROR(Inv_SY!L78/Inv_SY!$Z78-1,"")</f>
        <v>-1</v>
      </c>
      <c r="Y76" s="59">
        <f>IFERROR(Inv_SY!M78/Inv_SY!$Z78-1,"")</f>
        <v>0.32981718997660137</v>
      </c>
      <c r="Z76" s="59">
        <f>IFERROR(Inv_SY!N78/Inv_SY!$Z78-1,"")</f>
        <v>0.28638930187023992</v>
      </c>
      <c r="AA76" s="59">
        <f>IFERROR(Inv_SY!O78/Inv_SY!$Z78-1,"")</f>
        <v>0.27713298628243432</v>
      </c>
      <c r="AB76" s="59">
        <f>IFERROR(Inv_SY!P78/Inv_SY!$Z78-1,"")</f>
        <v>0.33462711145411328</v>
      </c>
      <c r="AC76" s="59">
        <f>IFERROR(Inv_SY!Q78/Inv_SY!$Z78-1,"")</f>
        <v>-1</v>
      </c>
      <c r="AD76" s="59">
        <f>IFERROR(Inv_SY!R78/Inv_SY!$Z78-1,"")</f>
        <v>2.7234864425105698E-2</v>
      </c>
      <c r="AE76" s="59">
        <f>IFERROR(Inv_SY!S78/Inv_SY!$Z78-1,"")</f>
        <v>1.474260228137747E-2</v>
      </c>
      <c r="AF76" s="59">
        <f>IFERROR(Inv_SY!T78/Inv_SY!$Z78-1,"")</f>
        <v>-1.6287944143217326E-2</v>
      </c>
      <c r="AG76" s="59">
        <f>IFERROR(Inv_SY!U78/Inv_SY!$Z78-1,"")</f>
        <v>-2.1511112187189374E-2</v>
      </c>
      <c r="AH76" s="59">
        <f>IFERROR(Inv_SY!V78/Inv_SY!$Y78-1,"")</f>
        <v>2.3125179381369154E-3</v>
      </c>
      <c r="AI76" s="59">
        <f>IFERROR(Inv_SY!W78/Inv_SY!$Y78-1,"")</f>
        <v>-1.3202397406701039E-2</v>
      </c>
      <c r="AJ76" s="59">
        <f>IFERROR(Inv_SY!X78/Inv_SY!$Y78-1,"")</f>
        <v>1.0889879468564123E-2</v>
      </c>
      <c r="AK76" s="59">
        <f>IFERROR(Inv_SY!V78/Inv_SY!$Z78-1,"")</f>
        <v>-8.4849613243099808E-3</v>
      </c>
      <c r="AL76" s="59">
        <f>IFERROR(Inv_SY!W78/Inv_SY!$Z78-1,"")</f>
        <v>-2.3832741196232687E-2</v>
      </c>
      <c r="AM76" s="59">
        <f>IFERROR(Inv_SY!X78/Inv_SY!$Z78-1,"")</f>
        <v>0</v>
      </c>
    </row>
    <row r="77" spans="1:39" x14ac:dyDescent="0.3">
      <c r="A77" s="55">
        <f>YEAR(Table5[[#This Row],[Date]])+IF(MONTH(Table5[[#This Row],[Date]])&gt;=4,1,0)</f>
        <v>2026</v>
      </c>
      <c r="B77" s="55">
        <v>37</v>
      </c>
      <c r="C77" s="124">
        <f>YEAR(Table5[[#This Row],[Date]])</f>
        <v>2025</v>
      </c>
      <c r="D77" s="55" t="s">
        <v>329</v>
      </c>
      <c r="E77" s="55" t="s">
        <v>329</v>
      </c>
      <c r="F77" s="126" t="str">
        <f>TEXT(Table5[[#This Row],[Date]],"mmm-yy")</f>
        <v>Jun-25</v>
      </c>
      <c r="G77" s="124">
        <f t="shared" si="5"/>
        <v>30</v>
      </c>
      <c r="H77" s="125">
        <f t="shared" si="6"/>
        <v>45820</v>
      </c>
      <c r="I77" s="55">
        <v>8.02</v>
      </c>
      <c r="J77" s="59">
        <f>IFERROR(Inv_SY!J79/Inv_SY!$Y79-1,"")</f>
        <v>0.36897592918251298</v>
      </c>
      <c r="K77" s="59">
        <f>IFERROR(Inv_SY!K79/Inv_SY!$Y79-1,"")</f>
        <v>0.33704255420141327</v>
      </c>
      <c r="L77" s="59">
        <f>IFERROR(Inv_SY!L79/Inv_SY!$Y79-1,"")</f>
        <v>-1</v>
      </c>
      <c r="M77" s="59">
        <f>IFERROR(Inv_SY!M79/Inv_SY!$Y79-1,"")</f>
        <v>0.31745692693025473</v>
      </c>
      <c r="N77" s="59">
        <f>IFERROR(Inv_SY!N79/Inv_SY!$Y79-1,"")</f>
        <v>0.33453643087248941</v>
      </c>
      <c r="O77" s="59">
        <f>IFERROR(Inv_SY!O79/Inv_SY!$Y79-1,"")</f>
        <v>0.29259144168590856</v>
      </c>
      <c r="P77" s="59">
        <f>IFERROR(Inv_SY!P79/Inv_SY!$Y79-1,"")</f>
        <v>0.29240355819571118</v>
      </c>
      <c r="Q77" s="59">
        <f>IFERROR(Inv_SY!Q79/Inv_SY!$Y79-1,"")</f>
        <v>-1</v>
      </c>
      <c r="R77" s="59">
        <f>IFERROR(Inv_SY!R79/Inv_SY!$Y79-1,"")</f>
        <v>8.2637614145872895E-3</v>
      </c>
      <c r="S77" s="59">
        <f>IFERROR(Inv_SY!S79/Inv_SY!$Y79-1,"")</f>
        <v>6.184829596935959E-2</v>
      </c>
      <c r="T77" s="59">
        <f>IFERROR(Inv_SY!T79/Inv_SY!$Y79-1,"")</f>
        <v>-2.9660228558908708E-3</v>
      </c>
      <c r="U77" s="59">
        <f>IFERROR(Inv_SY!U79/Inv_SY!$Y79-1,"")</f>
        <v>-8.8815181335475391E-3</v>
      </c>
      <c r="V77" s="59">
        <f>IFERROR(Inv_SY!J79/Inv_SY!$Z79-1,"")</f>
        <v>0.35090572818513022</v>
      </c>
      <c r="W77" s="59">
        <f>IFERROR(Inv_SY!K79/Inv_SY!$Z79-1,"")</f>
        <v>0.31939386719279583</v>
      </c>
      <c r="X77" s="59">
        <f>IFERROR(Inv_SY!L79/Inv_SY!$Z79-1,"")</f>
        <v>-1</v>
      </c>
      <c r="Y77" s="59">
        <f>IFERROR(Inv_SY!M79/Inv_SY!$Z79-1,"")</f>
        <v>0.30006676617758155</v>
      </c>
      <c r="Z77" s="59">
        <f>IFERROR(Inv_SY!N79/Inv_SY!$Z79-1,"")</f>
        <v>0.31692082417690925</v>
      </c>
      <c r="AA77" s="59">
        <f>IFERROR(Inv_SY!O79/Inv_SY!$Z79-1,"")</f>
        <v>0.27552950022963407</v>
      </c>
      <c r="AB77" s="59">
        <f>IFERROR(Inv_SY!P79/Inv_SY!$Z79-1,"")</f>
        <v>0.27534409676290506</v>
      </c>
      <c r="AC77" s="59">
        <f>IFERROR(Inv_SY!Q79/Inv_SY!$Z79-1,"")</f>
        <v>-1</v>
      </c>
      <c r="AD77" s="59">
        <f>IFERROR(Inv_SY!R79/Inv_SY!$Z79-1,"")</f>
        <v>-5.0451130796622667E-3</v>
      </c>
      <c r="AE77" s="59">
        <f>IFERROR(Inv_SY!S79/Inv_SY!$Z79-1,"")</f>
        <v>4.7832116628388377E-2</v>
      </c>
      <c r="AF77" s="59">
        <f>IFERROR(Inv_SY!T79/Inv_SY!$Z79-1,"")</f>
        <v>-1.6126666505025367E-2</v>
      </c>
      <c r="AG77" s="59">
        <f>IFERROR(Inv_SY!U79/Inv_SY!$Z79-1,"")</f>
        <v>-2.1964078460406156E-2</v>
      </c>
      <c r="AH77" s="59">
        <f>IFERROR(Inv_SY!V79/Inv_SY!$Y79-1,"")</f>
        <v>5.1019333323023552E-3</v>
      </c>
      <c r="AI77" s="59">
        <f>IFERROR(Inv_SY!W79/Inv_SY!$Y79-1,"")</f>
        <v>-1.8478293074043362E-2</v>
      </c>
      <c r="AJ77" s="59">
        <f>IFERROR(Inv_SY!X79/Inv_SY!$Y79-1,"")</f>
        <v>1.3376359741740895E-2</v>
      </c>
      <c r="AK77" s="59">
        <f>IFERROR(Inv_SY!V79/Inv_SY!$Z79-1,"")</f>
        <v>-8.1652056808856344E-3</v>
      </c>
      <c r="AL77" s="59">
        <f>IFERROR(Inv_SY!W79/Inv_SY!$Z79-1,"")</f>
        <v>-3.1434177943427066E-2</v>
      </c>
      <c r="AM77" s="59">
        <f>IFERROR(Inv_SY!X79/Inv_SY!$Z79-1,"")</f>
        <v>0</v>
      </c>
    </row>
    <row r="78" spans="1:39" x14ac:dyDescent="0.3">
      <c r="A78" s="55">
        <f>YEAR(Table5[[#This Row],[Date]])+IF(MONTH(Table5[[#This Row],[Date]])&gt;=4,1,0)</f>
        <v>2026</v>
      </c>
      <c r="B78" s="55">
        <v>38</v>
      </c>
      <c r="C78" s="124">
        <f>YEAR(Table5[[#This Row],[Date]])</f>
        <v>2025</v>
      </c>
      <c r="D78" s="55" t="s">
        <v>329</v>
      </c>
      <c r="E78" s="55" t="s">
        <v>329</v>
      </c>
      <c r="F78" s="126" t="str">
        <f>TEXT(Table5[[#This Row],[Date]],"mmm-yy")</f>
        <v>Jun-25</v>
      </c>
      <c r="G78" s="124">
        <f t="shared" si="5"/>
        <v>30</v>
      </c>
      <c r="H78" s="125">
        <f t="shared" si="6"/>
        <v>45821</v>
      </c>
      <c r="I78" s="55">
        <v>8.02</v>
      </c>
      <c r="J78" s="59">
        <f>IFERROR(Inv_SY!J80/Inv_SY!$Y80-1,"")</f>
        <v>0.3300986609784764</v>
      </c>
      <c r="K78" s="59">
        <f>IFERROR(Inv_SY!K80/Inv_SY!$Y80-1,"")</f>
        <v>0.37043986911369231</v>
      </c>
      <c r="L78" s="59">
        <f>IFERROR(Inv_SY!L80/Inv_SY!$Y80-1,"")</f>
        <v>-1</v>
      </c>
      <c r="M78" s="59">
        <f>IFERROR(Inv_SY!M80/Inv_SY!$Y80-1,"")</f>
        <v>0.30928225898052197</v>
      </c>
      <c r="N78" s="59">
        <f>IFERROR(Inv_SY!N80/Inv_SY!$Y80-1,"")</f>
        <v>0.33835261119762028</v>
      </c>
      <c r="O78" s="59">
        <f>IFERROR(Inv_SY!O80/Inv_SY!$Y80-1,"")</f>
        <v>0.28921950426401755</v>
      </c>
      <c r="P78" s="59">
        <f>IFERROR(Inv_SY!P80/Inv_SY!$Y80-1,"")</f>
        <v>0.28983148246425805</v>
      </c>
      <c r="Q78" s="59">
        <f>IFERROR(Inv_SY!Q80/Inv_SY!$Y80-1,"")</f>
        <v>-1</v>
      </c>
      <c r="R78" s="59">
        <f>IFERROR(Inv_SY!R80/Inv_SY!$Y80-1,"")</f>
        <v>1.098897068526572E-2</v>
      </c>
      <c r="S78" s="59">
        <f>IFERROR(Inv_SY!S80/Inv_SY!$Y80-1,"")</f>
        <v>3.0998850613610296E-2</v>
      </c>
      <c r="T78" s="59">
        <f>IFERROR(Inv_SY!T80/Inv_SY!$Y80-1,"")</f>
        <v>3.9205906830721338E-2</v>
      </c>
      <c r="U78" s="59">
        <f>IFERROR(Inv_SY!U80/Inv_SY!$Y80-1,"")</f>
        <v>-8.0538238955657482E-3</v>
      </c>
      <c r="V78" s="59">
        <f>IFERROR(Inv_SY!J80/Inv_SY!$Z80-1,"")</f>
        <v>0.30743415371658989</v>
      </c>
      <c r="W78" s="59">
        <f>IFERROR(Inv_SY!K80/Inv_SY!$Z80-1,"")</f>
        <v>0.34708795900601874</v>
      </c>
      <c r="X78" s="59">
        <f>IFERROR(Inv_SY!L80/Inv_SY!$Z80-1,"")</f>
        <v>-1</v>
      </c>
      <c r="Y78" s="59">
        <f>IFERROR(Inv_SY!M80/Inv_SY!$Z80-1,"")</f>
        <v>0.2869724573567134</v>
      </c>
      <c r="Z78" s="59">
        <f>IFERROR(Inv_SY!N80/Inv_SY!$Z80-1,"")</f>
        <v>0.31554745894437386</v>
      </c>
      <c r="AA78" s="59">
        <f>IFERROR(Inv_SY!O80/Inv_SY!$Z80-1,"")</f>
        <v>0.26725156634047842</v>
      </c>
      <c r="AB78" s="59">
        <f>IFERROR(Inv_SY!P80/Inv_SY!$Z80-1,"")</f>
        <v>0.26785311660422773</v>
      </c>
      <c r="AC78" s="59">
        <f>IFERROR(Inv_SY!Q80/Inv_SY!$Z80-1,"")</f>
        <v>-1</v>
      </c>
      <c r="AD78" s="59">
        <f>IFERROR(Inv_SY!R80/Inv_SY!$Z80-1,"")</f>
        <v>-6.2379971630646125E-3</v>
      </c>
      <c r="AE78" s="59">
        <f>IFERROR(Inv_SY!S80/Inv_SY!$Z80-1,"")</f>
        <v>1.3430920036536342E-2</v>
      </c>
      <c r="AF78" s="59">
        <f>IFERROR(Inv_SY!T80/Inv_SY!$Z80-1,"")</f>
        <v>2.1498130322899156E-2</v>
      </c>
      <c r="AG78" s="59">
        <f>IFERROR(Inv_SY!U80/Inv_SY!$Z80-1,"")</f>
        <v>-2.4956307877604278E-2</v>
      </c>
      <c r="AH78" s="59">
        <f>IFERROR(Inv_SY!V80/Inv_SY!$Y80-1,"")</f>
        <v>1.6760367995485304E-3</v>
      </c>
      <c r="AI78" s="59">
        <f>IFERROR(Inv_SY!W80/Inv_SY!$Y80-1,"")</f>
        <v>-1.9011140978569152E-2</v>
      </c>
      <c r="AJ78" s="59">
        <f>IFERROR(Inv_SY!X80/Inv_SY!$Y80-1,"")</f>
        <v>1.7335104179020622E-2</v>
      </c>
      <c r="AK78" s="59">
        <f>IFERROR(Inv_SY!V80/Inv_SY!$Z80-1,"")</f>
        <v>-1.5392241273448071E-2</v>
      </c>
      <c r="AL78" s="59">
        <f>IFERROR(Inv_SY!W80/Inv_SY!$Z80-1,"")</f>
        <v>-3.5726915357865985E-2</v>
      </c>
      <c r="AM78" s="59">
        <f>IFERROR(Inv_SY!X80/Inv_SY!$Z80-1,"")</f>
        <v>0</v>
      </c>
    </row>
    <row r="79" spans="1:39" x14ac:dyDescent="0.3">
      <c r="A79" s="55">
        <f>YEAR(Table5[[#This Row],[Date]])+IF(MONTH(Table5[[#This Row],[Date]])&gt;=4,1,0)</f>
        <v>2026</v>
      </c>
      <c r="B79" s="55">
        <v>39</v>
      </c>
      <c r="C79" s="124">
        <f>YEAR(Table5[[#This Row],[Date]])</f>
        <v>2025</v>
      </c>
      <c r="D79" s="55" t="s">
        <v>329</v>
      </c>
      <c r="E79" s="55" t="s">
        <v>329</v>
      </c>
      <c r="F79" s="126" t="str">
        <f>TEXT(Table5[[#This Row],[Date]],"mmm-yy")</f>
        <v>Jun-25</v>
      </c>
      <c r="G79" s="124">
        <f t="shared" si="5"/>
        <v>30</v>
      </c>
      <c r="H79" s="125">
        <f t="shared" si="6"/>
        <v>45822</v>
      </c>
      <c r="I79" s="55">
        <v>8.02</v>
      </c>
      <c r="J79" s="59">
        <f>IFERROR(Inv_SY!J81/Inv_SY!$Y81-1,"")</f>
        <v>0.3143901044079771</v>
      </c>
      <c r="K79" s="59">
        <f>IFERROR(Inv_SY!K81/Inv_SY!$Y81-1,"")</f>
        <v>0.31355176903386694</v>
      </c>
      <c r="L79" s="59">
        <f>IFERROR(Inv_SY!L81/Inv_SY!$Y81-1,"")</f>
        <v>-1</v>
      </c>
      <c r="M79" s="59">
        <f>IFERROR(Inv_SY!M81/Inv_SY!$Y81-1,"")</f>
        <v>0.35858615681768335</v>
      </c>
      <c r="N79" s="59">
        <f>IFERROR(Inv_SY!N81/Inv_SY!$Y81-1,"")</f>
        <v>0.29929810435930615</v>
      </c>
      <c r="O79" s="59">
        <f>IFERROR(Inv_SY!O81/Inv_SY!$Y81-1,"")</f>
        <v>0.35395285879600524</v>
      </c>
      <c r="P79" s="59">
        <f>IFERROR(Inv_SY!P81/Inv_SY!$Y81-1,"")</f>
        <v>0.29199457369961368</v>
      </c>
      <c r="Q79" s="59">
        <f>IFERROR(Inv_SY!Q81/Inv_SY!$Y81-1,"")</f>
        <v>-1</v>
      </c>
      <c r="R79" s="59">
        <f>IFERROR(Inv_SY!R81/Inv_SY!$Y81-1,"")</f>
        <v>4.0808625667525522E-3</v>
      </c>
      <c r="S79" s="59">
        <f>IFERROR(Inv_SY!S81/Inv_SY!$Y81-1,"")</f>
        <v>2.3872898375601803E-2</v>
      </c>
      <c r="T79" s="59">
        <f>IFERROR(Inv_SY!T81/Inv_SY!$Y81-1,"")</f>
        <v>-8.3804265858558047E-3</v>
      </c>
      <c r="U79" s="59">
        <f>IFERROR(Inv_SY!U81/Inv_SY!$Y81-1,"")</f>
        <v>4.7810170004920716E-2</v>
      </c>
      <c r="V79" s="59">
        <f>IFERROR(Inv_SY!J81/Inv_SY!$Z81-1,"")</f>
        <v>0.29375019876524688</v>
      </c>
      <c r="W79" s="59">
        <f>IFERROR(Inv_SY!K81/Inv_SY!$Z81-1,"")</f>
        <v>0.292925027795647</v>
      </c>
      <c r="X79" s="59">
        <f>IFERROR(Inv_SY!L81/Inv_SY!$Z81-1,"")</f>
        <v>-1</v>
      </c>
      <c r="Y79" s="59">
        <f>IFERROR(Inv_SY!M81/Inv_SY!$Z81-1,"")</f>
        <v>0.33725223929183068</v>
      </c>
      <c r="Z79" s="59">
        <f>IFERROR(Inv_SY!N81/Inv_SY!$Z81-1,"")</f>
        <v>0.27889518882774622</v>
      </c>
      <c r="AA79" s="59">
        <f>IFERROR(Inv_SY!O81/Inv_SY!$Z81-1,"")</f>
        <v>0.33269169808235133</v>
      </c>
      <c r="AB79" s="59">
        <f>IFERROR(Inv_SY!P81/Inv_SY!$Z81-1,"")</f>
        <v>0.27170634572022645</v>
      </c>
      <c r="AC79" s="59">
        <f>IFERROR(Inv_SY!Q81/Inv_SY!$Z81-1,"")</f>
        <v>-1</v>
      </c>
      <c r="AD79" s="59">
        <f>IFERROR(Inv_SY!R81/Inv_SY!$Z81-1,"")</f>
        <v>-1.1686248119449294E-2</v>
      </c>
      <c r="AE79" s="59">
        <f>IFERROR(Inv_SY!S81/Inv_SY!$Z81-1,"")</f>
        <v>7.7949927814024988E-3</v>
      </c>
      <c r="AF79" s="59">
        <f>IFERROR(Inv_SY!T81/Inv_SY!$Z81-1,"")</f>
        <v>-2.3951857289810308E-2</v>
      </c>
      <c r="AG79" s="59">
        <f>IFERROR(Inv_SY!U81/Inv_SY!$Z81-1,"")</f>
        <v>3.1356376745319325E-2</v>
      </c>
      <c r="AH79" s="59">
        <f>IFERROR(Inv_SY!V81/Inv_SY!$Y81-1,"")</f>
        <v>-3.9145329342349378E-3</v>
      </c>
      <c r="AI79" s="59">
        <f>IFERROR(Inv_SY!W81/Inv_SY!$Y81-1,"")</f>
        <v>-1.2039014869992481E-2</v>
      </c>
      <c r="AJ79" s="59">
        <f>IFERROR(Inv_SY!X81/Inv_SY!$Y81-1,"")</f>
        <v>1.5953547804227641E-2</v>
      </c>
      <c r="AK79" s="59">
        <f>IFERROR(Inv_SY!V81/Inv_SY!$Z81-1,"")</f>
        <v>-1.955609169474648E-2</v>
      </c>
      <c r="AL79" s="59">
        <f>IFERROR(Inv_SY!W81/Inv_SY!$Z81-1,"")</f>
        <v>-2.7552994656812935E-2</v>
      </c>
      <c r="AM79" s="59">
        <f>IFERROR(Inv_SY!X81/Inv_SY!$Z81-1,"")</f>
        <v>0</v>
      </c>
    </row>
    <row r="80" spans="1:39" x14ac:dyDescent="0.3">
      <c r="A80" s="55">
        <f>YEAR(Table5[[#This Row],[Date]])+IF(MONTH(Table5[[#This Row],[Date]])&gt;=4,1,0)</f>
        <v>2026</v>
      </c>
      <c r="B80" s="55">
        <v>40</v>
      </c>
      <c r="C80" s="124">
        <f>YEAR(Table5[[#This Row],[Date]])</f>
        <v>2025</v>
      </c>
      <c r="D80" s="55" t="s">
        <v>329</v>
      </c>
      <c r="E80" s="55" t="s">
        <v>329</v>
      </c>
      <c r="F80" s="126" t="str">
        <f>TEXT(Table5[[#This Row],[Date]],"mmm-yy")</f>
        <v>Jun-25</v>
      </c>
      <c r="G80" s="124">
        <f t="shared" si="5"/>
        <v>30</v>
      </c>
      <c r="H80" s="125">
        <f t="shared" si="6"/>
        <v>45823</v>
      </c>
      <c r="I80" s="55">
        <v>8.02</v>
      </c>
      <c r="J80" s="59">
        <f>IFERROR(Inv_SY!J82/Inv_SY!$Y82-1,"")</f>
        <v>0.3282820044156618</v>
      </c>
      <c r="K80" s="59">
        <f>IFERROR(Inv_SY!K82/Inv_SY!$Y82-1,"")</f>
        <v>0.32772687663197542</v>
      </c>
      <c r="L80" s="59">
        <f>IFERROR(Inv_SY!L82/Inv_SY!$Y82-1,"")</f>
        <v>-1</v>
      </c>
      <c r="M80" s="59">
        <f>IFERROR(Inv_SY!M82/Inv_SY!$Y82-1,"")</f>
        <v>0.32987028668565355</v>
      </c>
      <c r="N80" s="59">
        <f>IFERROR(Inv_SY!N82/Inv_SY!$Y82-1,"")</f>
        <v>0.30741086816588914</v>
      </c>
      <c r="O80" s="59">
        <f>IFERROR(Inv_SY!O82/Inv_SY!$Y82-1,"")</f>
        <v>0.30059311027607927</v>
      </c>
      <c r="P80" s="59">
        <f>IFERROR(Inv_SY!P82/Inv_SY!$Y82-1,"")</f>
        <v>0.32071725080600078</v>
      </c>
      <c r="Q80" s="59">
        <f>IFERROR(Inv_SY!Q82/Inv_SY!$Y82-1,"")</f>
        <v>-1</v>
      </c>
      <c r="R80" s="59">
        <f>IFERROR(Inv_SY!R82/Inv_SY!$Y82-1,"")</f>
        <v>4.0468924555482788E-2</v>
      </c>
      <c r="S80" s="59">
        <f>IFERROR(Inv_SY!S82/Inv_SY!$Y82-1,"")</f>
        <v>3.8298979342072492E-2</v>
      </c>
      <c r="T80" s="59">
        <f>IFERROR(Inv_SY!T82/Inv_SY!$Y82-1,"")</f>
        <v>6.2095155918950873E-3</v>
      </c>
      <c r="U80" s="59">
        <f>IFERROR(Inv_SY!U82/Inv_SY!$Y82-1,"")</f>
        <v>7.4346118397161653E-4</v>
      </c>
      <c r="V80" s="59">
        <f>IFERROR(Inv_SY!J82/Inv_SY!$Z82-1,"")</f>
        <v>0.30176777034580282</v>
      </c>
      <c r="W80" s="59">
        <f>IFERROR(Inv_SY!K82/Inv_SY!$Z82-1,"")</f>
        <v>0.30122372363371608</v>
      </c>
      <c r="X80" s="59">
        <f>IFERROR(Inv_SY!L82/Inv_SY!$Z82-1,"")</f>
        <v>-1</v>
      </c>
      <c r="Y80" s="59">
        <f>IFERROR(Inv_SY!M82/Inv_SY!$Z82-1,"")</f>
        <v>0.30332434843871803</v>
      </c>
      <c r="Z80" s="59">
        <f>IFERROR(Inv_SY!N82/Inv_SY!$Z82-1,"")</f>
        <v>0.28131324908440658</v>
      </c>
      <c r="AA80" s="59">
        <f>IFERROR(Inv_SY!O82/Inv_SY!$Z82-1,"")</f>
        <v>0.27463158249743835</v>
      </c>
      <c r="AB80" s="59">
        <f>IFERROR(Inv_SY!P82/Inv_SY!$Z82-1,"")</f>
        <v>0.29435401904379987</v>
      </c>
      <c r="AC80" s="59">
        <f>IFERROR(Inv_SY!Q82/Inv_SY!$Z82-1,"")</f>
        <v>-1</v>
      </c>
      <c r="AD80" s="59">
        <f>IFERROR(Inv_SY!R82/Inv_SY!$Z82-1,"")</f>
        <v>1.9699813390557486E-2</v>
      </c>
      <c r="AE80" s="59">
        <f>IFERROR(Inv_SY!S82/Inv_SY!$Z82-1,"")</f>
        <v>1.7573183102077339E-2</v>
      </c>
      <c r="AF80" s="59">
        <f>IFERROR(Inv_SY!T82/Inv_SY!$Z82-1,"")</f>
        <v>-1.3875733271699664E-2</v>
      </c>
      <c r="AG80" s="59">
        <f>IFERROR(Inv_SY!U82/Inv_SY!$Z82-1,"")</f>
        <v>-1.9232678133962899E-2</v>
      </c>
      <c r="AH80" s="59">
        <f>IFERROR(Inv_SY!V82/Inv_SY!$Y82-1,"")</f>
        <v>-4.1908669893799821E-3</v>
      </c>
      <c r="AI80" s="59">
        <f>IFERROR(Inv_SY!W82/Inv_SY!$Y82-1,"")</f>
        <v>-1.6177000977435685E-2</v>
      </c>
      <c r="AJ80" s="59">
        <f>IFERROR(Inv_SY!X82/Inv_SY!$Y82-1,"")</f>
        <v>2.0367867966815334E-2</v>
      </c>
      <c r="AK80" s="59">
        <f>IFERROR(Inv_SY!V82/Inv_SY!$Z82-1,"")</f>
        <v>-2.4068510707938251E-2</v>
      </c>
      <c r="AL80" s="59">
        <f>IFERROR(Inv_SY!W82/Inv_SY!$Z82-1,"")</f>
        <v>-3.5815385893197993E-2</v>
      </c>
      <c r="AM80" s="59">
        <f>IFERROR(Inv_SY!X82/Inv_SY!$Z82-1,"")</f>
        <v>0</v>
      </c>
    </row>
    <row r="81" spans="1:39" x14ac:dyDescent="0.3">
      <c r="A81" s="55">
        <f>YEAR(Table5[[#This Row],[Date]])+IF(MONTH(Table5[[#This Row],[Date]])&gt;=4,1,0)</f>
        <v>2026</v>
      </c>
      <c r="B81" s="55">
        <v>41</v>
      </c>
      <c r="C81" s="124">
        <f>YEAR(Table5[[#This Row],[Date]])</f>
        <v>2025</v>
      </c>
      <c r="D81" s="55" t="s">
        <v>329</v>
      </c>
      <c r="E81" s="55" t="s">
        <v>329</v>
      </c>
      <c r="F81" s="126" t="str">
        <f>TEXT(Table5[[#This Row],[Date]],"mmm-yy")</f>
        <v>Jun-25</v>
      </c>
      <c r="G81" s="124">
        <f t="shared" si="5"/>
        <v>30</v>
      </c>
      <c r="H81" s="125">
        <f t="shared" si="6"/>
        <v>45824</v>
      </c>
      <c r="I81" s="55">
        <v>8.02</v>
      </c>
      <c r="J81" s="59">
        <f>IFERROR(Inv_SY!J83/Inv_SY!$Y83-1,"")</f>
        <v>0.32436942805164359</v>
      </c>
      <c r="K81" s="59">
        <f>IFERROR(Inv_SY!K83/Inv_SY!$Y83-1,"")</f>
        <v>0.37526019907514274</v>
      </c>
      <c r="L81" s="59">
        <f>IFERROR(Inv_SY!L83/Inv_SY!$Y83-1,"")</f>
        <v>-1</v>
      </c>
      <c r="M81" s="59">
        <f>IFERROR(Inv_SY!M83/Inv_SY!$Y83-1,"")</f>
        <v>0.30439505381912735</v>
      </c>
      <c r="N81" s="59">
        <f>IFERROR(Inv_SY!N83/Inv_SY!$Y83-1,"")</f>
        <v>0.34416283879114906</v>
      </c>
      <c r="O81" s="59">
        <f>IFERROR(Inv_SY!O83/Inv_SY!$Y83-1,"")</f>
        <v>0.28171910460193406</v>
      </c>
      <c r="P81" s="59">
        <f>IFERROR(Inv_SY!P83/Inv_SY!$Y83-1,"")</f>
        <v>0.2819157777804826</v>
      </c>
      <c r="Q81" s="59">
        <f>IFERROR(Inv_SY!Q83/Inv_SY!$Y83-1,"")</f>
        <v>-1</v>
      </c>
      <c r="R81" s="59">
        <f>IFERROR(Inv_SY!R83/Inv_SY!$Y83-1,"")</f>
        <v>1.2083496857272946E-2</v>
      </c>
      <c r="S81" s="59">
        <f>IFERROR(Inv_SY!S83/Inv_SY!$Y83-1,"")</f>
        <v>3.2028318698824387E-2</v>
      </c>
      <c r="T81" s="59">
        <f>IFERROR(Inv_SY!T83/Inv_SY!$Y83-1,"")</f>
        <v>5.1060925737972385E-2</v>
      </c>
      <c r="U81" s="59">
        <f>IFERROR(Inv_SY!U83/Inv_SY!$Y83-1,"")</f>
        <v>-6.6697840415264054E-3</v>
      </c>
      <c r="V81" s="59">
        <f>IFERROR(Inv_SY!J83/Inv_SY!$Z83-1,"")</f>
        <v>0.29687503756462519</v>
      </c>
      <c r="W81" s="59">
        <f>IFERROR(Inv_SY!K83/Inv_SY!$Z83-1,"")</f>
        <v>0.34670929769239645</v>
      </c>
      <c r="X81" s="59">
        <f>IFERROR(Inv_SY!L83/Inv_SY!$Z83-1,"")</f>
        <v>-1</v>
      </c>
      <c r="Y81" s="59">
        <f>IFERROR(Inv_SY!M83/Inv_SY!$Z83-1,"")</f>
        <v>0.2773153385981264</v>
      </c>
      <c r="Z81" s="59">
        <f>IFERROR(Inv_SY!N83/Inv_SY!$Z83-1,"")</f>
        <v>0.31625752990597444</v>
      </c>
      <c r="AA81" s="59">
        <f>IFERROR(Inv_SY!O83/Inv_SY!$Z83-1,"")</f>
        <v>0.25511015032514961</v>
      </c>
      <c r="AB81" s="59">
        <f>IFERROR(Inv_SY!P83/Inv_SY!$Z83-1,"")</f>
        <v>0.25530274049705759</v>
      </c>
      <c r="AC81" s="59">
        <f>IFERROR(Inv_SY!Q83/Inv_SY!$Z83-1,"")</f>
        <v>-1</v>
      </c>
      <c r="AD81" s="59">
        <f>IFERROR(Inv_SY!R83/Inv_SY!$Z83-1,"")</f>
        <v>-8.9277242406032853E-3</v>
      </c>
      <c r="AE81" s="59">
        <f>IFERROR(Inv_SY!S83/Inv_SY!$Z83-1,"")</f>
        <v>1.0603035853303799E-2</v>
      </c>
      <c r="AF81" s="59">
        <f>IFERROR(Inv_SY!T83/Inv_SY!$Z83-1,"")</f>
        <v>2.924051905552516E-2</v>
      </c>
      <c r="AG81" s="59">
        <f>IFERROR(Inv_SY!U83/Inv_SY!$Z83-1,"")</f>
        <v>-2.7291680214632241E-2</v>
      </c>
      <c r="AH81" s="59">
        <f>IFERROR(Inv_SY!V83/Inv_SY!$Y83-1,"")</f>
        <v>2.1613335657644228E-4</v>
      </c>
      <c r="AI81" s="59">
        <f>IFERROR(Inv_SY!W83/Inv_SY!$Y83-1,"")</f>
        <v>-2.1416626612002165E-2</v>
      </c>
      <c r="AJ81" s="59">
        <f>IFERROR(Inv_SY!X83/Inv_SY!$Y83-1,"")</f>
        <v>2.1200493255425501E-2</v>
      </c>
      <c r="AK81" s="59">
        <f>IFERROR(Inv_SY!V83/Inv_SY!$Z83-1,"")</f>
        <v>-2.0548716963457614E-2</v>
      </c>
      <c r="AL81" s="59">
        <f>IFERROR(Inv_SY!W83/Inv_SY!$Z83-1,"")</f>
        <v>-4.1732372975624932E-2</v>
      </c>
      <c r="AM81" s="59">
        <f>IFERROR(Inv_SY!X83/Inv_SY!$Z83-1,"")</f>
        <v>0</v>
      </c>
    </row>
    <row r="82" spans="1:39" x14ac:dyDescent="0.3">
      <c r="A82" s="55">
        <f>YEAR(Table5[[#This Row],[Date]])+IF(MONTH(Table5[[#This Row],[Date]])&gt;=4,1,0)</f>
        <v>2026</v>
      </c>
      <c r="B82" s="55">
        <v>42</v>
      </c>
      <c r="C82" s="124">
        <f>YEAR(Table5[[#This Row],[Date]])</f>
        <v>2025</v>
      </c>
      <c r="D82" s="55" t="s">
        <v>329</v>
      </c>
      <c r="E82" s="55" t="s">
        <v>329</v>
      </c>
      <c r="F82" s="126" t="str">
        <f>TEXT(Table5[[#This Row],[Date]],"mmm-yy")</f>
        <v>Jun-25</v>
      </c>
      <c r="G82" s="124">
        <f t="shared" si="5"/>
        <v>30</v>
      </c>
      <c r="H82" s="125">
        <f t="shared" si="6"/>
        <v>45825</v>
      </c>
      <c r="I82" s="55">
        <v>8.02</v>
      </c>
      <c r="J82" s="59">
        <f>IFERROR(Inv_SY!J84/Inv_SY!$Y84-1,"")</f>
        <v>0.32807536595116682</v>
      </c>
      <c r="K82" s="59">
        <f>IFERROR(Inv_SY!K84/Inv_SY!$Y84-1,"")</f>
        <v>0.32714075978230617</v>
      </c>
      <c r="L82" s="59">
        <f>IFERROR(Inv_SY!L84/Inv_SY!$Y84-1,"")</f>
        <v>-1</v>
      </c>
      <c r="M82" s="59">
        <f>IFERROR(Inv_SY!M84/Inv_SY!$Y84-1,"")</f>
        <v>0.30763464538707663</v>
      </c>
      <c r="N82" s="59">
        <f>IFERROR(Inv_SY!N84/Inv_SY!$Y84-1,"")</f>
        <v>0.31189129120243408</v>
      </c>
      <c r="O82" s="59">
        <f>IFERROR(Inv_SY!O84/Inv_SY!$Y84-1,"")</f>
        <v>0.30412666575393676</v>
      </c>
      <c r="P82" s="59">
        <f>IFERROR(Inv_SY!P84/Inv_SY!$Y84-1,"")</f>
        <v>0.30396146095716037</v>
      </c>
      <c r="Q82" s="59">
        <f>IFERROR(Inv_SY!Q84/Inv_SY!$Y84-1,"")</f>
        <v>-1</v>
      </c>
      <c r="R82" s="59">
        <f>IFERROR(Inv_SY!R84/Inv_SY!$Y84-1,"")</f>
        <v>3.2780974279290387E-2</v>
      </c>
      <c r="S82" s="59">
        <f>IFERROR(Inv_SY!S84/Inv_SY!$Y84-1,"")</f>
        <v>5.2952602226745027E-2</v>
      </c>
      <c r="T82" s="59">
        <f>IFERROR(Inv_SY!T84/Inv_SY!$Y84-1,"")</f>
        <v>1.9605918521586441E-2</v>
      </c>
      <c r="U82" s="59">
        <f>IFERROR(Inv_SY!U84/Inv_SY!$Y84-1,"")</f>
        <v>1.240389892680227E-2</v>
      </c>
      <c r="V82" s="59">
        <f>IFERROR(Inv_SY!J84/Inv_SY!$Z84-1,"")</f>
        <v>0.29143906813554055</v>
      </c>
      <c r="W82" s="59">
        <f>IFERROR(Inv_SY!K84/Inv_SY!$Z84-1,"")</f>
        <v>0.29053024402003369</v>
      </c>
      <c r="X82" s="59">
        <f>IFERROR(Inv_SY!L84/Inv_SY!$Z84-1,"")</f>
        <v>-1</v>
      </c>
      <c r="Y82" s="59">
        <f>IFERROR(Inv_SY!M84/Inv_SY!$Z84-1,"")</f>
        <v>0.27156222545470254</v>
      </c>
      <c r="Z82" s="59">
        <f>IFERROR(Inv_SY!N84/Inv_SY!$Z84-1,"")</f>
        <v>0.27570144740407665</v>
      </c>
      <c r="AA82" s="59">
        <f>IFERROR(Inv_SY!O84/Inv_SY!$Z84-1,"")</f>
        <v>0.26815101697617183</v>
      </c>
      <c r="AB82" s="59">
        <f>IFERROR(Inv_SY!P84/Inv_SY!$Z84-1,"")</f>
        <v>0.26799036952025901</v>
      </c>
      <c r="AC82" s="59">
        <f>IFERROR(Inv_SY!Q84/Inv_SY!$Z84-1,"")</f>
        <v>-1</v>
      </c>
      <c r="AD82" s="59">
        <f>IFERROR(Inv_SY!R84/Inv_SY!$Z84-1,"")</f>
        <v>4.2906699471190191E-3</v>
      </c>
      <c r="AE82" s="59">
        <f>IFERROR(Inv_SY!S84/Inv_SY!$Z84-1,"")</f>
        <v>2.3905843202426169E-2</v>
      </c>
      <c r="AF82" s="59">
        <f>IFERROR(Inv_SY!T84/Inv_SY!$Z84-1,"")</f>
        <v>-8.5209386156053224E-3</v>
      </c>
      <c r="AG82" s="59">
        <f>IFERROR(Inv_SY!U84/Inv_SY!$Z84-1,"")</f>
        <v>-1.552428323944044E-2</v>
      </c>
      <c r="AH82" s="59">
        <f>IFERROR(Inv_SY!V84/Inv_SY!$Y84-1,"")</f>
        <v>-1.0002475130816868E-2</v>
      </c>
      <c r="AI82" s="59">
        <f>IFERROR(Inv_SY!W84/Inv_SY!$Y84-1,"")</f>
        <v>-1.836610897011004E-2</v>
      </c>
      <c r="AJ82" s="59">
        <f>IFERROR(Inv_SY!X84/Inv_SY!$Y84-1,"")</f>
        <v>2.8368584100927352E-2</v>
      </c>
      <c r="AK82" s="59">
        <f>IFERROR(Inv_SY!V84/Inv_SY!$Z84-1,"")</f>
        <v>-3.7312554880593707E-2</v>
      </c>
      <c r="AL82" s="59">
        <f>IFERROR(Inv_SY!W84/Inv_SY!$Z84-1,"")</f>
        <v>-4.5445469448968212E-2</v>
      </c>
      <c r="AM82" s="59">
        <f>IFERROR(Inv_SY!X84/Inv_SY!$Z84-1,"")</f>
        <v>0</v>
      </c>
    </row>
    <row r="83" spans="1:39" x14ac:dyDescent="0.3">
      <c r="A83" s="55">
        <f>YEAR(Table5[[#This Row],[Date]])+IF(MONTH(Table5[[#This Row],[Date]])&gt;=4,1,0)</f>
        <v>2026</v>
      </c>
      <c r="B83" s="55">
        <v>43</v>
      </c>
      <c r="C83" s="124">
        <f>YEAR(Table5[[#This Row],[Date]])</f>
        <v>2025</v>
      </c>
      <c r="D83" s="55" t="s">
        <v>329</v>
      </c>
      <c r="E83" s="55" t="s">
        <v>329</v>
      </c>
      <c r="F83" s="126" t="str">
        <f>TEXT(Table5[[#This Row],[Date]],"mmm-yy")</f>
        <v>Jun-25</v>
      </c>
      <c r="G83" s="124">
        <f t="shared" si="5"/>
        <v>30</v>
      </c>
      <c r="H83" s="125">
        <f t="shared" si="6"/>
        <v>45826</v>
      </c>
      <c r="I83" s="55">
        <v>8.02</v>
      </c>
      <c r="J83" s="59">
        <f>IFERROR(Inv_SY!J85/Inv_SY!$Y85-1,"")</f>
        <v>0.31519779389564673</v>
      </c>
      <c r="K83" s="59">
        <f>IFERROR(Inv_SY!K85/Inv_SY!$Y85-1,"")</f>
        <v>0.31424538907609234</v>
      </c>
      <c r="L83" s="59">
        <f>IFERROR(Inv_SY!L85/Inv_SY!$Y85-1,"")</f>
        <v>-1</v>
      </c>
      <c r="M83" s="59">
        <f>IFERROR(Inv_SY!M85/Inv_SY!$Y85-1,"")</f>
        <v>0.33931142800832492</v>
      </c>
      <c r="N83" s="59">
        <f>IFERROR(Inv_SY!N85/Inv_SY!$Y85-1,"")</f>
        <v>0.29874509071395994</v>
      </c>
      <c r="O83" s="59">
        <f>IFERROR(Inv_SY!O85/Inv_SY!$Y85-1,"")</f>
        <v>0.28984677128384662</v>
      </c>
      <c r="P83" s="59">
        <f>IFERROR(Inv_SY!P85/Inv_SY!$Y85-1,"")</f>
        <v>0.33977416189381215</v>
      </c>
      <c r="Q83" s="59">
        <f>IFERROR(Inv_SY!Q85/Inv_SY!$Y85-1,"")</f>
        <v>-1</v>
      </c>
      <c r="R83" s="59">
        <f>IFERROR(Inv_SY!R85/Inv_SY!$Y85-1,"")</f>
        <v>6.3847726315593434E-2</v>
      </c>
      <c r="S83" s="59">
        <f>IFERROR(Inv_SY!S85/Inv_SY!$Y85-1,"")</f>
        <v>3.7173275316862098E-2</v>
      </c>
      <c r="T83" s="59">
        <f>IFERROR(Inv_SY!T85/Inv_SY!$Y85-1,"")</f>
        <v>4.6546391986621583E-3</v>
      </c>
      <c r="U83" s="59">
        <f>IFERROR(Inv_SY!U85/Inv_SY!$Y85-1,"")</f>
        <v>-2.631216948323245E-3</v>
      </c>
      <c r="V83" s="59">
        <f>IFERROR(Inv_SY!J85/Inv_SY!$Z85-1,"")</f>
        <v>0.28352754938286129</v>
      </c>
      <c r="W83" s="59">
        <f>IFERROR(Inv_SY!K85/Inv_SY!$Z85-1,"")</f>
        <v>0.28259807867530906</v>
      </c>
      <c r="X83" s="59">
        <f>IFERROR(Inv_SY!L85/Inv_SY!$Z85-1,"")</f>
        <v>-1</v>
      </c>
      <c r="Y83" s="59">
        <f>IFERROR(Inv_SY!M85/Inv_SY!$Z85-1,"")</f>
        <v>0.30706052202242473</v>
      </c>
      <c r="Z83" s="59">
        <f>IFERROR(Inv_SY!N85/Inv_SY!$Z85-1,"")</f>
        <v>0.26747103081696277</v>
      </c>
      <c r="AA83" s="59">
        <f>IFERROR(Inv_SY!O85/Inv_SY!$Z85-1,"")</f>
        <v>0.25878698482420814</v>
      </c>
      <c r="AB83" s="59">
        <f>IFERROR(Inv_SY!P85/Inv_SY!$Z85-1,"")</f>
        <v>0.30751211317685989</v>
      </c>
      <c r="AC83" s="59">
        <f>IFERROR(Inv_SY!Q85/Inv_SY!$Z85-1,"")</f>
        <v>-1</v>
      </c>
      <c r="AD83" s="59">
        <f>IFERROR(Inv_SY!R85/Inv_SY!$Z85-1,"")</f>
        <v>3.8230045254109557E-2</v>
      </c>
      <c r="AE83" s="59">
        <f>IFERROR(Inv_SY!S85/Inv_SY!$Z85-1,"")</f>
        <v>1.2197920747480939E-2</v>
      </c>
      <c r="AF83" s="59">
        <f>IFERROR(Inv_SY!T85/Inv_SY!$Z85-1,"")</f>
        <v>-1.9537659649468742E-2</v>
      </c>
      <c r="AG83" s="59">
        <f>IFERROR(Inv_SY!U85/Inv_SY!$Z85-1,"")</f>
        <v>-2.6648070820245229E-2</v>
      </c>
      <c r="AH83" s="59">
        <f>IFERROR(Inv_SY!V85/Inv_SY!$Y85-1,"")</f>
        <v>-8.4084276201509267E-3</v>
      </c>
      <c r="AI83" s="59">
        <f>IFERROR(Inv_SY!W85/Inv_SY!$Y85-1,"")</f>
        <v>-1.6265950836324317E-2</v>
      </c>
      <c r="AJ83" s="59">
        <f>IFERROR(Inv_SY!X85/Inv_SY!$Y85-1,"")</f>
        <v>2.4674378456475798E-2</v>
      </c>
      <c r="AK83" s="59">
        <f>IFERROR(Inv_SY!V85/Inv_SY!$Z85-1,"")</f>
        <v>-3.2286165021966462E-2</v>
      </c>
      <c r="AL83" s="59">
        <f>IFERROR(Inv_SY!W85/Inv_SY!$Z85-1,"")</f>
        <v>-3.9954477396488497E-2</v>
      </c>
      <c r="AM83" s="59">
        <f>IFERROR(Inv_SY!X85/Inv_SY!$Z85-1,"")</f>
        <v>0</v>
      </c>
    </row>
    <row r="84" spans="1:39" x14ac:dyDescent="0.3">
      <c r="A84" s="55">
        <f>YEAR(Table5[[#This Row],[Date]])+IF(MONTH(Table5[[#This Row],[Date]])&gt;=4,1,0)</f>
        <v>2026</v>
      </c>
      <c r="B84" s="55">
        <v>44</v>
      </c>
      <c r="C84" s="124">
        <f>YEAR(Table5[[#This Row],[Date]])</f>
        <v>2025</v>
      </c>
      <c r="D84" s="55" t="s">
        <v>329</v>
      </c>
      <c r="E84" s="55" t="s">
        <v>329</v>
      </c>
      <c r="F84" s="126" t="str">
        <f>TEXT(Table5[[#This Row],[Date]],"mmm-yy")</f>
        <v>Jun-25</v>
      </c>
      <c r="G84" s="124">
        <f t="shared" si="5"/>
        <v>30</v>
      </c>
      <c r="H84" s="125">
        <f t="shared" si="6"/>
        <v>45827</v>
      </c>
      <c r="I84" s="55">
        <v>8.02</v>
      </c>
      <c r="J84" s="59">
        <f>IFERROR(Inv_SY!J86/Inv_SY!$Y86-1,"")</f>
        <v>0.33766727055881041</v>
      </c>
      <c r="K84" s="59">
        <f>IFERROR(Inv_SY!K86/Inv_SY!$Y86-1,"")</f>
        <v>0.33610534925357949</v>
      </c>
      <c r="L84" s="59">
        <f>IFERROR(Inv_SY!L86/Inv_SY!$Y86-1,"")</f>
        <v>-1</v>
      </c>
      <c r="M84" s="59">
        <f>IFERROR(Inv_SY!M86/Inv_SY!$Y86-1,"")</f>
        <v>0.31662077539539379</v>
      </c>
      <c r="N84" s="59">
        <f>IFERROR(Inv_SY!N86/Inv_SY!$Y86-1,"")</f>
        <v>0.31827244445570302</v>
      </c>
      <c r="O84" s="59">
        <f>IFERROR(Inv_SY!O86/Inv_SY!$Y86-1,"")</f>
        <v>0.30966131547137388</v>
      </c>
      <c r="P84" s="59">
        <f>IFERROR(Inv_SY!P86/Inv_SY!$Y86-1,"")</f>
        <v>0.31019049099555018</v>
      </c>
      <c r="Q84" s="59">
        <f>IFERROR(Inv_SY!Q86/Inv_SY!$Y86-1,"")</f>
        <v>-1</v>
      </c>
      <c r="R84" s="59">
        <f>IFERROR(Inv_SY!R86/Inv_SY!$Y86-1,"")</f>
        <v>2.0712453082827764E-2</v>
      </c>
      <c r="S84" s="59">
        <f>IFERROR(Inv_SY!S86/Inv_SY!$Y86-1,"")</f>
        <v>4.1187084278678565E-2</v>
      </c>
      <c r="T84" s="59">
        <f>IFERROR(Inv_SY!T86/Inv_SY!$Y86-1,"")</f>
        <v>8.1446960080073794E-3</v>
      </c>
      <c r="U84" s="59">
        <f>IFERROR(Inv_SY!U86/Inv_SY!$Y86-1,"")</f>
        <v>1.9463211666121971E-3</v>
      </c>
      <c r="V84" s="59">
        <f>IFERROR(Inv_SY!J86/Inv_SY!$Z86-1,"")</f>
        <v>0.31537881681144952</v>
      </c>
      <c r="W84" s="59">
        <f>IFERROR(Inv_SY!K86/Inv_SY!$Z86-1,"")</f>
        <v>0.31384292052120921</v>
      </c>
      <c r="X84" s="59">
        <f>IFERROR(Inv_SY!L86/Inv_SY!$Z86-1,"")</f>
        <v>-1</v>
      </c>
      <c r="Y84" s="59">
        <f>IFERROR(Inv_SY!M86/Inv_SY!$Z86-1,"")</f>
        <v>0.29468300215305709</v>
      </c>
      <c r="Z84" s="59">
        <f>IFERROR(Inv_SY!N86/Inv_SY!$Z86-1,"")</f>
        <v>0.2963071508050652</v>
      </c>
      <c r="AA84" s="59">
        <f>IFERROR(Inv_SY!O86/Inv_SY!$Z86-1,"")</f>
        <v>0.28783950200770336</v>
      </c>
      <c r="AB84" s="59">
        <f>IFERROR(Inv_SY!P86/Inv_SY!$Z86-1,"")</f>
        <v>0.28835986031368632</v>
      </c>
      <c r="AC84" s="59">
        <f>IFERROR(Inv_SY!Q86/Inv_SY!$Z86-1,"")</f>
        <v>-1</v>
      </c>
      <c r="AD84" s="59">
        <f>IFERROR(Inv_SY!R86/Inv_SY!$Z86-1,"")</f>
        <v>3.7051577706026517E-3</v>
      </c>
      <c r="AE84" s="59">
        <f>IFERROR(Inv_SY!S86/Inv_SY!$Z86-1,"")</f>
        <v>2.3838636962179471E-2</v>
      </c>
      <c r="AF84" s="59">
        <f>IFERROR(Inv_SY!T86/Inv_SY!$Z86-1,"")</f>
        <v>-8.6531930651361222E-3</v>
      </c>
      <c r="AG84" s="59">
        <f>IFERROR(Inv_SY!U86/Inv_SY!$Z86-1,"")</f>
        <v>-1.4748289465022046E-2</v>
      </c>
      <c r="AH84" s="59">
        <f>IFERROR(Inv_SY!V86/Inv_SY!$Y86-1,"")</f>
        <v>-3.1221992854587599E-3</v>
      </c>
      <c r="AI84" s="59">
        <f>IFERROR(Inv_SY!W86/Inv_SY!$Y86-1,"")</f>
        <v>-1.382231393194977E-2</v>
      </c>
      <c r="AJ84" s="59">
        <f>IFERROR(Inv_SY!X86/Inv_SY!$Y86-1,"")</f>
        <v>1.6944513217408641E-2</v>
      </c>
      <c r="AK84" s="59">
        <f>IFERROR(Inv_SY!V86/Inv_SY!$Z86-1,"")</f>
        <v>-1.9732357313557158E-2</v>
      </c>
      <c r="AL84" s="59">
        <f>IFERROR(Inv_SY!W86/Inv_SY!$Z86-1,"")</f>
        <v>-3.025418471654695E-2</v>
      </c>
      <c r="AM84" s="59">
        <f>IFERROR(Inv_SY!X86/Inv_SY!$Z86-1,"")</f>
        <v>0</v>
      </c>
    </row>
    <row r="85" spans="1:39" x14ac:dyDescent="0.3">
      <c r="A85" s="55">
        <f>YEAR(Table5[[#This Row],[Date]])+IF(MONTH(Table5[[#This Row],[Date]])&gt;=4,1,0)</f>
        <v>2026</v>
      </c>
      <c r="B85" s="55">
        <v>45</v>
      </c>
      <c r="C85" s="124">
        <f>YEAR(Table5[[#This Row],[Date]])</f>
        <v>2025</v>
      </c>
      <c r="D85" s="55" t="s">
        <v>329</v>
      </c>
      <c r="E85" s="55" t="s">
        <v>329</v>
      </c>
      <c r="F85" s="126" t="str">
        <f>TEXT(Table5[[#This Row],[Date]],"mmm-yy")</f>
        <v>Jun-25</v>
      </c>
      <c r="G85" s="124">
        <f t="shared" si="5"/>
        <v>30</v>
      </c>
      <c r="H85" s="125">
        <f t="shared" si="6"/>
        <v>45828</v>
      </c>
      <c r="I85" s="55">
        <v>8.02</v>
      </c>
      <c r="J85" s="59">
        <f>IFERROR(Inv_SY!J87/Inv_SY!$Y87-1,"")</f>
        <v>0.31607482635609352</v>
      </c>
      <c r="K85" s="59">
        <f>IFERROR(Inv_SY!K87/Inv_SY!$Y87-1,"")</f>
        <v>0.33838374720461961</v>
      </c>
      <c r="L85" s="59">
        <f>IFERROR(Inv_SY!L87/Inv_SY!$Y87-1,"")</f>
        <v>-1</v>
      </c>
      <c r="M85" s="59">
        <f>IFERROR(Inv_SY!M87/Inv_SY!$Y87-1,"")</f>
        <v>0.29678756277397778</v>
      </c>
      <c r="N85" s="59">
        <f>IFERROR(Inv_SY!N87/Inv_SY!$Y87-1,"")</f>
        <v>0.32629325465646919</v>
      </c>
      <c r="O85" s="59">
        <f>IFERROR(Inv_SY!O87/Inv_SY!$Y87-1,"")</f>
        <v>0.29514930820874263</v>
      </c>
      <c r="P85" s="59">
        <f>IFERROR(Inv_SY!P87/Inv_SY!$Y87-1,"")</f>
        <v>0.29603473561084104</v>
      </c>
      <c r="Q85" s="59">
        <f>IFERROR(Inv_SY!Q87/Inv_SY!$Y87-1,"")</f>
        <v>-1</v>
      </c>
      <c r="R85" s="59">
        <f>IFERROR(Inv_SY!R87/Inv_SY!$Y87-1,"")</f>
        <v>3.0914524775521812E-2</v>
      </c>
      <c r="S85" s="59">
        <f>IFERROR(Inv_SY!S87/Inv_SY!$Y87-1,"")</f>
        <v>5.113923422729405E-2</v>
      </c>
      <c r="T85" s="59">
        <f>IFERROR(Inv_SY!T87/Inv_SY!$Y87-1,"")</f>
        <v>3.9172668117355425E-2</v>
      </c>
      <c r="U85" s="59">
        <f>IFERROR(Inv_SY!U87/Inv_SY!$Y87-1,"")</f>
        <v>1.0530527394051692E-2</v>
      </c>
      <c r="V85" s="59">
        <f>IFERROR(Inv_SY!J87/Inv_SY!$Z87-1,"")</f>
        <v>0.27536226289305388</v>
      </c>
      <c r="W85" s="59">
        <f>IFERROR(Inv_SY!K87/Inv_SY!$Z87-1,"")</f>
        <v>0.29698106085673448</v>
      </c>
      <c r="X85" s="59">
        <f>IFERROR(Inv_SY!L87/Inv_SY!$Z87-1,"")</f>
        <v>-1</v>
      </c>
      <c r="Y85" s="59">
        <f>IFERROR(Inv_SY!M87/Inv_SY!$Z87-1,"")</f>
        <v>0.25667164771336171</v>
      </c>
      <c r="Z85" s="59">
        <f>IFERROR(Inv_SY!N87/Inv_SY!$Z87-1,"")</f>
        <v>0.2852645857544831</v>
      </c>
      <c r="AA85" s="59">
        <f>IFERROR(Inv_SY!O87/Inv_SY!$Z87-1,"")</f>
        <v>0.25508407229008712</v>
      </c>
      <c r="AB85" s="59">
        <f>IFERROR(Inv_SY!P87/Inv_SY!$Z87-1,"")</f>
        <v>0.25594210913765325</v>
      </c>
      <c r="AC85" s="59">
        <f>IFERROR(Inv_SY!Q87/Inv_SY!$Z87-1,"")</f>
        <v>-1</v>
      </c>
      <c r="AD85" s="59">
        <f>IFERROR(Inv_SY!R87/Inv_SY!$Z87-1,"")</f>
        <v>-9.7665053941164981E-4</v>
      </c>
      <c r="AE85" s="59">
        <f>IFERROR(Inv_SY!S87/Inv_SY!$Z87-1,"")</f>
        <v>1.8622410772462183E-2</v>
      </c>
      <c r="AF85" s="59">
        <f>IFERROR(Inv_SY!T87/Inv_SY!$Z87-1,"")</f>
        <v>7.0260284639527271E-3</v>
      </c>
      <c r="AG85" s="59">
        <f>IFERROR(Inv_SY!U87/Inv_SY!$Z87-1,"")</f>
        <v>-2.0730072234451113E-2</v>
      </c>
      <c r="AH85" s="59">
        <f>IFERROR(Inv_SY!V87/Inv_SY!$Y87-1,"")</f>
        <v>-1.29296672724456E-2</v>
      </c>
      <c r="AI85" s="59">
        <f>IFERROR(Inv_SY!W87/Inv_SY!$Y87-1,"")</f>
        <v>-1.8992685025078559E-2</v>
      </c>
      <c r="AJ85" s="59">
        <f>IFERROR(Inv_SY!X87/Inv_SY!$Y87-1,"")</f>
        <v>3.1922352297524048E-2</v>
      </c>
      <c r="AK85" s="59">
        <f>IFERROR(Inv_SY!V87/Inv_SY!$Z87-1,"")</f>
        <v>-4.3464529545376163E-2</v>
      </c>
      <c r="AL85" s="59">
        <f>IFERROR(Inv_SY!W87/Inv_SY!$Z87-1,"")</f>
        <v>-4.9339988817223457E-2</v>
      </c>
      <c r="AM85" s="59">
        <f>IFERROR(Inv_SY!X87/Inv_SY!$Z87-1,"")</f>
        <v>0</v>
      </c>
    </row>
    <row r="86" spans="1:39" x14ac:dyDescent="0.3">
      <c r="A86" s="55">
        <f>YEAR(Table5[[#This Row],[Date]])+IF(MONTH(Table5[[#This Row],[Date]])&gt;=4,1,0)</f>
        <v>2026</v>
      </c>
      <c r="B86" s="55">
        <v>46</v>
      </c>
      <c r="C86" s="124">
        <f>YEAR(Table5[[#This Row],[Date]])</f>
        <v>2025</v>
      </c>
      <c r="D86" s="55" t="s">
        <v>329</v>
      </c>
      <c r="E86" s="55" t="s">
        <v>329</v>
      </c>
      <c r="F86" s="126" t="str">
        <f>TEXT(Table5[[#This Row],[Date]],"mmm-yy")</f>
        <v>Jun-25</v>
      </c>
      <c r="G86" s="124">
        <f t="shared" si="5"/>
        <v>30</v>
      </c>
      <c r="H86" s="125">
        <f t="shared" si="6"/>
        <v>45829</v>
      </c>
      <c r="I86" s="55">
        <v>8.02</v>
      </c>
      <c r="J86" s="59">
        <f>IFERROR(Inv_SY!J88/Inv_SY!$Y88-1,"")</f>
        <v>0.32448145499396941</v>
      </c>
      <c r="K86" s="59">
        <f>IFERROR(Inv_SY!K88/Inv_SY!$Y88-1,"")</f>
        <v>0.32479565565226842</v>
      </c>
      <c r="L86" s="59">
        <f>IFERROR(Inv_SY!L88/Inv_SY!$Y88-1,"")</f>
        <v>-1</v>
      </c>
      <c r="M86" s="59">
        <f>IFERROR(Inv_SY!M88/Inv_SY!$Y88-1,"")</f>
        <v>0.32918449024438301</v>
      </c>
      <c r="N86" s="59">
        <f>IFERROR(Inv_SY!N88/Inv_SY!$Y88-1,"")</f>
        <v>0.30167666819801275</v>
      </c>
      <c r="O86" s="59">
        <f>IFERROR(Inv_SY!O88/Inv_SY!$Y88-1,"")</f>
        <v>0.32048647088615367</v>
      </c>
      <c r="P86" s="59">
        <f>IFERROR(Inv_SY!P88/Inv_SY!$Y88-1,"")</f>
        <v>0.2946828705941027</v>
      </c>
      <c r="Q86" s="59">
        <f>IFERROR(Inv_SY!Q88/Inv_SY!$Y88-1,"")</f>
        <v>-1</v>
      </c>
      <c r="R86" s="59">
        <f>IFERROR(Inv_SY!R88/Inv_SY!$Y88-1,"")</f>
        <v>2.4821518221041838E-2</v>
      </c>
      <c r="S86" s="59">
        <f>IFERROR(Inv_SY!S88/Inv_SY!$Y88-1,"")</f>
        <v>4.3640491433470707E-2</v>
      </c>
      <c r="T86" s="59">
        <f>IFERROR(Inv_SY!T88/Inv_SY!$Y88-1,"")</f>
        <v>1.064196943677298E-2</v>
      </c>
      <c r="U86" s="59">
        <f>IFERROR(Inv_SY!U88/Inv_SY!$Y88-1,"")</f>
        <v>2.5677693474678964E-2</v>
      </c>
      <c r="V86" s="59">
        <f>IFERROR(Inv_SY!J88/Inv_SY!$Z88-1,"")</f>
        <v>0.2919405349255042</v>
      </c>
      <c r="W86" s="59">
        <f>IFERROR(Inv_SY!K88/Inv_SY!$Z88-1,"")</f>
        <v>0.29224701605064651</v>
      </c>
      <c r="X86" s="59">
        <f>IFERROR(Inv_SY!L88/Inv_SY!$Z88-1,"")</f>
        <v>-1</v>
      </c>
      <c r="Y86" s="59">
        <f>IFERROR(Inv_SY!M88/Inv_SY!$Z88-1,"")</f>
        <v>0.29652802224311281</v>
      </c>
      <c r="Z86" s="59">
        <f>IFERROR(Inv_SY!N88/Inv_SY!$Z88-1,"")</f>
        <v>0.26969603437705025</v>
      </c>
      <c r="AA86" s="59">
        <f>IFERROR(Inv_SY!O88/Inv_SY!$Z88-1,"")</f>
        <v>0.2880437027835292</v>
      </c>
      <c r="AB86" s="59">
        <f>IFERROR(Inv_SY!P88/Inv_SY!$Z88-1,"")</f>
        <v>0.2628740659882236</v>
      </c>
      <c r="AC86" s="59">
        <f>IFERROR(Inv_SY!Q88/Inv_SY!$Z88-1,"")</f>
        <v>-1</v>
      </c>
      <c r="AD86" s="59">
        <f>IFERROR(Inv_SY!R88/Inv_SY!$Z88-1,"")</f>
        <v>-3.5711677088856586E-4</v>
      </c>
      <c r="AE86" s="59">
        <f>IFERROR(Inv_SY!S88/Inv_SY!$Z88-1,"")</f>
        <v>1.7999496851100361E-2</v>
      </c>
      <c r="AF86" s="59">
        <f>IFERROR(Inv_SY!T88/Inv_SY!$Z88-1,"")</f>
        <v>-1.4188291055947988E-2</v>
      </c>
      <c r="AG86" s="59">
        <f>IFERROR(Inv_SY!U88/Inv_SY!$Z88-1,"")</f>
        <v>4.7802328411417072E-4</v>
      </c>
      <c r="AH86" s="59">
        <f>IFERROR(Inv_SY!V88/Inv_SY!$Y88-1,"")</f>
        <v>-6.0368587356196546E-3</v>
      </c>
      <c r="AI86" s="59">
        <f>IFERROR(Inv_SY!W88/Inv_SY!$Y88-1,"")</f>
        <v>-1.9150771181373205E-2</v>
      </c>
      <c r="AJ86" s="59">
        <f>IFERROR(Inv_SY!X88/Inv_SY!$Y88-1,"")</f>
        <v>2.518762991699286E-2</v>
      </c>
      <c r="AK86" s="59">
        <f>IFERROR(Inv_SY!V88/Inv_SY!$Z88-1,"")</f>
        <v>-3.0457340433517111E-2</v>
      </c>
      <c r="AL86" s="59">
        <f>IFERROR(Inv_SY!W88/Inv_SY!$Z88-1,"")</f>
        <v>-4.3249059786212851E-2</v>
      </c>
      <c r="AM86" s="59">
        <f>IFERROR(Inv_SY!X88/Inv_SY!$Z88-1,"")</f>
        <v>0</v>
      </c>
    </row>
    <row r="87" spans="1:39" x14ac:dyDescent="0.3">
      <c r="A87" s="55">
        <f>YEAR(Table5[[#This Row],[Date]])+IF(MONTH(Table5[[#This Row],[Date]])&gt;=4,1,0)</f>
        <v>2026</v>
      </c>
      <c r="B87" s="55">
        <v>47</v>
      </c>
      <c r="C87" s="124">
        <f>YEAR(Table5[[#This Row],[Date]])</f>
        <v>2025</v>
      </c>
      <c r="D87" s="55" t="s">
        <v>329</v>
      </c>
      <c r="E87" s="55" t="s">
        <v>329</v>
      </c>
      <c r="F87" s="126" t="str">
        <f>TEXT(Table5[[#This Row],[Date]],"mmm-yy")</f>
        <v>Jun-25</v>
      </c>
      <c r="G87" s="124">
        <f t="shared" si="5"/>
        <v>30</v>
      </c>
      <c r="H87" s="125">
        <f t="shared" si="6"/>
        <v>45830</v>
      </c>
      <c r="I87" s="55">
        <v>8.02</v>
      </c>
      <c r="J87" s="59">
        <f>IFERROR(Inv_SY!J89/Inv_SY!$Y89-1,"")</f>
        <v>0.31315212682192461</v>
      </c>
      <c r="K87" s="59">
        <f>IFERROR(Inv_SY!K89/Inv_SY!$Y89-1,"")</f>
        <v>0.31337436135815944</v>
      </c>
      <c r="L87" s="59">
        <f>IFERROR(Inv_SY!L89/Inv_SY!$Y89-1,"")</f>
        <v>-1</v>
      </c>
      <c r="M87" s="59">
        <f>IFERROR(Inv_SY!M89/Inv_SY!$Y89-1,"")</f>
        <v>0.3383306446642087</v>
      </c>
      <c r="N87" s="59">
        <f>IFERROR(Inv_SY!N89/Inv_SY!$Y89-1,"")</f>
        <v>0.29757072741723034</v>
      </c>
      <c r="O87" s="59">
        <f>IFERROR(Inv_SY!O89/Inv_SY!$Y89-1,"")</f>
        <v>0.28885830086787578</v>
      </c>
      <c r="P87" s="59">
        <f>IFERROR(Inv_SY!P89/Inv_SY!$Y89-1,"")</f>
        <v>0.33574406300199588</v>
      </c>
      <c r="Q87" s="59">
        <f>IFERROR(Inv_SY!Q89/Inv_SY!$Y89-1,"")</f>
        <v>-1</v>
      </c>
      <c r="R87" s="59">
        <f>IFERROR(Inv_SY!R89/Inv_SY!$Y89-1,"")</f>
        <v>5.2694475349611913E-2</v>
      </c>
      <c r="S87" s="59">
        <f>IFERROR(Inv_SY!S89/Inv_SY!$Y89-1,"")</f>
        <v>4.4625371078280685E-2</v>
      </c>
      <c r="T87" s="59">
        <f>IFERROR(Inv_SY!T89/Inv_SY!$Y89-1,"")</f>
        <v>1.1648986965665076E-2</v>
      </c>
      <c r="U87" s="59">
        <f>IFERROR(Inv_SY!U89/Inv_SY!$Y89-1,"")</f>
        <v>4.1464915428925941E-3</v>
      </c>
      <c r="V87" s="59">
        <f>IFERROR(Inv_SY!J89/Inv_SY!$Z89-1,"")</f>
        <v>0.27838311836377772</v>
      </c>
      <c r="W87" s="59">
        <f>IFERROR(Inv_SY!K89/Inv_SY!$Z89-1,"")</f>
        <v>0.27859946868118368</v>
      </c>
      <c r="X87" s="59">
        <f>IFERROR(Inv_SY!L89/Inv_SY!$Z89-1,"")</f>
        <v>-1</v>
      </c>
      <c r="Y87" s="59">
        <f>IFERROR(Inv_SY!M89/Inv_SY!$Z89-1,"")</f>
        <v>0.30289497155850076</v>
      </c>
      <c r="Z87" s="59">
        <f>IFERROR(Inv_SY!N89/Inv_SY!$Z89-1,"")</f>
        <v>0.26321427573497114</v>
      </c>
      <c r="AA87" s="59">
        <f>IFERROR(Inv_SY!O89/Inv_SY!$Z89-1,"")</f>
        <v>0.25473253261231044</v>
      </c>
      <c r="AB87" s="59">
        <f>IFERROR(Inv_SY!P89/Inv_SY!$Z89-1,"")</f>
        <v>0.30037687615759312</v>
      </c>
      <c r="AC87" s="59">
        <f>IFERROR(Inv_SY!Q89/Inv_SY!$Z89-1,"")</f>
        <v>-1</v>
      </c>
      <c r="AD87" s="59">
        <f>IFERROR(Inv_SY!R89/Inv_SY!$Z89-1,"")</f>
        <v>2.4821738924277303E-2</v>
      </c>
      <c r="AE87" s="59">
        <f>IFERROR(Inv_SY!S89/Inv_SY!$Z89-1,"")</f>
        <v>1.6966284502745621E-2</v>
      </c>
      <c r="AF87" s="59">
        <f>IFERROR(Inv_SY!T89/Inv_SY!$Z89-1,"")</f>
        <v>-1.5136966821435394E-2</v>
      </c>
      <c r="AG87" s="59">
        <f>IFERROR(Inv_SY!U89/Inv_SY!$Z89-1,"")</f>
        <v>-2.2440814790128827E-2</v>
      </c>
      <c r="AH87" s="59">
        <f>IFERROR(Inv_SY!V89/Inv_SY!$Y89-1,"")</f>
        <v>-9.3808702163914459E-3</v>
      </c>
      <c r="AI87" s="59">
        <f>IFERROR(Inv_SY!W89/Inv_SY!$Y89-1,"")</f>
        <v>-1.7816773399748187E-2</v>
      </c>
      <c r="AJ87" s="59">
        <f>IFERROR(Inv_SY!X89/Inv_SY!$Y89-1,"")</f>
        <v>2.7197643616139189E-2</v>
      </c>
      <c r="AK87" s="59">
        <f>IFERROR(Inv_SY!V89/Inv_SY!$Z89-1,"")</f>
        <v>-3.5610005591290017E-2</v>
      </c>
      <c r="AL87" s="59">
        <f>IFERROR(Inv_SY!W89/Inv_SY!$Z89-1,"")</f>
        <v>-4.382254700022381E-2</v>
      </c>
      <c r="AM87" s="59">
        <f>IFERROR(Inv_SY!X89/Inv_SY!$Z89-1,"")</f>
        <v>0</v>
      </c>
    </row>
    <row r="88" spans="1:39" x14ac:dyDescent="0.3">
      <c r="A88" s="55">
        <f>YEAR(Table5[[#This Row],[Date]])+IF(MONTH(Table5[[#This Row],[Date]])&gt;=4,1,0)</f>
        <v>2026</v>
      </c>
      <c r="B88" s="55">
        <v>48</v>
      </c>
      <c r="C88" s="124">
        <f>YEAR(Table5[[#This Row],[Date]])</f>
        <v>2025</v>
      </c>
      <c r="D88" s="55" t="s">
        <v>329</v>
      </c>
      <c r="E88" s="55" t="s">
        <v>329</v>
      </c>
      <c r="F88" s="126" t="str">
        <f>TEXT(Table5[[#This Row],[Date]],"mmm-yy")</f>
        <v>Jun-25</v>
      </c>
      <c r="G88" s="124">
        <f t="shared" si="5"/>
        <v>30</v>
      </c>
      <c r="H88" s="125">
        <f t="shared" si="6"/>
        <v>45831</v>
      </c>
      <c r="I88" s="55">
        <v>8.02</v>
      </c>
      <c r="J88" s="59">
        <f>IFERROR(Inv_SY!J90/Inv_SY!$Y90-1,"")</f>
        <v>0.3526254441972041</v>
      </c>
      <c r="K88" s="59">
        <f>IFERROR(Inv_SY!K90/Inv_SY!$Y90-1,"")</f>
        <v>0.32741440536914346</v>
      </c>
      <c r="L88" s="59">
        <f>IFERROR(Inv_SY!L90/Inv_SY!$Y90-1,"")</f>
        <v>-1</v>
      </c>
      <c r="M88" s="59">
        <f>IFERROR(Inv_SY!M90/Inv_SY!$Y90-1,"")</f>
        <v>0.3076805828276814</v>
      </c>
      <c r="N88" s="59">
        <f>IFERROR(Inv_SY!N90/Inv_SY!$Y90-1,"")</f>
        <v>0.33149562538989352</v>
      </c>
      <c r="O88" s="59">
        <f>IFERROR(Inv_SY!O90/Inv_SY!$Y90-1,"")</f>
        <v>0.29833691591116596</v>
      </c>
      <c r="P88" s="59">
        <f>IFERROR(Inv_SY!P90/Inv_SY!$Y90-1,"")</f>
        <v>0.29949318137105396</v>
      </c>
      <c r="Q88" s="59">
        <f>IFERROR(Inv_SY!Q90/Inv_SY!$Y90-1,"")</f>
        <v>-1</v>
      </c>
      <c r="R88" s="59">
        <f>IFERROR(Inv_SY!R90/Inv_SY!$Y90-1,"")</f>
        <v>1.8916210712699222E-2</v>
      </c>
      <c r="S88" s="59">
        <f>IFERROR(Inv_SY!S90/Inv_SY!$Y90-1,"")</f>
        <v>6.2571755180264033E-2</v>
      </c>
      <c r="T88" s="59">
        <f>IFERROR(Inv_SY!T90/Inv_SY!$Y90-1,"")</f>
        <v>4.8118433149784146E-3</v>
      </c>
      <c r="U88" s="59">
        <f>IFERROR(Inv_SY!U90/Inv_SY!$Y90-1,"")</f>
        <v>-2.2342696541824969E-3</v>
      </c>
      <c r="V88" s="59">
        <f>IFERROR(Inv_SY!J90/Inv_SY!$Z90-1,"")</f>
        <v>0.3263011778236633</v>
      </c>
      <c r="W88" s="59">
        <f>IFERROR(Inv_SY!K90/Inv_SY!$Z90-1,"")</f>
        <v>0.30158078635441954</v>
      </c>
      <c r="X88" s="59">
        <f>IFERROR(Inv_SY!L90/Inv_SY!$Z90-1,"")</f>
        <v>-1</v>
      </c>
      <c r="Y88" s="59">
        <f>IFERROR(Inv_SY!M90/Inv_SY!$Z90-1,"")</f>
        <v>0.28223101573463172</v>
      </c>
      <c r="Z88" s="59">
        <f>IFERROR(Inv_SY!N90/Inv_SY!$Z90-1,"")</f>
        <v>0.30558257927033705</v>
      </c>
      <c r="AA88" s="59">
        <f>IFERROR(Inv_SY!O90/Inv_SY!$Z90-1,"")</f>
        <v>0.27306919160236331</v>
      </c>
      <c r="AB88" s="59">
        <f>IFERROR(Inv_SY!P90/Inv_SY!$Z90-1,"")</f>
        <v>0.2742029542769493</v>
      </c>
      <c r="AC88" s="59">
        <f>IFERROR(Inv_SY!Q90/Inv_SY!$Z90-1,"")</f>
        <v>-1</v>
      </c>
      <c r="AD88" s="59">
        <f>IFERROR(Inv_SY!R90/Inv_SY!$Z90-1,"")</f>
        <v>-9.1353732153132139E-4</v>
      </c>
      <c r="AE88" s="59">
        <f>IFERROR(Inv_SY!S90/Inv_SY!$Z90-1,"")</f>
        <v>4.1892400045874245E-2</v>
      </c>
      <c r="AF88" s="59">
        <f>IFERROR(Inv_SY!T90/Inv_SY!$Z90-1,"")</f>
        <v>-1.4743411047703492E-2</v>
      </c>
      <c r="AG88" s="59">
        <f>IFERROR(Inv_SY!U90/Inv_SY!$Z90-1,"")</f>
        <v>-2.1652395327252605E-2</v>
      </c>
      <c r="AH88" s="59">
        <f>IFERROR(Inv_SY!V90/Inv_SY!$Y90-1,"")</f>
        <v>-3.8222549448598819E-3</v>
      </c>
      <c r="AI88" s="59">
        <f>IFERROR(Inv_SY!W90/Inv_SY!$Y90-1,"")</f>
        <v>-1.6025624868333588E-2</v>
      </c>
      <c r="AJ88" s="59">
        <f>IFERROR(Inv_SY!X90/Inv_SY!$Y90-1,"")</f>
        <v>1.9847879813193137E-2</v>
      </c>
      <c r="AK88" s="59">
        <f>IFERROR(Inv_SY!V90/Inv_SY!$Z90-1,"")</f>
        <v>-2.3209475870449192E-2</v>
      </c>
      <c r="AL88" s="59">
        <f>IFERROR(Inv_SY!W90/Inv_SY!$Z90-1,"")</f>
        <v>-3.51753485903189E-2</v>
      </c>
      <c r="AM88" s="59">
        <f>IFERROR(Inv_SY!X90/Inv_SY!$Z90-1,"")</f>
        <v>0</v>
      </c>
    </row>
    <row r="89" spans="1:39" x14ac:dyDescent="0.3">
      <c r="A89" s="55">
        <f>YEAR(Table5[[#This Row],[Date]])+IF(MONTH(Table5[[#This Row],[Date]])&gt;=4,1,0)</f>
        <v>2026</v>
      </c>
      <c r="B89" s="55">
        <v>49</v>
      </c>
      <c r="C89" s="124">
        <f>YEAR(Table5[[#This Row],[Date]])</f>
        <v>2025</v>
      </c>
      <c r="D89" s="55" t="s">
        <v>329</v>
      </c>
      <c r="E89" s="55" t="s">
        <v>329</v>
      </c>
      <c r="F89" s="126" t="str">
        <f>TEXT(Table5[[#This Row],[Date]],"mmm-yy")</f>
        <v>Jun-25</v>
      </c>
      <c r="G89" s="124">
        <f t="shared" si="5"/>
        <v>30</v>
      </c>
      <c r="H89" s="125">
        <f t="shared" si="6"/>
        <v>45832</v>
      </c>
      <c r="I89" s="55">
        <v>8.02</v>
      </c>
      <c r="J89" s="59">
        <f>IFERROR(Inv_SY!J91/Inv_SY!$Y91-1,"")</f>
        <v>0.32390802793200746</v>
      </c>
      <c r="K89" s="59">
        <f>IFERROR(Inv_SY!K91/Inv_SY!$Y91-1,"")</f>
        <v>0.38595362631956953</v>
      </c>
      <c r="L89" s="59">
        <f>IFERROR(Inv_SY!L91/Inv_SY!$Y91-1,"")</f>
        <v>-1</v>
      </c>
      <c r="M89" s="59">
        <f>IFERROR(Inv_SY!M91/Inv_SY!$Y91-1,"")</f>
        <v>0.30628187351291758</v>
      </c>
      <c r="N89" s="59">
        <f>IFERROR(Inv_SY!N91/Inv_SY!$Y91-1,"")</f>
        <v>0.35462040098950864</v>
      </c>
      <c r="O89" s="59">
        <f>IFERROR(Inv_SY!O91/Inv_SY!$Y91-1,"")</f>
        <v>0.2815807937909427</v>
      </c>
      <c r="P89" s="59">
        <f>IFERROR(Inv_SY!P91/Inv_SY!$Y91-1,"")</f>
        <v>0.27964498361034851</v>
      </c>
      <c r="Q89" s="59">
        <f>IFERROR(Inv_SY!Q91/Inv_SY!$Y91-1,"")</f>
        <v>-1</v>
      </c>
      <c r="R89" s="59">
        <f>IFERROR(Inv_SY!R91/Inv_SY!$Y91-1,"")</f>
        <v>4.3601354676587878E-3</v>
      </c>
      <c r="S89" s="59">
        <f>IFERROR(Inv_SY!S91/Inv_SY!$Y91-1,"")</f>
        <v>2.4146613662844096E-2</v>
      </c>
      <c r="T89" s="59">
        <f>IFERROR(Inv_SY!T91/Inv_SY!$Y91-1,"")</f>
        <v>5.3296493932522671E-2</v>
      </c>
      <c r="U89" s="59">
        <f>IFERROR(Inv_SY!U91/Inv_SY!$Y91-1,"")</f>
        <v>-1.3566880023202166E-2</v>
      </c>
      <c r="V89" s="59">
        <f>IFERROR(Inv_SY!J91/Inv_SY!$Z91-1,"")</f>
        <v>0.30284627460812041</v>
      </c>
      <c r="W89" s="59">
        <f>IFERROR(Inv_SY!K91/Inv_SY!$Z91-1,"")</f>
        <v>0.36390480360679689</v>
      </c>
      <c r="X89" s="59">
        <f>IFERROR(Inv_SY!L91/Inv_SY!$Z91-1,"")</f>
        <v>-1</v>
      </c>
      <c r="Y89" s="59">
        <f>IFERROR(Inv_SY!M91/Inv_SY!$Z91-1,"")</f>
        <v>0.28550053069232173</v>
      </c>
      <c r="Z89" s="59">
        <f>IFERROR(Inv_SY!N91/Inv_SY!$Z91-1,"")</f>
        <v>0.33307005147035662</v>
      </c>
      <c r="AA89" s="59">
        <f>IFERROR(Inv_SY!O91/Inv_SY!$Z91-1,"")</f>
        <v>0.2611924148598026</v>
      </c>
      <c r="AB89" s="59">
        <f>IFERROR(Inv_SY!P91/Inv_SY!$Z91-1,"")</f>
        <v>0.25928740104545533</v>
      </c>
      <c r="AC89" s="59">
        <f>IFERROR(Inv_SY!Q91/Inv_SY!$Z91-1,"")</f>
        <v>-1</v>
      </c>
      <c r="AD89" s="59">
        <f>IFERROR(Inv_SY!R91/Inv_SY!$Z91-1,"")</f>
        <v>-1.1618002722656673E-2</v>
      </c>
      <c r="AE89" s="59">
        <f>IFERROR(Inv_SY!S91/Inv_SY!$Z91-1,"")</f>
        <v>7.8536968669886686E-3</v>
      </c>
      <c r="AF89" s="59">
        <f>IFERROR(Inv_SY!T91/Inv_SY!$Z91-1,"")</f>
        <v>3.6539838285699178E-2</v>
      </c>
      <c r="AG89" s="59">
        <f>IFERROR(Inv_SY!U91/Inv_SY!$Z91-1,"")</f>
        <v>-2.9259821379496009E-2</v>
      </c>
      <c r="AH89" s="59">
        <f>IFERROR(Inv_SY!V91/Inv_SY!$Y91-1,"")</f>
        <v>3.2351927651768086E-3</v>
      </c>
      <c r="AI89" s="59">
        <f>IFERROR(Inv_SY!W91/Inv_SY!$Y91-1,"")</f>
        <v>-1.9401147056462564E-2</v>
      </c>
      <c r="AJ89" s="59">
        <f>IFERROR(Inv_SY!X91/Inv_SY!$Y91-1,"")</f>
        <v>1.6165954291285978E-2</v>
      </c>
      <c r="AK89" s="59">
        <f>IFERROR(Inv_SY!V91/Inv_SY!$Z91-1,"")</f>
        <v>-1.2725048966167773E-2</v>
      </c>
      <c r="AL89" s="59">
        <f>IFERROR(Inv_SY!W91/Inv_SY!$Z91-1,"")</f>
        <v>-3.5001272378343384E-2</v>
      </c>
      <c r="AM89" s="59">
        <f>IFERROR(Inv_SY!X91/Inv_SY!$Z91-1,"")</f>
        <v>0</v>
      </c>
    </row>
    <row r="90" spans="1:39" x14ac:dyDescent="0.3">
      <c r="A90" s="55">
        <f>YEAR(Table5[[#This Row],[Date]])+IF(MONTH(Table5[[#This Row],[Date]])&gt;=4,1,0)</f>
        <v>2026</v>
      </c>
      <c r="B90" s="55">
        <v>50</v>
      </c>
      <c r="C90" s="124">
        <f>YEAR(Table5[[#This Row],[Date]])</f>
        <v>2025</v>
      </c>
      <c r="D90" s="55" t="s">
        <v>329</v>
      </c>
      <c r="E90" s="55" t="s">
        <v>329</v>
      </c>
      <c r="F90" s="126" t="str">
        <f>TEXT(Table5[[#This Row],[Date]],"mmm-yy")</f>
        <v>Jun-25</v>
      </c>
      <c r="G90" s="124">
        <f t="shared" si="5"/>
        <v>30</v>
      </c>
      <c r="H90" s="125">
        <f t="shared" si="6"/>
        <v>45833</v>
      </c>
      <c r="I90" s="55">
        <v>8.02</v>
      </c>
      <c r="J90" s="59">
        <f>IFERROR(Inv_SY!J92/Inv_SY!$Y92-1,"")</f>
        <v>0.32650414355007773</v>
      </c>
      <c r="K90" s="59">
        <f>IFERROR(Inv_SY!K92/Inv_SY!$Y92-1,"")</f>
        <v>0.32571516550654156</v>
      </c>
      <c r="L90" s="59">
        <f>IFERROR(Inv_SY!L92/Inv_SY!$Y92-1,"")</f>
        <v>-1</v>
      </c>
      <c r="M90" s="59">
        <f>IFERROR(Inv_SY!M92/Inv_SY!$Y92-1,"")</f>
        <v>0.36121623076896237</v>
      </c>
      <c r="N90" s="59">
        <f>IFERROR(Inv_SY!N92/Inv_SY!$Y92-1,"")</f>
        <v>0.29593714077562305</v>
      </c>
      <c r="O90" s="59">
        <f>IFERROR(Inv_SY!O92/Inv_SY!$Y92-1,"")</f>
        <v>0.3447594368737108</v>
      </c>
      <c r="P90" s="59">
        <f>IFERROR(Inv_SY!P92/Inv_SY!$Y92-1,"")</f>
        <v>0.28758782057334109</v>
      </c>
      <c r="Q90" s="59">
        <f>IFERROR(Inv_SY!Q92/Inv_SY!$Y92-1,"")</f>
        <v>-1</v>
      </c>
      <c r="R90" s="59">
        <f>IFERROR(Inv_SY!R92/Inv_SY!$Y92-1,"")</f>
        <v>4.1002865207901973E-3</v>
      </c>
      <c r="S90" s="59">
        <f>IFERROR(Inv_SY!S92/Inv_SY!$Y92-1,"")</f>
        <v>2.3898915064030302E-2</v>
      </c>
      <c r="T90" s="59">
        <f>IFERROR(Inv_SY!T92/Inv_SY!$Y92-1,"")</f>
        <v>-8.4909757504848526E-3</v>
      </c>
      <c r="U90" s="59">
        <f>IFERROR(Inv_SY!U92/Inv_SY!$Y92-1,"")</f>
        <v>3.81666595796879E-2</v>
      </c>
      <c r="V90" s="59">
        <f>IFERROR(Inv_SY!J92/Inv_SY!$Z92-1,"")</f>
        <v>0.30882977472917061</v>
      </c>
      <c r="W90" s="59">
        <f>IFERROR(Inv_SY!K92/Inv_SY!$Z92-1,"")</f>
        <v>0.3080513090455097</v>
      </c>
      <c r="X90" s="59">
        <f>IFERROR(Inv_SY!L92/Inv_SY!$Z92-1,"")</f>
        <v>-1</v>
      </c>
      <c r="Y90" s="59">
        <f>IFERROR(Inv_SY!M92/Inv_SY!$Z92-1,"")</f>
        <v>0.34307935737539097</v>
      </c>
      <c r="Z90" s="59">
        <f>IFERROR(Inv_SY!N92/Inv_SY!$Z92-1,"")</f>
        <v>0.27867004733595935</v>
      </c>
      <c r="AA90" s="59">
        <f>IFERROR(Inv_SY!O92/Inv_SY!$Z92-1,"")</f>
        <v>0.32684183414456114</v>
      </c>
      <c r="AB90" s="59">
        <f>IFERROR(Inv_SY!P92/Inv_SY!$Z92-1,"")</f>
        <v>0.27043197364985039</v>
      </c>
      <c r="AC90" s="59">
        <f>IFERROR(Inv_SY!Q92/Inv_SY!$Z92-1,"")</f>
        <v>-1</v>
      </c>
      <c r="AD90" s="59">
        <f>IFERROR(Inv_SY!R92/Inv_SY!$Z92-1,"")</f>
        <v>-9.2783665979643271E-3</v>
      </c>
      <c r="AE90" s="59">
        <f>IFERROR(Inv_SY!S92/Inv_SY!$Z92-1,"")</f>
        <v>1.0256464606441362E-2</v>
      </c>
      <c r="AF90" s="59">
        <f>IFERROR(Inv_SY!T92/Inv_SY!$Z92-1,"")</f>
        <v>-2.1701862628639601E-2</v>
      </c>
      <c r="AG90" s="59">
        <f>IFERROR(Inv_SY!U92/Inv_SY!$Z92-1,"")</f>
        <v>2.433410539717773E-2</v>
      </c>
      <c r="AH90" s="59">
        <f>IFERROR(Inv_SY!V92/Inv_SY!$Y92-1,"")</f>
        <v>2.7824436871946023E-3</v>
      </c>
      <c r="AI90" s="59">
        <f>IFERROR(Inv_SY!W92/Inv_SY!$Y92-1,"")</f>
        <v>-1.6286391383192211E-2</v>
      </c>
      <c r="AJ90" s="59">
        <f>IFERROR(Inv_SY!X92/Inv_SY!$Y92-1,"")</f>
        <v>1.350394769599772E-2</v>
      </c>
      <c r="AK90" s="59">
        <f>IFERROR(Inv_SY!V92/Inv_SY!$Z92-1,"")</f>
        <v>-1.0578650466213202E-2</v>
      </c>
      <c r="AL90" s="59">
        <f>IFERROR(Inv_SY!W92/Inv_SY!$Z92-1,"")</f>
        <v>-2.9393411981188944E-2</v>
      </c>
      <c r="AM90" s="59">
        <f>IFERROR(Inv_SY!X92/Inv_SY!$Z92-1,"")</f>
        <v>0</v>
      </c>
    </row>
    <row r="91" spans="1:39" x14ac:dyDescent="0.3">
      <c r="A91" s="55">
        <f>YEAR(Table5[[#This Row],[Date]])+IF(MONTH(Table5[[#This Row],[Date]])&gt;=4,1,0)</f>
        <v>2026</v>
      </c>
      <c r="B91" s="55">
        <v>51</v>
      </c>
      <c r="C91" s="124">
        <f>YEAR(Table5[[#This Row],[Date]])</f>
        <v>2025</v>
      </c>
      <c r="D91" s="55" t="s">
        <v>329</v>
      </c>
      <c r="E91" s="55" t="s">
        <v>329</v>
      </c>
      <c r="F91" s="126" t="str">
        <f>TEXT(Table5[[#This Row],[Date]],"mmm-yy")</f>
        <v>Jun-25</v>
      </c>
      <c r="G91" s="124">
        <f t="shared" si="5"/>
        <v>30</v>
      </c>
      <c r="H91" s="125">
        <f t="shared" si="6"/>
        <v>45834</v>
      </c>
      <c r="I91" s="55">
        <v>8.02</v>
      </c>
      <c r="J91" s="59">
        <f>IFERROR(Inv_SY!J93/Inv_SY!$Y93-1,"")</f>
        <v>0.33152298413124281</v>
      </c>
      <c r="K91" s="59">
        <f>IFERROR(Inv_SY!K93/Inv_SY!$Y93-1,"")</f>
        <v>0.33127851547480924</v>
      </c>
      <c r="L91" s="59">
        <f>IFERROR(Inv_SY!L93/Inv_SY!$Y93-1,"")</f>
        <v>-1</v>
      </c>
      <c r="M91" s="59">
        <f>IFERROR(Inv_SY!M93/Inv_SY!$Y93-1,"")</f>
        <v>0.34796757575400972</v>
      </c>
      <c r="N91" s="59">
        <f>IFERROR(Inv_SY!N93/Inv_SY!$Y93-1,"")</f>
        <v>0.30678676378305503</v>
      </c>
      <c r="O91" s="59">
        <f>IFERROR(Inv_SY!O93/Inv_SY!$Y93-1,"")</f>
        <v>0.29923308306754604</v>
      </c>
      <c r="P91" s="59">
        <f>IFERROR(Inv_SY!P93/Inv_SY!$Y93-1,"")</f>
        <v>0.33556032387700041</v>
      </c>
      <c r="Q91" s="59">
        <f>IFERROR(Inv_SY!Q93/Inv_SY!$Y93-1,"")</f>
        <v>-1</v>
      </c>
      <c r="R91" s="59">
        <f>IFERROR(Inv_SY!R93/Inv_SY!$Y93-1,"")</f>
        <v>4.2084200435755115E-2</v>
      </c>
      <c r="S91" s="59">
        <f>IFERROR(Inv_SY!S93/Inv_SY!$Y93-1,"")</f>
        <v>2.5366222146765871E-2</v>
      </c>
      <c r="T91" s="59">
        <f>IFERROR(Inv_SY!T93/Inv_SY!$Y93-1,"")</f>
        <v>-7.0482972542129652E-3</v>
      </c>
      <c r="U91" s="59">
        <f>IFERROR(Inv_SY!U93/Inv_SY!$Y93-1,"")</f>
        <v>-1.2584755233159162E-2</v>
      </c>
      <c r="V91" s="59">
        <f>IFERROR(Inv_SY!J93/Inv_SY!$Z93-1,"")</f>
        <v>0.31717870451224295</v>
      </c>
      <c r="W91" s="59">
        <f>IFERROR(Inv_SY!K93/Inv_SY!$Z93-1,"")</f>
        <v>0.31693686947671385</v>
      </c>
      <c r="X91" s="59">
        <f>IFERROR(Inv_SY!L93/Inv_SY!$Z93-1,"")</f>
        <v>-1</v>
      </c>
      <c r="Y91" s="59">
        <f>IFERROR(Inv_SY!M93/Inv_SY!$Z93-1,"")</f>
        <v>0.33344614123549365</v>
      </c>
      <c r="Z91" s="59">
        <f>IFERROR(Inv_SY!N93/Inv_SY!$Z93-1,"")</f>
        <v>0.29270896342548758</v>
      </c>
      <c r="AA91" s="59">
        <f>IFERROR(Inv_SY!O93/Inv_SY!$Z93-1,"")</f>
        <v>0.28523665727851943</v>
      </c>
      <c r="AB91" s="59">
        <f>IFERROR(Inv_SY!P93/Inv_SY!$Z93-1,"")</f>
        <v>0.32117255065637274</v>
      </c>
      <c r="AC91" s="59">
        <f>IFERROR(Inv_SY!Q93/Inv_SY!$Z93-1,"")</f>
        <v>-1</v>
      </c>
      <c r="AD91" s="59">
        <f>IFERROR(Inv_SY!R93/Inv_SY!$Z93-1,"")</f>
        <v>3.08579975569927E-2</v>
      </c>
      <c r="AE91" s="59">
        <f>IFERROR(Inv_SY!S93/Inv_SY!$Z93-1,"")</f>
        <v>1.4320119317420277E-2</v>
      </c>
      <c r="AF91" s="59">
        <f>IFERROR(Inv_SY!T93/Inv_SY!$Z93-1,"")</f>
        <v>-1.7745203760592632E-2</v>
      </c>
      <c r="AG91" s="59">
        <f>IFERROR(Inv_SY!U93/Inv_SY!$Z93-1,"")</f>
        <v>-2.3222018382048737E-2</v>
      </c>
      <c r="AH91" s="59">
        <f>IFERROR(Inv_SY!V93/Inv_SY!$Y93-1,"")</f>
        <v>2.0667344612337324E-3</v>
      </c>
      <c r="AI91" s="59">
        <f>IFERROR(Inv_SY!W93/Inv_SY!$Y93-1,"")</f>
        <v>-1.2956888978506997E-2</v>
      </c>
      <c r="AJ91" s="59">
        <f>IFERROR(Inv_SY!X93/Inv_SY!$Y93-1,"")</f>
        <v>1.0890154517273043E-2</v>
      </c>
      <c r="AK91" s="59">
        <f>IFERROR(Inv_SY!V93/Inv_SY!$Z93-1,"")</f>
        <v>-8.72836679298028E-3</v>
      </c>
      <c r="AL91" s="59">
        <f>IFERROR(Inv_SY!W93/Inv_SY!$Z93-1,"")</f>
        <v>-2.3590143191341784E-2</v>
      </c>
      <c r="AM91" s="59">
        <f>IFERROR(Inv_SY!X93/Inv_SY!$Z93-1,"")</f>
        <v>0</v>
      </c>
    </row>
    <row r="92" spans="1:39" x14ac:dyDescent="0.3">
      <c r="A92" s="55">
        <f>YEAR(Table5[[#This Row],[Date]])+IF(MONTH(Table5[[#This Row],[Date]])&gt;=4,1,0)</f>
        <v>2026</v>
      </c>
      <c r="B92" s="55">
        <v>52</v>
      </c>
      <c r="C92" s="124">
        <f>YEAR(Table5[[#This Row],[Date]])</f>
        <v>2025</v>
      </c>
      <c r="D92" s="55" t="s">
        <v>329</v>
      </c>
      <c r="E92" s="55" t="s">
        <v>329</v>
      </c>
      <c r="F92" s="126" t="str">
        <f>TEXT(Table5[[#This Row],[Date]],"mmm-yy")</f>
        <v>Jun-25</v>
      </c>
      <c r="G92" s="124">
        <f t="shared" si="5"/>
        <v>30</v>
      </c>
      <c r="H92" s="125">
        <f t="shared" si="6"/>
        <v>45835</v>
      </c>
      <c r="I92" s="55">
        <v>8.02</v>
      </c>
      <c r="J92" s="59">
        <f>IFERROR(Inv_SY!J94/Inv_SY!$Y94-1,"")</f>
        <v>0.35012494187397958</v>
      </c>
      <c r="K92" s="59">
        <f>IFERROR(Inv_SY!K94/Inv_SY!$Y94-1,"")</f>
        <v>0.3330777448429163</v>
      </c>
      <c r="L92" s="59">
        <f>IFERROR(Inv_SY!L94/Inv_SY!$Y94-1,"")</f>
        <v>-1</v>
      </c>
      <c r="M92" s="59">
        <f>IFERROR(Inv_SY!M94/Inv_SY!$Y94-1,"")</f>
        <v>0.31297837071160095</v>
      </c>
      <c r="N92" s="59">
        <f>IFERROR(Inv_SY!N94/Inv_SY!$Y94-1,"")</f>
        <v>0.32807847576823312</v>
      </c>
      <c r="O92" s="59">
        <f>IFERROR(Inv_SY!O94/Inv_SY!$Y94-1,"")</f>
        <v>0.30188932984883254</v>
      </c>
      <c r="P92" s="59">
        <f>IFERROR(Inv_SY!P94/Inv_SY!$Y94-1,"")</f>
        <v>0.30338300737275281</v>
      </c>
      <c r="Q92" s="59">
        <f>IFERROR(Inv_SY!Q94/Inv_SY!$Y94-1,"")</f>
        <v>-1</v>
      </c>
      <c r="R92" s="59">
        <f>IFERROR(Inv_SY!R94/Inv_SY!$Y94-1,"")</f>
        <v>1.7134091695967912E-2</v>
      </c>
      <c r="S92" s="59">
        <f>IFERROR(Inv_SY!S94/Inv_SY!$Y94-1,"")</f>
        <v>5.3890724944812396E-2</v>
      </c>
      <c r="T92" s="59">
        <f>IFERROR(Inv_SY!T94/Inv_SY!$Y94-1,"")</f>
        <v>3.8493458430064464E-3</v>
      </c>
      <c r="U92" s="59">
        <f>IFERROR(Inv_SY!U94/Inv_SY!$Y94-1,"")</f>
        <v>-3.4822465348591791E-3</v>
      </c>
      <c r="V92" s="59">
        <f>IFERROR(Inv_SY!J94/Inv_SY!$Z94-1,"")</f>
        <v>0.32792698148604815</v>
      </c>
      <c r="W92" s="59">
        <f>IFERROR(Inv_SY!K94/Inv_SY!$Z94-1,"")</f>
        <v>0.31116006444440236</v>
      </c>
      <c r="X92" s="59">
        <f>IFERROR(Inv_SY!L94/Inv_SY!$Z94-1,"")</f>
        <v>-1</v>
      </c>
      <c r="Y92" s="59">
        <f>IFERROR(Inv_SY!M94/Inv_SY!$Z94-1,"")</f>
        <v>0.29139115240363234</v>
      </c>
      <c r="Z92" s="59">
        <f>IFERROR(Inv_SY!N94/Inv_SY!$Z94-1,"")</f>
        <v>0.30624299041215308</v>
      </c>
      <c r="AA92" s="59">
        <f>IFERROR(Inv_SY!O94/Inv_SY!$Z94-1,"")</f>
        <v>0.28048443103010334</v>
      </c>
      <c r="AB92" s="59">
        <f>IFERROR(Inv_SY!P94/Inv_SY!$Z94-1,"")</f>
        <v>0.28195355038649406</v>
      </c>
      <c r="AC92" s="59">
        <f>IFERROR(Inv_SY!Q94/Inv_SY!$Z94-1,"")</f>
        <v>-1</v>
      </c>
      <c r="AD92" s="59">
        <f>IFERROR(Inv_SY!R94/Inv_SY!$Z94-1,"")</f>
        <v>4.1097105993026517E-4</v>
      </c>
      <c r="AE92" s="59">
        <f>IFERROR(Inv_SY!S94/Inv_SY!$Z94-1,"")</f>
        <v>3.6563273358693138E-2</v>
      </c>
      <c r="AF92" s="59">
        <f>IFERROR(Inv_SY!T94/Inv_SY!$Z94-1,"")</f>
        <v>-1.2655354813471131E-2</v>
      </c>
      <c r="AG92" s="59">
        <f>IFERROR(Inv_SY!U94/Inv_SY!$Z94-1,"")</f>
        <v>-1.9866405460614689E-2</v>
      </c>
      <c r="AH92" s="59">
        <f>IFERROR(Inv_SY!V94/Inv_SY!$Y94-1,"")</f>
        <v>-1.6985814377618036E-3</v>
      </c>
      <c r="AI92" s="59">
        <f>IFERROR(Inv_SY!W94/Inv_SY!$Y94-1,"")</f>
        <v>-1.5017669302990644E-2</v>
      </c>
      <c r="AJ92" s="59">
        <f>IFERROR(Inv_SY!X94/Inv_SY!$Y94-1,"")</f>
        <v>1.6716250740752558E-2</v>
      </c>
      <c r="AK92" s="59">
        <f>IFERROR(Inv_SY!V94/Inv_SY!$Z94-1,"")</f>
        <v>-1.8112066336205213E-2</v>
      </c>
      <c r="AL92" s="59">
        <f>IFERROR(Inv_SY!W94/Inv_SY!$Z94-1,"")</f>
        <v>-3.1212169590702277E-2</v>
      </c>
      <c r="AM92" s="59">
        <f>IFERROR(Inv_SY!X94/Inv_SY!$Z94-1,"")</f>
        <v>0</v>
      </c>
    </row>
    <row r="93" spans="1:39" x14ac:dyDescent="0.3">
      <c r="A93" s="55">
        <f>YEAR(Table5[[#This Row],[Date]])+IF(MONTH(Table5[[#This Row],[Date]])&gt;=4,1,0)</f>
        <v>2026</v>
      </c>
      <c r="B93" s="55">
        <v>53</v>
      </c>
      <c r="C93" s="124">
        <f>YEAR(Table5[[#This Row],[Date]])</f>
        <v>2025</v>
      </c>
      <c r="D93" s="55" t="s">
        <v>329</v>
      </c>
      <c r="E93" s="55" t="s">
        <v>329</v>
      </c>
      <c r="F93" s="126" t="str">
        <f>TEXT(Table5[[#This Row],[Date]],"mmm-yy")</f>
        <v>Jun-25</v>
      </c>
      <c r="G93" s="124">
        <f t="shared" si="5"/>
        <v>30</v>
      </c>
      <c r="H93" s="125">
        <f t="shared" si="6"/>
        <v>45836</v>
      </c>
      <c r="I93" s="55">
        <v>8.02</v>
      </c>
      <c r="J93" s="59">
        <f>IFERROR(Inv_SY!J95/Inv_SY!$Y95-1,"")</f>
        <v>0.32809012703280138</v>
      </c>
      <c r="K93" s="59">
        <f>IFERROR(Inv_SY!K95/Inv_SY!$Y95-1,"")</f>
        <v>0.35443415229793218</v>
      </c>
      <c r="L93" s="59">
        <f>IFERROR(Inv_SY!L95/Inv_SY!$Y95-1,"")</f>
        <v>-1</v>
      </c>
      <c r="M93" s="59">
        <f>IFERROR(Inv_SY!M95/Inv_SY!$Y95-1,"")</f>
        <v>0.30759698433131644</v>
      </c>
      <c r="N93" s="59">
        <f>IFERROR(Inv_SY!N95/Inv_SY!$Y95-1,"")</f>
        <v>0.34147231604179895</v>
      </c>
      <c r="O93" s="59">
        <f>IFERROR(Inv_SY!O95/Inv_SY!$Y95-1,"")</f>
        <v>0.30241521121812021</v>
      </c>
      <c r="P93" s="59">
        <f>IFERROR(Inv_SY!P95/Inv_SY!$Y95-1,"")</f>
        <v>0.30380755773377244</v>
      </c>
      <c r="Q93" s="59">
        <f>IFERROR(Inv_SY!Q95/Inv_SY!$Y95-1,"")</f>
        <v>-1</v>
      </c>
      <c r="R93" s="59">
        <f>IFERROR(Inv_SY!R95/Inv_SY!$Y95-1,"")</f>
        <v>1.2069119988429744E-2</v>
      </c>
      <c r="S93" s="59">
        <f>IFERROR(Inv_SY!S95/Inv_SY!$Y95-1,"")</f>
        <v>3.1958425689024406E-2</v>
      </c>
      <c r="T93" s="59">
        <f>IFERROR(Inv_SY!T95/Inv_SY!$Y95-1,"")</f>
        <v>2.6101039218339617E-2</v>
      </c>
      <c r="U93" s="59">
        <f>IFERROR(Inv_SY!U95/Inv_SY!$Y95-1,"")</f>
        <v>-7.5858426813050217E-3</v>
      </c>
      <c r="V93" s="59">
        <f>IFERROR(Inv_SY!J95/Inv_SY!$Z95-1,"")</f>
        <v>0.30891247254127174</v>
      </c>
      <c r="W93" s="59">
        <f>IFERROR(Inv_SY!K95/Inv_SY!$Z95-1,"")</f>
        <v>0.33487608942585134</v>
      </c>
      <c r="X93" s="59">
        <f>IFERROR(Inv_SY!L95/Inv_SY!$Z95-1,"")</f>
        <v>-1</v>
      </c>
      <c r="Y93" s="59">
        <f>IFERROR(Inv_SY!M95/Inv_SY!$Z95-1,"")</f>
        <v>0.28871525133048648</v>
      </c>
      <c r="Z93" s="59">
        <f>IFERROR(Inv_SY!N95/Inv_SY!$Z95-1,"")</f>
        <v>0.32210142240788664</v>
      </c>
      <c r="AA93" s="59">
        <f>IFERROR(Inv_SY!O95/Inv_SY!$Z95-1,"")</f>
        <v>0.28360830315002294</v>
      </c>
      <c r="AB93" s="59">
        <f>IFERROR(Inv_SY!P95/Inv_SY!$Z95-1,"")</f>
        <v>0.28498054414733276</v>
      </c>
      <c r="AC93" s="59">
        <f>IFERROR(Inv_SY!Q95/Inv_SY!$Z95-1,"")</f>
        <v>-1</v>
      </c>
      <c r="AD93" s="59">
        <f>IFERROR(Inv_SY!R95/Inv_SY!$Z95-1,"")</f>
        <v>-2.5451832953751197E-3</v>
      </c>
      <c r="AE93" s="59">
        <f>IFERROR(Inv_SY!S95/Inv_SY!$Z95-1,"")</f>
        <v>1.7056920335843051E-2</v>
      </c>
      <c r="AF93" s="59">
        <f>IFERROR(Inv_SY!T95/Inv_SY!$Z95-1,"")</f>
        <v>1.1284114671589629E-2</v>
      </c>
      <c r="AG93" s="59">
        <f>IFERROR(Inv_SY!U95/Inv_SY!$Z95-1,"")</f>
        <v>-2.1916327814932024E-2</v>
      </c>
      <c r="AH93" s="59">
        <f>IFERROR(Inv_SY!V95/Inv_SY!$Y95-1,"")</f>
        <v>-3.2259906557977613E-3</v>
      </c>
      <c r="AI93" s="59">
        <f>IFERROR(Inv_SY!W95/Inv_SY!$Y95-1,"")</f>
        <v>-1.1425603621011193E-2</v>
      </c>
      <c r="AJ93" s="59">
        <f>IFERROR(Inv_SY!X95/Inv_SY!$Y95-1,"")</f>
        <v>1.4651594276808844E-2</v>
      </c>
      <c r="AK93" s="59">
        <f>IFERROR(Inv_SY!V95/Inv_SY!$Z95-1,"")</f>
        <v>-1.7619432161193105E-2</v>
      </c>
      <c r="AL93" s="59">
        <f>IFERROR(Inv_SY!W95/Inv_SY!$Z95-1,"")</f>
        <v>-2.5700642511094163E-2</v>
      </c>
      <c r="AM93" s="59">
        <f>IFERROR(Inv_SY!X95/Inv_SY!$Z95-1,"")</f>
        <v>0</v>
      </c>
    </row>
    <row r="94" spans="1:39" x14ac:dyDescent="0.3">
      <c r="A94" s="55">
        <f>YEAR(Table5[[#This Row],[Date]])+IF(MONTH(Table5[[#This Row],[Date]])&gt;=4,1,0)</f>
        <v>2026</v>
      </c>
      <c r="B94" s="55">
        <v>54</v>
      </c>
      <c r="C94" s="124">
        <f>YEAR(Table5[[#This Row],[Date]])</f>
        <v>2025</v>
      </c>
      <c r="D94" s="55" t="s">
        <v>329</v>
      </c>
      <c r="E94" s="55" t="s">
        <v>329</v>
      </c>
      <c r="F94" s="126" t="str">
        <f>TEXT(Table5[[#This Row],[Date]],"mmm-yy")</f>
        <v>Jun-25</v>
      </c>
      <c r="G94" s="124">
        <f t="shared" si="5"/>
        <v>30</v>
      </c>
      <c r="H94" s="125">
        <f t="shared" si="6"/>
        <v>45837</v>
      </c>
      <c r="I94" s="55">
        <v>8.02</v>
      </c>
      <c r="J94" s="59">
        <f>IFERROR(Inv_SY!J96/Inv_SY!$Y96-1,"")</f>
        <v>0.32412750168077675</v>
      </c>
      <c r="K94" s="59">
        <f>IFERROR(Inv_SY!K96/Inv_SY!$Y96-1,"")</f>
        <v>0.32437389682437212</v>
      </c>
      <c r="L94" s="59">
        <f>IFERROR(Inv_SY!L96/Inv_SY!$Y96-1,"")</f>
        <v>-1</v>
      </c>
      <c r="M94" s="59">
        <f>IFERROR(Inv_SY!M96/Inv_SY!$Y96-1,"")</f>
        <v>0.33710587699040251</v>
      </c>
      <c r="N94" s="59">
        <f>IFERROR(Inv_SY!N96/Inv_SY!$Y96-1,"")</f>
        <v>0.29870275427346815</v>
      </c>
      <c r="O94" s="59">
        <f>IFERROR(Inv_SY!O96/Inv_SY!$Y96-1,"")</f>
        <v>0.32274445746492431</v>
      </c>
      <c r="P94" s="59">
        <f>IFERROR(Inv_SY!P96/Inv_SY!$Y96-1,"")</f>
        <v>0.29048850568305395</v>
      </c>
      <c r="Q94" s="59">
        <f>IFERROR(Inv_SY!Q96/Inv_SY!$Y96-1,"")</f>
        <v>-1</v>
      </c>
      <c r="R94" s="59">
        <f>IFERROR(Inv_SY!R96/Inv_SY!$Y96-1,"")</f>
        <v>2.1118518307319478E-2</v>
      </c>
      <c r="S94" s="59">
        <f>IFERROR(Inv_SY!S96/Inv_SY!$Y96-1,"")</f>
        <v>4.0980718382017223E-2</v>
      </c>
      <c r="T94" s="59">
        <f>IFERROR(Inv_SY!T96/Inv_SY!$Y96-1,"")</f>
        <v>8.2974500868810974E-3</v>
      </c>
      <c r="U94" s="59">
        <f>IFERROR(Inv_SY!U96/Inv_SY!$Y96-1,"")</f>
        <v>3.1976427740509461E-2</v>
      </c>
      <c r="V94" s="59">
        <f>IFERROR(Inv_SY!J96/Inv_SY!$Z96-1,"")</f>
        <v>0.29232363871204092</v>
      </c>
      <c r="W94" s="59">
        <f>IFERROR(Inv_SY!K96/Inv_SY!$Z96-1,"")</f>
        <v>0.29256411575683305</v>
      </c>
      <c r="X94" s="59">
        <f>IFERROR(Inv_SY!L96/Inv_SY!$Z96-1,"")</f>
        <v>-1</v>
      </c>
      <c r="Y94" s="59">
        <f>IFERROR(Inv_SY!M96/Inv_SY!$Z96-1,"")</f>
        <v>0.30499028990946431</v>
      </c>
      <c r="Z94" s="59">
        <f>IFERROR(Inv_SY!N96/Inv_SY!$Z96-1,"")</f>
        <v>0.26750956148681859</v>
      </c>
      <c r="AA94" s="59">
        <f>IFERROR(Inv_SY!O96/Inv_SY!$Z96-1,"")</f>
        <v>0.29097381346389728</v>
      </c>
      <c r="AB94" s="59">
        <f>IFERROR(Inv_SY!P96/Inv_SY!$Z96-1,"")</f>
        <v>0.25949260872798341</v>
      </c>
      <c r="AC94" s="59">
        <f>IFERROR(Inv_SY!Q96/Inv_SY!$Z96-1,"")</f>
        <v>-1</v>
      </c>
      <c r="AD94" s="59">
        <f>IFERROR(Inv_SY!R96/Inv_SY!$Z96-1,"")</f>
        <v>-3.4074532398781221E-3</v>
      </c>
      <c r="AE94" s="59">
        <f>IFERROR(Inv_SY!S96/Inv_SY!$Z96-1,"")</f>
        <v>1.597768198371452E-2</v>
      </c>
      <c r="AF94" s="59">
        <f>IFERROR(Inv_SY!T96/Inv_SY!$Z96-1,"")</f>
        <v>-1.5920575664856385E-2</v>
      </c>
      <c r="AG94" s="59">
        <f>IFERROR(Inv_SY!U96/Inv_SY!$Z96-1,"")</f>
        <v>7.1896629817052027E-3</v>
      </c>
      <c r="AH94" s="59">
        <f>IFERROR(Inv_SY!V96/Inv_SY!$Y96-1,"")</f>
        <v>-4.2294310312039896E-3</v>
      </c>
      <c r="AI94" s="59">
        <f>IFERROR(Inv_SY!W96/Inv_SY!$Y96-1,"")</f>
        <v>-2.0380397355462709E-2</v>
      </c>
      <c r="AJ94" s="59">
        <f>IFERROR(Inv_SY!X96/Inv_SY!$Y96-1,"")</f>
        <v>2.4609828386666477E-2</v>
      </c>
      <c r="AK94" s="59">
        <f>IFERROR(Inv_SY!V96/Inv_SY!$Z96-1,"")</f>
        <v>-2.8146576988511196E-2</v>
      </c>
      <c r="AL94" s="59">
        <f>IFERROR(Inv_SY!W96/Inv_SY!$Z96-1,"")</f>
        <v>-4.3909617588746119E-2</v>
      </c>
      <c r="AM94" s="59">
        <f>IFERROR(Inv_SY!X96/Inv_SY!$Z96-1,"")</f>
        <v>0</v>
      </c>
    </row>
    <row r="95" spans="1:39" x14ac:dyDescent="0.3">
      <c r="A95" s="55">
        <f>YEAR(Table5[[#This Row],[Date]])+IF(MONTH(Table5[[#This Row],[Date]])&gt;=4,1,0)</f>
        <v>2026</v>
      </c>
      <c r="B95" s="55">
        <v>55</v>
      </c>
      <c r="C95" s="124">
        <f>YEAR(Table5[[#This Row],[Date]])</f>
        <v>2025</v>
      </c>
      <c r="D95" s="55" t="s">
        <v>329</v>
      </c>
      <c r="E95" s="55" t="s">
        <v>329</v>
      </c>
      <c r="F95" s="126" t="str">
        <f>TEXT(Table5[[#This Row],[Date]],"mmm-yy")</f>
        <v>Jun-25</v>
      </c>
      <c r="G95" s="124">
        <f t="shared" si="5"/>
        <v>30</v>
      </c>
      <c r="H95" s="125">
        <f t="shared" si="6"/>
        <v>45838</v>
      </c>
      <c r="I95" s="55">
        <v>8.02</v>
      </c>
      <c r="J95" s="59">
        <f>IFERROR(Inv_SY!J97/Inv_SY!$Y97-1,"")</f>
        <v>0.33261365504792928</v>
      </c>
      <c r="K95" s="59">
        <f>IFERROR(Inv_SY!K97/Inv_SY!$Y97-1,"")</f>
        <v>0.33165647045930724</v>
      </c>
      <c r="L95" s="59">
        <f>IFERROR(Inv_SY!L97/Inv_SY!$Y97-1,"")</f>
        <v>-1</v>
      </c>
      <c r="M95" s="59">
        <f>IFERROR(Inv_SY!M97/Inv_SY!$Y97-1,"")</f>
        <v>0.36039226599285334</v>
      </c>
      <c r="N95" s="59">
        <f>IFERROR(Inv_SY!N97/Inv_SY!$Y97-1,"")</f>
        <v>0.29781676976611804</v>
      </c>
      <c r="O95" s="59">
        <f>IFERROR(Inv_SY!O97/Inv_SY!$Y97-1,"")</f>
        <v>0.28965541993125732</v>
      </c>
      <c r="P95" s="59">
        <f>IFERROR(Inv_SY!P97/Inv_SY!$Y97-1,"")</f>
        <v>0.34224478012542825</v>
      </c>
      <c r="Q95" s="59">
        <f>IFERROR(Inv_SY!Q97/Inv_SY!$Y97-1,"")</f>
        <v>-1</v>
      </c>
      <c r="R95" s="59">
        <f>IFERROR(Inv_SY!R97/Inv_SY!$Y97-1,"")</f>
        <v>5.0630631767173639E-2</v>
      </c>
      <c r="S95" s="59">
        <f>IFERROR(Inv_SY!S97/Inv_SY!$Y97-1,"")</f>
        <v>2.1719429076964891E-2</v>
      </c>
      <c r="T95" s="59">
        <f>IFERROR(Inv_SY!T97/Inv_SY!$Y97-1,"")</f>
        <v>-1.0595095139344979E-2</v>
      </c>
      <c r="U95" s="59">
        <f>IFERROR(Inv_SY!U97/Inv_SY!$Y97-1,"")</f>
        <v>-1.6040592075495796E-2</v>
      </c>
      <c r="V95" s="59">
        <f>IFERROR(Inv_SY!J97/Inv_SY!$Z97-1,"")</f>
        <v>0.31895107692069802</v>
      </c>
      <c r="W95" s="59">
        <f>IFERROR(Inv_SY!K97/Inv_SY!$Z97-1,"")</f>
        <v>0.31800370583591864</v>
      </c>
      <c r="X95" s="59">
        <f>IFERROR(Inv_SY!L97/Inv_SY!$Z97-1,"")</f>
        <v>-1</v>
      </c>
      <c r="Y95" s="59">
        <f>IFERROR(Inv_SY!M97/Inv_SY!$Z97-1,"")</f>
        <v>0.34644488856099009</v>
      </c>
      <c r="Z95" s="59">
        <f>IFERROR(Inv_SY!N97/Inv_SY!$Z97-1,"")</f>
        <v>0.28451094557274192</v>
      </c>
      <c r="AA95" s="59">
        <f>IFERROR(Inv_SY!O97/Inv_SY!$Z97-1,"")</f>
        <v>0.27643326971144422</v>
      </c>
      <c r="AB95" s="59">
        <f>IFERROR(Inv_SY!P97/Inv_SY!$Z97-1,"")</f>
        <v>0.328483459201794</v>
      </c>
      <c r="AC95" s="59">
        <f>IFERROR(Inv_SY!Q97/Inv_SY!$Z97-1,"")</f>
        <v>-1</v>
      </c>
      <c r="AD95" s="59">
        <f>IFERROR(Inv_SY!R97/Inv_SY!$Z97-1,"")</f>
        <v>3.985907540872935E-2</v>
      </c>
      <c r="AE95" s="59">
        <f>IFERROR(Inv_SY!S97/Inv_SY!$Z97-1,"")</f>
        <v>1.1244283883160122E-2</v>
      </c>
      <c r="AF95" s="59">
        <f>IFERROR(Inv_SY!T97/Inv_SY!$Z97-1,"")</f>
        <v>-2.0738936725328339E-2</v>
      </c>
      <c r="AG95" s="59">
        <f>IFERROR(Inv_SY!U97/Inv_SY!$Z97-1,"")</f>
        <v>-2.6128603881369949E-2</v>
      </c>
      <c r="AH95" s="59">
        <f>IFERROR(Inv_SY!V97/Inv_SY!$Y97-1,"")</f>
        <v>5.5689801162261965E-3</v>
      </c>
      <c r="AI95" s="59">
        <f>IFERROR(Inv_SY!W97/Inv_SY!$Y97-1,"")</f>
        <v>-1.5927649490929618E-2</v>
      </c>
      <c r="AJ95" s="59">
        <f>IFERROR(Inv_SY!X97/Inv_SY!$Y97-1,"")</f>
        <v>1.0358669374703977E-2</v>
      </c>
      <c r="AK95" s="59">
        <f>IFERROR(Inv_SY!V97/Inv_SY!$Z97-1,"")</f>
        <v>-4.740583125240061E-3</v>
      </c>
      <c r="AL95" s="59">
        <f>IFERROR(Inv_SY!W97/Inv_SY!$Z97-1,"")</f>
        <v>-2.6016819236976296E-2</v>
      </c>
      <c r="AM95" s="59">
        <f>IFERROR(Inv_SY!X97/Inv_SY!$Z97-1,"")</f>
        <v>0</v>
      </c>
    </row>
    <row r="96" spans="1:39" x14ac:dyDescent="0.3">
      <c r="A96" s="55">
        <f>YEAR(Table5[[#This Row],[Date]])+IF(MONTH(Table5[[#This Row],[Date]])&gt;=4,1,0)</f>
        <v>2026</v>
      </c>
      <c r="B96" s="55">
        <v>56</v>
      </c>
      <c r="C96" s="124">
        <f>YEAR(Table5[[#This Row],[Date]])</f>
        <v>2025</v>
      </c>
      <c r="D96" s="55" t="s">
        <v>329</v>
      </c>
      <c r="E96" s="55" t="s">
        <v>329</v>
      </c>
      <c r="F96" s="126" t="str">
        <f>TEXT(Table5[[#This Row],[Date]],"mmm-yy")</f>
        <v>Jul-25</v>
      </c>
      <c r="G96" s="124">
        <f t="shared" si="5"/>
        <v>31</v>
      </c>
      <c r="H96" s="125">
        <f t="shared" si="6"/>
        <v>45839</v>
      </c>
      <c r="I96" s="55">
        <v>8.02</v>
      </c>
      <c r="J96" s="59">
        <f>IFERROR(Inv_SY!J98/Inv_SY!$Y98-1,"")</f>
        <v>0.42216852046524189</v>
      </c>
      <c r="K96" s="59">
        <f>IFERROR(Inv_SY!K98/Inv_SY!$Y98-1,"")</f>
        <v>0.31314976760381064</v>
      </c>
      <c r="L96" s="59">
        <f>IFERROR(Inv_SY!L98/Inv_SY!$Y98-1,"")</f>
        <v>-1</v>
      </c>
      <c r="M96" s="59">
        <f>IFERROR(Inv_SY!M98/Inv_SY!$Y98-1,"")</f>
        <v>0.29243890304412057</v>
      </c>
      <c r="N96" s="59">
        <f>IFERROR(Inv_SY!N98/Inv_SY!$Y98-1,"")</f>
        <v>0.3979651098341308</v>
      </c>
      <c r="O96" s="59">
        <f>IFERROR(Inv_SY!O98/Inv_SY!$Y98-1,"")</f>
        <v>0.27666825485588009</v>
      </c>
      <c r="P96" s="59">
        <f>IFERROR(Inv_SY!P98/Inv_SY!$Y98-1,"")</f>
        <v>0.27399410146743919</v>
      </c>
      <c r="Q96" s="59">
        <f>IFERROR(Inv_SY!Q98/Inv_SY!$Y98-1,"")</f>
        <v>-1</v>
      </c>
      <c r="R96" s="59">
        <f>IFERROR(Inv_SY!R98/Inv_SY!$Y98-1,"")</f>
        <v>-2.0103242741395411E-2</v>
      </c>
      <c r="S96" s="59">
        <f>IFERROR(Inv_SY!S98/Inv_SY!$Y98-1,"")</f>
        <v>0.11408314044371681</v>
      </c>
      <c r="T96" s="59">
        <f>IFERROR(Inv_SY!T98/Inv_SY!$Y98-1,"")</f>
        <v>-3.2632062732553591E-2</v>
      </c>
      <c r="U96" s="59">
        <f>IFERROR(Inv_SY!U98/Inv_SY!$Y98-1,"")</f>
        <v>-3.4691281715955924E-2</v>
      </c>
      <c r="V96" s="59">
        <f>IFERROR(Inv_SY!J98/Inv_SY!$Z98-1,"")</f>
        <v>0.41359412449883148</v>
      </c>
      <c r="W96" s="59">
        <f>IFERROR(Inv_SY!K98/Inv_SY!$Z98-1,"")</f>
        <v>0.30523265658032139</v>
      </c>
      <c r="X96" s="59">
        <f>IFERROR(Inv_SY!L98/Inv_SY!$Z98-1,"")</f>
        <v>-1</v>
      </c>
      <c r="Y96" s="59">
        <f>IFERROR(Inv_SY!M98/Inv_SY!$Z98-1,"")</f>
        <v>0.28464665989035698</v>
      </c>
      <c r="Z96" s="59">
        <f>IFERROR(Inv_SY!N98/Inv_SY!$Z98-1,"")</f>
        <v>0.38953663864632593</v>
      </c>
      <c r="AA96" s="59">
        <f>IFERROR(Inv_SY!O98/Inv_SY!$Z98-1,"")</f>
        <v>0.26897109451422119</v>
      </c>
      <c r="AB96" s="59">
        <f>IFERROR(Inv_SY!P98/Inv_SY!$Z98-1,"")</f>
        <v>0.26631306386348519</v>
      </c>
      <c r="AC96" s="59">
        <f>IFERROR(Inv_SY!Q98/Inv_SY!$Z98-1,"")</f>
        <v>-1</v>
      </c>
      <c r="AD96" s="59">
        <f>IFERROR(Inv_SY!R98/Inv_SY!$Z98-1,"")</f>
        <v>-2.6011138101214248E-2</v>
      </c>
      <c r="AE96" s="59">
        <f>IFERROR(Inv_SY!S98/Inv_SY!$Z98-1,"")</f>
        <v>0.10736622198559931</v>
      </c>
      <c r="AF96" s="59">
        <f>IFERROR(Inv_SY!T98/Inv_SY!$Z98-1,"")</f>
        <v>-3.8464420586057035E-2</v>
      </c>
      <c r="AG96" s="59">
        <f>IFERROR(Inv_SY!U98/Inv_SY!$Z98-1,"")</f>
        <v>-4.051122433266352E-2</v>
      </c>
      <c r="AH96" s="59">
        <f>IFERROR(Inv_SY!V98/Inv_SY!$Y98-1,"")</f>
        <v>6.0656703489414543E-3</v>
      </c>
      <c r="AI96" s="59">
        <f>IFERROR(Inv_SY!W98/Inv_SY!$Y98-1,"")</f>
        <v>-1.1192118479349311E-2</v>
      </c>
      <c r="AJ96" s="59">
        <f>IFERROR(Inv_SY!X98/Inv_SY!$Y98-1,"")</f>
        <v>5.1264481304078569E-3</v>
      </c>
      <c r="AK96" s="59">
        <f>IFERROR(Inv_SY!V98/Inv_SY!$Z98-1,"")</f>
        <v>0</v>
      </c>
      <c r="AL96" s="59">
        <f>IFERROR(Inv_SY!W98/Inv_SY!$Z98-1,"")</f>
        <v>-1.7153739896825226E-2</v>
      </c>
      <c r="AM96" s="59">
        <f>IFERROR(Inv_SY!X98/Inv_SY!$Z98-1,"")</f>
        <v>-9.3355955402774082E-4</v>
      </c>
    </row>
    <row r="97" spans="1:39" x14ac:dyDescent="0.3">
      <c r="A97" s="55">
        <f>YEAR(Table5[[#This Row],[Date]])+IF(MONTH(Table5[[#This Row],[Date]])&gt;=4,1,0)</f>
        <v>2026</v>
      </c>
      <c r="B97" s="55">
        <v>57</v>
      </c>
      <c r="C97" s="124">
        <f>YEAR(Table5[[#This Row],[Date]])</f>
        <v>2025</v>
      </c>
      <c r="D97" s="55" t="s">
        <v>329</v>
      </c>
      <c r="E97" s="55" t="s">
        <v>329</v>
      </c>
      <c r="F97" s="126" t="str">
        <f>TEXT(Table5[[#This Row],[Date]],"mmm-yy")</f>
        <v>Jul-25</v>
      </c>
      <c r="G97" s="124">
        <f t="shared" si="5"/>
        <v>31</v>
      </c>
      <c r="H97" s="125">
        <f t="shared" si="6"/>
        <v>45840</v>
      </c>
      <c r="I97" s="55">
        <v>8.02</v>
      </c>
      <c r="J97" s="59">
        <f>IFERROR(Inv_SY!J99/Inv_SY!$Y99-1,"")</f>
        <v>0.2961962450086415</v>
      </c>
      <c r="K97" s="59">
        <f>IFERROR(Inv_SY!K99/Inv_SY!$Y99-1,"")</f>
        <v>0.46488233465808415</v>
      </c>
      <c r="L97" s="59">
        <f>IFERROR(Inv_SY!L99/Inv_SY!$Y99-1,"")</f>
        <v>-1</v>
      </c>
      <c r="M97" s="59">
        <f>IFERROR(Inv_SY!M99/Inv_SY!$Y99-1,"")</f>
        <v>0.28060629184364272</v>
      </c>
      <c r="N97" s="59">
        <f>IFERROR(Inv_SY!N99/Inv_SY!$Y99-1,"")</f>
        <v>0.42085340966205176</v>
      </c>
      <c r="O97" s="59">
        <f>IFERROR(Inv_SY!O99/Inv_SY!$Y99-1,"")</f>
        <v>0.25466190735044592</v>
      </c>
      <c r="P97" s="59">
        <f>IFERROR(Inv_SY!P99/Inv_SY!$Y99-1,"")</f>
        <v>0.24693987795010908</v>
      </c>
      <c r="Q97" s="59">
        <f>IFERROR(Inv_SY!Q99/Inv_SY!$Y99-1,"")</f>
        <v>-1</v>
      </c>
      <c r="R97" s="59">
        <f>IFERROR(Inv_SY!R99/Inv_SY!$Y99-1,"")</f>
        <v>-2.9881147759813653E-2</v>
      </c>
      <c r="S97" s="59">
        <f>IFERROR(Inv_SY!S99/Inv_SY!$Y99-1,"")</f>
        <v>-1.0441241532509693E-2</v>
      </c>
      <c r="T97" s="59">
        <f>IFERROR(Inv_SY!T99/Inv_SY!$Y99-1,"")</f>
        <v>0.12321073948422701</v>
      </c>
      <c r="U97" s="59">
        <f>IFERROR(Inv_SY!U99/Inv_SY!$Y99-1,"")</f>
        <v>-4.7330813914295167E-2</v>
      </c>
      <c r="V97" s="59">
        <f>IFERROR(Inv_SY!J99/Inv_SY!$Z99-1,"")</f>
        <v>0.28402467749804572</v>
      </c>
      <c r="W97" s="59">
        <f>IFERROR(Inv_SY!K99/Inv_SY!$Z99-1,"")</f>
        <v>0.45112676770591231</v>
      </c>
      <c r="X97" s="59">
        <f>IFERROR(Inv_SY!L99/Inv_SY!$Z99-1,"")</f>
        <v>-1</v>
      </c>
      <c r="Y97" s="59">
        <f>IFERROR(Inv_SY!M99/Inv_SY!$Z99-1,"")</f>
        <v>0.26858111741832658</v>
      </c>
      <c r="Z97" s="59">
        <f>IFERROR(Inv_SY!N99/Inv_SY!$Z99-1,"")</f>
        <v>0.40751128398859993</v>
      </c>
      <c r="AA97" s="59">
        <f>IFERROR(Inv_SY!O99/Inv_SY!$Z99-1,"")</f>
        <v>0.24288035639541516</v>
      </c>
      <c r="AB97" s="59">
        <f>IFERROR(Inv_SY!P99/Inv_SY!$Z99-1,"")</f>
        <v>0.23523083854765137</v>
      </c>
      <c r="AC97" s="59">
        <f>IFERROR(Inv_SY!Q99/Inv_SY!$Z99-1,"")</f>
        <v>-1</v>
      </c>
      <c r="AD97" s="59">
        <f>IFERROR(Inv_SY!R99/Inv_SY!$Z99-1,"")</f>
        <v>-3.8990776914204828E-2</v>
      </c>
      <c r="AE97" s="59">
        <f>IFERROR(Inv_SY!S99/Inv_SY!$Z99-1,"")</f>
        <v>-1.9733415677257393E-2</v>
      </c>
      <c r="AF97" s="59">
        <f>IFERROR(Inv_SY!T99/Inv_SY!$Z99-1,"")</f>
        <v>0.11266354387484045</v>
      </c>
      <c r="AG97" s="59">
        <f>IFERROR(Inv_SY!U99/Inv_SY!$Z99-1,"")</f>
        <v>-5.6276586869862588E-2</v>
      </c>
      <c r="AH97" s="59">
        <f>IFERROR(Inv_SY!V99/Inv_SY!$Y99-1,"")</f>
        <v>9.4792317654770475E-3</v>
      </c>
      <c r="AI97" s="59">
        <f>IFERROR(Inv_SY!W99/Inv_SY!$Y99-1,"")</f>
        <v>-1.7746129526621246E-2</v>
      </c>
      <c r="AJ97" s="59">
        <f>IFERROR(Inv_SY!X99/Inv_SY!$Y99-1,"")</f>
        <v>8.2668977611441985E-3</v>
      </c>
      <c r="AK97" s="59">
        <f>IFERROR(Inv_SY!V99/Inv_SY!$Z99-1,"")</f>
        <v>0</v>
      </c>
      <c r="AL97" s="59">
        <f>IFERROR(Inv_SY!W99/Inv_SY!$Z99-1,"")</f>
        <v>-2.6969709168244815E-2</v>
      </c>
      <c r="AM97" s="59">
        <f>IFERROR(Inv_SY!X99/Inv_SY!$Z99-1,"")</f>
        <v>-1.2009499216862896E-3</v>
      </c>
    </row>
    <row r="98" spans="1:39" x14ac:dyDescent="0.3">
      <c r="A98" s="55">
        <f>YEAR(Table5[[#This Row],[Date]])+IF(MONTH(Table5[[#This Row],[Date]])&gt;=4,1,0)</f>
        <v>2026</v>
      </c>
      <c r="B98" s="55">
        <v>58</v>
      </c>
      <c r="C98" s="124">
        <f>YEAR(Table5[[#This Row],[Date]])</f>
        <v>2025</v>
      </c>
      <c r="D98" s="55" t="s">
        <v>329</v>
      </c>
      <c r="E98" s="55" t="s">
        <v>329</v>
      </c>
      <c r="F98" s="126" t="str">
        <f>TEXT(Table5[[#This Row],[Date]],"mmm-yy")</f>
        <v>Jul-25</v>
      </c>
      <c r="G98" s="124">
        <f t="shared" si="5"/>
        <v>31</v>
      </c>
      <c r="H98" s="125">
        <f t="shared" si="6"/>
        <v>45841</v>
      </c>
      <c r="I98" s="55">
        <v>8.02</v>
      </c>
      <c r="J98" s="59">
        <f>IFERROR(Inv_SY!J100/Inv_SY!$Y100-1,"")</f>
        <v>0.32687521864939639</v>
      </c>
      <c r="K98" s="59">
        <f>IFERROR(Inv_SY!K100/Inv_SY!$Y100-1,"")</f>
        <v>0.32647747427929796</v>
      </c>
      <c r="L98" s="59">
        <f>IFERROR(Inv_SY!L100/Inv_SY!$Y100-1,"")</f>
        <v>-1</v>
      </c>
      <c r="M98" s="59">
        <f>IFERROR(Inv_SY!M100/Inv_SY!$Y100-1,"")</f>
        <v>0.36844266202606502</v>
      </c>
      <c r="N98" s="59">
        <f>IFERROR(Inv_SY!N100/Inv_SY!$Y100-1,"")</f>
        <v>0.30692062268285847</v>
      </c>
      <c r="O98" s="59">
        <f>IFERROR(Inv_SY!O100/Inv_SY!$Y100-1,"")</f>
        <v>0.35455648803506645</v>
      </c>
      <c r="P98" s="59">
        <f>IFERROR(Inv_SY!P100/Inv_SY!$Y100-1,"")</f>
        <v>0.29768991044346294</v>
      </c>
      <c r="Q98" s="59">
        <f>IFERROR(Inv_SY!Q100/Inv_SY!$Y100-1,"")</f>
        <v>-1</v>
      </c>
      <c r="R98" s="59">
        <f>IFERROR(Inv_SY!R100/Inv_SY!$Y100-1,"")</f>
        <v>-8.1756010147656655E-3</v>
      </c>
      <c r="S98" s="59">
        <f>IFERROR(Inv_SY!S100/Inv_SY!$Y100-1,"")</f>
        <v>1.1576306230274502E-2</v>
      </c>
      <c r="T98" s="59">
        <f>IFERROR(Inv_SY!T100/Inv_SY!$Y100-1,"")</f>
        <v>-2.0643449455763241E-2</v>
      </c>
      <c r="U98" s="59">
        <f>IFERROR(Inv_SY!U100/Inv_SY!$Y100-1,"")</f>
        <v>3.542608379653589E-2</v>
      </c>
      <c r="V98" s="59">
        <f>IFERROR(Inv_SY!J100/Inv_SY!$Z100-1,"")</f>
        <v>0.32041995450175587</v>
      </c>
      <c r="W98" s="59">
        <f>IFERROR(Inv_SY!K100/Inv_SY!$Z100-1,"")</f>
        <v>0.32002414516287669</v>
      </c>
      <c r="X98" s="59">
        <f>IFERROR(Inv_SY!L100/Inv_SY!$Z100-1,"")</f>
        <v>-1</v>
      </c>
      <c r="Y98" s="59">
        <f>IFERROR(Inv_SY!M100/Inv_SY!$Z100-1,"")</f>
        <v>0.36178517175861513</v>
      </c>
      <c r="Z98" s="59">
        <f>IFERROR(Inv_SY!N100/Inv_SY!$Z100-1,"")</f>
        <v>0.30056243788835735</v>
      </c>
      <c r="AA98" s="59">
        <f>IFERROR(Inv_SY!O100/Inv_SY!$Z100-1,"")</f>
        <v>0.34796655417371425</v>
      </c>
      <c r="AB98" s="59">
        <f>IFERROR(Inv_SY!P100/Inv_SY!$Z100-1,"")</f>
        <v>0.29137663317676776</v>
      </c>
      <c r="AC98" s="59">
        <f>IFERROR(Inv_SY!Q100/Inv_SY!$Z100-1,"")</f>
        <v>-1</v>
      </c>
      <c r="AD98" s="59">
        <f>IFERROR(Inv_SY!R100/Inv_SY!$Z100-1,"")</f>
        <v>-1.3000838831808914E-2</v>
      </c>
      <c r="AE98" s="59">
        <f>IFERROR(Inv_SY!S100/Inv_SY!$Z100-1,"")</f>
        <v>6.6549751431979054E-3</v>
      </c>
      <c r="AF98" s="59">
        <f>IFERROR(Inv_SY!T100/Inv_SY!$Z100-1,"")</f>
        <v>-2.5408031037835621E-2</v>
      </c>
      <c r="AG98" s="59">
        <f>IFERROR(Inv_SY!U100/Inv_SY!$Z100-1,"")</f>
        <v>3.0388723250253991E-2</v>
      </c>
      <c r="AH98" s="59">
        <f>IFERROR(Inv_SY!V100/Inv_SY!$Y100-1,"")</f>
        <v>4.8887962694235121E-3</v>
      </c>
      <c r="AI98" s="59">
        <f>IFERROR(Inv_SY!W100/Inv_SY!$Y100-1,"")</f>
        <v>-8.5528228899490744E-3</v>
      </c>
      <c r="AJ98" s="59">
        <f>IFERROR(Inv_SY!X100/Inv_SY!$Y100-1,"")</f>
        <v>3.6640266205252292E-3</v>
      </c>
      <c r="AK98" s="59">
        <f>IFERROR(Inv_SY!V100/Inv_SY!$Z100-1,"")</f>
        <v>0</v>
      </c>
      <c r="AL98" s="59">
        <f>IFERROR(Inv_SY!W100/Inv_SY!$Z100-1,"")</f>
        <v>-1.3376225517961471E-2</v>
      </c>
      <c r="AM98" s="59">
        <f>IFERROR(Inv_SY!X100/Inv_SY!$Z100-1,"")</f>
        <v>-1.2188111295948767E-3</v>
      </c>
    </row>
    <row r="99" spans="1:39" x14ac:dyDescent="0.3">
      <c r="A99" s="55">
        <f>YEAR(Table5[[#This Row],[Date]])+IF(MONTH(Table5[[#This Row],[Date]])&gt;=4,1,0)</f>
        <v>2026</v>
      </c>
      <c r="B99" s="55">
        <v>59</v>
      </c>
      <c r="C99" s="124">
        <f>YEAR(Table5[[#This Row],[Date]])</f>
        <v>2025</v>
      </c>
      <c r="D99" s="55" t="s">
        <v>329</v>
      </c>
      <c r="E99" s="55" t="s">
        <v>329</v>
      </c>
      <c r="F99" s="126" t="str">
        <f>TEXT(Table5[[#This Row],[Date]],"mmm-yy")</f>
        <v>Jul-25</v>
      </c>
      <c r="G99" s="124">
        <f t="shared" si="5"/>
        <v>31</v>
      </c>
      <c r="H99" s="125">
        <f t="shared" si="6"/>
        <v>45842</v>
      </c>
      <c r="I99" s="55">
        <v>8.02</v>
      </c>
      <c r="J99" s="59">
        <f>IFERROR(Inv_SY!J101/Inv_SY!$Y101-1,"")</f>
        <v>0.32220154486401209</v>
      </c>
      <c r="K99" s="59">
        <f>IFERROR(Inv_SY!K101/Inv_SY!$Y101-1,"")</f>
        <v>0.3213222435619485</v>
      </c>
      <c r="L99" s="59">
        <f>IFERROR(Inv_SY!L101/Inv_SY!$Y101-1,"")</f>
        <v>-1</v>
      </c>
      <c r="M99" s="59">
        <f>IFERROR(Inv_SY!M101/Inv_SY!$Y101-1,"")</f>
        <v>0.31460824107331309</v>
      </c>
      <c r="N99" s="59">
        <f>IFERROR(Inv_SY!N101/Inv_SY!$Y101-1,"")</f>
        <v>0.30459232983615547</v>
      </c>
      <c r="O99" s="59">
        <f>IFERROR(Inv_SY!O101/Inv_SY!$Y101-1,"")</f>
        <v>0.29627688459326107</v>
      </c>
      <c r="P99" s="59">
        <f>IFERROR(Inv_SY!P101/Inv_SY!$Y101-1,"")</f>
        <v>0.31244148842991559</v>
      </c>
      <c r="Q99" s="59">
        <f>IFERROR(Inv_SY!Q101/Inv_SY!$Y101-1,"")</f>
        <v>-1</v>
      </c>
      <c r="R99" s="59">
        <f>IFERROR(Inv_SY!R101/Inv_SY!$Y101-1,"")</f>
        <v>4.5366689311526098E-2</v>
      </c>
      <c r="S99" s="59">
        <f>IFERROR(Inv_SY!S101/Inv_SY!$Y101-1,"")</f>
        <v>5.2463159910187906E-2</v>
      </c>
      <c r="T99" s="59">
        <f>IFERROR(Inv_SY!T101/Inv_SY!$Y101-1,"")</f>
        <v>1.8973943396430659E-2</v>
      </c>
      <c r="U99" s="59">
        <f>IFERROR(Inv_SY!U101/Inv_SY!$Y101-1,"")</f>
        <v>1.2235743393919973E-2</v>
      </c>
      <c r="V99" s="59">
        <f>IFERROR(Inv_SY!J101/Inv_SY!$Z101-1,"")</f>
        <v>0.28221789543213771</v>
      </c>
      <c r="W99" s="59">
        <f>IFERROR(Inv_SY!K101/Inv_SY!$Z101-1,"")</f>
        <v>0.28136518438414182</v>
      </c>
      <c r="X99" s="59">
        <f>IFERROR(Inv_SY!L101/Inv_SY!$Z101-1,"")</f>
        <v>-1</v>
      </c>
      <c r="Y99" s="59">
        <f>IFERROR(Inv_SY!M101/Inv_SY!$Z101-1,"")</f>
        <v>0.27485421472573801</v>
      </c>
      <c r="Z99" s="59">
        <f>IFERROR(Inv_SY!N101/Inv_SY!$Z101-1,"")</f>
        <v>0.26514118672540832</v>
      </c>
      <c r="AA99" s="59">
        <f>IFERROR(Inv_SY!O101/Inv_SY!$Z101-1,"")</f>
        <v>0.2570772022743677</v>
      </c>
      <c r="AB99" s="59">
        <f>IFERROR(Inv_SY!P101/Inv_SY!$Z101-1,"")</f>
        <v>0.27275298513246526</v>
      </c>
      <c r="AC99" s="59">
        <f>IFERROR(Inv_SY!Q101/Inv_SY!$Z101-1,"")</f>
        <v>-1</v>
      </c>
      <c r="AD99" s="59">
        <f>IFERROR(Inv_SY!R101/Inv_SY!$Z101-1,"")</f>
        <v>1.3754583429824052E-2</v>
      </c>
      <c r="AE99" s="59">
        <f>IFERROR(Inv_SY!S101/Inv_SY!$Z101-1,"")</f>
        <v>2.0636455283141064E-2</v>
      </c>
      <c r="AF99" s="59">
        <f>IFERROR(Inv_SY!T101/Inv_SY!$Z101-1,"")</f>
        <v>-1.1840040365150739E-2</v>
      </c>
      <c r="AG99" s="59">
        <f>IFERROR(Inv_SY!U101/Inv_SY!$Z101-1,"")</f>
        <v>-1.8374475799582735E-2</v>
      </c>
      <c r="AH99" s="59">
        <f>IFERROR(Inv_SY!V101/Inv_SY!$Y101-1,"")</f>
        <v>-1.114711795579848E-2</v>
      </c>
      <c r="AI99" s="59">
        <f>IFERROR(Inv_SY!W101/Inv_SY!$Y101-1,"")</f>
        <v>-2.0036076081903831E-2</v>
      </c>
      <c r="AJ99" s="59">
        <f>IFERROR(Inv_SY!X101/Inv_SY!$Y101-1,"")</f>
        <v>3.1183194037702089E-2</v>
      </c>
      <c r="AK99" s="59">
        <f>IFERROR(Inv_SY!V101/Inv_SY!$Z101-1,"")</f>
        <v>-4.10502345638043E-2</v>
      </c>
      <c r="AL99" s="59">
        <f>IFERROR(Inv_SY!W101/Inv_SY!$Z101-1,"")</f>
        <v>-4.9670388749308181E-2</v>
      </c>
      <c r="AM99" s="59">
        <f>IFERROR(Inv_SY!X101/Inv_SY!$Z101-1,"")</f>
        <v>0</v>
      </c>
    </row>
    <row r="100" spans="1:39" x14ac:dyDescent="0.3">
      <c r="A100" s="55">
        <f>YEAR(Table5[[#This Row],[Date]])+IF(MONTH(Table5[[#This Row],[Date]])&gt;=4,1,0)</f>
        <v>2026</v>
      </c>
      <c r="B100" s="55">
        <v>60</v>
      </c>
      <c r="C100" s="124">
        <f>YEAR(Table5[[#This Row],[Date]])</f>
        <v>2025</v>
      </c>
      <c r="D100" s="55" t="s">
        <v>329</v>
      </c>
      <c r="E100" s="55" t="s">
        <v>329</v>
      </c>
      <c r="F100" s="126" t="str">
        <f>TEXT(Table5[[#This Row],[Date]],"mmm-yy")</f>
        <v>Jul-25</v>
      </c>
      <c r="G100" s="124">
        <f t="shared" si="5"/>
        <v>31</v>
      </c>
      <c r="H100" s="125">
        <f t="shared" si="6"/>
        <v>45843</v>
      </c>
      <c r="I100" s="55">
        <v>8.02</v>
      </c>
      <c r="J100" s="59">
        <f>IFERROR(Inv_SY!J102/Inv_SY!$Y102-1,"")</f>
        <v>0.3499657651873529</v>
      </c>
      <c r="K100" s="59">
        <f>IFERROR(Inv_SY!K102/Inv_SY!$Y102-1,"")</f>
        <v>0.32678225419688856</v>
      </c>
      <c r="L100" s="59">
        <f>IFERROR(Inv_SY!L102/Inv_SY!$Y102-1,"")</f>
        <v>-1</v>
      </c>
      <c r="M100" s="59">
        <f>IFERROR(Inv_SY!M102/Inv_SY!$Y102-1,"")</f>
        <v>0.30762681824228322</v>
      </c>
      <c r="N100" s="59">
        <f>IFERROR(Inv_SY!N102/Inv_SY!$Y102-1,"")</f>
        <v>0.32685429989034476</v>
      </c>
      <c r="O100" s="59">
        <f>IFERROR(Inv_SY!O102/Inv_SY!$Y102-1,"")</f>
        <v>0.29448000571178601</v>
      </c>
      <c r="P100" s="59">
        <f>IFERROR(Inv_SY!P102/Inv_SY!$Y102-1,"")</f>
        <v>0.29501274726155957</v>
      </c>
      <c r="Q100" s="59">
        <f>IFERROR(Inv_SY!Q102/Inv_SY!$Y102-1,"")</f>
        <v>-1</v>
      </c>
      <c r="R100" s="59">
        <f>IFERROR(Inv_SY!R102/Inv_SY!$Y102-1,"")</f>
        <v>2.2541600673392281E-2</v>
      </c>
      <c r="S100" s="59">
        <f>IFERROR(Inv_SY!S102/Inv_SY!$Y102-1,"")</f>
        <v>6.4525632635884733E-2</v>
      </c>
      <c r="T100" s="59">
        <f>IFERROR(Inv_SY!T102/Inv_SY!$Y102-1,"")</f>
        <v>9.6149832920189304E-3</v>
      </c>
      <c r="U100" s="59">
        <f>IFERROR(Inv_SY!U102/Inv_SY!$Y102-1,"")</f>
        <v>3.6599580278215971E-3</v>
      </c>
      <c r="V100" s="59">
        <f>IFERROR(Inv_SY!J102/Inv_SY!$Z102-1,"")</f>
        <v>0.31841663561218025</v>
      </c>
      <c r="W100" s="59">
        <f>IFERROR(Inv_SY!K102/Inv_SY!$Z102-1,"")</f>
        <v>0.29577493065199256</v>
      </c>
      <c r="X100" s="59">
        <f>IFERROR(Inv_SY!L102/Inv_SY!$Z102-1,"")</f>
        <v>-1</v>
      </c>
      <c r="Y100" s="59">
        <f>IFERROR(Inv_SY!M102/Inv_SY!$Z102-1,"")</f>
        <v>0.27706716333209269</v>
      </c>
      <c r="Z100" s="59">
        <f>IFERROR(Inv_SY!N102/Inv_SY!$Z102-1,"")</f>
        <v>0.2958452926146633</v>
      </c>
      <c r="AA100" s="59">
        <f>IFERROR(Inv_SY!O102/Inv_SY!$Z102-1,"")</f>
        <v>0.26422759599456347</v>
      </c>
      <c r="AB100" s="59">
        <f>IFERROR(Inv_SY!P102/Inv_SY!$Z102-1,"")</f>
        <v>0.26474788720476772</v>
      </c>
      <c r="AC100" s="59">
        <f>IFERROR(Inv_SY!Q102/Inv_SY!$Z102-1,"")</f>
        <v>-1</v>
      </c>
      <c r="AD100" s="59">
        <f>IFERROR(Inv_SY!R102/Inv_SY!$Z102-1,"")</f>
        <v>-1.3555219704343147E-3</v>
      </c>
      <c r="AE100" s="59">
        <f>IFERROR(Inv_SY!S102/Inv_SY!$Z102-1,"")</f>
        <v>3.9647329803174536E-2</v>
      </c>
      <c r="AF100" s="59">
        <f>IFERROR(Inv_SY!T102/Inv_SY!$Z102-1,"")</f>
        <v>-1.3980040189554344E-2</v>
      </c>
      <c r="AG100" s="59">
        <f>IFERROR(Inv_SY!U102/Inv_SY!$Z102-1,"")</f>
        <v>-1.979589461806941E-2</v>
      </c>
      <c r="AH100" s="59">
        <f>IFERROR(Inv_SY!V102/Inv_SY!$Y102-1,"")</f>
        <v>-4.6538406770066931E-3</v>
      </c>
      <c r="AI100" s="59">
        <f>IFERROR(Inv_SY!W102/Inv_SY!$Y102-1,"")</f>
        <v>-1.927571901071945E-2</v>
      </c>
      <c r="AJ100" s="59">
        <f>IFERROR(Inv_SY!X102/Inv_SY!$Y102-1,"")</f>
        <v>2.3929559687726254E-2</v>
      </c>
      <c r="AK100" s="59">
        <f>IFERROR(Inv_SY!V102/Inv_SY!$Z102-1,"")</f>
        <v>-2.7915397201200065E-2</v>
      </c>
      <c r="AL100" s="59">
        <f>IFERROR(Inv_SY!W102/Inv_SY!$Z102-1,"")</f>
        <v>-4.2195557584666421E-2</v>
      </c>
      <c r="AM100" s="59">
        <f>IFERROR(Inv_SY!X102/Inv_SY!$Z102-1,"")</f>
        <v>0</v>
      </c>
    </row>
    <row r="101" spans="1:39" x14ac:dyDescent="0.3">
      <c r="A101" s="55">
        <f>YEAR(Table5[[#This Row],[Date]])+IF(MONTH(Table5[[#This Row],[Date]])&gt;=4,1,0)</f>
        <v>2026</v>
      </c>
      <c r="B101" s="55">
        <v>61</v>
      </c>
      <c r="C101" s="124">
        <f>YEAR(Table5[[#This Row],[Date]])</f>
        <v>2025</v>
      </c>
      <c r="D101" s="55" t="s">
        <v>329</v>
      </c>
      <c r="E101" s="55" t="s">
        <v>329</v>
      </c>
      <c r="F101" s="126" t="str">
        <f>TEXT(Table5[[#This Row],[Date]],"mmm-yy")</f>
        <v>Jul-25</v>
      </c>
      <c r="G101" s="124">
        <f t="shared" si="5"/>
        <v>31</v>
      </c>
      <c r="H101" s="125">
        <f t="shared" si="6"/>
        <v>45844</v>
      </c>
      <c r="I101" s="55">
        <v>8.02</v>
      </c>
      <c r="J101" s="59">
        <f>IFERROR(Inv_SY!J103/Inv_SY!$Y103-1,"")</f>
        <v>0.33241805939122782</v>
      </c>
      <c r="K101" s="59">
        <f>IFERROR(Inv_SY!K103/Inv_SY!$Y103-1,"")</f>
        <v>0.33149482071371161</v>
      </c>
      <c r="L101" s="59">
        <f>IFERROR(Inv_SY!L103/Inv_SY!$Y103-1,"")</f>
        <v>-1</v>
      </c>
      <c r="M101" s="59">
        <f>IFERROR(Inv_SY!M103/Inv_SY!$Y103-1,"")</f>
        <v>0.33114838639091038</v>
      </c>
      <c r="N101" s="59">
        <f>IFERROR(Inv_SY!N103/Inv_SY!$Y103-1,"")</f>
        <v>0.30786778080064914</v>
      </c>
      <c r="O101" s="59">
        <f>IFERROR(Inv_SY!O103/Inv_SY!$Y103-1,"")</f>
        <v>0.29979776665554114</v>
      </c>
      <c r="P101" s="59">
        <f>IFERROR(Inv_SY!P103/Inv_SY!$Y103-1,"")</f>
        <v>0.3213052927259914</v>
      </c>
      <c r="Q101" s="59">
        <f>IFERROR(Inv_SY!Q103/Inv_SY!$Y103-1,"")</f>
        <v>-1</v>
      </c>
      <c r="R101" s="59">
        <f>IFERROR(Inv_SY!R103/Inv_SY!$Y103-1,"")</f>
        <v>1.7119285983104193E-2</v>
      </c>
      <c r="S101" s="59">
        <f>IFERROR(Inv_SY!S103/Inv_SY!$Y103-1,"")</f>
        <v>3.7064909763538934E-2</v>
      </c>
      <c r="T101" s="59">
        <f>IFERROR(Inv_SY!T103/Inv_SY!$Y103-1,"")</f>
        <v>4.9896296176403787E-3</v>
      </c>
      <c r="U101" s="59">
        <f>IFERROR(Inv_SY!U103/Inv_SY!$Y103-1,"")</f>
        <v>1.6916563495438686E-2</v>
      </c>
      <c r="V101" s="59">
        <f>IFERROR(Inv_SY!J103/Inv_SY!$Z103-1,"")</f>
        <v>0.30883480084223081</v>
      </c>
      <c r="W101" s="59">
        <f>IFERROR(Inv_SY!K103/Inv_SY!$Z103-1,"")</f>
        <v>0.30792790311437446</v>
      </c>
      <c r="X101" s="59">
        <f>IFERROR(Inv_SY!L103/Inv_SY!$Z103-1,"")</f>
        <v>-1</v>
      </c>
      <c r="Y101" s="59">
        <f>IFERROR(Inv_SY!M103/Inv_SY!$Z103-1,"")</f>
        <v>0.30758760053839795</v>
      </c>
      <c r="Z101" s="59">
        <f>IFERROR(Inv_SY!N103/Inv_SY!$Z103-1,"")</f>
        <v>0.28471905221270366</v>
      </c>
      <c r="AA101" s="59">
        <f>IFERROR(Inv_SY!O103/Inv_SY!$Z103-1,"")</f>
        <v>0.27679187404068739</v>
      </c>
      <c r="AB101" s="59">
        <f>IFERROR(Inv_SY!P103/Inv_SY!$Z103-1,"")</f>
        <v>0.29791872563401411</v>
      </c>
      <c r="AC101" s="59">
        <f>IFERROR(Inv_SY!Q103/Inv_SY!$Z103-1,"")</f>
        <v>-1</v>
      </c>
      <c r="AD101" s="59">
        <f>IFERROR(Inv_SY!R103/Inv_SY!$Z103-1,"")</f>
        <v>-8.8331232111749092E-4</v>
      </c>
      <c r="AE101" s="59">
        <f>IFERROR(Inv_SY!S103/Inv_SY!$Z103-1,"")</f>
        <v>1.8709282018430029E-2</v>
      </c>
      <c r="AF101" s="59">
        <f>IFERROR(Inv_SY!T103/Inv_SY!$Z103-1,"")</f>
        <v>-1.2798278694831855E-2</v>
      </c>
      <c r="AG101" s="59">
        <f>IFERROR(Inv_SY!U103/Inv_SY!$Z103-1,"")</f>
        <v>-1.0824467030779994E-3</v>
      </c>
      <c r="AH101" s="59">
        <f>IFERROR(Inv_SY!V103/Inv_SY!$Y103-1,"")</f>
        <v>-1.9040204042739539E-3</v>
      </c>
      <c r="AI101" s="59">
        <f>IFERROR(Inv_SY!W103/Inv_SY!$Y103-1,"")</f>
        <v>-1.6114493875619251E-2</v>
      </c>
      <c r="AJ101" s="59">
        <f>IFERROR(Inv_SY!X103/Inv_SY!$Y103-1,"")</f>
        <v>1.8018514279893205E-2</v>
      </c>
      <c r="AK101" s="59">
        <f>IFERROR(Inv_SY!V103/Inv_SY!$Z103-1,"")</f>
        <v>-1.9569913910907233E-2</v>
      </c>
      <c r="AL101" s="59">
        <f>IFERROR(Inv_SY!W103/Inv_SY!$Z103-1,"")</f>
        <v>-3.3528867772760318E-2</v>
      </c>
      <c r="AM101" s="59">
        <f>IFERROR(Inv_SY!X103/Inv_SY!$Z103-1,"")</f>
        <v>0</v>
      </c>
    </row>
    <row r="102" spans="1:39" x14ac:dyDescent="0.3">
      <c r="A102" s="55">
        <f>YEAR(Table5[[#This Row],[Date]])+IF(MONTH(Table5[[#This Row],[Date]])&gt;=4,1,0)</f>
        <v>2026</v>
      </c>
      <c r="B102" s="55">
        <v>62</v>
      </c>
      <c r="C102" s="124">
        <f>YEAR(Table5[[#This Row],[Date]])</f>
        <v>2025</v>
      </c>
      <c r="D102" s="55" t="s">
        <v>329</v>
      </c>
      <c r="E102" s="55" t="s">
        <v>329</v>
      </c>
      <c r="F102" s="126" t="str">
        <f>TEXT(Table5[[#This Row],[Date]],"mmm-yy")</f>
        <v>Jul-25</v>
      </c>
      <c r="G102" s="124">
        <f t="shared" si="5"/>
        <v>31</v>
      </c>
      <c r="H102" s="125">
        <f t="shared" si="6"/>
        <v>45845</v>
      </c>
      <c r="I102" s="55">
        <v>8.02</v>
      </c>
      <c r="J102" s="59">
        <f>IFERROR(Inv_SY!J104/Inv_SY!$Y104-1,"")</f>
        <v>0.41098319154990093</v>
      </c>
      <c r="K102" s="59">
        <f>IFERROR(Inv_SY!K104/Inv_SY!$Y104-1,"")</f>
        <v>0.30911911919022117</v>
      </c>
      <c r="L102" s="59">
        <f>IFERROR(Inv_SY!L104/Inv_SY!$Y104-1,"")</f>
        <v>-1</v>
      </c>
      <c r="M102" s="59">
        <f>IFERROR(Inv_SY!M104/Inv_SY!$Y104-1,"")</f>
        <v>0.29205793052096407</v>
      </c>
      <c r="N102" s="59">
        <f>IFERROR(Inv_SY!N104/Inv_SY!$Y104-1,"")</f>
        <v>0.3795647473207715</v>
      </c>
      <c r="O102" s="59">
        <f>IFERROR(Inv_SY!O104/Inv_SY!$Y104-1,"")</f>
        <v>0.29131398573213452</v>
      </c>
      <c r="P102" s="59">
        <f>IFERROR(Inv_SY!P104/Inv_SY!$Y104-1,"")</f>
        <v>0.27195524850976049</v>
      </c>
      <c r="Q102" s="59">
        <f>IFERROR(Inv_SY!Q104/Inv_SY!$Y104-1,"")</f>
        <v>-1</v>
      </c>
      <c r="R102" s="59">
        <f>IFERROR(Inv_SY!R104/Inv_SY!$Y104-1,"")</f>
        <v>-1.1921151137714636E-2</v>
      </c>
      <c r="S102" s="59">
        <f>IFERROR(Inv_SY!S104/Inv_SY!$Y104-1,"")</f>
        <v>0.11259439879856714</v>
      </c>
      <c r="T102" s="59">
        <f>IFERROR(Inv_SY!T104/Inv_SY!$Y104-1,"")</f>
        <v>-2.3799901461135642E-2</v>
      </c>
      <c r="U102" s="59">
        <f>IFERROR(Inv_SY!U104/Inv_SY!$Y104-1,"")</f>
        <v>-2.9038900201058149E-2</v>
      </c>
      <c r="V102" s="59">
        <f>IFERROR(Inv_SY!J104/Inv_SY!$Z104-1,"")</f>
        <v>0.39638459970442841</v>
      </c>
      <c r="W102" s="59">
        <f>IFERROR(Inv_SY!K104/Inv_SY!$Z104-1,"")</f>
        <v>0.29557445344748512</v>
      </c>
      <c r="X102" s="59">
        <f>IFERROR(Inv_SY!L104/Inv_SY!$Z104-1,"")</f>
        <v>-1</v>
      </c>
      <c r="Y102" s="59">
        <f>IFERROR(Inv_SY!M104/Inv_SY!$Z104-1,"")</f>
        <v>0.27868978660447863</v>
      </c>
      <c r="Z102" s="59">
        <f>IFERROR(Inv_SY!N104/Inv_SY!$Z104-1,"")</f>
        <v>0.36529122316318352</v>
      </c>
      <c r="AA102" s="59">
        <f>IFERROR(Inv_SY!O104/Inv_SY!$Z104-1,"")</f>
        <v>0.27795353896356167</v>
      </c>
      <c r="AB102" s="59">
        <f>IFERROR(Inv_SY!P104/Inv_SY!$Z104-1,"")</f>
        <v>0.2587950949162201</v>
      </c>
      <c r="AC102" s="59">
        <f>IFERROR(Inv_SY!Q104/Inv_SY!$Z104-1,"")</f>
        <v>-1</v>
      </c>
      <c r="AD102" s="59">
        <f>IFERROR(Inv_SY!R104/Inv_SY!$Z104-1,"")</f>
        <v>-2.214420688499108E-2</v>
      </c>
      <c r="AE102" s="59">
        <f>IFERROR(Inv_SY!S104/Inv_SY!$Z104-1,"")</f>
        <v>0.10108305577556664</v>
      </c>
      <c r="AF102" s="59">
        <f>IFERROR(Inv_SY!T104/Inv_SY!$Z104-1,"")</f>
        <v>-3.390005494519277E-2</v>
      </c>
      <c r="AG102" s="59">
        <f>IFERROR(Inv_SY!U104/Inv_SY!$Z104-1,"")</f>
        <v>-3.908484892580899E-2</v>
      </c>
      <c r="AH102" s="59">
        <f>IFERROR(Inv_SY!V104/Inv_SY!$Y104-1,"")</f>
        <v>2.1883482513360697E-3</v>
      </c>
      <c r="AI102" s="59">
        <f>IFERROR(Inv_SY!W104/Inv_SY!$Y104-1,"")</f>
        <v>-1.2642912021634256E-2</v>
      </c>
      <c r="AJ102" s="59">
        <f>IFERROR(Inv_SY!X104/Inv_SY!$Y104-1,"")</f>
        <v>1.0454563770298186E-2</v>
      </c>
      <c r="AK102" s="59">
        <f>IFERROR(Inv_SY!V104/Inv_SY!$Z104-1,"")</f>
        <v>-8.1806899739444994E-3</v>
      </c>
      <c r="AL102" s="59">
        <f>IFERROR(Inv_SY!W104/Inv_SY!$Z104-1,"")</f>
        <v>-2.2858500144478655E-2</v>
      </c>
      <c r="AM102" s="59">
        <f>IFERROR(Inv_SY!X104/Inv_SY!$Z104-1,"")</f>
        <v>0</v>
      </c>
    </row>
    <row r="103" spans="1:39" x14ac:dyDescent="0.3">
      <c r="A103" s="55">
        <f>YEAR(Table5[[#This Row],[Date]])+IF(MONTH(Table5[[#This Row],[Date]])&gt;=4,1,0)</f>
        <v>2026</v>
      </c>
      <c r="B103" s="55">
        <v>63</v>
      </c>
      <c r="C103" s="124">
        <f>YEAR(Table5[[#This Row],[Date]])</f>
        <v>2025</v>
      </c>
      <c r="D103" s="55" t="s">
        <v>329</v>
      </c>
      <c r="E103" s="55" t="s">
        <v>329</v>
      </c>
      <c r="F103" s="126" t="str">
        <f>TEXT(Table5[[#This Row],[Date]],"mmm-yy")</f>
        <v>Jul-25</v>
      </c>
      <c r="G103" s="124">
        <f t="shared" si="5"/>
        <v>31</v>
      </c>
      <c r="H103" s="125">
        <f t="shared" si="6"/>
        <v>45846</v>
      </c>
      <c r="I103" s="55">
        <v>8.02</v>
      </c>
      <c r="J103" s="59">
        <f>IFERROR(Inv_SY!J105/Inv_SY!$Y105-1,"")</f>
        <v>0.32217030615372266</v>
      </c>
      <c r="K103" s="59">
        <f>IFERROR(Inv_SY!K105/Inv_SY!$Y105-1,"")</f>
        <v>0.32159658333842933</v>
      </c>
      <c r="L103" s="59">
        <f>IFERROR(Inv_SY!L105/Inv_SY!$Y105-1,"")</f>
        <v>-1</v>
      </c>
      <c r="M103" s="59">
        <f>IFERROR(Inv_SY!M105/Inv_SY!$Y105-1,"")</f>
        <v>0.36051949554770091</v>
      </c>
      <c r="N103" s="59">
        <f>IFERROR(Inv_SY!N105/Inv_SY!$Y105-1,"")</f>
        <v>0.28972033851434897</v>
      </c>
      <c r="O103" s="59">
        <f>IFERROR(Inv_SY!O105/Inv_SY!$Y105-1,"")</f>
        <v>0.33886213446990809</v>
      </c>
      <c r="P103" s="59">
        <f>IFERROR(Inv_SY!P105/Inv_SY!$Y105-1,"")</f>
        <v>0.29746003884823424</v>
      </c>
      <c r="Q103" s="59">
        <f>IFERROR(Inv_SY!Q105/Inv_SY!$Y105-1,"")</f>
        <v>-1</v>
      </c>
      <c r="R103" s="59">
        <f>IFERROR(Inv_SY!R105/Inv_SY!$Y105-1,"")</f>
        <v>6.5573523351014629E-3</v>
      </c>
      <c r="S103" s="59">
        <f>IFERROR(Inv_SY!S105/Inv_SY!$Y105-1,"")</f>
        <v>2.3345243205318722E-2</v>
      </c>
      <c r="T103" s="59">
        <f>IFERROR(Inv_SY!T105/Inv_SY!$Y105-1,"")</f>
        <v>-6.4685813810286819E-3</v>
      </c>
      <c r="U103" s="59">
        <f>IFERROR(Inv_SY!U105/Inv_SY!$Y105-1,"")</f>
        <v>4.5503598689394131E-2</v>
      </c>
      <c r="V103" s="59">
        <f>IFERROR(Inv_SY!J105/Inv_SY!$Z105-1,"")</f>
        <v>0.30091122257254388</v>
      </c>
      <c r="W103" s="59">
        <f>IFERROR(Inv_SY!K105/Inv_SY!$Z105-1,"")</f>
        <v>0.30034672460614154</v>
      </c>
      <c r="X103" s="59">
        <f>IFERROR(Inv_SY!L105/Inv_SY!$Z105-1,"")</f>
        <v>-1</v>
      </c>
      <c r="Y103" s="59">
        <f>IFERROR(Inv_SY!M105/Inv_SY!$Z105-1,"")</f>
        <v>0.33864379804106748</v>
      </c>
      <c r="Z103" s="59">
        <f>IFERROR(Inv_SY!N105/Inv_SY!$Z105-1,"")</f>
        <v>0.26898301568595739</v>
      </c>
      <c r="AA103" s="59">
        <f>IFERROR(Inv_SY!O105/Inv_SY!$Z105-1,"")</f>
        <v>0.31733466415243283</v>
      </c>
      <c r="AB103" s="59">
        <f>IFERROR(Inv_SY!P105/Inv_SY!$Z105-1,"")</f>
        <v>0.27659826992123837</v>
      </c>
      <c r="AC103" s="59">
        <f>IFERROR(Inv_SY!Q105/Inv_SY!$Z105-1,"")</f>
        <v>-1</v>
      </c>
      <c r="AD103" s="59">
        <f>IFERROR(Inv_SY!R105/Inv_SY!$Z105-1,"")</f>
        <v>-9.6270127069418843E-3</v>
      </c>
      <c r="AE103" s="59">
        <f>IFERROR(Inv_SY!S105/Inv_SY!$Z105-1,"")</f>
        <v>6.890946843913115E-3</v>
      </c>
      <c r="AF103" s="59">
        <f>IFERROR(Inv_SY!T105/Inv_SY!$Z105-1,"")</f>
        <v>-2.2443503348828719E-2</v>
      </c>
      <c r="AG103" s="59">
        <f>IFERROR(Inv_SY!U105/Inv_SY!$Z105-1,"")</f>
        <v>2.8693019684924215E-2</v>
      </c>
      <c r="AH103" s="59">
        <f>IFERROR(Inv_SY!V105/Inv_SY!$Y105-1,"")</f>
        <v>5.0611369947328733E-4</v>
      </c>
      <c r="AI103" s="59">
        <f>IFERROR(Inv_SY!W105/Inv_SY!$Y105-1,"")</f>
        <v>-1.6847800366715404E-2</v>
      </c>
      <c r="AJ103" s="59">
        <f>IFERROR(Inv_SY!X105/Inv_SY!$Y105-1,"")</f>
        <v>1.6341686667241673E-2</v>
      </c>
      <c r="AK103" s="59">
        <f>IFERROR(Inv_SY!V105/Inv_SY!$Z105-1,"")</f>
        <v>-1.5580953901139227E-2</v>
      </c>
      <c r="AL103" s="59">
        <f>IFERROR(Inv_SY!W105/Inv_SY!$Z105-1,"")</f>
        <v>-3.265583560071339E-2</v>
      </c>
      <c r="AM103" s="59">
        <f>IFERROR(Inv_SY!X105/Inv_SY!$Z105-1,"")</f>
        <v>0</v>
      </c>
    </row>
    <row r="104" spans="1:39" x14ac:dyDescent="0.3">
      <c r="A104" s="55">
        <f>YEAR(Table5[[#This Row],[Date]])+IF(MONTH(Table5[[#This Row],[Date]])&gt;=4,1,0)</f>
        <v>2026</v>
      </c>
      <c r="B104" s="55">
        <v>64</v>
      </c>
      <c r="C104" s="124">
        <f>YEAR(Table5[[#This Row],[Date]])</f>
        <v>2025</v>
      </c>
      <c r="D104" s="55" t="s">
        <v>329</v>
      </c>
      <c r="E104" s="55" t="s">
        <v>329</v>
      </c>
      <c r="F104" s="126" t="str">
        <f>TEXT(Table5[[#This Row],[Date]],"mmm-yy")</f>
        <v>Jul-25</v>
      </c>
      <c r="G104" s="124">
        <f t="shared" si="5"/>
        <v>31</v>
      </c>
      <c r="H104" s="125">
        <f t="shared" si="6"/>
        <v>45847</v>
      </c>
      <c r="I104" s="55">
        <v>8.02</v>
      </c>
      <c r="J104" s="59">
        <f>IFERROR(Inv_SY!J106/Inv_SY!$Y106-1,"")</f>
        <v>0.32573361062043404</v>
      </c>
      <c r="K104" s="59">
        <f>IFERROR(Inv_SY!K106/Inv_SY!$Y106-1,"")</f>
        <v>0.32505834792128963</v>
      </c>
      <c r="L104" s="59">
        <f>IFERROR(Inv_SY!L106/Inv_SY!$Y106-1,"")</f>
        <v>-1</v>
      </c>
      <c r="M104" s="59">
        <f>IFERROR(Inv_SY!M106/Inv_SY!$Y106-1,"")</f>
        <v>0.34029080445437287</v>
      </c>
      <c r="N104" s="59">
        <f>IFERROR(Inv_SY!N106/Inv_SY!$Y106-1,"")</f>
        <v>0.29339374598927437</v>
      </c>
      <c r="O104" s="59">
        <f>IFERROR(Inv_SY!O106/Inv_SY!$Y106-1,"")</f>
        <v>0.28510873128009862</v>
      </c>
      <c r="P104" s="59">
        <f>IFERROR(Inv_SY!P106/Inv_SY!$Y106-1,"")</f>
        <v>0.32785744622921897</v>
      </c>
      <c r="Q104" s="59">
        <f>IFERROR(Inv_SY!Q106/Inv_SY!$Y106-1,"")</f>
        <v>-1</v>
      </c>
      <c r="R104" s="59">
        <f>IFERROR(Inv_SY!R106/Inv_SY!$Y106-1,"")</f>
        <v>5.5503528267289104E-2</v>
      </c>
      <c r="S104" s="59">
        <f>IFERROR(Inv_SY!S106/Inv_SY!$Y106-1,"")</f>
        <v>4.0031637772209194E-2</v>
      </c>
      <c r="T104" s="59">
        <f>IFERROR(Inv_SY!T106/Inv_SY!$Y106-1,"")</f>
        <v>6.8900681118819751E-3</v>
      </c>
      <c r="U104" s="59">
        <f>IFERROR(Inv_SY!U106/Inv_SY!$Y106-1,"")</f>
        <v>4.3107800465991275E-4</v>
      </c>
      <c r="V104" s="59">
        <f>IFERROR(Inv_SY!J106/Inv_SY!$Z106-1,"")</f>
        <v>0.29386228798534564</v>
      </c>
      <c r="W104" s="59">
        <f>IFERROR(Inv_SY!K106/Inv_SY!$Z106-1,"")</f>
        <v>0.29320325895122656</v>
      </c>
      <c r="X104" s="59">
        <f>IFERROR(Inv_SY!L106/Inv_SY!$Z106-1,"")</f>
        <v>-1</v>
      </c>
      <c r="Y104" s="59">
        <f>IFERROR(Inv_SY!M106/Inv_SY!$Z106-1,"")</f>
        <v>0.30806951933992477</v>
      </c>
      <c r="Z104" s="59">
        <f>IFERROR(Inv_SY!N106/Inv_SY!$Z106-1,"")</f>
        <v>0.26229989044967006</v>
      </c>
      <c r="AA104" s="59">
        <f>IFERROR(Inv_SY!O106/Inv_SY!$Z106-1,"")</f>
        <v>0.25421405178515166</v>
      </c>
      <c r="AB104" s="59">
        <f>IFERROR(Inv_SY!P106/Inv_SY!$Z106-1,"")</f>
        <v>0.29593506548609949</v>
      </c>
      <c r="AC104" s="59">
        <f>IFERROR(Inv_SY!Q106/Inv_SY!$Z106-1,"")</f>
        <v>-1</v>
      </c>
      <c r="AD104" s="59">
        <f>IFERROR(Inv_SY!R106/Inv_SY!$Z106-1,"")</f>
        <v>3.0128676771944196E-2</v>
      </c>
      <c r="AE104" s="59">
        <f>IFERROR(Inv_SY!S106/Inv_SY!$Z106-1,"")</f>
        <v>1.5028738537705477E-2</v>
      </c>
      <c r="AF104" s="59">
        <f>IFERROR(Inv_SY!T106/Inv_SY!$Z106-1,"")</f>
        <v>-1.7316090623010094E-2</v>
      </c>
      <c r="AG104" s="59">
        <f>IFERROR(Inv_SY!U106/Inv_SY!$Z106-1,"")</f>
        <v>-2.3619803262756811E-2</v>
      </c>
      <c r="AH104" s="59">
        <f>IFERROR(Inv_SY!V106/Inv_SY!$Y106-1,"")</f>
        <v>-2.8560236063633893E-3</v>
      </c>
      <c r="AI104" s="59">
        <f>IFERROR(Inv_SY!W106/Inv_SY!$Y106-1,"")</f>
        <v>-2.1776677208122153E-2</v>
      </c>
      <c r="AJ104" s="59">
        <f>IFERROR(Inv_SY!X106/Inv_SY!$Y106-1,"")</f>
        <v>2.463270081448532E-2</v>
      </c>
      <c r="AK104" s="59">
        <f>IFERROR(Inv_SY!V106/Inv_SY!$Z106-1,"")</f>
        <v>-2.6827881248566166E-2</v>
      </c>
      <c r="AL104" s="59">
        <f>IFERROR(Inv_SY!W106/Inv_SY!$Z106-1,"")</f>
        <v>-4.5293672538185059E-2</v>
      </c>
      <c r="AM104" s="59">
        <f>IFERROR(Inv_SY!X106/Inv_SY!$Z106-1,"")</f>
        <v>0</v>
      </c>
    </row>
    <row r="105" spans="1:39" x14ac:dyDescent="0.3">
      <c r="A105" s="55">
        <f>YEAR(Table5[[#This Row],[Date]])+IF(MONTH(Table5[[#This Row],[Date]])&gt;=4,1,0)</f>
        <v>2026</v>
      </c>
      <c r="B105" s="55">
        <v>65</v>
      </c>
      <c r="C105" s="124">
        <f>YEAR(Table5[[#This Row],[Date]])</f>
        <v>2025</v>
      </c>
      <c r="D105" s="55" t="s">
        <v>329</v>
      </c>
      <c r="E105" s="55" t="s">
        <v>329</v>
      </c>
      <c r="F105" s="126" t="str">
        <f>TEXT(Table5[[#This Row],[Date]],"mmm-yy")</f>
        <v>Jul-25</v>
      </c>
      <c r="G105" s="124">
        <f t="shared" si="5"/>
        <v>31</v>
      </c>
      <c r="H105" s="125">
        <f t="shared" si="6"/>
        <v>45848</v>
      </c>
      <c r="I105" s="55">
        <v>8.02</v>
      </c>
      <c r="J105" s="59">
        <f>IFERROR(Inv_SY!J107/Inv_SY!$Y107-1,"")</f>
        <v>0.32888351253497206</v>
      </c>
      <c r="K105" s="59">
        <f>IFERROR(Inv_SY!K107/Inv_SY!$Y107-1,"")</f>
        <v>0.35917588957053415</v>
      </c>
      <c r="L105" s="59">
        <f>IFERROR(Inv_SY!L107/Inv_SY!$Y107-1,"")</f>
        <v>-1</v>
      </c>
      <c r="M105" s="59">
        <f>IFERROR(Inv_SY!M107/Inv_SY!$Y107-1,"")</f>
        <v>0.30843123195580446</v>
      </c>
      <c r="N105" s="59">
        <f>IFERROR(Inv_SY!N107/Inv_SY!$Y107-1,"")</f>
        <v>0.30512876408226552</v>
      </c>
      <c r="O105" s="59">
        <f>IFERROR(Inv_SY!O107/Inv_SY!$Y107-1,"")</f>
        <v>0.32929645286473597</v>
      </c>
      <c r="P105" s="59">
        <f>IFERROR(Inv_SY!P107/Inv_SY!$Y107-1,"")</f>
        <v>0.29688894324927717</v>
      </c>
      <c r="Q105" s="59">
        <f>IFERROR(Inv_SY!Q107/Inv_SY!$Y107-1,"")</f>
        <v>-1</v>
      </c>
      <c r="R105" s="59">
        <f>IFERROR(Inv_SY!R107/Inv_SY!$Y107-1,"")</f>
        <v>1.3173048759989703E-2</v>
      </c>
      <c r="S105" s="59">
        <f>IFERROR(Inv_SY!S107/Inv_SY!$Y107-1,"")</f>
        <v>6.548255572008177E-2</v>
      </c>
      <c r="T105" s="59">
        <f>IFERROR(Inv_SY!T107/Inv_SY!$Y107-1,"")</f>
        <v>3.7363465949180608E-4</v>
      </c>
      <c r="U105" s="59">
        <f>IFERROR(Inv_SY!U107/Inv_SY!$Y107-1,"")</f>
        <v>-5.5775764044914133E-3</v>
      </c>
      <c r="V105" s="59">
        <f>IFERROR(Inv_SY!J107/Inv_SY!$Z107-1,"")</f>
        <v>0.30645486803916522</v>
      </c>
      <c r="W105" s="59">
        <f>IFERROR(Inv_SY!K107/Inv_SY!$Z107-1,"")</f>
        <v>0.33623597606652988</v>
      </c>
      <c r="X105" s="59">
        <f>IFERROR(Inv_SY!L107/Inv_SY!$Z107-1,"")</f>
        <v>-1</v>
      </c>
      <c r="Y105" s="59">
        <f>IFERROR(Inv_SY!M107/Inv_SY!$Z107-1,"")</f>
        <v>0.28634777718197979</v>
      </c>
      <c r="Z105" s="59">
        <f>IFERROR(Inv_SY!N107/Inv_SY!$Z107-1,"")</f>
        <v>0.28310104773637357</v>
      </c>
      <c r="AA105" s="59">
        <f>IFERROR(Inv_SY!O107/Inv_SY!$Z107-1,"")</f>
        <v>0.30686083884017279</v>
      </c>
      <c r="AB105" s="59">
        <f>IFERROR(Inv_SY!P107/Inv_SY!$Z107-1,"")</f>
        <v>0.27500029704040529</v>
      </c>
      <c r="AC105" s="59">
        <f>IFERROR(Inv_SY!Q107/Inv_SY!$Z107-1,"")</f>
        <v>-1</v>
      </c>
      <c r="AD105" s="59">
        <f>IFERROR(Inv_SY!R107/Inv_SY!$Z107-1,"")</f>
        <v>-3.9270942615925453E-3</v>
      </c>
      <c r="AE105" s="59">
        <f>IFERROR(Inv_SY!S107/Inv_SY!$Z107-1,"")</f>
        <v>4.7499542737143186E-2</v>
      </c>
      <c r="AF105" s="59">
        <f>IFERROR(Inv_SY!T107/Inv_SY!$Z107-1,"")</f>
        <v>-1.6510482272589888E-2</v>
      </c>
      <c r="AG105" s="59">
        <f>IFERROR(Inv_SY!U107/Inv_SY!$Z107-1,"")</f>
        <v>-2.2361249922222326E-2</v>
      </c>
      <c r="AH105" s="59">
        <f>IFERROR(Inv_SY!V107/Inv_SY!$Y107-1,"")</f>
        <v>-1.6398775801320653E-3</v>
      </c>
      <c r="AI105" s="59">
        <f>IFERROR(Inv_SY!W107/Inv_SY!$Y107-1,"")</f>
        <v>-1.5527684074308934E-2</v>
      </c>
      <c r="AJ105" s="59">
        <f>IFERROR(Inv_SY!X107/Inv_SY!$Y107-1,"")</f>
        <v>1.7167561654440888E-2</v>
      </c>
      <c r="AK105" s="59">
        <f>IFERROR(Inv_SY!V107/Inv_SY!$Z107-1,"")</f>
        <v>-1.8490010833595916E-2</v>
      </c>
      <c r="AL105" s="59">
        <f>IFERROR(Inv_SY!W107/Inv_SY!$Z107-1,"")</f>
        <v>-3.2143421557378926E-2</v>
      </c>
      <c r="AM105" s="59">
        <f>IFERROR(Inv_SY!X107/Inv_SY!$Z107-1,"")</f>
        <v>0</v>
      </c>
    </row>
    <row r="106" spans="1:39" x14ac:dyDescent="0.3">
      <c r="A106" s="55">
        <f>YEAR(Table5[[#This Row],[Date]])+IF(MONTH(Table5[[#This Row],[Date]])&gt;=4,1,0)</f>
        <v>2026</v>
      </c>
      <c r="B106" s="55">
        <v>66</v>
      </c>
      <c r="C106" s="124">
        <f>YEAR(Table5[[#This Row],[Date]])</f>
        <v>2025</v>
      </c>
      <c r="D106" s="55" t="s">
        <v>329</v>
      </c>
      <c r="E106" s="55" t="s">
        <v>329</v>
      </c>
      <c r="F106" s="126" t="str">
        <f>TEXT(Table5[[#This Row],[Date]],"mmm-yy")</f>
        <v>Jul-25</v>
      </c>
      <c r="G106" s="124">
        <f t="shared" si="5"/>
        <v>31</v>
      </c>
      <c r="H106" s="125">
        <f t="shared" si="6"/>
        <v>45849</v>
      </c>
      <c r="I106" s="55">
        <v>8.02</v>
      </c>
      <c r="J106" s="59">
        <f>IFERROR(Inv_SY!J108/Inv_SY!$Y108-1,"")</f>
        <v>0.32805664953686509</v>
      </c>
      <c r="K106" s="59">
        <f>IFERROR(Inv_SY!K108/Inv_SY!$Y108-1,"")</f>
        <v>0.32784265394396539</v>
      </c>
      <c r="L106" s="59">
        <f>IFERROR(Inv_SY!L108/Inv_SY!$Y108-1,"")</f>
        <v>-1</v>
      </c>
      <c r="M106" s="59">
        <f>IFERROR(Inv_SY!M108/Inv_SY!$Y108-1,"")</f>
        <v>0.33298534168444904</v>
      </c>
      <c r="N106" s="59">
        <f>IFERROR(Inv_SY!N108/Inv_SY!$Y108-1,"")</f>
        <v>0.29508963448203285</v>
      </c>
      <c r="O106" s="59">
        <f>IFERROR(Inv_SY!O108/Inv_SY!$Y108-1,"")</f>
        <v>0.285954478352338</v>
      </c>
      <c r="P106" s="59">
        <f>IFERROR(Inv_SY!P108/Inv_SY!$Y108-1,"")</f>
        <v>0.32365512269710983</v>
      </c>
      <c r="Q106" s="59">
        <f>IFERROR(Inv_SY!Q108/Inv_SY!$Y108-1,"")</f>
        <v>-1</v>
      </c>
      <c r="R106" s="59">
        <f>IFERROR(Inv_SY!R108/Inv_SY!$Y108-1,"")</f>
        <v>2.4124878803335248E-2</v>
      </c>
      <c r="S106" s="59">
        <f>IFERROR(Inv_SY!S108/Inv_SY!$Y108-1,"")</f>
        <v>4.2820211329859248E-2</v>
      </c>
      <c r="T106" s="59">
        <f>IFERROR(Inv_SY!T108/Inv_SY!$Y108-1,"")</f>
        <v>1.081254453988767E-2</v>
      </c>
      <c r="U106" s="59">
        <f>IFERROR(Inv_SY!U108/Inv_SY!$Y108-1,"")</f>
        <v>2.8722922113988636E-2</v>
      </c>
      <c r="V106" s="59">
        <f>IFERROR(Inv_SY!J108/Inv_SY!$Z108-1,"")</f>
        <v>0.29487663575361678</v>
      </c>
      <c r="W106" s="59">
        <f>IFERROR(Inv_SY!K108/Inv_SY!$Z108-1,"")</f>
        <v>0.29466798660186799</v>
      </c>
      <c r="X106" s="59">
        <f>IFERROR(Inv_SY!L108/Inv_SY!$Z108-1,"")</f>
        <v>-1</v>
      </c>
      <c r="Y106" s="59">
        <f>IFERROR(Inv_SY!M108/Inv_SY!$Z108-1,"")</f>
        <v>0.29968219002643681</v>
      </c>
      <c r="Z106" s="59">
        <f>IFERROR(Inv_SY!N108/Inv_SY!$Z108-1,"")</f>
        <v>0.26273326479129611</v>
      </c>
      <c r="AA106" s="59">
        <f>IFERROR(Inv_SY!O108/Inv_SY!$Z108-1,"")</f>
        <v>0.25382634034614693</v>
      </c>
      <c r="AB106" s="59">
        <f>IFERROR(Inv_SY!P108/Inv_SY!$Z108-1,"")</f>
        <v>0.29058507615152518</v>
      </c>
      <c r="AC106" s="59">
        <f>IFERROR(Inv_SY!Q108/Inv_SY!$Z108-1,"")</f>
        <v>-1</v>
      </c>
      <c r="AD106" s="59">
        <f>IFERROR(Inv_SY!R108/Inv_SY!$Z108-1,"")</f>
        <v>-1.4617387602394727E-3</v>
      </c>
      <c r="AE106" s="59">
        <f>IFERROR(Inv_SY!S108/Inv_SY!$Z108-1,"")</f>
        <v>1.676651173998045E-2</v>
      </c>
      <c r="AF106" s="59">
        <f>IFERROR(Inv_SY!T108/Inv_SY!$Z108-1,"")</f>
        <v>-1.4441479203609719E-2</v>
      </c>
      <c r="AG106" s="59">
        <f>IFERROR(Inv_SY!U108/Inv_SY!$Z108-1,"")</f>
        <v>3.0214275679623093E-3</v>
      </c>
      <c r="AH106" s="59">
        <f>IFERROR(Inv_SY!V108/Inv_SY!$Y108-1,"")</f>
        <v>-3.4315296916562765E-3</v>
      </c>
      <c r="AI106" s="59">
        <f>IFERROR(Inv_SY!W108/Inv_SY!$Y108-1,"")</f>
        <v>-2.2192543573004819E-2</v>
      </c>
      <c r="AJ106" s="59">
        <f>IFERROR(Inv_SY!X108/Inv_SY!$Y108-1,"")</f>
        <v>2.5624073264660874E-2</v>
      </c>
      <c r="AK106" s="59">
        <f>IFERROR(Inv_SY!V108/Inv_SY!$Z108-1,"")</f>
        <v>-2.8329681131440521E-2</v>
      </c>
      <c r="AL106" s="59">
        <f>IFERROR(Inv_SY!W108/Inv_SY!$Z108-1,"")</f>
        <v>-4.6621972011109958E-2</v>
      </c>
      <c r="AM106" s="59">
        <f>IFERROR(Inv_SY!X108/Inv_SY!$Z108-1,"")</f>
        <v>0</v>
      </c>
    </row>
    <row r="107" spans="1:39" x14ac:dyDescent="0.3">
      <c r="A107" s="55">
        <f>YEAR(Table5[[#This Row],[Date]])+IF(MONTH(Table5[[#This Row],[Date]])&gt;=4,1,0)</f>
        <v>2026</v>
      </c>
      <c r="B107" s="55">
        <v>67</v>
      </c>
      <c r="C107" s="124">
        <f>YEAR(Table5[[#This Row],[Date]])</f>
        <v>2025</v>
      </c>
      <c r="D107" s="55" t="s">
        <v>329</v>
      </c>
      <c r="E107" s="55" t="s">
        <v>329</v>
      </c>
      <c r="F107" s="126" t="str">
        <f>TEXT(Table5[[#This Row],[Date]],"mmm-yy")</f>
        <v>Jul-25</v>
      </c>
      <c r="G107" s="124">
        <f t="shared" si="5"/>
        <v>31</v>
      </c>
      <c r="H107" s="125">
        <f t="shared" si="6"/>
        <v>45850</v>
      </c>
      <c r="I107" s="55">
        <v>8.02</v>
      </c>
      <c r="J107" s="59">
        <f>IFERROR(Inv_SY!J109/Inv_SY!$Y109-1,"")</f>
        <v>0.32316593780572833</v>
      </c>
      <c r="K107" s="59">
        <f>IFERROR(Inv_SY!K109/Inv_SY!$Y109-1,"")</f>
        <v>0.32282262493807634</v>
      </c>
      <c r="L107" s="59">
        <f>IFERROR(Inv_SY!L109/Inv_SY!$Y109-1,"")</f>
        <v>-1</v>
      </c>
      <c r="M107" s="59">
        <f>IFERROR(Inv_SY!M109/Inv_SY!$Y109-1,"")</f>
        <v>0.32945516312548739</v>
      </c>
      <c r="N107" s="59">
        <f>IFERROR(Inv_SY!N109/Inv_SY!$Y109-1,"")</f>
        <v>0.32585928665996899</v>
      </c>
      <c r="O107" s="59">
        <f>IFERROR(Inv_SY!O109/Inv_SY!$Y109-1,"")</f>
        <v>0.29127536164605861</v>
      </c>
      <c r="P107" s="59">
        <f>IFERROR(Inv_SY!P109/Inv_SY!$Y109-1,"")</f>
        <v>0.29302006638330758</v>
      </c>
      <c r="Q107" s="59">
        <f>IFERROR(Inv_SY!Q109/Inv_SY!$Y109-1,"")</f>
        <v>-1</v>
      </c>
      <c r="R107" s="59">
        <f>IFERROR(Inv_SY!R109/Inv_SY!$Y109-1,"")</f>
        <v>4.902257904732199E-2</v>
      </c>
      <c r="S107" s="59">
        <f>IFERROR(Inv_SY!S109/Inv_SY!$Y109-1,"")</f>
        <v>4.6348596713956969E-2</v>
      </c>
      <c r="T107" s="59">
        <f>IFERROR(Inv_SY!T109/Inv_SY!$Y109-1,"")</f>
        <v>1.3150379578458882E-2</v>
      </c>
      <c r="U107" s="59">
        <f>IFERROR(Inv_SY!U109/Inv_SY!$Y109-1,"")</f>
        <v>6.2392922409326701E-3</v>
      </c>
      <c r="V107" s="59">
        <f>IFERROR(Inv_SY!J109/Inv_SY!$Z109-1,"")</f>
        <v>0.28761226001190643</v>
      </c>
      <c r="W107" s="59">
        <f>IFERROR(Inv_SY!K109/Inv_SY!$Z109-1,"")</f>
        <v>0.28727817201524752</v>
      </c>
      <c r="X107" s="59">
        <f>IFERROR(Inv_SY!L109/Inv_SY!$Z109-1,"")</f>
        <v>-1</v>
      </c>
      <c r="Y107" s="59">
        <f>IFERROR(Inv_SY!M109/Inv_SY!$Z109-1,"")</f>
        <v>0.2937324928536984</v>
      </c>
      <c r="Z107" s="59">
        <f>IFERROR(Inv_SY!N109/Inv_SY!$Z109-1,"")</f>
        <v>0.29023323815691549</v>
      </c>
      <c r="AA107" s="59">
        <f>IFERROR(Inv_SY!O109/Inv_SY!$Z109-1,"")</f>
        <v>0.2565785886719909</v>
      </c>
      <c r="AB107" s="59">
        <f>IFERROR(Inv_SY!P109/Inv_SY!$Z109-1,"")</f>
        <v>0.25827641291730652</v>
      </c>
      <c r="AC107" s="59">
        <f>IFERROR(Inv_SY!Q109/Inv_SY!$Z109-1,"")</f>
        <v>-1</v>
      </c>
      <c r="AD107" s="59">
        <f>IFERROR(Inv_SY!R109/Inv_SY!$Z109-1,"")</f>
        <v>2.0835176614832251E-2</v>
      </c>
      <c r="AE107" s="59">
        <f>IFERROR(Inv_SY!S109/Inv_SY!$Z109-1,"")</f>
        <v>1.823304460922337E-2</v>
      </c>
      <c r="AF107" s="59">
        <f>IFERROR(Inv_SY!T109/Inv_SY!$Z109-1,"")</f>
        <v>-1.4073131186907895E-2</v>
      </c>
      <c r="AG107" s="59">
        <f>IFERROR(Inv_SY!U109/Inv_SY!$Z109-1,"")</f>
        <v>-2.0798516515802667E-2</v>
      </c>
      <c r="AH107" s="59">
        <f>IFERROR(Inv_SY!V109/Inv_SY!$Y109-1,"")</f>
        <v>-6.7857067454044628E-3</v>
      </c>
      <c r="AI107" s="59">
        <f>IFERROR(Inv_SY!W109/Inv_SY!$Y109-1,"")</f>
        <v>-2.0826392718057751E-2</v>
      </c>
      <c r="AJ107" s="59">
        <f>IFERROR(Inv_SY!X109/Inv_SY!$Y109-1,"")</f>
        <v>2.7612099463462103E-2</v>
      </c>
      <c r="AK107" s="59">
        <f>IFERROR(Inv_SY!V109/Inv_SY!$Z109-1,"")</f>
        <v>-3.3473531721577077E-2</v>
      </c>
      <c r="AL107" s="59">
        <f>IFERROR(Inv_SY!W109/Inv_SY!$Z109-1,"")</f>
        <v>-4.7136942243878432E-2</v>
      </c>
      <c r="AM107" s="59">
        <f>IFERROR(Inv_SY!X109/Inv_SY!$Z109-1,"")</f>
        <v>0</v>
      </c>
    </row>
    <row r="108" spans="1:39" x14ac:dyDescent="0.3">
      <c r="A108" s="55">
        <f>YEAR(Table5[[#This Row],[Date]])+IF(MONTH(Table5[[#This Row],[Date]])&gt;=4,1,0)</f>
        <v>2026</v>
      </c>
      <c r="B108" s="55">
        <v>68</v>
      </c>
      <c r="C108" s="124">
        <f>YEAR(Table5[[#This Row],[Date]])</f>
        <v>2025</v>
      </c>
      <c r="D108" s="55" t="s">
        <v>329</v>
      </c>
      <c r="E108" s="55" t="s">
        <v>329</v>
      </c>
      <c r="F108" s="126" t="str">
        <f>TEXT(Table5[[#This Row],[Date]],"mmm-yy")</f>
        <v>Jul-25</v>
      </c>
      <c r="G108" s="124">
        <f t="shared" si="5"/>
        <v>31</v>
      </c>
      <c r="H108" s="125">
        <f t="shared" si="6"/>
        <v>45851</v>
      </c>
      <c r="I108" s="55">
        <v>8.02</v>
      </c>
      <c r="J108" s="59">
        <f>IFERROR(Inv_SY!J110/Inv_SY!$Y110-1,"")</f>
        <v>0.3591920559764703</v>
      </c>
      <c r="K108" s="59">
        <f>IFERROR(Inv_SY!K110/Inv_SY!$Y110-1,"")</f>
        <v>0.33444318447264032</v>
      </c>
      <c r="L108" s="59">
        <f>IFERROR(Inv_SY!L110/Inv_SY!$Y110-1,"")</f>
        <v>-1</v>
      </c>
      <c r="M108" s="59">
        <f>IFERROR(Inv_SY!M110/Inv_SY!$Y110-1,"")</f>
        <v>0.31461862760099035</v>
      </c>
      <c r="N108" s="59">
        <f>IFERROR(Inv_SY!N110/Inv_SY!$Y110-1,"")</f>
        <v>0.33098029372162374</v>
      </c>
      <c r="O108" s="59">
        <f>IFERROR(Inv_SY!O110/Inv_SY!$Y110-1,"")</f>
        <v>0.29752690109275082</v>
      </c>
      <c r="P108" s="59">
        <f>IFERROR(Inv_SY!P110/Inv_SY!$Y110-1,"")</f>
        <v>0.29911289434858479</v>
      </c>
      <c r="Q108" s="59">
        <f>IFERROR(Inv_SY!Q110/Inv_SY!$Y110-1,"")</f>
        <v>-1</v>
      </c>
      <c r="R108" s="59">
        <f>IFERROR(Inv_SY!R110/Inv_SY!$Y110-1,"")</f>
        <v>1.3249617897231891E-2</v>
      </c>
      <c r="S108" s="59">
        <f>IFERROR(Inv_SY!S110/Inv_SY!$Y110-1,"")</f>
        <v>5.7794717261981488E-2</v>
      </c>
      <c r="T108" s="59">
        <f>IFERROR(Inv_SY!T110/Inv_SY!$Y110-1,"")</f>
        <v>3.765659936405541E-4</v>
      </c>
      <c r="U108" s="59">
        <f>IFERROR(Inv_SY!U110/Inv_SY!$Y110-1,"")</f>
        <v>-6.1980415765573449E-3</v>
      </c>
      <c r="V108" s="59">
        <f>IFERROR(Inv_SY!J110/Inv_SY!$Z110-1,"")</f>
        <v>0.33891460067643675</v>
      </c>
      <c r="W108" s="59">
        <f>IFERROR(Inv_SY!K110/Inv_SY!$Z110-1,"")</f>
        <v>0.31453495155986144</v>
      </c>
      <c r="X108" s="59">
        <f>IFERROR(Inv_SY!L110/Inv_SY!$Z110-1,"")</f>
        <v>-1</v>
      </c>
      <c r="Y108" s="59">
        <f>IFERROR(Inv_SY!M110/Inv_SY!$Z110-1,"")</f>
        <v>0.29500615242461103</v>
      </c>
      <c r="Z108" s="59">
        <f>IFERROR(Inv_SY!N110/Inv_SY!$Z110-1,"")</f>
        <v>0.31112372283269485</v>
      </c>
      <c r="AA108" s="59">
        <f>IFERROR(Inv_SY!O110/Inv_SY!$Z110-1,"")</f>
        <v>0.27816941322206334</v>
      </c>
      <c r="AB108" s="59">
        <f>IFERROR(Inv_SY!P110/Inv_SY!$Z110-1,"")</f>
        <v>0.27973174543072599</v>
      </c>
      <c r="AC108" s="59">
        <f>IFERROR(Inv_SY!Q110/Inv_SY!$Z110-1,"")</f>
        <v>-1</v>
      </c>
      <c r="AD108" s="59">
        <f>IFERROR(Inv_SY!R110/Inv_SY!$Z110-1,"")</f>
        <v>-1.8668064111241334E-3</v>
      </c>
      <c r="AE108" s="59">
        <f>IFERROR(Inv_SY!S110/Inv_SY!$Z110-1,"")</f>
        <v>4.201373546358389E-2</v>
      </c>
      <c r="AF108" s="59">
        <f>IFERROR(Inv_SY!T110/Inv_SY!$Z110-1,"")</f>
        <v>-1.4547808388141736E-2</v>
      </c>
      <c r="AG108" s="59">
        <f>IFERROR(Inv_SY!U110/Inv_SY!$Z110-1,"")</f>
        <v>-2.1024330989012463E-2</v>
      </c>
      <c r="AH108" s="59">
        <f>IFERROR(Inv_SY!V110/Inv_SY!$Y110-1,"")</f>
        <v>1.3080498866022694E-3</v>
      </c>
      <c r="AI108" s="59">
        <f>IFERROR(Inv_SY!W110/Inv_SY!$Y110-1,"")</f>
        <v>-1.6452746411525943E-2</v>
      </c>
      <c r="AJ108" s="59">
        <f>IFERROR(Inv_SY!X110/Inv_SY!$Y110-1,"")</f>
        <v>1.514469652492334E-2</v>
      </c>
      <c r="AK108" s="59">
        <f>IFERROR(Inv_SY!V110/Inv_SY!$Z110-1,"")</f>
        <v>-1.3630221076549098E-2</v>
      </c>
      <c r="AL108" s="59">
        <f>IFERROR(Inv_SY!W110/Inv_SY!$Z110-1,"")</f>
        <v>-3.112604837971833E-2</v>
      </c>
      <c r="AM108" s="59">
        <f>IFERROR(Inv_SY!X110/Inv_SY!$Z110-1,"")</f>
        <v>0</v>
      </c>
    </row>
    <row r="109" spans="1:39" x14ac:dyDescent="0.3">
      <c r="A109" s="55">
        <f>YEAR(Table5[[#This Row],[Date]])+IF(MONTH(Table5[[#This Row],[Date]])&gt;=4,1,0)</f>
        <v>2026</v>
      </c>
      <c r="B109" s="55">
        <v>69</v>
      </c>
      <c r="C109" s="124">
        <f>YEAR(Table5[[#This Row],[Date]])</f>
        <v>2025</v>
      </c>
      <c r="D109" s="55" t="s">
        <v>329</v>
      </c>
      <c r="E109" s="55" t="s">
        <v>329</v>
      </c>
      <c r="F109" s="126" t="str">
        <f>TEXT(Table5[[#This Row],[Date]],"mmm-yy")</f>
        <v>Jul-25</v>
      </c>
      <c r="G109" s="124">
        <f t="shared" ref="G109:G172" si="7">DAY(EOMONTH(F109,0))</f>
        <v>31</v>
      </c>
      <c r="H109" s="125">
        <f t="shared" si="6"/>
        <v>45852</v>
      </c>
      <c r="I109" s="55">
        <v>8.02</v>
      </c>
      <c r="J109" s="59" t="str">
        <f>IFERROR(Inv_SY!J111/Inv_SY!$Y111-1,"")</f>
        <v/>
      </c>
      <c r="K109" s="59" t="str">
        <f>IFERROR(Inv_SY!K111/Inv_SY!$Y111-1,"")</f>
        <v/>
      </c>
      <c r="L109" s="59" t="str">
        <f>IFERROR(Inv_SY!L111/Inv_SY!$Y111-1,"")</f>
        <v/>
      </c>
      <c r="M109" s="59" t="str">
        <f>IFERROR(Inv_SY!M111/Inv_SY!$Y111-1,"")</f>
        <v/>
      </c>
      <c r="N109" s="59" t="str">
        <f>IFERROR(Inv_SY!N111/Inv_SY!$Y111-1,"")</f>
        <v/>
      </c>
      <c r="O109" s="59" t="str">
        <f>IFERROR(Inv_SY!O111/Inv_SY!$Y111-1,"")</f>
        <v/>
      </c>
      <c r="P109" s="59" t="str">
        <f>IFERROR(Inv_SY!P111/Inv_SY!$Y111-1,"")</f>
        <v/>
      </c>
      <c r="Q109" s="59" t="str">
        <f>IFERROR(Inv_SY!Q111/Inv_SY!$Y111-1,"")</f>
        <v/>
      </c>
      <c r="R109" s="59" t="str">
        <f>IFERROR(Inv_SY!R111/Inv_SY!$Y111-1,"")</f>
        <v/>
      </c>
      <c r="S109" s="59" t="str">
        <f>IFERROR(Inv_SY!S111/Inv_SY!$Y111-1,"")</f>
        <v/>
      </c>
      <c r="T109" s="59" t="str">
        <f>IFERROR(Inv_SY!T111/Inv_SY!$Y111-1,"")</f>
        <v/>
      </c>
      <c r="U109" s="59" t="str">
        <f>IFERROR(Inv_SY!U111/Inv_SY!$Y111-1,"")</f>
        <v/>
      </c>
      <c r="V109" s="59" t="str">
        <f>IFERROR(Inv_SY!J111/Inv_SY!$Z111-1,"")</f>
        <v/>
      </c>
      <c r="W109" s="59" t="str">
        <f>IFERROR(Inv_SY!K111/Inv_SY!$Z111-1,"")</f>
        <v/>
      </c>
      <c r="X109" s="59" t="str">
        <f>IFERROR(Inv_SY!L111/Inv_SY!$Z111-1,"")</f>
        <v/>
      </c>
      <c r="Y109" s="59" t="str">
        <f>IFERROR(Inv_SY!M111/Inv_SY!$Z111-1,"")</f>
        <v/>
      </c>
      <c r="Z109" s="59" t="str">
        <f>IFERROR(Inv_SY!N111/Inv_SY!$Z111-1,"")</f>
        <v/>
      </c>
      <c r="AA109" s="59" t="str">
        <f>IFERROR(Inv_SY!O111/Inv_SY!$Z111-1,"")</f>
        <v/>
      </c>
      <c r="AB109" s="59" t="str">
        <f>IFERROR(Inv_SY!P111/Inv_SY!$Z111-1,"")</f>
        <v/>
      </c>
      <c r="AC109" s="59" t="str">
        <f>IFERROR(Inv_SY!Q111/Inv_SY!$Z111-1,"")</f>
        <v/>
      </c>
      <c r="AD109" s="59" t="str">
        <f>IFERROR(Inv_SY!R111/Inv_SY!$Z111-1,"")</f>
        <v/>
      </c>
      <c r="AE109" s="59" t="str">
        <f>IFERROR(Inv_SY!S111/Inv_SY!$Z111-1,"")</f>
        <v/>
      </c>
      <c r="AF109" s="59" t="str">
        <f>IFERROR(Inv_SY!T111/Inv_SY!$Z111-1,"")</f>
        <v/>
      </c>
      <c r="AG109" s="59" t="str">
        <f>IFERROR(Inv_SY!U111/Inv_SY!$Z111-1,"")</f>
        <v/>
      </c>
      <c r="AH109" s="59" t="str">
        <f>IFERROR(Inv_SY!V111/Inv_SY!$Y111-1,"")</f>
        <v/>
      </c>
      <c r="AI109" s="59" t="str">
        <f>IFERROR(Inv_SY!W111/Inv_SY!$Y111-1,"")</f>
        <v/>
      </c>
      <c r="AJ109" s="59" t="str">
        <f>IFERROR(Inv_SY!X111/Inv_SY!$Y111-1,"")</f>
        <v/>
      </c>
      <c r="AK109" s="59" t="str">
        <f>IFERROR(Inv_SY!V111/Inv_SY!$Z111-1,"")</f>
        <v/>
      </c>
      <c r="AL109" s="59" t="str">
        <f>IFERROR(Inv_SY!W111/Inv_SY!$Z111-1,"")</f>
        <v/>
      </c>
      <c r="AM109" s="59" t="str">
        <f>IFERROR(Inv_SY!X111/Inv_SY!$Z111-1,"")</f>
        <v/>
      </c>
    </row>
    <row r="110" spans="1:39" x14ac:dyDescent="0.3">
      <c r="A110" s="55">
        <f>YEAR(Table5[[#This Row],[Date]])+IF(MONTH(Table5[[#This Row],[Date]])&gt;=4,1,0)</f>
        <v>2026</v>
      </c>
      <c r="B110" s="55">
        <v>70</v>
      </c>
      <c r="C110" s="124">
        <f>YEAR(Table5[[#This Row],[Date]])</f>
        <v>2025</v>
      </c>
      <c r="D110" s="55" t="s">
        <v>329</v>
      </c>
      <c r="E110" s="55" t="s">
        <v>329</v>
      </c>
      <c r="F110" s="126" t="str">
        <f>TEXT(Table5[[#This Row],[Date]],"mmm-yy")</f>
        <v>Jul-25</v>
      </c>
      <c r="G110" s="124">
        <f t="shared" si="7"/>
        <v>31</v>
      </c>
      <c r="H110" s="125">
        <f t="shared" si="6"/>
        <v>45853</v>
      </c>
      <c r="I110" s="55">
        <v>8.02</v>
      </c>
      <c r="J110" s="59" t="str">
        <f>IFERROR(Inv_SY!J112/Inv_SY!$Y112-1,"")</f>
        <v/>
      </c>
      <c r="K110" s="59" t="str">
        <f>IFERROR(Inv_SY!K112/Inv_SY!$Y112-1,"")</f>
        <v/>
      </c>
      <c r="L110" s="59" t="str">
        <f>IFERROR(Inv_SY!L112/Inv_SY!$Y112-1,"")</f>
        <v/>
      </c>
      <c r="M110" s="59" t="str">
        <f>IFERROR(Inv_SY!M112/Inv_SY!$Y112-1,"")</f>
        <v/>
      </c>
      <c r="N110" s="59" t="str">
        <f>IFERROR(Inv_SY!N112/Inv_SY!$Y112-1,"")</f>
        <v/>
      </c>
      <c r="O110" s="59" t="str">
        <f>IFERROR(Inv_SY!O112/Inv_SY!$Y112-1,"")</f>
        <v/>
      </c>
      <c r="P110" s="59" t="str">
        <f>IFERROR(Inv_SY!P112/Inv_SY!$Y112-1,"")</f>
        <v/>
      </c>
      <c r="Q110" s="59" t="str">
        <f>IFERROR(Inv_SY!Q112/Inv_SY!$Y112-1,"")</f>
        <v/>
      </c>
      <c r="R110" s="59" t="str">
        <f>IFERROR(Inv_SY!R112/Inv_SY!$Y112-1,"")</f>
        <v/>
      </c>
      <c r="S110" s="59" t="str">
        <f>IFERROR(Inv_SY!S112/Inv_SY!$Y112-1,"")</f>
        <v/>
      </c>
      <c r="T110" s="59" t="str">
        <f>IFERROR(Inv_SY!T112/Inv_SY!$Y112-1,"")</f>
        <v/>
      </c>
      <c r="U110" s="59" t="str">
        <f>IFERROR(Inv_SY!U112/Inv_SY!$Y112-1,"")</f>
        <v/>
      </c>
      <c r="V110" s="59" t="str">
        <f>IFERROR(Inv_SY!J112/Inv_SY!$Z112-1,"")</f>
        <v/>
      </c>
      <c r="W110" s="59" t="str">
        <f>IFERROR(Inv_SY!K112/Inv_SY!$Z112-1,"")</f>
        <v/>
      </c>
      <c r="X110" s="59" t="str">
        <f>IFERROR(Inv_SY!L112/Inv_SY!$Z112-1,"")</f>
        <v/>
      </c>
      <c r="Y110" s="59" t="str">
        <f>IFERROR(Inv_SY!M112/Inv_SY!$Z112-1,"")</f>
        <v/>
      </c>
      <c r="Z110" s="59" t="str">
        <f>IFERROR(Inv_SY!N112/Inv_SY!$Z112-1,"")</f>
        <v/>
      </c>
      <c r="AA110" s="59" t="str">
        <f>IFERROR(Inv_SY!O112/Inv_SY!$Z112-1,"")</f>
        <v/>
      </c>
      <c r="AB110" s="59" t="str">
        <f>IFERROR(Inv_SY!P112/Inv_SY!$Z112-1,"")</f>
        <v/>
      </c>
      <c r="AC110" s="59" t="str">
        <f>IFERROR(Inv_SY!Q112/Inv_SY!$Z112-1,"")</f>
        <v/>
      </c>
      <c r="AD110" s="59" t="str">
        <f>IFERROR(Inv_SY!R112/Inv_SY!$Z112-1,"")</f>
        <v/>
      </c>
      <c r="AE110" s="59" t="str">
        <f>IFERROR(Inv_SY!S112/Inv_SY!$Z112-1,"")</f>
        <v/>
      </c>
      <c r="AF110" s="59" t="str">
        <f>IFERROR(Inv_SY!T112/Inv_SY!$Z112-1,"")</f>
        <v/>
      </c>
      <c r="AG110" s="59" t="str">
        <f>IFERROR(Inv_SY!U112/Inv_SY!$Z112-1,"")</f>
        <v/>
      </c>
      <c r="AH110" s="59" t="str">
        <f>IFERROR(Inv_SY!V112/Inv_SY!$Y112-1,"")</f>
        <v/>
      </c>
      <c r="AI110" s="59" t="str">
        <f>IFERROR(Inv_SY!W112/Inv_SY!$Y112-1,"")</f>
        <v/>
      </c>
      <c r="AJ110" s="59" t="str">
        <f>IFERROR(Inv_SY!X112/Inv_SY!$Y112-1,"")</f>
        <v/>
      </c>
      <c r="AK110" s="59" t="str">
        <f>IFERROR(Inv_SY!V112/Inv_SY!$Z112-1,"")</f>
        <v/>
      </c>
      <c r="AL110" s="59" t="str">
        <f>IFERROR(Inv_SY!W112/Inv_SY!$Z112-1,"")</f>
        <v/>
      </c>
      <c r="AM110" s="59" t="str">
        <f>IFERROR(Inv_SY!X112/Inv_SY!$Z112-1,"")</f>
        <v/>
      </c>
    </row>
    <row r="111" spans="1:39" x14ac:dyDescent="0.3">
      <c r="A111" s="55">
        <f>YEAR(Table5[[#This Row],[Date]])+IF(MONTH(Table5[[#This Row],[Date]])&gt;=4,1,0)</f>
        <v>2026</v>
      </c>
      <c r="B111" s="55">
        <v>71</v>
      </c>
      <c r="C111" s="124">
        <f>YEAR(Table5[[#This Row],[Date]])</f>
        <v>2025</v>
      </c>
      <c r="D111" s="55" t="s">
        <v>329</v>
      </c>
      <c r="E111" s="55" t="s">
        <v>329</v>
      </c>
      <c r="F111" s="126" t="str">
        <f>TEXT(Table5[[#This Row],[Date]],"mmm-yy")</f>
        <v>Jul-25</v>
      </c>
      <c r="G111" s="124">
        <f t="shared" si="7"/>
        <v>31</v>
      </c>
      <c r="H111" s="125">
        <f t="shared" si="6"/>
        <v>45854</v>
      </c>
      <c r="I111" s="55">
        <v>8.02</v>
      </c>
      <c r="J111" s="59" t="str">
        <f>IFERROR(Inv_SY!J113/Inv_SY!$Y113-1,"")</f>
        <v/>
      </c>
      <c r="K111" s="59" t="str">
        <f>IFERROR(Inv_SY!K113/Inv_SY!$Y113-1,"")</f>
        <v/>
      </c>
      <c r="L111" s="59" t="str">
        <f>IFERROR(Inv_SY!L113/Inv_SY!$Y113-1,"")</f>
        <v/>
      </c>
      <c r="M111" s="59" t="str">
        <f>IFERROR(Inv_SY!M113/Inv_SY!$Y113-1,"")</f>
        <v/>
      </c>
      <c r="N111" s="59" t="str">
        <f>IFERROR(Inv_SY!N113/Inv_SY!$Y113-1,"")</f>
        <v/>
      </c>
      <c r="O111" s="59" t="str">
        <f>IFERROR(Inv_SY!O113/Inv_SY!$Y113-1,"")</f>
        <v/>
      </c>
      <c r="P111" s="59" t="str">
        <f>IFERROR(Inv_SY!P113/Inv_SY!$Y113-1,"")</f>
        <v/>
      </c>
      <c r="Q111" s="59" t="str">
        <f>IFERROR(Inv_SY!Q113/Inv_SY!$Y113-1,"")</f>
        <v/>
      </c>
      <c r="R111" s="59" t="str">
        <f>IFERROR(Inv_SY!R113/Inv_SY!$Y113-1,"")</f>
        <v/>
      </c>
      <c r="S111" s="59" t="str">
        <f>IFERROR(Inv_SY!S113/Inv_SY!$Y113-1,"")</f>
        <v/>
      </c>
      <c r="T111" s="59" t="str">
        <f>IFERROR(Inv_SY!T113/Inv_SY!$Y113-1,"")</f>
        <v/>
      </c>
      <c r="U111" s="59" t="str">
        <f>IFERROR(Inv_SY!U113/Inv_SY!$Y113-1,"")</f>
        <v/>
      </c>
      <c r="V111" s="59" t="str">
        <f>IFERROR(Inv_SY!J113/Inv_SY!$Z113-1,"")</f>
        <v/>
      </c>
      <c r="W111" s="59" t="str">
        <f>IFERROR(Inv_SY!K113/Inv_SY!$Z113-1,"")</f>
        <v/>
      </c>
      <c r="X111" s="59" t="str">
        <f>IFERROR(Inv_SY!L113/Inv_SY!$Z113-1,"")</f>
        <v/>
      </c>
      <c r="Y111" s="59" t="str">
        <f>IFERROR(Inv_SY!M113/Inv_SY!$Z113-1,"")</f>
        <v/>
      </c>
      <c r="Z111" s="59" t="str">
        <f>IFERROR(Inv_SY!N113/Inv_SY!$Z113-1,"")</f>
        <v/>
      </c>
      <c r="AA111" s="59" t="str">
        <f>IFERROR(Inv_SY!O113/Inv_SY!$Z113-1,"")</f>
        <v/>
      </c>
      <c r="AB111" s="59" t="str">
        <f>IFERROR(Inv_SY!P113/Inv_SY!$Z113-1,"")</f>
        <v/>
      </c>
      <c r="AC111" s="59" t="str">
        <f>IFERROR(Inv_SY!Q113/Inv_SY!$Z113-1,"")</f>
        <v/>
      </c>
      <c r="AD111" s="59" t="str">
        <f>IFERROR(Inv_SY!R113/Inv_SY!$Z113-1,"")</f>
        <v/>
      </c>
      <c r="AE111" s="59" t="str">
        <f>IFERROR(Inv_SY!S113/Inv_SY!$Z113-1,"")</f>
        <v/>
      </c>
      <c r="AF111" s="59" t="str">
        <f>IFERROR(Inv_SY!T113/Inv_SY!$Z113-1,"")</f>
        <v/>
      </c>
      <c r="AG111" s="59" t="str">
        <f>IFERROR(Inv_SY!U113/Inv_SY!$Z113-1,"")</f>
        <v/>
      </c>
      <c r="AH111" s="59" t="str">
        <f>IFERROR(Inv_SY!V113/Inv_SY!$Y113-1,"")</f>
        <v/>
      </c>
      <c r="AI111" s="59" t="str">
        <f>IFERROR(Inv_SY!W113/Inv_SY!$Y113-1,"")</f>
        <v/>
      </c>
      <c r="AJ111" s="59" t="str">
        <f>IFERROR(Inv_SY!X113/Inv_SY!$Y113-1,"")</f>
        <v/>
      </c>
      <c r="AK111" s="59" t="str">
        <f>IFERROR(Inv_SY!V113/Inv_SY!$Z113-1,"")</f>
        <v/>
      </c>
      <c r="AL111" s="59" t="str">
        <f>IFERROR(Inv_SY!W113/Inv_SY!$Z113-1,"")</f>
        <v/>
      </c>
      <c r="AM111" s="59" t="str">
        <f>IFERROR(Inv_SY!X113/Inv_SY!$Z113-1,"")</f>
        <v/>
      </c>
    </row>
    <row r="112" spans="1:39" x14ac:dyDescent="0.3">
      <c r="A112" s="55">
        <f>YEAR(Table5[[#This Row],[Date]])+IF(MONTH(Table5[[#This Row],[Date]])&gt;=4,1,0)</f>
        <v>2026</v>
      </c>
      <c r="B112" s="55">
        <v>72</v>
      </c>
      <c r="C112" s="124">
        <f>YEAR(Table5[[#This Row],[Date]])</f>
        <v>2025</v>
      </c>
      <c r="D112" s="55" t="s">
        <v>329</v>
      </c>
      <c r="E112" s="55" t="s">
        <v>329</v>
      </c>
      <c r="F112" s="126" t="str">
        <f>TEXT(Table5[[#This Row],[Date]],"mmm-yy")</f>
        <v>Jul-25</v>
      </c>
      <c r="G112" s="124">
        <f t="shared" si="7"/>
        <v>31</v>
      </c>
      <c r="H112" s="125">
        <f t="shared" si="6"/>
        <v>45855</v>
      </c>
      <c r="I112" s="55">
        <v>8.02</v>
      </c>
      <c r="J112" s="59" t="str">
        <f>IFERROR(Inv_SY!J114/Inv_SY!$Y114-1,"")</f>
        <v/>
      </c>
      <c r="K112" s="59" t="str">
        <f>IFERROR(Inv_SY!K114/Inv_SY!$Y114-1,"")</f>
        <v/>
      </c>
      <c r="L112" s="59" t="str">
        <f>IFERROR(Inv_SY!L114/Inv_SY!$Y114-1,"")</f>
        <v/>
      </c>
      <c r="M112" s="59" t="str">
        <f>IFERROR(Inv_SY!M114/Inv_SY!$Y114-1,"")</f>
        <v/>
      </c>
      <c r="N112" s="59" t="str">
        <f>IFERROR(Inv_SY!N114/Inv_SY!$Y114-1,"")</f>
        <v/>
      </c>
      <c r="O112" s="59" t="str">
        <f>IFERROR(Inv_SY!O114/Inv_SY!$Y114-1,"")</f>
        <v/>
      </c>
      <c r="P112" s="59" t="str">
        <f>IFERROR(Inv_SY!P114/Inv_SY!$Y114-1,"")</f>
        <v/>
      </c>
      <c r="Q112" s="59" t="str">
        <f>IFERROR(Inv_SY!Q114/Inv_SY!$Y114-1,"")</f>
        <v/>
      </c>
      <c r="R112" s="59" t="str">
        <f>IFERROR(Inv_SY!R114/Inv_SY!$Y114-1,"")</f>
        <v/>
      </c>
      <c r="S112" s="59" t="str">
        <f>IFERROR(Inv_SY!S114/Inv_SY!$Y114-1,"")</f>
        <v/>
      </c>
      <c r="T112" s="59" t="str">
        <f>IFERROR(Inv_SY!T114/Inv_SY!$Y114-1,"")</f>
        <v/>
      </c>
      <c r="U112" s="59" t="str">
        <f>IFERROR(Inv_SY!U114/Inv_SY!$Y114-1,"")</f>
        <v/>
      </c>
      <c r="V112" s="59" t="str">
        <f>IFERROR(Inv_SY!J114/Inv_SY!$Z114-1,"")</f>
        <v/>
      </c>
      <c r="W112" s="59" t="str">
        <f>IFERROR(Inv_SY!K114/Inv_SY!$Z114-1,"")</f>
        <v/>
      </c>
      <c r="X112" s="59" t="str">
        <f>IFERROR(Inv_SY!L114/Inv_SY!$Z114-1,"")</f>
        <v/>
      </c>
      <c r="Y112" s="59" t="str">
        <f>IFERROR(Inv_SY!M114/Inv_SY!$Z114-1,"")</f>
        <v/>
      </c>
      <c r="Z112" s="59" t="str">
        <f>IFERROR(Inv_SY!N114/Inv_SY!$Z114-1,"")</f>
        <v/>
      </c>
      <c r="AA112" s="59" t="str">
        <f>IFERROR(Inv_SY!O114/Inv_SY!$Z114-1,"")</f>
        <v/>
      </c>
      <c r="AB112" s="59" t="str">
        <f>IFERROR(Inv_SY!P114/Inv_SY!$Z114-1,"")</f>
        <v/>
      </c>
      <c r="AC112" s="59" t="str">
        <f>IFERROR(Inv_SY!Q114/Inv_SY!$Z114-1,"")</f>
        <v/>
      </c>
      <c r="AD112" s="59" t="str">
        <f>IFERROR(Inv_SY!R114/Inv_SY!$Z114-1,"")</f>
        <v/>
      </c>
      <c r="AE112" s="59" t="str">
        <f>IFERROR(Inv_SY!S114/Inv_SY!$Z114-1,"")</f>
        <v/>
      </c>
      <c r="AF112" s="59" t="str">
        <f>IFERROR(Inv_SY!T114/Inv_SY!$Z114-1,"")</f>
        <v/>
      </c>
      <c r="AG112" s="59" t="str">
        <f>IFERROR(Inv_SY!U114/Inv_SY!$Z114-1,"")</f>
        <v/>
      </c>
      <c r="AH112" s="59" t="str">
        <f>IFERROR(Inv_SY!V114/Inv_SY!$Y114-1,"")</f>
        <v/>
      </c>
      <c r="AI112" s="59" t="str">
        <f>IFERROR(Inv_SY!W114/Inv_SY!$Y114-1,"")</f>
        <v/>
      </c>
      <c r="AJ112" s="59" t="str">
        <f>IFERROR(Inv_SY!X114/Inv_SY!$Y114-1,"")</f>
        <v/>
      </c>
      <c r="AK112" s="59" t="str">
        <f>IFERROR(Inv_SY!V114/Inv_SY!$Z114-1,"")</f>
        <v/>
      </c>
      <c r="AL112" s="59" t="str">
        <f>IFERROR(Inv_SY!W114/Inv_SY!$Z114-1,"")</f>
        <v/>
      </c>
      <c r="AM112" s="59" t="str">
        <f>IFERROR(Inv_SY!X114/Inv_SY!$Z114-1,"")</f>
        <v/>
      </c>
    </row>
    <row r="113" spans="1:39" x14ac:dyDescent="0.3">
      <c r="A113" s="55">
        <f>YEAR(Table5[[#This Row],[Date]])+IF(MONTH(Table5[[#This Row],[Date]])&gt;=4,1,0)</f>
        <v>2026</v>
      </c>
      <c r="B113" s="55">
        <v>73</v>
      </c>
      <c r="C113" s="124">
        <f>YEAR(Table5[[#This Row],[Date]])</f>
        <v>2025</v>
      </c>
      <c r="D113" s="55" t="s">
        <v>329</v>
      </c>
      <c r="E113" s="55" t="s">
        <v>329</v>
      </c>
      <c r="F113" s="126" t="str">
        <f>TEXT(Table5[[#This Row],[Date]],"mmm-yy")</f>
        <v>Jul-25</v>
      </c>
      <c r="G113" s="124">
        <f t="shared" si="7"/>
        <v>31</v>
      </c>
      <c r="H113" s="125">
        <f t="shared" si="6"/>
        <v>45856</v>
      </c>
      <c r="I113" s="55">
        <v>8.02</v>
      </c>
      <c r="J113" s="59" t="str">
        <f>IFERROR(Inv_SY!J115/Inv_SY!$Y115-1,"")</f>
        <v/>
      </c>
      <c r="K113" s="59" t="str">
        <f>IFERROR(Inv_SY!K115/Inv_SY!$Y115-1,"")</f>
        <v/>
      </c>
      <c r="L113" s="59" t="str">
        <f>IFERROR(Inv_SY!L115/Inv_SY!$Y115-1,"")</f>
        <v/>
      </c>
      <c r="M113" s="59" t="str">
        <f>IFERROR(Inv_SY!M115/Inv_SY!$Y115-1,"")</f>
        <v/>
      </c>
      <c r="N113" s="59" t="str">
        <f>IFERROR(Inv_SY!N115/Inv_SY!$Y115-1,"")</f>
        <v/>
      </c>
      <c r="O113" s="59" t="str">
        <f>IFERROR(Inv_SY!O115/Inv_SY!$Y115-1,"")</f>
        <v/>
      </c>
      <c r="P113" s="59" t="str">
        <f>IFERROR(Inv_SY!P115/Inv_SY!$Y115-1,"")</f>
        <v/>
      </c>
      <c r="Q113" s="59" t="str">
        <f>IFERROR(Inv_SY!Q115/Inv_SY!$Y115-1,"")</f>
        <v/>
      </c>
      <c r="R113" s="59" t="str">
        <f>IFERROR(Inv_SY!R115/Inv_SY!$Y115-1,"")</f>
        <v/>
      </c>
      <c r="S113" s="59" t="str">
        <f>IFERROR(Inv_SY!S115/Inv_SY!$Y115-1,"")</f>
        <v/>
      </c>
      <c r="T113" s="59" t="str">
        <f>IFERROR(Inv_SY!T115/Inv_SY!$Y115-1,"")</f>
        <v/>
      </c>
      <c r="U113" s="59" t="str">
        <f>IFERROR(Inv_SY!U115/Inv_SY!$Y115-1,"")</f>
        <v/>
      </c>
      <c r="V113" s="59" t="str">
        <f>IFERROR(Inv_SY!J115/Inv_SY!$Z115-1,"")</f>
        <v/>
      </c>
      <c r="W113" s="59" t="str">
        <f>IFERROR(Inv_SY!K115/Inv_SY!$Z115-1,"")</f>
        <v/>
      </c>
      <c r="X113" s="59" t="str">
        <f>IFERROR(Inv_SY!L115/Inv_SY!$Z115-1,"")</f>
        <v/>
      </c>
      <c r="Y113" s="59" t="str">
        <f>IFERROR(Inv_SY!M115/Inv_SY!$Z115-1,"")</f>
        <v/>
      </c>
      <c r="Z113" s="59" t="str">
        <f>IFERROR(Inv_SY!N115/Inv_SY!$Z115-1,"")</f>
        <v/>
      </c>
      <c r="AA113" s="59" t="str">
        <f>IFERROR(Inv_SY!O115/Inv_SY!$Z115-1,"")</f>
        <v/>
      </c>
      <c r="AB113" s="59" t="str">
        <f>IFERROR(Inv_SY!P115/Inv_SY!$Z115-1,"")</f>
        <v/>
      </c>
      <c r="AC113" s="59" t="str">
        <f>IFERROR(Inv_SY!Q115/Inv_SY!$Z115-1,"")</f>
        <v/>
      </c>
      <c r="AD113" s="59" t="str">
        <f>IFERROR(Inv_SY!R115/Inv_SY!$Z115-1,"")</f>
        <v/>
      </c>
      <c r="AE113" s="59" t="str">
        <f>IFERROR(Inv_SY!S115/Inv_SY!$Z115-1,"")</f>
        <v/>
      </c>
      <c r="AF113" s="59" t="str">
        <f>IFERROR(Inv_SY!T115/Inv_SY!$Z115-1,"")</f>
        <v/>
      </c>
      <c r="AG113" s="59" t="str">
        <f>IFERROR(Inv_SY!U115/Inv_SY!$Z115-1,"")</f>
        <v/>
      </c>
      <c r="AH113" s="59" t="str">
        <f>IFERROR(Inv_SY!V115/Inv_SY!$Y115-1,"")</f>
        <v/>
      </c>
      <c r="AI113" s="59" t="str">
        <f>IFERROR(Inv_SY!W115/Inv_SY!$Y115-1,"")</f>
        <v/>
      </c>
      <c r="AJ113" s="59" t="str">
        <f>IFERROR(Inv_SY!X115/Inv_SY!$Y115-1,"")</f>
        <v/>
      </c>
      <c r="AK113" s="59" t="str">
        <f>IFERROR(Inv_SY!V115/Inv_SY!$Z115-1,"")</f>
        <v/>
      </c>
      <c r="AL113" s="59" t="str">
        <f>IFERROR(Inv_SY!W115/Inv_SY!$Z115-1,"")</f>
        <v/>
      </c>
      <c r="AM113" s="59" t="str">
        <f>IFERROR(Inv_SY!X115/Inv_SY!$Z115-1,"")</f>
        <v/>
      </c>
    </row>
    <row r="114" spans="1:39" x14ac:dyDescent="0.3">
      <c r="A114" s="55">
        <f>YEAR(Table5[[#This Row],[Date]])+IF(MONTH(Table5[[#This Row],[Date]])&gt;=4,1,0)</f>
        <v>2026</v>
      </c>
      <c r="B114" s="55">
        <v>74</v>
      </c>
      <c r="C114" s="124">
        <f>YEAR(Table5[[#This Row],[Date]])</f>
        <v>2025</v>
      </c>
      <c r="D114" s="55" t="s">
        <v>329</v>
      </c>
      <c r="E114" s="55" t="s">
        <v>329</v>
      </c>
      <c r="F114" s="126" t="str">
        <f>TEXT(Table5[[#This Row],[Date]],"mmm-yy")</f>
        <v>Jul-25</v>
      </c>
      <c r="G114" s="124">
        <f t="shared" si="7"/>
        <v>31</v>
      </c>
      <c r="H114" s="125">
        <f t="shared" si="6"/>
        <v>45857</v>
      </c>
      <c r="I114" s="55">
        <v>8.02</v>
      </c>
      <c r="J114" s="59" t="str">
        <f>IFERROR(Inv_SY!J116/Inv_SY!$Y116-1,"")</f>
        <v/>
      </c>
      <c r="K114" s="59" t="str">
        <f>IFERROR(Inv_SY!K116/Inv_SY!$Y116-1,"")</f>
        <v/>
      </c>
      <c r="L114" s="59" t="str">
        <f>IFERROR(Inv_SY!L116/Inv_SY!$Y116-1,"")</f>
        <v/>
      </c>
      <c r="M114" s="59" t="str">
        <f>IFERROR(Inv_SY!M116/Inv_SY!$Y116-1,"")</f>
        <v/>
      </c>
      <c r="N114" s="59" t="str">
        <f>IFERROR(Inv_SY!N116/Inv_SY!$Y116-1,"")</f>
        <v/>
      </c>
      <c r="O114" s="59" t="str">
        <f>IFERROR(Inv_SY!O116/Inv_SY!$Y116-1,"")</f>
        <v/>
      </c>
      <c r="P114" s="59" t="str">
        <f>IFERROR(Inv_SY!P116/Inv_SY!$Y116-1,"")</f>
        <v/>
      </c>
      <c r="Q114" s="59" t="str">
        <f>IFERROR(Inv_SY!Q116/Inv_SY!$Y116-1,"")</f>
        <v/>
      </c>
      <c r="R114" s="59" t="str">
        <f>IFERROR(Inv_SY!R116/Inv_SY!$Y116-1,"")</f>
        <v/>
      </c>
      <c r="S114" s="59" t="str">
        <f>IFERROR(Inv_SY!S116/Inv_SY!$Y116-1,"")</f>
        <v/>
      </c>
      <c r="T114" s="59" t="str">
        <f>IFERROR(Inv_SY!T116/Inv_SY!$Y116-1,"")</f>
        <v/>
      </c>
      <c r="U114" s="59" t="str">
        <f>IFERROR(Inv_SY!U116/Inv_SY!$Y116-1,"")</f>
        <v/>
      </c>
      <c r="V114" s="59" t="str">
        <f>IFERROR(Inv_SY!J116/Inv_SY!$Z116-1,"")</f>
        <v/>
      </c>
      <c r="W114" s="59" t="str">
        <f>IFERROR(Inv_SY!K116/Inv_SY!$Z116-1,"")</f>
        <v/>
      </c>
      <c r="X114" s="59" t="str">
        <f>IFERROR(Inv_SY!L116/Inv_SY!$Z116-1,"")</f>
        <v/>
      </c>
      <c r="Y114" s="59" t="str">
        <f>IFERROR(Inv_SY!M116/Inv_SY!$Z116-1,"")</f>
        <v/>
      </c>
      <c r="Z114" s="59" t="str">
        <f>IFERROR(Inv_SY!N116/Inv_SY!$Z116-1,"")</f>
        <v/>
      </c>
      <c r="AA114" s="59" t="str">
        <f>IFERROR(Inv_SY!O116/Inv_SY!$Z116-1,"")</f>
        <v/>
      </c>
      <c r="AB114" s="59" t="str">
        <f>IFERROR(Inv_SY!P116/Inv_SY!$Z116-1,"")</f>
        <v/>
      </c>
      <c r="AC114" s="59" t="str">
        <f>IFERROR(Inv_SY!Q116/Inv_SY!$Z116-1,"")</f>
        <v/>
      </c>
      <c r="AD114" s="59" t="str">
        <f>IFERROR(Inv_SY!R116/Inv_SY!$Z116-1,"")</f>
        <v/>
      </c>
      <c r="AE114" s="59" t="str">
        <f>IFERROR(Inv_SY!S116/Inv_SY!$Z116-1,"")</f>
        <v/>
      </c>
      <c r="AF114" s="59" t="str">
        <f>IFERROR(Inv_SY!T116/Inv_SY!$Z116-1,"")</f>
        <v/>
      </c>
      <c r="AG114" s="59" t="str">
        <f>IFERROR(Inv_SY!U116/Inv_SY!$Z116-1,"")</f>
        <v/>
      </c>
      <c r="AH114" s="59" t="str">
        <f>IFERROR(Inv_SY!V116/Inv_SY!$Y116-1,"")</f>
        <v/>
      </c>
      <c r="AI114" s="59" t="str">
        <f>IFERROR(Inv_SY!W116/Inv_SY!$Y116-1,"")</f>
        <v/>
      </c>
      <c r="AJ114" s="59" t="str">
        <f>IFERROR(Inv_SY!X116/Inv_SY!$Y116-1,"")</f>
        <v/>
      </c>
      <c r="AK114" s="59" t="str">
        <f>IFERROR(Inv_SY!V116/Inv_SY!$Z116-1,"")</f>
        <v/>
      </c>
      <c r="AL114" s="59" t="str">
        <f>IFERROR(Inv_SY!W116/Inv_SY!$Z116-1,"")</f>
        <v/>
      </c>
      <c r="AM114" s="59" t="str">
        <f>IFERROR(Inv_SY!X116/Inv_SY!$Z116-1,"")</f>
        <v/>
      </c>
    </row>
    <row r="115" spans="1:39" x14ac:dyDescent="0.3">
      <c r="A115" s="55">
        <f>YEAR(Table5[[#This Row],[Date]])+IF(MONTH(Table5[[#This Row],[Date]])&gt;=4,1,0)</f>
        <v>2026</v>
      </c>
      <c r="B115" s="55">
        <v>75</v>
      </c>
      <c r="C115" s="124">
        <f>YEAR(Table5[[#This Row],[Date]])</f>
        <v>2025</v>
      </c>
      <c r="D115" s="55" t="s">
        <v>329</v>
      </c>
      <c r="E115" s="55" t="s">
        <v>329</v>
      </c>
      <c r="F115" s="126" t="str">
        <f>TEXT(Table5[[#This Row],[Date]],"mmm-yy")</f>
        <v>Jul-25</v>
      </c>
      <c r="G115" s="124">
        <f t="shared" si="7"/>
        <v>31</v>
      </c>
      <c r="H115" s="125">
        <f t="shared" si="6"/>
        <v>45858</v>
      </c>
      <c r="I115" s="55">
        <v>8.02</v>
      </c>
      <c r="J115" s="59" t="str">
        <f>IFERROR(Inv_SY!J117/Inv_SY!$Y117-1,"")</f>
        <v/>
      </c>
      <c r="K115" s="59" t="str">
        <f>IFERROR(Inv_SY!K117/Inv_SY!$Y117-1,"")</f>
        <v/>
      </c>
      <c r="L115" s="59" t="str">
        <f>IFERROR(Inv_SY!L117/Inv_SY!$Y117-1,"")</f>
        <v/>
      </c>
      <c r="M115" s="59" t="str">
        <f>IFERROR(Inv_SY!M117/Inv_SY!$Y117-1,"")</f>
        <v/>
      </c>
      <c r="N115" s="59" t="str">
        <f>IFERROR(Inv_SY!N117/Inv_SY!$Y117-1,"")</f>
        <v/>
      </c>
      <c r="O115" s="59" t="str">
        <f>IFERROR(Inv_SY!O117/Inv_SY!$Y117-1,"")</f>
        <v/>
      </c>
      <c r="P115" s="59" t="str">
        <f>IFERROR(Inv_SY!P117/Inv_SY!$Y117-1,"")</f>
        <v/>
      </c>
      <c r="Q115" s="59" t="str">
        <f>IFERROR(Inv_SY!Q117/Inv_SY!$Y117-1,"")</f>
        <v/>
      </c>
      <c r="R115" s="59" t="str">
        <f>IFERROR(Inv_SY!R117/Inv_SY!$Y117-1,"")</f>
        <v/>
      </c>
      <c r="S115" s="59" t="str">
        <f>IFERROR(Inv_SY!S117/Inv_SY!$Y117-1,"")</f>
        <v/>
      </c>
      <c r="T115" s="59" t="str">
        <f>IFERROR(Inv_SY!T117/Inv_SY!$Y117-1,"")</f>
        <v/>
      </c>
      <c r="U115" s="59" t="str">
        <f>IFERROR(Inv_SY!U117/Inv_SY!$Y117-1,"")</f>
        <v/>
      </c>
      <c r="V115" s="59" t="str">
        <f>IFERROR(Inv_SY!J117/Inv_SY!$Z117-1,"")</f>
        <v/>
      </c>
      <c r="W115" s="59" t="str">
        <f>IFERROR(Inv_SY!K117/Inv_SY!$Z117-1,"")</f>
        <v/>
      </c>
      <c r="X115" s="59" t="str">
        <f>IFERROR(Inv_SY!L117/Inv_SY!$Z117-1,"")</f>
        <v/>
      </c>
      <c r="Y115" s="59" t="str">
        <f>IFERROR(Inv_SY!M117/Inv_SY!$Z117-1,"")</f>
        <v/>
      </c>
      <c r="Z115" s="59" t="str">
        <f>IFERROR(Inv_SY!N117/Inv_SY!$Z117-1,"")</f>
        <v/>
      </c>
      <c r="AA115" s="59" t="str">
        <f>IFERROR(Inv_SY!O117/Inv_SY!$Z117-1,"")</f>
        <v/>
      </c>
      <c r="AB115" s="59" t="str">
        <f>IFERROR(Inv_SY!P117/Inv_SY!$Z117-1,"")</f>
        <v/>
      </c>
      <c r="AC115" s="59" t="str">
        <f>IFERROR(Inv_SY!Q117/Inv_SY!$Z117-1,"")</f>
        <v/>
      </c>
      <c r="AD115" s="59" t="str">
        <f>IFERROR(Inv_SY!R117/Inv_SY!$Z117-1,"")</f>
        <v/>
      </c>
      <c r="AE115" s="59" t="str">
        <f>IFERROR(Inv_SY!S117/Inv_SY!$Z117-1,"")</f>
        <v/>
      </c>
      <c r="AF115" s="59" t="str">
        <f>IFERROR(Inv_SY!T117/Inv_SY!$Z117-1,"")</f>
        <v/>
      </c>
      <c r="AG115" s="59" t="str">
        <f>IFERROR(Inv_SY!U117/Inv_SY!$Z117-1,"")</f>
        <v/>
      </c>
      <c r="AH115" s="59" t="str">
        <f>IFERROR(Inv_SY!V117/Inv_SY!$Y117-1,"")</f>
        <v/>
      </c>
      <c r="AI115" s="59" t="str">
        <f>IFERROR(Inv_SY!W117/Inv_SY!$Y117-1,"")</f>
        <v/>
      </c>
      <c r="AJ115" s="59" t="str">
        <f>IFERROR(Inv_SY!X117/Inv_SY!$Y117-1,"")</f>
        <v/>
      </c>
      <c r="AK115" s="59" t="str">
        <f>IFERROR(Inv_SY!V117/Inv_SY!$Z117-1,"")</f>
        <v/>
      </c>
      <c r="AL115" s="59" t="str">
        <f>IFERROR(Inv_SY!W117/Inv_SY!$Z117-1,"")</f>
        <v/>
      </c>
      <c r="AM115" s="59" t="str">
        <f>IFERROR(Inv_SY!X117/Inv_SY!$Z117-1,"")</f>
        <v/>
      </c>
    </row>
    <row r="116" spans="1:39" x14ac:dyDescent="0.3">
      <c r="A116" s="55">
        <f>YEAR(Table5[[#This Row],[Date]])+IF(MONTH(Table5[[#This Row],[Date]])&gt;=4,1,0)</f>
        <v>2026</v>
      </c>
      <c r="B116" s="55">
        <v>76</v>
      </c>
      <c r="C116" s="124">
        <f>YEAR(Table5[[#This Row],[Date]])</f>
        <v>2025</v>
      </c>
      <c r="D116" s="55" t="s">
        <v>329</v>
      </c>
      <c r="E116" s="55" t="s">
        <v>329</v>
      </c>
      <c r="F116" s="126" t="str">
        <f>TEXT(Table5[[#This Row],[Date]],"mmm-yy")</f>
        <v>Jul-25</v>
      </c>
      <c r="G116" s="124">
        <f t="shared" si="7"/>
        <v>31</v>
      </c>
      <c r="H116" s="125">
        <f t="shared" si="6"/>
        <v>45859</v>
      </c>
      <c r="I116" s="55">
        <v>8.02</v>
      </c>
      <c r="J116" s="59" t="str">
        <f>IFERROR(Inv_SY!J118/Inv_SY!$Y118-1,"")</f>
        <v/>
      </c>
      <c r="K116" s="59" t="str">
        <f>IFERROR(Inv_SY!K118/Inv_SY!$Y118-1,"")</f>
        <v/>
      </c>
      <c r="L116" s="59" t="str">
        <f>IFERROR(Inv_SY!L118/Inv_SY!$Y118-1,"")</f>
        <v/>
      </c>
      <c r="M116" s="59" t="str">
        <f>IFERROR(Inv_SY!M118/Inv_SY!$Y118-1,"")</f>
        <v/>
      </c>
      <c r="N116" s="59" t="str">
        <f>IFERROR(Inv_SY!N118/Inv_SY!$Y118-1,"")</f>
        <v/>
      </c>
      <c r="O116" s="59" t="str">
        <f>IFERROR(Inv_SY!O118/Inv_SY!$Y118-1,"")</f>
        <v/>
      </c>
      <c r="P116" s="59" t="str">
        <f>IFERROR(Inv_SY!P118/Inv_SY!$Y118-1,"")</f>
        <v/>
      </c>
      <c r="Q116" s="59" t="str">
        <f>IFERROR(Inv_SY!Q118/Inv_SY!$Y118-1,"")</f>
        <v/>
      </c>
      <c r="R116" s="59" t="str">
        <f>IFERROR(Inv_SY!R118/Inv_SY!$Y118-1,"")</f>
        <v/>
      </c>
      <c r="S116" s="59" t="str">
        <f>IFERROR(Inv_SY!S118/Inv_SY!$Y118-1,"")</f>
        <v/>
      </c>
      <c r="T116" s="59" t="str">
        <f>IFERROR(Inv_SY!T118/Inv_SY!$Y118-1,"")</f>
        <v/>
      </c>
      <c r="U116" s="59" t="str">
        <f>IFERROR(Inv_SY!U118/Inv_SY!$Y118-1,"")</f>
        <v/>
      </c>
      <c r="V116" s="59" t="str">
        <f>IFERROR(Inv_SY!J118/Inv_SY!$Z118-1,"")</f>
        <v/>
      </c>
      <c r="W116" s="59" t="str">
        <f>IFERROR(Inv_SY!K118/Inv_SY!$Z118-1,"")</f>
        <v/>
      </c>
      <c r="X116" s="59" t="str">
        <f>IFERROR(Inv_SY!L118/Inv_SY!$Z118-1,"")</f>
        <v/>
      </c>
      <c r="Y116" s="59" t="str">
        <f>IFERROR(Inv_SY!M118/Inv_SY!$Z118-1,"")</f>
        <v/>
      </c>
      <c r="Z116" s="59" t="str">
        <f>IFERROR(Inv_SY!N118/Inv_SY!$Z118-1,"")</f>
        <v/>
      </c>
      <c r="AA116" s="59" t="str">
        <f>IFERROR(Inv_SY!O118/Inv_SY!$Z118-1,"")</f>
        <v/>
      </c>
      <c r="AB116" s="59" t="str">
        <f>IFERROR(Inv_SY!P118/Inv_SY!$Z118-1,"")</f>
        <v/>
      </c>
      <c r="AC116" s="59" t="str">
        <f>IFERROR(Inv_SY!Q118/Inv_SY!$Z118-1,"")</f>
        <v/>
      </c>
      <c r="AD116" s="59" t="str">
        <f>IFERROR(Inv_SY!R118/Inv_SY!$Z118-1,"")</f>
        <v/>
      </c>
      <c r="AE116" s="59" t="str">
        <f>IFERROR(Inv_SY!S118/Inv_SY!$Z118-1,"")</f>
        <v/>
      </c>
      <c r="AF116" s="59" t="str">
        <f>IFERROR(Inv_SY!T118/Inv_SY!$Z118-1,"")</f>
        <v/>
      </c>
      <c r="AG116" s="59" t="str">
        <f>IFERROR(Inv_SY!U118/Inv_SY!$Z118-1,"")</f>
        <v/>
      </c>
      <c r="AH116" s="59" t="str">
        <f>IFERROR(Inv_SY!V118/Inv_SY!$Y118-1,"")</f>
        <v/>
      </c>
      <c r="AI116" s="59" t="str">
        <f>IFERROR(Inv_SY!W118/Inv_SY!$Y118-1,"")</f>
        <v/>
      </c>
      <c r="AJ116" s="59" t="str">
        <f>IFERROR(Inv_SY!X118/Inv_SY!$Y118-1,"")</f>
        <v/>
      </c>
      <c r="AK116" s="59" t="str">
        <f>IFERROR(Inv_SY!V118/Inv_SY!$Z118-1,"")</f>
        <v/>
      </c>
      <c r="AL116" s="59" t="str">
        <f>IFERROR(Inv_SY!W118/Inv_SY!$Z118-1,"")</f>
        <v/>
      </c>
      <c r="AM116" s="59" t="str">
        <f>IFERROR(Inv_SY!X118/Inv_SY!$Z118-1,"")</f>
        <v/>
      </c>
    </row>
    <row r="117" spans="1:39" x14ac:dyDescent="0.3">
      <c r="A117" s="55">
        <f>YEAR(Table5[[#This Row],[Date]])+IF(MONTH(Table5[[#This Row],[Date]])&gt;=4,1,0)</f>
        <v>2026</v>
      </c>
      <c r="B117" s="55">
        <v>77</v>
      </c>
      <c r="C117" s="124">
        <f>YEAR(Table5[[#This Row],[Date]])</f>
        <v>2025</v>
      </c>
      <c r="D117" s="55" t="s">
        <v>329</v>
      </c>
      <c r="E117" s="55" t="s">
        <v>329</v>
      </c>
      <c r="F117" s="126" t="str">
        <f>TEXT(Table5[[#This Row],[Date]],"mmm-yy")</f>
        <v>Jul-25</v>
      </c>
      <c r="G117" s="124">
        <f t="shared" si="7"/>
        <v>31</v>
      </c>
      <c r="H117" s="125">
        <f t="shared" si="6"/>
        <v>45860</v>
      </c>
      <c r="I117" s="55">
        <v>8.02</v>
      </c>
      <c r="J117" s="59" t="str">
        <f>IFERROR(Inv_SY!J119/Inv_SY!$Y119-1,"")</f>
        <v/>
      </c>
      <c r="K117" s="59" t="str">
        <f>IFERROR(Inv_SY!K119/Inv_SY!$Y119-1,"")</f>
        <v/>
      </c>
      <c r="L117" s="59" t="str">
        <f>IFERROR(Inv_SY!L119/Inv_SY!$Y119-1,"")</f>
        <v/>
      </c>
      <c r="M117" s="59" t="str">
        <f>IFERROR(Inv_SY!M119/Inv_SY!$Y119-1,"")</f>
        <v/>
      </c>
      <c r="N117" s="59" t="str">
        <f>IFERROR(Inv_SY!N119/Inv_SY!$Y119-1,"")</f>
        <v/>
      </c>
      <c r="O117" s="59" t="str">
        <f>IFERROR(Inv_SY!O119/Inv_SY!$Y119-1,"")</f>
        <v/>
      </c>
      <c r="P117" s="59" t="str">
        <f>IFERROR(Inv_SY!P119/Inv_SY!$Y119-1,"")</f>
        <v/>
      </c>
      <c r="Q117" s="59" t="str">
        <f>IFERROR(Inv_SY!Q119/Inv_SY!$Y119-1,"")</f>
        <v/>
      </c>
      <c r="R117" s="59" t="str">
        <f>IFERROR(Inv_SY!R119/Inv_SY!$Y119-1,"")</f>
        <v/>
      </c>
      <c r="S117" s="59" t="str">
        <f>IFERROR(Inv_SY!S119/Inv_SY!$Y119-1,"")</f>
        <v/>
      </c>
      <c r="T117" s="59" t="str">
        <f>IFERROR(Inv_SY!T119/Inv_SY!$Y119-1,"")</f>
        <v/>
      </c>
      <c r="U117" s="59" t="str">
        <f>IFERROR(Inv_SY!U119/Inv_SY!$Y119-1,"")</f>
        <v/>
      </c>
      <c r="V117" s="59" t="str">
        <f>IFERROR(Inv_SY!J119/Inv_SY!$Z119-1,"")</f>
        <v/>
      </c>
      <c r="W117" s="59" t="str">
        <f>IFERROR(Inv_SY!K119/Inv_SY!$Z119-1,"")</f>
        <v/>
      </c>
      <c r="X117" s="59" t="str">
        <f>IFERROR(Inv_SY!L119/Inv_SY!$Z119-1,"")</f>
        <v/>
      </c>
      <c r="Y117" s="59" t="str">
        <f>IFERROR(Inv_SY!M119/Inv_SY!$Z119-1,"")</f>
        <v/>
      </c>
      <c r="Z117" s="59" t="str">
        <f>IFERROR(Inv_SY!N119/Inv_SY!$Z119-1,"")</f>
        <v/>
      </c>
      <c r="AA117" s="59" t="str">
        <f>IFERROR(Inv_SY!O119/Inv_SY!$Z119-1,"")</f>
        <v/>
      </c>
      <c r="AB117" s="59" t="str">
        <f>IFERROR(Inv_SY!P119/Inv_SY!$Z119-1,"")</f>
        <v/>
      </c>
      <c r="AC117" s="59" t="str">
        <f>IFERROR(Inv_SY!Q119/Inv_SY!$Z119-1,"")</f>
        <v/>
      </c>
      <c r="AD117" s="59" t="str">
        <f>IFERROR(Inv_SY!R119/Inv_SY!$Z119-1,"")</f>
        <v/>
      </c>
      <c r="AE117" s="59" t="str">
        <f>IFERROR(Inv_SY!S119/Inv_SY!$Z119-1,"")</f>
        <v/>
      </c>
      <c r="AF117" s="59" t="str">
        <f>IFERROR(Inv_SY!T119/Inv_SY!$Z119-1,"")</f>
        <v/>
      </c>
      <c r="AG117" s="59" t="str">
        <f>IFERROR(Inv_SY!U119/Inv_SY!$Z119-1,"")</f>
        <v/>
      </c>
      <c r="AH117" s="59" t="str">
        <f>IFERROR(Inv_SY!V119/Inv_SY!$Y119-1,"")</f>
        <v/>
      </c>
      <c r="AI117" s="59" t="str">
        <f>IFERROR(Inv_SY!W119/Inv_SY!$Y119-1,"")</f>
        <v/>
      </c>
      <c r="AJ117" s="59" t="str">
        <f>IFERROR(Inv_SY!X119/Inv_SY!$Y119-1,"")</f>
        <v/>
      </c>
      <c r="AK117" s="59" t="str">
        <f>IFERROR(Inv_SY!V119/Inv_SY!$Z119-1,"")</f>
        <v/>
      </c>
      <c r="AL117" s="59" t="str">
        <f>IFERROR(Inv_SY!W119/Inv_SY!$Z119-1,"")</f>
        <v/>
      </c>
      <c r="AM117" s="59" t="str">
        <f>IFERROR(Inv_SY!X119/Inv_SY!$Z119-1,"")</f>
        <v/>
      </c>
    </row>
    <row r="118" spans="1:39" x14ac:dyDescent="0.3">
      <c r="A118" s="55">
        <f>YEAR(Table5[[#This Row],[Date]])+IF(MONTH(Table5[[#This Row],[Date]])&gt;=4,1,0)</f>
        <v>2026</v>
      </c>
      <c r="B118" s="55">
        <v>78</v>
      </c>
      <c r="C118" s="124">
        <f>YEAR(Table5[[#This Row],[Date]])</f>
        <v>2025</v>
      </c>
      <c r="D118" s="55" t="s">
        <v>329</v>
      </c>
      <c r="E118" s="55" t="s">
        <v>329</v>
      </c>
      <c r="F118" s="126" t="str">
        <f>TEXT(Table5[[#This Row],[Date]],"mmm-yy")</f>
        <v>Jul-25</v>
      </c>
      <c r="G118" s="124">
        <f t="shared" si="7"/>
        <v>31</v>
      </c>
      <c r="H118" s="125">
        <f t="shared" si="6"/>
        <v>45861</v>
      </c>
      <c r="I118" s="55">
        <v>8.02</v>
      </c>
      <c r="J118" s="59" t="str">
        <f>IFERROR(Inv_SY!J120/Inv_SY!$Y120-1,"")</f>
        <v/>
      </c>
      <c r="K118" s="59" t="str">
        <f>IFERROR(Inv_SY!K120/Inv_SY!$Y120-1,"")</f>
        <v/>
      </c>
      <c r="L118" s="59" t="str">
        <f>IFERROR(Inv_SY!L120/Inv_SY!$Y120-1,"")</f>
        <v/>
      </c>
      <c r="M118" s="59" t="str">
        <f>IFERROR(Inv_SY!M120/Inv_SY!$Y120-1,"")</f>
        <v/>
      </c>
      <c r="N118" s="59" t="str">
        <f>IFERROR(Inv_SY!N120/Inv_SY!$Y120-1,"")</f>
        <v/>
      </c>
      <c r="O118" s="59" t="str">
        <f>IFERROR(Inv_SY!O120/Inv_SY!$Y120-1,"")</f>
        <v/>
      </c>
      <c r="P118" s="59" t="str">
        <f>IFERROR(Inv_SY!P120/Inv_SY!$Y120-1,"")</f>
        <v/>
      </c>
      <c r="Q118" s="59" t="str">
        <f>IFERROR(Inv_SY!Q120/Inv_SY!$Y120-1,"")</f>
        <v/>
      </c>
      <c r="R118" s="59" t="str">
        <f>IFERROR(Inv_SY!R120/Inv_SY!$Y120-1,"")</f>
        <v/>
      </c>
      <c r="S118" s="59" t="str">
        <f>IFERROR(Inv_SY!S120/Inv_SY!$Y120-1,"")</f>
        <v/>
      </c>
      <c r="T118" s="59" t="str">
        <f>IFERROR(Inv_SY!T120/Inv_SY!$Y120-1,"")</f>
        <v/>
      </c>
      <c r="U118" s="59" t="str">
        <f>IFERROR(Inv_SY!U120/Inv_SY!$Y120-1,"")</f>
        <v/>
      </c>
      <c r="V118" s="59" t="str">
        <f>IFERROR(Inv_SY!J120/Inv_SY!$Z120-1,"")</f>
        <v/>
      </c>
      <c r="W118" s="59" t="str">
        <f>IFERROR(Inv_SY!K120/Inv_SY!$Z120-1,"")</f>
        <v/>
      </c>
      <c r="X118" s="59" t="str">
        <f>IFERROR(Inv_SY!L120/Inv_SY!$Z120-1,"")</f>
        <v/>
      </c>
      <c r="Y118" s="59" t="str">
        <f>IFERROR(Inv_SY!M120/Inv_SY!$Z120-1,"")</f>
        <v/>
      </c>
      <c r="Z118" s="59" t="str">
        <f>IFERROR(Inv_SY!N120/Inv_SY!$Z120-1,"")</f>
        <v/>
      </c>
      <c r="AA118" s="59" t="str">
        <f>IFERROR(Inv_SY!O120/Inv_SY!$Z120-1,"")</f>
        <v/>
      </c>
      <c r="AB118" s="59" t="str">
        <f>IFERROR(Inv_SY!P120/Inv_SY!$Z120-1,"")</f>
        <v/>
      </c>
      <c r="AC118" s="59" t="str">
        <f>IFERROR(Inv_SY!Q120/Inv_SY!$Z120-1,"")</f>
        <v/>
      </c>
      <c r="AD118" s="59" t="str">
        <f>IFERROR(Inv_SY!R120/Inv_SY!$Z120-1,"")</f>
        <v/>
      </c>
      <c r="AE118" s="59" t="str">
        <f>IFERROR(Inv_SY!S120/Inv_SY!$Z120-1,"")</f>
        <v/>
      </c>
      <c r="AF118" s="59" t="str">
        <f>IFERROR(Inv_SY!T120/Inv_SY!$Z120-1,"")</f>
        <v/>
      </c>
      <c r="AG118" s="59" t="str">
        <f>IFERROR(Inv_SY!U120/Inv_SY!$Z120-1,"")</f>
        <v/>
      </c>
      <c r="AH118" s="59" t="str">
        <f>IFERROR(Inv_SY!V120/Inv_SY!$Y120-1,"")</f>
        <v/>
      </c>
      <c r="AI118" s="59" t="str">
        <f>IFERROR(Inv_SY!W120/Inv_SY!$Y120-1,"")</f>
        <v/>
      </c>
      <c r="AJ118" s="59" t="str">
        <f>IFERROR(Inv_SY!X120/Inv_SY!$Y120-1,"")</f>
        <v/>
      </c>
      <c r="AK118" s="59" t="str">
        <f>IFERROR(Inv_SY!V120/Inv_SY!$Z120-1,"")</f>
        <v/>
      </c>
      <c r="AL118" s="59" t="str">
        <f>IFERROR(Inv_SY!W120/Inv_SY!$Z120-1,"")</f>
        <v/>
      </c>
      <c r="AM118" s="59" t="str">
        <f>IFERROR(Inv_SY!X120/Inv_SY!$Z120-1,"")</f>
        <v/>
      </c>
    </row>
    <row r="119" spans="1:39" x14ac:dyDescent="0.3">
      <c r="A119" s="55">
        <f>YEAR(Table5[[#This Row],[Date]])+IF(MONTH(Table5[[#This Row],[Date]])&gt;=4,1,0)</f>
        <v>2026</v>
      </c>
      <c r="B119" s="55">
        <v>79</v>
      </c>
      <c r="C119" s="124">
        <f>YEAR(Table5[[#This Row],[Date]])</f>
        <v>2025</v>
      </c>
      <c r="D119" s="55" t="s">
        <v>329</v>
      </c>
      <c r="E119" s="55" t="s">
        <v>329</v>
      </c>
      <c r="F119" s="126" t="str">
        <f>TEXT(Table5[[#This Row],[Date]],"mmm-yy")</f>
        <v>Jul-25</v>
      </c>
      <c r="G119" s="124">
        <f t="shared" si="7"/>
        <v>31</v>
      </c>
      <c r="H119" s="125">
        <f t="shared" si="6"/>
        <v>45862</v>
      </c>
      <c r="I119" s="55">
        <v>8.02</v>
      </c>
      <c r="J119" s="59" t="str">
        <f>IFERROR(Inv_SY!J121/Inv_SY!$Y121-1,"")</f>
        <v/>
      </c>
      <c r="K119" s="59" t="str">
        <f>IFERROR(Inv_SY!K121/Inv_SY!$Y121-1,"")</f>
        <v/>
      </c>
      <c r="L119" s="59" t="str">
        <f>IFERROR(Inv_SY!L121/Inv_SY!$Y121-1,"")</f>
        <v/>
      </c>
      <c r="M119" s="59" t="str">
        <f>IFERROR(Inv_SY!M121/Inv_SY!$Y121-1,"")</f>
        <v/>
      </c>
      <c r="N119" s="59" t="str">
        <f>IFERROR(Inv_SY!N121/Inv_SY!$Y121-1,"")</f>
        <v/>
      </c>
      <c r="O119" s="59" t="str">
        <f>IFERROR(Inv_SY!O121/Inv_SY!$Y121-1,"")</f>
        <v/>
      </c>
      <c r="P119" s="59" t="str">
        <f>IFERROR(Inv_SY!P121/Inv_SY!$Y121-1,"")</f>
        <v/>
      </c>
      <c r="Q119" s="59" t="str">
        <f>IFERROR(Inv_SY!Q121/Inv_SY!$Y121-1,"")</f>
        <v/>
      </c>
      <c r="R119" s="59" t="str">
        <f>IFERROR(Inv_SY!R121/Inv_SY!$Y121-1,"")</f>
        <v/>
      </c>
      <c r="S119" s="59" t="str">
        <f>IFERROR(Inv_SY!S121/Inv_SY!$Y121-1,"")</f>
        <v/>
      </c>
      <c r="T119" s="59" t="str">
        <f>IFERROR(Inv_SY!T121/Inv_SY!$Y121-1,"")</f>
        <v/>
      </c>
      <c r="U119" s="59" t="str">
        <f>IFERROR(Inv_SY!U121/Inv_SY!$Y121-1,"")</f>
        <v/>
      </c>
      <c r="V119" s="59" t="str">
        <f>IFERROR(Inv_SY!J121/Inv_SY!$Z121-1,"")</f>
        <v/>
      </c>
      <c r="W119" s="59" t="str">
        <f>IFERROR(Inv_SY!K121/Inv_SY!$Z121-1,"")</f>
        <v/>
      </c>
      <c r="X119" s="59" t="str">
        <f>IFERROR(Inv_SY!L121/Inv_SY!$Z121-1,"")</f>
        <v/>
      </c>
      <c r="Y119" s="59" t="str">
        <f>IFERROR(Inv_SY!M121/Inv_SY!$Z121-1,"")</f>
        <v/>
      </c>
      <c r="Z119" s="59" t="str">
        <f>IFERROR(Inv_SY!N121/Inv_SY!$Z121-1,"")</f>
        <v/>
      </c>
      <c r="AA119" s="59" t="str">
        <f>IFERROR(Inv_SY!O121/Inv_SY!$Z121-1,"")</f>
        <v/>
      </c>
      <c r="AB119" s="59" t="str">
        <f>IFERROR(Inv_SY!P121/Inv_SY!$Z121-1,"")</f>
        <v/>
      </c>
      <c r="AC119" s="59" t="str">
        <f>IFERROR(Inv_SY!Q121/Inv_SY!$Z121-1,"")</f>
        <v/>
      </c>
      <c r="AD119" s="59" t="str">
        <f>IFERROR(Inv_SY!R121/Inv_SY!$Z121-1,"")</f>
        <v/>
      </c>
      <c r="AE119" s="59" t="str">
        <f>IFERROR(Inv_SY!S121/Inv_SY!$Z121-1,"")</f>
        <v/>
      </c>
      <c r="AF119" s="59" t="str">
        <f>IFERROR(Inv_SY!T121/Inv_SY!$Z121-1,"")</f>
        <v/>
      </c>
      <c r="AG119" s="59" t="str">
        <f>IFERROR(Inv_SY!U121/Inv_SY!$Z121-1,"")</f>
        <v/>
      </c>
      <c r="AH119" s="59" t="str">
        <f>IFERROR(Inv_SY!V121/Inv_SY!$Y121-1,"")</f>
        <v/>
      </c>
      <c r="AI119" s="59" t="str">
        <f>IFERROR(Inv_SY!W121/Inv_SY!$Y121-1,"")</f>
        <v/>
      </c>
      <c r="AJ119" s="59" t="str">
        <f>IFERROR(Inv_SY!X121/Inv_SY!$Y121-1,"")</f>
        <v/>
      </c>
      <c r="AK119" s="59" t="str">
        <f>IFERROR(Inv_SY!V121/Inv_SY!$Z121-1,"")</f>
        <v/>
      </c>
      <c r="AL119" s="59" t="str">
        <f>IFERROR(Inv_SY!W121/Inv_SY!$Z121-1,"")</f>
        <v/>
      </c>
      <c r="AM119" s="59" t="str">
        <f>IFERROR(Inv_SY!X121/Inv_SY!$Z121-1,"")</f>
        <v/>
      </c>
    </row>
    <row r="120" spans="1:39" x14ac:dyDescent="0.3">
      <c r="A120" s="55">
        <f>YEAR(Table5[[#This Row],[Date]])+IF(MONTH(Table5[[#This Row],[Date]])&gt;=4,1,0)</f>
        <v>2026</v>
      </c>
      <c r="B120" s="55">
        <v>80</v>
      </c>
      <c r="C120" s="124">
        <f>YEAR(Table5[[#This Row],[Date]])</f>
        <v>2025</v>
      </c>
      <c r="D120" s="55" t="s">
        <v>329</v>
      </c>
      <c r="E120" s="55" t="s">
        <v>329</v>
      </c>
      <c r="F120" s="126" t="str">
        <f>TEXT(Table5[[#This Row],[Date]],"mmm-yy")</f>
        <v>Jul-25</v>
      </c>
      <c r="G120" s="124">
        <f t="shared" si="7"/>
        <v>31</v>
      </c>
      <c r="H120" s="125">
        <f t="shared" si="6"/>
        <v>45863</v>
      </c>
      <c r="I120" s="55">
        <v>8.02</v>
      </c>
      <c r="J120" s="59" t="str">
        <f>IFERROR(Inv_SY!J122/Inv_SY!$Y122-1,"")</f>
        <v/>
      </c>
      <c r="K120" s="59" t="str">
        <f>IFERROR(Inv_SY!K122/Inv_SY!$Y122-1,"")</f>
        <v/>
      </c>
      <c r="L120" s="59" t="str">
        <f>IFERROR(Inv_SY!L122/Inv_SY!$Y122-1,"")</f>
        <v/>
      </c>
      <c r="M120" s="59" t="str">
        <f>IFERROR(Inv_SY!M122/Inv_SY!$Y122-1,"")</f>
        <v/>
      </c>
      <c r="N120" s="59" t="str">
        <f>IFERROR(Inv_SY!N122/Inv_SY!$Y122-1,"")</f>
        <v/>
      </c>
      <c r="O120" s="59" t="str">
        <f>IFERROR(Inv_SY!O122/Inv_SY!$Y122-1,"")</f>
        <v/>
      </c>
      <c r="P120" s="59" t="str">
        <f>IFERROR(Inv_SY!P122/Inv_SY!$Y122-1,"")</f>
        <v/>
      </c>
      <c r="Q120" s="59" t="str">
        <f>IFERROR(Inv_SY!Q122/Inv_SY!$Y122-1,"")</f>
        <v/>
      </c>
      <c r="R120" s="59" t="str">
        <f>IFERROR(Inv_SY!R122/Inv_SY!$Y122-1,"")</f>
        <v/>
      </c>
      <c r="S120" s="59" t="str">
        <f>IFERROR(Inv_SY!S122/Inv_SY!$Y122-1,"")</f>
        <v/>
      </c>
      <c r="T120" s="59" t="str">
        <f>IFERROR(Inv_SY!T122/Inv_SY!$Y122-1,"")</f>
        <v/>
      </c>
      <c r="U120" s="59" t="str">
        <f>IFERROR(Inv_SY!U122/Inv_SY!$Y122-1,"")</f>
        <v/>
      </c>
      <c r="V120" s="59" t="str">
        <f>IFERROR(Inv_SY!J122/Inv_SY!$Z122-1,"")</f>
        <v/>
      </c>
      <c r="W120" s="59" t="str">
        <f>IFERROR(Inv_SY!K122/Inv_SY!$Z122-1,"")</f>
        <v/>
      </c>
      <c r="X120" s="59" t="str">
        <f>IFERROR(Inv_SY!L122/Inv_SY!$Z122-1,"")</f>
        <v/>
      </c>
      <c r="Y120" s="59" t="str">
        <f>IFERROR(Inv_SY!M122/Inv_SY!$Z122-1,"")</f>
        <v/>
      </c>
      <c r="Z120" s="59" t="str">
        <f>IFERROR(Inv_SY!N122/Inv_SY!$Z122-1,"")</f>
        <v/>
      </c>
      <c r="AA120" s="59" t="str">
        <f>IFERROR(Inv_SY!O122/Inv_SY!$Z122-1,"")</f>
        <v/>
      </c>
      <c r="AB120" s="59" t="str">
        <f>IFERROR(Inv_SY!P122/Inv_SY!$Z122-1,"")</f>
        <v/>
      </c>
      <c r="AC120" s="59" t="str">
        <f>IFERROR(Inv_SY!Q122/Inv_SY!$Z122-1,"")</f>
        <v/>
      </c>
      <c r="AD120" s="59" t="str">
        <f>IFERROR(Inv_SY!R122/Inv_SY!$Z122-1,"")</f>
        <v/>
      </c>
      <c r="AE120" s="59" t="str">
        <f>IFERROR(Inv_SY!S122/Inv_SY!$Z122-1,"")</f>
        <v/>
      </c>
      <c r="AF120" s="59" t="str">
        <f>IFERROR(Inv_SY!T122/Inv_SY!$Z122-1,"")</f>
        <v/>
      </c>
      <c r="AG120" s="59" t="str">
        <f>IFERROR(Inv_SY!U122/Inv_SY!$Z122-1,"")</f>
        <v/>
      </c>
      <c r="AH120" s="59" t="str">
        <f>IFERROR(Inv_SY!V122/Inv_SY!$Y122-1,"")</f>
        <v/>
      </c>
      <c r="AI120" s="59" t="str">
        <f>IFERROR(Inv_SY!W122/Inv_SY!$Y122-1,"")</f>
        <v/>
      </c>
      <c r="AJ120" s="59" t="str">
        <f>IFERROR(Inv_SY!X122/Inv_SY!$Y122-1,"")</f>
        <v/>
      </c>
      <c r="AK120" s="59" t="str">
        <f>IFERROR(Inv_SY!V122/Inv_SY!$Z122-1,"")</f>
        <v/>
      </c>
      <c r="AL120" s="59" t="str">
        <f>IFERROR(Inv_SY!W122/Inv_SY!$Z122-1,"")</f>
        <v/>
      </c>
      <c r="AM120" s="59" t="str">
        <f>IFERROR(Inv_SY!X122/Inv_SY!$Z122-1,"")</f>
        <v/>
      </c>
    </row>
    <row r="121" spans="1:39" x14ac:dyDescent="0.3">
      <c r="A121" s="55">
        <f>YEAR(Table5[[#This Row],[Date]])+IF(MONTH(Table5[[#This Row],[Date]])&gt;=4,1,0)</f>
        <v>2026</v>
      </c>
      <c r="B121" s="55">
        <v>81</v>
      </c>
      <c r="C121" s="124">
        <f>YEAR(Table5[[#This Row],[Date]])</f>
        <v>2025</v>
      </c>
      <c r="D121" s="55" t="s">
        <v>329</v>
      </c>
      <c r="E121" s="55" t="s">
        <v>329</v>
      </c>
      <c r="F121" s="126" t="str">
        <f>TEXT(Table5[[#This Row],[Date]],"mmm-yy")</f>
        <v>Jul-25</v>
      </c>
      <c r="G121" s="124">
        <f t="shared" si="7"/>
        <v>31</v>
      </c>
      <c r="H121" s="125">
        <f t="shared" si="6"/>
        <v>45864</v>
      </c>
      <c r="I121" s="55">
        <v>8.02</v>
      </c>
      <c r="J121" s="59" t="str">
        <f>IFERROR(Inv_SY!J123/Inv_SY!$Y123-1,"")</f>
        <v/>
      </c>
      <c r="K121" s="59" t="str">
        <f>IFERROR(Inv_SY!K123/Inv_SY!$Y123-1,"")</f>
        <v/>
      </c>
      <c r="L121" s="59" t="str">
        <f>IFERROR(Inv_SY!L123/Inv_SY!$Y123-1,"")</f>
        <v/>
      </c>
      <c r="M121" s="59" t="str">
        <f>IFERROR(Inv_SY!M123/Inv_SY!$Y123-1,"")</f>
        <v/>
      </c>
      <c r="N121" s="59" t="str">
        <f>IFERROR(Inv_SY!N123/Inv_SY!$Y123-1,"")</f>
        <v/>
      </c>
      <c r="O121" s="59" t="str">
        <f>IFERROR(Inv_SY!O123/Inv_SY!$Y123-1,"")</f>
        <v/>
      </c>
      <c r="P121" s="59" t="str">
        <f>IFERROR(Inv_SY!P123/Inv_SY!$Y123-1,"")</f>
        <v/>
      </c>
      <c r="Q121" s="59" t="str">
        <f>IFERROR(Inv_SY!Q123/Inv_SY!$Y123-1,"")</f>
        <v/>
      </c>
      <c r="R121" s="59" t="str">
        <f>IFERROR(Inv_SY!R123/Inv_SY!$Y123-1,"")</f>
        <v/>
      </c>
      <c r="S121" s="59" t="str">
        <f>IFERROR(Inv_SY!S123/Inv_SY!$Y123-1,"")</f>
        <v/>
      </c>
      <c r="T121" s="59" t="str">
        <f>IFERROR(Inv_SY!T123/Inv_SY!$Y123-1,"")</f>
        <v/>
      </c>
      <c r="U121" s="59" t="str">
        <f>IFERROR(Inv_SY!U123/Inv_SY!$Y123-1,"")</f>
        <v/>
      </c>
      <c r="V121" s="59" t="str">
        <f>IFERROR(Inv_SY!J123/Inv_SY!$Z123-1,"")</f>
        <v/>
      </c>
      <c r="W121" s="59" t="str">
        <f>IFERROR(Inv_SY!K123/Inv_SY!$Z123-1,"")</f>
        <v/>
      </c>
      <c r="X121" s="59" t="str">
        <f>IFERROR(Inv_SY!L123/Inv_SY!$Z123-1,"")</f>
        <v/>
      </c>
      <c r="Y121" s="59" t="str">
        <f>IFERROR(Inv_SY!M123/Inv_SY!$Z123-1,"")</f>
        <v/>
      </c>
      <c r="Z121" s="59" t="str">
        <f>IFERROR(Inv_SY!N123/Inv_SY!$Z123-1,"")</f>
        <v/>
      </c>
      <c r="AA121" s="59" t="str">
        <f>IFERROR(Inv_SY!O123/Inv_SY!$Z123-1,"")</f>
        <v/>
      </c>
      <c r="AB121" s="59" t="str">
        <f>IFERROR(Inv_SY!P123/Inv_SY!$Z123-1,"")</f>
        <v/>
      </c>
      <c r="AC121" s="59" t="str">
        <f>IFERROR(Inv_SY!Q123/Inv_SY!$Z123-1,"")</f>
        <v/>
      </c>
      <c r="AD121" s="59" t="str">
        <f>IFERROR(Inv_SY!R123/Inv_SY!$Z123-1,"")</f>
        <v/>
      </c>
      <c r="AE121" s="59" t="str">
        <f>IFERROR(Inv_SY!S123/Inv_SY!$Z123-1,"")</f>
        <v/>
      </c>
      <c r="AF121" s="59" t="str">
        <f>IFERROR(Inv_SY!T123/Inv_SY!$Z123-1,"")</f>
        <v/>
      </c>
      <c r="AG121" s="59" t="str">
        <f>IFERROR(Inv_SY!U123/Inv_SY!$Z123-1,"")</f>
        <v/>
      </c>
      <c r="AH121" s="59" t="str">
        <f>IFERROR(Inv_SY!V123/Inv_SY!$Y123-1,"")</f>
        <v/>
      </c>
      <c r="AI121" s="59" t="str">
        <f>IFERROR(Inv_SY!W123/Inv_SY!$Y123-1,"")</f>
        <v/>
      </c>
      <c r="AJ121" s="59" t="str">
        <f>IFERROR(Inv_SY!X123/Inv_SY!$Y123-1,"")</f>
        <v/>
      </c>
      <c r="AK121" s="59" t="str">
        <f>IFERROR(Inv_SY!V123/Inv_SY!$Z123-1,"")</f>
        <v/>
      </c>
      <c r="AL121" s="59" t="str">
        <f>IFERROR(Inv_SY!W123/Inv_SY!$Z123-1,"")</f>
        <v/>
      </c>
      <c r="AM121" s="59" t="str">
        <f>IFERROR(Inv_SY!X123/Inv_SY!$Z123-1,"")</f>
        <v/>
      </c>
    </row>
    <row r="122" spans="1:39" x14ac:dyDescent="0.3">
      <c r="A122" s="55">
        <f>YEAR(Table5[[#This Row],[Date]])+IF(MONTH(Table5[[#This Row],[Date]])&gt;=4,1,0)</f>
        <v>2026</v>
      </c>
      <c r="B122" s="55">
        <v>82</v>
      </c>
      <c r="C122" s="124">
        <f>YEAR(Table5[[#This Row],[Date]])</f>
        <v>2025</v>
      </c>
      <c r="D122" s="55" t="s">
        <v>329</v>
      </c>
      <c r="E122" s="55" t="s">
        <v>329</v>
      </c>
      <c r="F122" s="126" t="str">
        <f>TEXT(Table5[[#This Row],[Date]],"mmm-yy")</f>
        <v>Jul-25</v>
      </c>
      <c r="G122" s="124">
        <f t="shared" si="7"/>
        <v>31</v>
      </c>
      <c r="H122" s="125">
        <f t="shared" si="6"/>
        <v>45865</v>
      </c>
      <c r="I122" s="55">
        <v>8.02</v>
      </c>
      <c r="J122" s="59" t="str">
        <f>IFERROR(Inv_SY!J124/Inv_SY!$Y124-1,"")</f>
        <v/>
      </c>
      <c r="K122" s="59" t="str">
        <f>IFERROR(Inv_SY!K124/Inv_SY!$Y124-1,"")</f>
        <v/>
      </c>
      <c r="L122" s="59" t="str">
        <f>IFERROR(Inv_SY!L124/Inv_SY!$Y124-1,"")</f>
        <v/>
      </c>
      <c r="M122" s="59" t="str">
        <f>IFERROR(Inv_SY!M124/Inv_SY!$Y124-1,"")</f>
        <v/>
      </c>
      <c r="N122" s="59" t="str">
        <f>IFERROR(Inv_SY!N124/Inv_SY!$Y124-1,"")</f>
        <v/>
      </c>
      <c r="O122" s="59" t="str">
        <f>IFERROR(Inv_SY!O124/Inv_SY!$Y124-1,"")</f>
        <v/>
      </c>
      <c r="P122" s="59" t="str">
        <f>IFERROR(Inv_SY!P124/Inv_SY!$Y124-1,"")</f>
        <v/>
      </c>
      <c r="Q122" s="59" t="str">
        <f>IFERROR(Inv_SY!Q124/Inv_SY!$Y124-1,"")</f>
        <v/>
      </c>
      <c r="R122" s="59" t="str">
        <f>IFERROR(Inv_SY!R124/Inv_SY!$Y124-1,"")</f>
        <v/>
      </c>
      <c r="S122" s="59" t="str">
        <f>IFERROR(Inv_SY!S124/Inv_SY!$Y124-1,"")</f>
        <v/>
      </c>
      <c r="T122" s="59" t="str">
        <f>IFERROR(Inv_SY!T124/Inv_SY!$Y124-1,"")</f>
        <v/>
      </c>
      <c r="U122" s="59" t="str">
        <f>IFERROR(Inv_SY!U124/Inv_SY!$Y124-1,"")</f>
        <v/>
      </c>
      <c r="V122" s="59" t="str">
        <f>IFERROR(Inv_SY!J124/Inv_SY!$Z124-1,"")</f>
        <v/>
      </c>
      <c r="W122" s="59" t="str">
        <f>IFERROR(Inv_SY!K124/Inv_SY!$Z124-1,"")</f>
        <v/>
      </c>
      <c r="X122" s="59" t="str">
        <f>IFERROR(Inv_SY!L124/Inv_SY!$Z124-1,"")</f>
        <v/>
      </c>
      <c r="Y122" s="59" t="str">
        <f>IFERROR(Inv_SY!M124/Inv_SY!$Z124-1,"")</f>
        <v/>
      </c>
      <c r="Z122" s="59" t="str">
        <f>IFERROR(Inv_SY!N124/Inv_SY!$Z124-1,"")</f>
        <v/>
      </c>
      <c r="AA122" s="59" t="str">
        <f>IFERROR(Inv_SY!O124/Inv_SY!$Z124-1,"")</f>
        <v/>
      </c>
      <c r="AB122" s="59" t="str">
        <f>IFERROR(Inv_SY!P124/Inv_SY!$Z124-1,"")</f>
        <v/>
      </c>
      <c r="AC122" s="59" t="str">
        <f>IFERROR(Inv_SY!Q124/Inv_SY!$Z124-1,"")</f>
        <v/>
      </c>
      <c r="AD122" s="59" t="str">
        <f>IFERROR(Inv_SY!R124/Inv_SY!$Z124-1,"")</f>
        <v/>
      </c>
      <c r="AE122" s="59" t="str">
        <f>IFERROR(Inv_SY!S124/Inv_SY!$Z124-1,"")</f>
        <v/>
      </c>
      <c r="AF122" s="59" t="str">
        <f>IFERROR(Inv_SY!T124/Inv_SY!$Z124-1,"")</f>
        <v/>
      </c>
      <c r="AG122" s="59" t="str">
        <f>IFERROR(Inv_SY!U124/Inv_SY!$Z124-1,"")</f>
        <v/>
      </c>
      <c r="AH122" s="59" t="str">
        <f>IFERROR(Inv_SY!V124/Inv_SY!$Y124-1,"")</f>
        <v/>
      </c>
      <c r="AI122" s="59" t="str">
        <f>IFERROR(Inv_SY!W124/Inv_SY!$Y124-1,"")</f>
        <v/>
      </c>
      <c r="AJ122" s="59" t="str">
        <f>IFERROR(Inv_SY!X124/Inv_SY!$Y124-1,"")</f>
        <v/>
      </c>
      <c r="AK122" s="59" t="str">
        <f>IFERROR(Inv_SY!V124/Inv_SY!$Z124-1,"")</f>
        <v/>
      </c>
      <c r="AL122" s="59" t="str">
        <f>IFERROR(Inv_SY!W124/Inv_SY!$Z124-1,"")</f>
        <v/>
      </c>
      <c r="AM122" s="59" t="str">
        <f>IFERROR(Inv_SY!X124/Inv_SY!$Z124-1,"")</f>
        <v/>
      </c>
    </row>
    <row r="123" spans="1:39" x14ac:dyDescent="0.3">
      <c r="A123" s="55">
        <f>YEAR(Table5[[#This Row],[Date]])+IF(MONTH(Table5[[#This Row],[Date]])&gt;=4,1,0)</f>
        <v>2026</v>
      </c>
      <c r="B123" s="55">
        <v>83</v>
      </c>
      <c r="C123" s="124">
        <f>YEAR(Table5[[#This Row],[Date]])</f>
        <v>2025</v>
      </c>
      <c r="D123" s="55" t="s">
        <v>329</v>
      </c>
      <c r="E123" s="55" t="s">
        <v>329</v>
      </c>
      <c r="F123" s="126" t="str">
        <f>TEXT(Table5[[#This Row],[Date]],"mmm-yy")</f>
        <v>Jul-25</v>
      </c>
      <c r="G123" s="124">
        <f t="shared" si="7"/>
        <v>31</v>
      </c>
      <c r="H123" s="125">
        <f t="shared" si="6"/>
        <v>45866</v>
      </c>
      <c r="I123" s="55">
        <v>8.02</v>
      </c>
      <c r="J123" s="59" t="str">
        <f>IFERROR(Inv_SY!J125/Inv_SY!$Y125-1,"")</f>
        <v/>
      </c>
      <c r="K123" s="59" t="str">
        <f>IFERROR(Inv_SY!K125/Inv_SY!$Y125-1,"")</f>
        <v/>
      </c>
      <c r="L123" s="59" t="str">
        <f>IFERROR(Inv_SY!L125/Inv_SY!$Y125-1,"")</f>
        <v/>
      </c>
      <c r="M123" s="59" t="str">
        <f>IFERROR(Inv_SY!M125/Inv_SY!$Y125-1,"")</f>
        <v/>
      </c>
      <c r="N123" s="59" t="str">
        <f>IFERROR(Inv_SY!N125/Inv_SY!$Y125-1,"")</f>
        <v/>
      </c>
      <c r="O123" s="59" t="str">
        <f>IFERROR(Inv_SY!O125/Inv_SY!$Y125-1,"")</f>
        <v/>
      </c>
      <c r="P123" s="59" t="str">
        <f>IFERROR(Inv_SY!P125/Inv_SY!$Y125-1,"")</f>
        <v/>
      </c>
      <c r="Q123" s="59" t="str">
        <f>IFERROR(Inv_SY!Q125/Inv_SY!$Y125-1,"")</f>
        <v/>
      </c>
      <c r="R123" s="59" t="str">
        <f>IFERROR(Inv_SY!R125/Inv_SY!$Y125-1,"")</f>
        <v/>
      </c>
      <c r="S123" s="59" t="str">
        <f>IFERROR(Inv_SY!S125/Inv_SY!$Y125-1,"")</f>
        <v/>
      </c>
      <c r="T123" s="59" t="str">
        <f>IFERROR(Inv_SY!T125/Inv_SY!$Y125-1,"")</f>
        <v/>
      </c>
      <c r="U123" s="59" t="str">
        <f>IFERROR(Inv_SY!U125/Inv_SY!$Y125-1,"")</f>
        <v/>
      </c>
      <c r="V123" s="59" t="str">
        <f>IFERROR(Inv_SY!J125/Inv_SY!$Z125-1,"")</f>
        <v/>
      </c>
      <c r="W123" s="59" t="str">
        <f>IFERROR(Inv_SY!K125/Inv_SY!$Z125-1,"")</f>
        <v/>
      </c>
      <c r="X123" s="59" t="str">
        <f>IFERROR(Inv_SY!L125/Inv_SY!$Z125-1,"")</f>
        <v/>
      </c>
      <c r="Y123" s="59" t="str">
        <f>IFERROR(Inv_SY!M125/Inv_SY!$Z125-1,"")</f>
        <v/>
      </c>
      <c r="Z123" s="59" t="str">
        <f>IFERROR(Inv_SY!N125/Inv_SY!$Z125-1,"")</f>
        <v/>
      </c>
      <c r="AA123" s="59" t="str">
        <f>IFERROR(Inv_SY!O125/Inv_SY!$Z125-1,"")</f>
        <v/>
      </c>
      <c r="AB123" s="59" t="str">
        <f>IFERROR(Inv_SY!P125/Inv_SY!$Z125-1,"")</f>
        <v/>
      </c>
      <c r="AC123" s="59" t="str">
        <f>IFERROR(Inv_SY!Q125/Inv_SY!$Z125-1,"")</f>
        <v/>
      </c>
      <c r="AD123" s="59" t="str">
        <f>IFERROR(Inv_SY!R125/Inv_SY!$Z125-1,"")</f>
        <v/>
      </c>
      <c r="AE123" s="59" t="str">
        <f>IFERROR(Inv_SY!S125/Inv_SY!$Z125-1,"")</f>
        <v/>
      </c>
      <c r="AF123" s="59" t="str">
        <f>IFERROR(Inv_SY!T125/Inv_SY!$Z125-1,"")</f>
        <v/>
      </c>
      <c r="AG123" s="59" t="str">
        <f>IFERROR(Inv_SY!U125/Inv_SY!$Z125-1,"")</f>
        <v/>
      </c>
      <c r="AH123" s="59" t="str">
        <f>IFERROR(Inv_SY!V125/Inv_SY!$Y125-1,"")</f>
        <v/>
      </c>
      <c r="AI123" s="59" t="str">
        <f>IFERROR(Inv_SY!W125/Inv_SY!$Y125-1,"")</f>
        <v/>
      </c>
      <c r="AJ123" s="59" t="str">
        <f>IFERROR(Inv_SY!X125/Inv_SY!$Y125-1,"")</f>
        <v/>
      </c>
      <c r="AK123" s="59" t="str">
        <f>IFERROR(Inv_SY!V125/Inv_SY!$Z125-1,"")</f>
        <v/>
      </c>
      <c r="AL123" s="59" t="str">
        <f>IFERROR(Inv_SY!W125/Inv_SY!$Z125-1,"")</f>
        <v/>
      </c>
      <c r="AM123" s="59" t="str">
        <f>IFERROR(Inv_SY!X125/Inv_SY!$Z125-1,"")</f>
        <v/>
      </c>
    </row>
    <row r="124" spans="1:39" x14ac:dyDescent="0.3">
      <c r="A124" s="55">
        <f>YEAR(Table5[[#This Row],[Date]])+IF(MONTH(Table5[[#This Row],[Date]])&gt;=4,1,0)</f>
        <v>2026</v>
      </c>
      <c r="B124" s="55">
        <v>84</v>
      </c>
      <c r="C124" s="124">
        <f>YEAR(Table5[[#This Row],[Date]])</f>
        <v>2025</v>
      </c>
      <c r="D124" s="55" t="s">
        <v>329</v>
      </c>
      <c r="E124" s="55" t="s">
        <v>329</v>
      </c>
      <c r="F124" s="126" t="str">
        <f>TEXT(Table5[[#This Row],[Date]],"mmm-yy")</f>
        <v>Jul-25</v>
      </c>
      <c r="G124" s="124">
        <f t="shared" si="7"/>
        <v>31</v>
      </c>
      <c r="H124" s="125">
        <f t="shared" si="6"/>
        <v>45867</v>
      </c>
      <c r="I124" s="55">
        <v>8.02</v>
      </c>
      <c r="J124" s="59" t="str">
        <f>IFERROR(Inv_SY!J126/Inv_SY!$Y126-1,"")</f>
        <v/>
      </c>
      <c r="K124" s="59" t="str">
        <f>IFERROR(Inv_SY!K126/Inv_SY!$Y126-1,"")</f>
        <v/>
      </c>
      <c r="L124" s="59" t="str">
        <f>IFERROR(Inv_SY!L126/Inv_SY!$Y126-1,"")</f>
        <v/>
      </c>
      <c r="M124" s="59" t="str">
        <f>IFERROR(Inv_SY!M126/Inv_SY!$Y126-1,"")</f>
        <v/>
      </c>
      <c r="N124" s="59" t="str">
        <f>IFERROR(Inv_SY!N126/Inv_SY!$Y126-1,"")</f>
        <v/>
      </c>
      <c r="O124" s="59" t="str">
        <f>IFERROR(Inv_SY!O126/Inv_SY!$Y126-1,"")</f>
        <v/>
      </c>
      <c r="P124" s="59" t="str">
        <f>IFERROR(Inv_SY!P126/Inv_SY!$Y126-1,"")</f>
        <v/>
      </c>
      <c r="Q124" s="59" t="str">
        <f>IFERROR(Inv_SY!Q126/Inv_SY!$Y126-1,"")</f>
        <v/>
      </c>
      <c r="R124" s="59" t="str">
        <f>IFERROR(Inv_SY!R126/Inv_SY!$Y126-1,"")</f>
        <v/>
      </c>
      <c r="S124" s="59" t="str">
        <f>IFERROR(Inv_SY!S126/Inv_SY!$Y126-1,"")</f>
        <v/>
      </c>
      <c r="T124" s="59" t="str">
        <f>IFERROR(Inv_SY!T126/Inv_SY!$Y126-1,"")</f>
        <v/>
      </c>
      <c r="U124" s="59" t="str">
        <f>IFERROR(Inv_SY!U126/Inv_SY!$Y126-1,"")</f>
        <v/>
      </c>
      <c r="V124" s="59" t="str">
        <f>IFERROR(Inv_SY!J126/Inv_SY!$Z126-1,"")</f>
        <v/>
      </c>
      <c r="W124" s="59" t="str">
        <f>IFERROR(Inv_SY!K126/Inv_SY!$Z126-1,"")</f>
        <v/>
      </c>
      <c r="X124" s="59" t="str">
        <f>IFERROR(Inv_SY!L126/Inv_SY!$Z126-1,"")</f>
        <v/>
      </c>
      <c r="Y124" s="59" t="str">
        <f>IFERROR(Inv_SY!M126/Inv_SY!$Z126-1,"")</f>
        <v/>
      </c>
      <c r="Z124" s="59" t="str">
        <f>IFERROR(Inv_SY!N126/Inv_SY!$Z126-1,"")</f>
        <v/>
      </c>
      <c r="AA124" s="59" t="str">
        <f>IFERROR(Inv_SY!O126/Inv_SY!$Z126-1,"")</f>
        <v/>
      </c>
      <c r="AB124" s="59" t="str">
        <f>IFERROR(Inv_SY!P126/Inv_SY!$Z126-1,"")</f>
        <v/>
      </c>
      <c r="AC124" s="59" t="str">
        <f>IFERROR(Inv_SY!Q126/Inv_SY!$Z126-1,"")</f>
        <v/>
      </c>
      <c r="AD124" s="59" t="str">
        <f>IFERROR(Inv_SY!R126/Inv_SY!$Z126-1,"")</f>
        <v/>
      </c>
      <c r="AE124" s="59" t="str">
        <f>IFERROR(Inv_SY!S126/Inv_SY!$Z126-1,"")</f>
        <v/>
      </c>
      <c r="AF124" s="59" t="str">
        <f>IFERROR(Inv_SY!T126/Inv_SY!$Z126-1,"")</f>
        <v/>
      </c>
      <c r="AG124" s="59" t="str">
        <f>IFERROR(Inv_SY!U126/Inv_SY!$Z126-1,"")</f>
        <v/>
      </c>
      <c r="AH124" s="59" t="str">
        <f>IFERROR(Inv_SY!V126/Inv_SY!$Y126-1,"")</f>
        <v/>
      </c>
      <c r="AI124" s="59" t="str">
        <f>IFERROR(Inv_SY!W126/Inv_SY!$Y126-1,"")</f>
        <v/>
      </c>
      <c r="AJ124" s="59" t="str">
        <f>IFERROR(Inv_SY!X126/Inv_SY!$Y126-1,"")</f>
        <v/>
      </c>
      <c r="AK124" s="59" t="str">
        <f>IFERROR(Inv_SY!V126/Inv_SY!$Z126-1,"")</f>
        <v/>
      </c>
      <c r="AL124" s="59" t="str">
        <f>IFERROR(Inv_SY!W126/Inv_SY!$Z126-1,"")</f>
        <v/>
      </c>
      <c r="AM124" s="59" t="str">
        <f>IFERROR(Inv_SY!X126/Inv_SY!$Z126-1,"")</f>
        <v/>
      </c>
    </row>
    <row r="125" spans="1:39" x14ac:dyDescent="0.3">
      <c r="A125" s="55">
        <f>YEAR(Table5[[#This Row],[Date]])+IF(MONTH(Table5[[#This Row],[Date]])&gt;=4,1,0)</f>
        <v>2026</v>
      </c>
      <c r="B125" s="55">
        <v>85</v>
      </c>
      <c r="C125" s="124">
        <f>YEAR(Table5[[#This Row],[Date]])</f>
        <v>2025</v>
      </c>
      <c r="D125" s="55" t="s">
        <v>329</v>
      </c>
      <c r="E125" s="55" t="s">
        <v>329</v>
      </c>
      <c r="F125" s="126" t="str">
        <f>TEXT(Table5[[#This Row],[Date]],"mmm-yy")</f>
        <v>Jul-25</v>
      </c>
      <c r="G125" s="124">
        <f t="shared" si="7"/>
        <v>31</v>
      </c>
      <c r="H125" s="125">
        <f t="shared" si="6"/>
        <v>45868</v>
      </c>
      <c r="I125" s="55">
        <v>8.02</v>
      </c>
      <c r="J125" s="59" t="str">
        <f>IFERROR(Inv_SY!J127/Inv_SY!$Y127-1,"")</f>
        <v/>
      </c>
      <c r="K125" s="59" t="str">
        <f>IFERROR(Inv_SY!K127/Inv_SY!$Y127-1,"")</f>
        <v/>
      </c>
      <c r="L125" s="59" t="str">
        <f>IFERROR(Inv_SY!L127/Inv_SY!$Y127-1,"")</f>
        <v/>
      </c>
      <c r="M125" s="59" t="str">
        <f>IFERROR(Inv_SY!M127/Inv_SY!$Y127-1,"")</f>
        <v/>
      </c>
      <c r="N125" s="59" t="str">
        <f>IFERROR(Inv_SY!N127/Inv_SY!$Y127-1,"")</f>
        <v/>
      </c>
      <c r="O125" s="59" t="str">
        <f>IFERROR(Inv_SY!O127/Inv_SY!$Y127-1,"")</f>
        <v/>
      </c>
      <c r="P125" s="59" t="str">
        <f>IFERROR(Inv_SY!P127/Inv_SY!$Y127-1,"")</f>
        <v/>
      </c>
      <c r="Q125" s="59" t="str">
        <f>IFERROR(Inv_SY!Q127/Inv_SY!$Y127-1,"")</f>
        <v/>
      </c>
      <c r="R125" s="59" t="str">
        <f>IFERROR(Inv_SY!R127/Inv_SY!$Y127-1,"")</f>
        <v/>
      </c>
      <c r="S125" s="59" t="str">
        <f>IFERROR(Inv_SY!S127/Inv_SY!$Y127-1,"")</f>
        <v/>
      </c>
      <c r="T125" s="59" t="str">
        <f>IFERROR(Inv_SY!T127/Inv_SY!$Y127-1,"")</f>
        <v/>
      </c>
      <c r="U125" s="59" t="str">
        <f>IFERROR(Inv_SY!U127/Inv_SY!$Y127-1,"")</f>
        <v/>
      </c>
      <c r="V125" s="59" t="str">
        <f>IFERROR(Inv_SY!J127/Inv_SY!$Z127-1,"")</f>
        <v/>
      </c>
      <c r="W125" s="59" t="str">
        <f>IFERROR(Inv_SY!K127/Inv_SY!$Z127-1,"")</f>
        <v/>
      </c>
      <c r="X125" s="59" t="str">
        <f>IFERROR(Inv_SY!L127/Inv_SY!$Z127-1,"")</f>
        <v/>
      </c>
      <c r="Y125" s="59" t="str">
        <f>IFERROR(Inv_SY!M127/Inv_SY!$Z127-1,"")</f>
        <v/>
      </c>
      <c r="Z125" s="59" t="str">
        <f>IFERROR(Inv_SY!N127/Inv_SY!$Z127-1,"")</f>
        <v/>
      </c>
      <c r="AA125" s="59" t="str">
        <f>IFERROR(Inv_SY!O127/Inv_SY!$Z127-1,"")</f>
        <v/>
      </c>
      <c r="AB125" s="59" t="str">
        <f>IFERROR(Inv_SY!P127/Inv_SY!$Z127-1,"")</f>
        <v/>
      </c>
      <c r="AC125" s="59" t="str">
        <f>IFERROR(Inv_SY!Q127/Inv_SY!$Z127-1,"")</f>
        <v/>
      </c>
      <c r="AD125" s="59" t="str">
        <f>IFERROR(Inv_SY!R127/Inv_SY!$Z127-1,"")</f>
        <v/>
      </c>
      <c r="AE125" s="59" t="str">
        <f>IFERROR(Inv_SY!S127/Inv_SY!$Z127-1,"")</f>
        <v/>
      </c>
      <c r="AF125" s="59" t="str">
        <f>IFERROR(Inv_SY!T127/Inv_SY!$Z127-1,"")</f>
        <v/>
      </c>
      <c r="AG125" s="59" t="str">
        <f>IFERROR(Inv_SY!U127/Inv_SY!$Z127-1,"")</f>
        <v/>
      </c>
      <c r="AH125" s="59" t="str">
        <f>IFERROR(Inv_SY!V127/Inv_SY!$Y127-1,"")</f>
        <v/>
      </c>
      <c r="AI125" s="59" t="str">
        <f>IFERROR(Inv_SY!W127/Inv_SY!$Y127-1,"")</f>
        <v/>
      </c>
      <c r="AJ125" s="59" t="str">
        <f>IFERROR(Inv_SY!X127/Inv_SY!$Y127-1,"")</f>
        <v/>
      </c>
      <c r="AK125" s="59" t="str">
        <f>IFERROR(Inv_SY!V127/Inv_SY!$Z127-1,"")</f>
        <v/>
      </c>
      <c r="AL125" s="59" t="str">
        <f>IFERROR(Inv_SY!W127/Inv_SY!$Z127-1,"")</f>
        <v/>
      </c>
      <c r="AM125" s="59" t="str">
        <f>IFERROR(Inv_SY!X127/Inv_SY!$Z127-1,"")</f>
        <v/>
      </c>
    </row>
    <row r="126" spans="1:39" x14ac:dyDescent="0.3">
      <c r="A126" s="55">
        <f>YEAR(Table5[[#This Row],[Date]])+IF(MONTH(Table5[[#This Row],[Date]])&gt;=4,1,0)</f>
        <v>2026</v>
      </c>
      <c r="B126" s="55">
        <v>86</v>
      </c>
      <c r="C126" s="124">
        <f>YEAR(Table5[[#This Row],[Date]])</f>
        <v>2025</v>
      </c>
      <c r="D126" s="55" t="s">
        <v>329</v>
      </c>
      <c r="E126" s="55" t="s">
        <v>329</v>
      </c>
      <c r="F126" s="126" t="str">
        <f>TEXT(Table5[[#This Row],[Date]],"mmm-yy")</f>
        <v>Jul-25</v>
      </c>
      <c r="G126" s="124">
        <f t="shared" si="7"/>
        <v>31</v>
      </c>
      <c r="H126" s="125">
        <f t="shared" si="6"/>
        <v>45869</v>
      </c>
      <c r="I126" s="55">
        <v>8.02</v>
      </c>
      <c r="J126" s="59" t="str">
        <f>IFERROR(Inv_SY!J128/Inv_SY!$Y128-1,"")</f>
        <v/>
      </c>
      <c r="K126" s="59" t="str">
        <f>IFERROR(Inv_SY!K128/Inv_SY!$Y128-1,"")</f>
        <v/>
      </c>
      <c r="L126" s="59" t="str">
        <f>IFERROR(Inv_SY!L128/Inv_SY!$Y128-1,"")</f>
        <v/>
      </c>
      <c r="M126" s="59" t="str">
        <f>IFERROR(Inv_SY!M128/Inv_SY!$Y128-1,"")</f>
        <v/>
      </c>
      <c r="N126" s="59" t="str">
        <f>IFERROR(Inv_SY!N128/Inv_SY!$Y128-1,"")</f>
        <v/>
      </c>
      <c r="O126" s="59" t="str">
        <f>IFERROR(Inv_SY!O128/Inv_SY!$Y128-1,"")</f>
        <v/>
      </c>
      <c r="P126" s="59" t="str">
        <f>IFERROR(Inv_SY!P128/Inv_SY!$Y128-1,"")</f>
        <v/>
      </c>
      <c r="Q126" s="59" t="str">
        <f>IFERROR(Inv_SY!Q128/Inv_SY!$Y128-1,"")</f>
        <v/>
      </c>
      <c r="R126" s="59" t="str">
        <f>IFERROR(Inv_SY!R128/Inv_SY!$Y128-1,"")</f>
        <v/>
      </c>
      <c r="S126" s="59" t="str">
        <f>IFERROR(Inv_SY!S128/Inv_SY!$Y128-1,"")</f>
        <v/>
      </c>
      <c r="T126" s="59" t="str">
        <f>IFERROR(Inv_SY!T128/Inv_SY!$Y128-1,"")</f>
        <v/>
      </c>
      <c r="U126" s="59" t="str">
        <f>IFERROR(Inv_SY!U128/Inv_SY!$Y128-1,"")</f>
        <v/>
      </c>
      <c r="V126" s="59" t="str">
        <f>IFERROR(Inv_SY!J128/Inv_SY!$Z128-1,"")</f>
        <v/>
      </c>
      <c r="W126" s="59" t="str">
        <f>IFERROR(Inv_SY!K128/Inv_SY!$Z128-1,"")</f>
        <v/>
      </c>
      <c r="X126" s="59" t="str">
        <f>IFERROR(Inv_SY!L128/Inv_SY!$Z128-1,"")</f>
        <v/>
      </c>
      <c r="Y126" s="59" t="str">
        <f>IFERROR(Inv_SY!M128/Inv_SY!$Z128-1,"")</f>
        <v/>
      </c>
      <c r="Z126" s="59" t="str">
        <f>IFERROR(Inv_SY!N128/Inv_SY!$Z128-1,"")</f>
        <v/>
      </c>
      <c r="AA126" s="59" t="str">
        <f>IFERROR(Inv_SY!O128/Inv_SY!$Z128-1,"")</f>
        <v/>
      </c>
      <c r="AB126" s="59" t="str">
        <f>IFERROR(Inv_SY!P128/Inv_SY!$Z128-1,"")</f>
        <v/>
      </c>
      <c r="AC126" s="59" t="str">
        <f>IFERROR(Inv_SY!Q128/Inv_SY!$Z128-1,"")</f>
        <v/>
      </c>
      <c r="AD126" s="59" t="str">
        <f>IFERROR(Inv_SY!R128/Inv_SY!$Z128-1,"")</f>
        <v/>
      </c>
      <c r="AE126" s="59" t="str">
        <f>IFERROR(Inv_SY!S128/Inv_SY!$Z128-1,"")</f>
        <v/>
      </c>
      <c r="AF126" s="59" t="str">
        <f>IFERROR(Inv_SY!T128/Inv_SY!$Z128-1,"")</f>
        <v/>
      </c>
      <c r="AG126" s="59" t="str">
        <f>IFERROR(Inv_SY!U128/Inv_SY!$Z128-1,"")</f>
        <v/>
      </c>
      <c r="AH126" s="59" t="str">
        <f>IFERROR(Inv_SY!V128/Inv_SY!$Y128-1,"")</f>
        <v/>
      </c>
      <c r="AI126" s="59" t="str">
        <f>IFERROR(Inv_SY!W128/Inv_SY!$Y128-1,"")</f>
        <v/>
      </c>
      <c r="AJ126" s="59" t="str">
        <f>IFERROR(Inv_SY!X128/Inv_SY!$Y128-1,"")</f>
        <v/>
      </c>
      <c r="AK126" s="59" t="str">
        <f>IFERROR(Inv_SY!V128/Inv_SY!$Z128-1,"")</f>
        <v/>
      </c>
      <c r="AL126" s="59" t="str">
        <f>IFERROR(Inv_SY!W128/Inv_SY!$Z128-1,"")</f>
        <v/>
      </c>
      <c r="AM126" s="59" t="str">
        <f>IFERROR(Inv_SY!X128/Inv_SY!$Z128-1,"")</f>
        <v/>
      </c>
    </row>
    <row r="127" spans="1:39" x14ac:dyDescent="0.3">
      <c r="A127" s="55">
        <f>YEAR(Table5[[#This Row],[Date]])+IF(MONTH(Table5[[#This Row],[Date]])&gt;=4,1,0)</f>
        <v>2026</v>
      </c>
      <c r="B127" s="55">
        <v>87</v>
      </c>
      <c r="C127" s="124">
        <f>YEAR(Table5[[#This Row],[Date]])</f>
        <v>2025</v>
      </c>
      <c r="D127" s="55" t="s">
        <v>329</v>
      </c>
      <c r="E127" s="55" t="s">
        <v>329</v>
      </c>
      <c r="F127" s="126" t="str">
        <f>TEXT(Table5[[#This Row],[Date]],"mmm-yy")</f>
        <v>Aug-25</v>
      </c>
      <c r="G127" s="124">
        <f t="shared" si="7"/>
        <v>31</v>
      </c>
      <c r="H127" s="125">
        <f t="shared" si="6"/>
        <v>45870</v>
      </c>
      <c r="I127" s="55">
        <v>8.02</v>
      </c>
      <c r="J127" s="59" t="str">
        <f>IFERROR(Inv_SY!J129/Inv_SY!$Y129-1,"")</f>
        <v/>
      </c>
      <c r="K127" s="59" t="str">
        <f>IFERROR(Inv_SY!K129/Inv_SY!$Y129-1,"")</f>
        <v/>
      </c>
      <c r="L127" s="59" t="str">
        <f>IFERROR(Inv_SY!L129/Inv_SY!$Y129-1,"")</f>
        <v/>
      </c>
      <c r="M127" s="59" t="str">
        <f>IFERROR(Inv_SY!M129/Inv_SY!$Y129-1,"")</f>
        <v/>
      </c>
      <c r="N127" s="59" t="str">
        <f>IFERROR(Inv_SY!N129/Inv_SY!$Y129-1,"")</f>
        <v/>
      </c>
      <c r="O127" s="59" t="str">
        <f>IFERROR(Inv_SY!O129/Inv_SY!$Y129-1,"")</f>
        <v/>
      </c>
      <c r="P127" s="59" t="str">
        <f>IFERROR(Inv_SY!P129/Inv_SY!$Y129-1,"")</f>
        <v/>
      </c>
      <c r="Q127" s="59" t="str">
        <f>IFERROR(Inv_SY!Q129/Inv_SY!$Y129-1,"")</f>
        <v/>
      </c>
      <c r="R127" s="59" t="str">
        <f>IFERROR(Inv_SY!R129/Inv_SY!$Y129-1,"")</f>
        <v/>
      </c>
      <c r="S127" s="59" t="str">
        <f>IFERROR(Inv_SY!S129/Inv_SY!$Y129-1,"")</f>
        <v/>
      </c>
      <c r="T127" s="59" t="str">
        <f>IFERROR(Inv_SY!T129/Inv_SY!$Y129-1,"")</f>
        <v/>
      </c>
      <c r="U127" s="59" t="str">
        <f>IFERROR(Inv_SY!U129/Inv_SY!$Y129-1,"")</f>
        <v/>
      </c>
      <c r="V127" s="59" t="str">
        <f>IFERROR(Inv_SY!J129/Inv_SY!$Z129-1,"")</f>
        <v/>
      </c>
      <c r="W127" s="59" t="str">
        <f>IFERROR(Inv_SY!K129/Inv_SY!$Z129-1,"")</f>
        <v/>
      </c>
      <c r="X127" s="59" t="str">
        <f>IFERROR(Inv_SY!L129/Inv_SY!$Z129-1,"")</f>
        <v/>
      </c>
      <c r="Y127" s="59" t="str">
        <f>IFERROR(Inv_SY!M129/Inv_SY!$Z129-1,"")</f>
        <v/>
      </c>
      <c r="Z127" s="59" t="str">
        <f>IFERROR(Inv_SY!N129/Inv_SY!$Z129-1,"")</f>
        <v/>
      </c>
      <c r="AA127" s="59" t="str">
        <f>IFERROR(Inv_SY!O129/Inv_SY!$Z129-1,"")</f>
        <v/>
      </c>
      <c r="AB127" s="59" t="str">
        <f>IFERROR(Inv_SY!P129/Inv_SY!$Z129-1,"")</f>
        <v/>
      </c>
      <c r="AC127" s="59" t="str">
        <f>IFERROR(Inv_SY!Q129/Inv_SY!$Z129-1,"")</f>
        <v/>
      </c>
      <c r="AD127" s="59" t="str">
        <f>IFERROR(Inv_SY!R129/Inv_SY!$Z129-1,"")</f>
        <v/>
      </c>
      <c r="AE127" s="59" t="str">
        <f>IFERROR(Inv_SY!S129/Inv_SY!$Z129-1,"")</f>
        <v/>
      </c>
      <c r="AF127" s="59" t="str">
        <f>IFERROR(Inv_SY!T129/Inv_SY!$Z129-1,"")</f>
        <v/>
      </c>
      <c r="AG127" s="59" t="str">
        <f>IFERROR(Inv_SY!U129/Inv_SY!$Z129-1,"")</f>
        <v/>
      </c>
      <c r="AH127" s="59" t="str">
        <f>IFERROR(Inv_SY!V129/Inv_SY!$Y129-1,"")</f>
        <v/>
      </c>
      <c r="AI127" s="59" t="str">
        <f>IFERROR(Inv_SY!W129/Inv_SY!$Y129-1,"")</f>
        <v/>
      </c>
      <c r="AJ127" s="59" t="str">
        <f>IFERROR(Inv_SY!X129/Inv_SY!$Y129-1,"")</f>
        <v/>
      </c>
      <c r="AK127" s="59" t="str">
        <f>IFERROR(Inv_SY!V129/Inv_SY!$Z129-1,"")</f>
        <v/>
      </c>
      <c r="AL127" s="59" t="str">
        <f>IFERROR(Inv_SY!W129/Inv_SY!$Z129-1,"")</f>
        <v/>
      </c>
      <c r="AM127" s="59" t="str">
        <f>IFERROR(Inv_SY!X129/Inv_SY!$Z129-1,"")</f>
        <v/>
      </c>
    </row>
    <row r="128" spans="1:39" x14ac:dyDescent="0.3">
      <c r="A128" s="55">
        <f>YEAR(Table5[[#This Row],[Date]])+IF(MONTH(Table5[[#This Row],[Date]])&gt;=4,1,0)</f>
        <v>2026</v>
      </c>
      <c r="B128" s="55">
        <v>88</v>
      </c>
      <c r="C128" s="124">
        <f>YEAR(Table5[[#This Row],[Date]])</f>
        <v>2025</v>
      </c>
      <c r="D128" s="55" t="s">
        <v>329</v>
      </c>
      <c r="E128" s="55" t="s">
        <v>329</v>
      </c>
      <c r="F128" s="126" t="str">
        <f>TEXT(Table5[[#This Row],[Date]],"mmm-yy")</f>
        <v>Aug-25</v>
      </c>
      <c r="G128" s="124">
        <f t="shared" si="7"/>
        <v>31</v>
      </c>
      <c r="H128" s="125">
        <f t="shared" si="6"/>
        <v>45871</v>
      </c>
      <c r="I128" s="55">
        <v>8.02</v>
      </c>
      <c r="J128" s="59" t="str">
        <f>IFERROR(Inv_SY!J130/Inv_SY!$Y130-1,"")</f>
        <v/>
      </c>
      <c r="K128" s="59" t="str">
        <f>IFERROR(Inv_SY!K130/Inv_SY!$Y130-1,"")</f>
        <v/>
      </c>
      <c r="L128" s="59" t="str">
        <f>IFERROR(Inv_SY!L130/Inv_SY!$Y130-1,"")</f>
        <v/>
      </c>
      <c r="M128" s="59" t="str">
        <f>IFERROR(Inv_SY!M130/Inv_SY!$Y130-1,"")</f>
        <v/>
      </c>
      <c r="N128" s="59" t="str">
        <f>IFERROR(Inv_SY!N130/Inv_SY!$Y130-1,"")</f>
        <v/>
      </c>
      <c r="O128" s="59" t="str">
        <f>IFERROR(Inv_SY!O130/Inv_SY!$Y130-1,"")</f>
        <v/>
      </c>
      <c r="P128" s="59" t="str">
        <f>IFERROR(Inv_SY!P130/Inv_SY!$Y130-1,"")</f>
        <v/>
      </c>
      <c r="Q128" s="59" t="str">
        <f>IFERROR(Inv_SY!Q130/Inv_SY!$Y130-1,"")</f>
        <v/>
      </c>
      <c r="R128" s="59" t="str">
        <f>IFERROR(Inv_SY!R130/Inv_SY!$Y130-1,"")</f>
        <v/>
      </c>
      <c r="S128" s="59" t="str">
        <f>IFERROR(Inv_SY!S130/Inv_SY!$Y130-1,"")</f>
        <v/>
      </c>
      <c r="T128" s="59" t="str">
        <f>IFERROR(Inv_SY!T130/Inv_SY!$Y130-1,"")</f>
        <v/>
      </c>
      <c r="U128" s="59" t="str">
        <f>IFERROR(Inv_SY!U130/Inv_SY!$Y130-1,"")</f>
        <v/>
      </c>
      <c r="V128" s="59" t="str">
        <f>IFERROR(Inv_SY!J130/Inv_SY!$Z130-1,"")</f>
        <v/>
      </c>
      <c r="W128" s="59" t="str">
        <f>IFERROR(Inv_SY!K130/Inv_SY!$Z130-1,"")</f>
        <v/>
      </c>
      <c r="X128" s="59" t="str">
        <f>IFERROR(Inv_SY!L130/Inv_SY!$Z130-1,"")</f>
        <v/>
      </c>
      <c r="Y128" s="59" t="str">
        <f>IFERROR(Inv_SY!M130/Inv_SY!$Z130-1,"")</f>
        <v/>
      </c>
      <c r="Z128" s="59" t="str">
        <f>IFERROR(Inv_SY!N130/Inv_SY!$Z130-1,"")</f>
        <v/>
      </c>
      <c r="AA128" s="59" t="str">
        <f>IFERROR(Inv_SY!O130/Inv_SY!$Z130-1,"")</f>
        <v/>
      </c>
      <c r="AB128" s="59" t="str">
        <f>IFERROR(Inv_SY!P130/Inv_SY!$Z130-1,"")</f>
        <v/>
      </c>
      <c r="AC128" s="59" t="str">
        <f>IFERROR(Inv_SY!Q130/Inv_SY!$Z130-1,"")</f>
        <v/>
      </c>
      <c r="AD128" s="59" t="str">
        <f>IFERROR(Inv_SY!R130/Inv_SY!$Z130-1,"")</f>
        <v/>
      </c>
      <c r="AE128" s="59" t="str">
        <f>IFERROR(Inv_SY!S130/Inv_SY!$Z130-1,"")</f>
        <v/>
      </c>
      <c r="AF128" s="59" t="str">
        <f>IFERROR(Inv_SY!T130/Inv_SY!$Z130-1,"")</f>
        <v/>
      </c>
      <c r="AG128" s="59" t="str">
        <f>IFERROR(Inv_SY!U130/Inv_SY!$Z130-1,"")</f>
        <v/>
      </c>
      <c r="AH128" s="59" t="str">
        <f>IFERROR(Inv_SY!V130/Inv_SY!$Y130-1,"")</f>
        <v/>
      </c>
      <c r="AI128" s="59" t="str">
        <f>IFERROR(Inv_SY!W130/Inv_SY!$Y130-1,"")</f>
        <v/>
      </c>
      <c r="AJ128" s="59" t="str">
        <f>IFERROR(Inv_SY!X130/Inv_SY!$Y130-1,"")</f>
        <v/>
      </c>
      <c r="AK128" s="59" t="str">
        <f>IFERROR(Inv_SY!V130/Inv_SY!$Z130-1,"")</f>
        <v/>
      </c>
      <c r="AL128" s="59" t="str">
        <f>IFERROR(Inv_SY!W130/Inv_SY!$Z130-1,"")</f>
        <v/>
      </c>
      <c r="AM128" s="59" t="str">
        <f>IFERROR(Inv_SY!X130/Inv_SY!$Z130-1,"")</f>
        <v/>
      </c>
    </row>
    <row r="129" spans="1:39" x14ac:dyDescent="0.3">
      <c r="A129" s="55">
        <f>YEAR(Table5[[#This Row],[Date]])+IF(MONTH(Table5[[#This Row],[Date]])&gt;=4,1,0)</f>
        <v>2026</v>
      </c>
      <c r="B129" s="55">
        <v>89</v>
      </c>
      <c r="C129" s="124">
        <f>YEAR(Table5[[#This Row],[Date]])</f>
        <v>2025</v>
      </c>
      <c r="D129" s="55" t="s">
        <v>329</v>
      </c>
      <c r="E129" s="55" t="s">
        <v>329</v>
      </c>
      <c r="F129" s="126" t="str">
        <f>TEXT(Table5[[#This Row],[Date]],"mmm-yy")</f>
        <v>Aug-25</v>
      </c>
      <c r="G129" s="124">
        <f t="shared" si="7"/>
        <v>31</v>
      </c>
      <c r="H129" s="125">
        <f t="shared" si="6"/>
        <v>45872</v>
      </c>
      <c r="I129" s="55">
        <v>8.02</v>
      </c>
      <c r="J129" s="59" t="str">
        <f>IFERROR(Inv_SY!J131/Inv_SY!$Y131-1,"")</f>
        <v/>
      </c>
      <c r="K129" s="59" t="str">
        <f>IFERROR(Inv_SY!K131/Inv_SY!$Y131-1,"")</f>
        <v/>
      </c>
      <c r="L129" s="59" t="str">
        <f>IFERROR(Inv_SY!L131/Inv_SY!$Y131-1,"")</f>
        <v/>
      </c>
      <c r="M129" s="59" t="str">
        <f>IFERROR(Inv_SY!M131/Inv_SY!$Y131-1,"")</f>
        <v/>
      </c>
      <c r="N129" s="59" t="str">
        <f>IFERROR(Inv_SY!N131/Inv_SY!$Y131-1,"")</f>
        <v/>
      </c>
      <c r="O129" s="59" t="str">
        <f>IFERROR(Inv_SY!O131/Inv_SY!$Y131-1,"")</f>
        <v/>
      </c>
      <c r="P129" s="59" t="str">
        <f>IFERROR(Inv_SY!P131/Inv_SY!$Y131-1,"")</f>
        <v/>
      </c>
      <c r="Q129" s="59" t="str">
        <f>IFERROR(Inv_SY!Q131/Inv_SY!$Y131-1,"")</f>
        <v/>
      </c>
      <c r="R129" s="59" t="str">
        <f>IFERROR(Inv_SY!R131/Inv_SY!$Y131-1,"")</f>
        <v/>
      </c>
      <c r="S129" s="59" t="str">
        <f>IFERROR(Inv_SY!S131/Inv_SY!$Y131-1,"")</f>
        <v/>
      </c>
      <c r="T129" s="59" t="str">
        <f>IFERROR(Inv_SY!T131/Inv_SY!$Y131-1,"")</f>
        <v/>
      </c>
      <c r="U129" s="59" t="str">
        <f>IFERROR(Inv_SY!U131/Inv_SY!$Y131-1,"")</f>
        <v/>
      </c>
      <c r="V129" s="59" t="str">
        <f>IFERROR(Inv_SY!J131/Inv_SY!$Z131-1,"")</f>
        <v/>
      </c>
      <c r="W129" s="59" t="str">
        <f>IFERROR(Inv_SY!K131/Inv_SY!$Z131-1,"")</f>
        <v/>
      </c>
      <c r="X129" s="59" t="str">
        <f>IFERROR(Inv_SY!L131/Inv_SY!$Z131-1,"")</f>
        <v/>
      </c>
      <c r="Y129" s="59" t="str">
        <f>IFERROR(Inv_SY!M131/Inv_SY!$Z131-1,"")</f>
        <v/>
      </c>
      <c r="Z129" s="59" t="str">
        <f>IFERROR(Inv_SY!N131/Inv_SY!$Z131-1,"")</f>
        <v/>
      </c>
      <c r="AA129" s="59" t="str">
        <f>IFERROR(Inv_SY!O131/Inv_SY!$Z131-1,"")</f>
        <v/>
      </c>
      <c r="AB129" s="59" t="str">
        <f>IFERROR(Inv_SY!P131/Inv_SY!$Z131-1,"")</f>
        <v/>
      </c>
      <c r="AC129" s="59" t="str">
        <f>IFERROR(Inv_SY!Q131/Inv_SY!$Z131-1,"")</f>
        <v/>
      </c>
      <c r="AD129" s="59" t="str">
        <f>IFERROR(Inv_SY!R131/Inv_SY!$Z131-1,"")</f>
        <v/>
      </c>
      <c r="AE129" s="59" t="str">
        <f>IFERROR(Inv_SY!S131/Inv_SY!$Z131-1,"")</f>
        <v/>
      </c>
      <c r="AF129" s="59" t="str">
        <f>IFERROR(Inv_SY!T131/Inv_SY!$Z131-1,"")</f>
        <v/>
      </c>
      <c r="AG129" s="59" t="str">
        <f>IFERROR(Inv_SY!U131/Inv_SY!$Z131-1,"")</f>
        <v/>
      </c>
      <c r="AH129" s="59" t="str">
        <f>IFERROR(Inv_SY!V131/Inv_SY!$Y131-1,"")</f>
        <v/>
      </c>
      <c r="AI129" s="59" t="str">
        <f>IFERROR(Inv_SY!W131/Inv_SY!$Y131-1,"")</f>
        <v/>
      </c>
      <c r="AJ129" s="59" t="str">
        <f>IFERROR(Inv_SY!X131/Inv_SY!$Y131-1,"")</f>
        <v/>
      </c>
      <c r="AK129" s="59" t="str">
        <f>IFERROR(Inv_SY!V131/Inv_SY!$Z131-1,"")</f>
        <v/>
      </c>
      <c r="AL129" s="59" t="str">
        <f>IFERROR(Inv_SY!W131/Inv_SY!$Z131-1,"")</f>
        <v/>
      </c>
      <c r="AM129" s="59" t="str">
        <f>IFERROR(Inv_SY!X131/Inv_SY!$Z131-1,"")</f>
        <v/>
      </c>
    </row>
    <row r="130" spans="1:39" x14ac:dyDescent="0.3">
      <c r="A130" s="55">
        <f>YEAR(Table5[[#This Row],[Date]])+IF(MONTH(Table5[[#This Row],[Date]])&gt;=4,1,0)</f>
        <v>2026</v>
      </c>
      <c r="B130" s="55">
        <v>90</v>
      </c>
      <c r="C130" s="124">
        <f>YEAR(Table5[[#This Row],[Date]])</f>
        <v>2025</v>
      </c>
      <c r="D130" s="55" t="s">
        <v>329</v>
      </c>
      <c r="E130" s="55" t="s">
        <v>329</v>
      </c>
      <c r="F130" s="126" t="str">
        <f>TEXT(Table5[[#This Row],[Date]],"mmm-yy")</f>
        <v>Aug-25</v>
      </c>
      <c r="G130" s="124">
        <f t="shared" si="7"/>
        <v>31</v>
      </c>
      <c r="H130" s="125">
        <f t="shared" si="6"/>
        <v>45873</v>
      </c>
      <c r="I130" s="55">
        <v>8.02</v>
      </c>
      <c r="J130" s="59" t="str">
        <f>IFERROR(Inv_SY!J132/Inv_SY!$Y132-1,"")</f>
        <v/>
      </c>
      <c r="K130" s="59" t="str">
        <f>IFERROR(Inv_SY!K132/Inv_SY!$Y132-1,"")</f>
        <v/>
      </c>
      <c r="L130" s="59" t="str">
        <f>IFERROR(Inv_SY!L132/Inv_SY!$Y132-1,"")</f>
        <v/>
      </c>
      <c r="M130" s="59" t="str">
        <f>IFERROR(Inv_SY!M132/Inv_SY!$Y132-1,"")</f>
        <v/>
      </c>
      <c r="N130" s="59" t="str">
        <f>IFERROR(Inv_SY!N132/Inv_SY!$Y132-1,"")</f>
        <v/>
      </c>
      <c r="O130" s="59" t="str">
        <f>IFERROR(Inv_SY!O132/Inv_SY!$Y132-1,"")</f>
        <v/>
      </c>
      <c r="P130" s="59" t="str">
        <f>IFERROR(Inv_SY!P132/Inv_SY!$Y132-1,"")</f>
        <v/>
      </c>
      <c r="Q130" s="59" t="str">
        <f>IFERROR(Inv_SY!Q132/Inv_SY!$Y132-1,"")</f>
        <v/>
      </c>
      <c r="R130" s="59" t="str">
        <f>IFERROR(Inv_SY!R132/Inv_SY!$Y132-1,"")</f>
        <v/>
      </c>
      <c r="S130" s="59" t="str">
        <f>IFERROR(Inv_SY!S132/Inv_SY!$Y132-1,"")</f>
        <v/>
      </c>
      <c r="T130" s="59" t="str">
        <f>IFERROR(Inv_SY!T132/Inv_SY!$Y132-1,"")</f>
        <v/>
      </c>
      <c r="U130" s="59" t="str">
        <f>IFERROR(Inv_SY!U132/Inv_SY!$Y132-1,"")</f>
        <v/>
      </c>
      <c r="V130" s="59" t="str">
        <f>IFERROR(Inv_SY!J132/Inv_SY!$Z132-1,"")</f>
        <v/>
      </c>
      <c r="W130" s="59" t="str">
        <f>IFERROR(Inv_SY!K132/Inv_SY!$Z132-1,"")</f>
        <v/>
      </c>
      <c r="X130" s="59" t="str">
        <f>IFERROR(Inv_SY!L132/Inv_SY!$Z132-1,"")</f>
        <v/>
      </c>
      <c r="Y130" s="59" t="str">
        <f>IFERROR(Inv_SY!M132/Inv_SY!$Z132-1,"")</f>
        <v/>
      </c>
      <c r="Z130" s="59" t="str">
        <f>IFERROR(Inv_SY!N132/Inv_SY!$Z132-1,"")</f>
        <v/>
      </c>
      <c r="AA130" s="59" t="str">
        <f>IFERROR(Inv_SY!O132/Inv_SY!$Z132-1,"")</f>
        <v/>
      </c>
      <c r="AB130" s="59" t="str">
        <f>IFERROR(Inv_SY!P132/Inv_SY!$Z132-1,"")</f>
        <v/>
      </c>
      <c r="AC130" s="59" t="str">
        <f>IFERROR(Inv_SY!Q132/Inv_SY!$Z132-1,"")</f>
        <v/>
      </c>
      <c r="AD130" s="59" t="str">
        <f>IFERROR(Inv_SY!R132/Inv_SY!$Z132-1,"")</f>
        <v/>
      </c>
      <c r="AE130" s="59" t="str">
        <f>IFERROR(Inv_SY!S132/Inv_SY!$Z132-1,"")</f>
        <v/>
      </c>
      <c r="AF130" s="59" t="str">
        <f>IFERROR(Inv_SY!T132/Inv_SY!$Z132-1,"")</f>
        <v/>
      </c>
      <c r="AG130" s="59" t="str">
        <f>IFERROR(Inv_SY!U132/Inv_SY!$Z132-1,"")</f>
        <v/>
      </c>
      <c r="AH130" s="59" t="str">
        <f>IFERROR(Inv_SY!V132/Inv_SY!$Y132-1,"")</f>
        <v/>
      </c>
      <c r="AI130" s="59" t="str">
        <f>IFERROR(Inv_SY!W132/Inv_SY!$Y132-1,"")</f>
        <v/>
      </c>
      <c r="AJ130" s="59" t="str">
        <f>IFERROR(Inv_SY!X132/Inv_SY!$Y132-1,"")</f>
        <v/>
      </c>
      <c r="AK130" s="59" t="str">
        <f>IFERROR(Inv_SY!V132/Inv_SY!$Z132-1,"")</f>
        <v/>
      </c>
      <c r="AL130" s="59" t="str">
        <f>IFERROR(Inv_SY!W132/Inv_SY!$Z132-1,"")</f>
        <v/>
      </c>
      <c r="AM130" s="59" t="str">
        <f>IFERROR(Inv_SY!X132/Inv_SY!$Z132-1,"")</f>
        <v/>
      </c>
    </row>
    <row r="131" spans="1:39" x14ac:dyDescent="0.3">
      <c r="A131" s="55">
        <f>YEAR(Table5[[#This Row],[Date]])+IF(MONTH(Table5[[#This Row],[Date]])&gt;=4,1,0)</f>
        <v>2026</v>
      </c>
      <c r="B131" s="55">
        <v>91</v>
      </c>
      <c r="C131" s="124">
        <f>YEAR(Table5[[#This Row],[Date]])</f>
        <v>2025</v>
      </c>
      <c r="D131" s="55" t="s">
        <v>329</v>
      </c>
      <c r="E131" s="55" t="s">
        <v>329</v>
      </c>
      <c r="F131" s="126" t="str">
        <f>TEXT(Table5[[#This Row],[Date]],"mmm-yy")</f>
        <v>Aug-25</v>
      </c>
      <c r="G131" s="124">
        <f t="shared" si="7"/>
        <v>31</v>
      </c>
      <c r="H131" s="125">
        <f t="shared" si="6"/>
        <v>45874</v>
      </c>
      <c r="I131" s="55">
        <v>8.02</v>
      </c>
      <c r="J131" s="59" t="str">
        <f>IFERROR(Inv_SY!J133/Inv_SY!$Y133-1,"")</f>
        <v/>
      </c>
      <c r="K131" s="59" t="str">
        <f>IFERROR(Inv_SY!K133/Inv_SY!$Y133-1,"")</f>
        <v/>
      </c>
      <c r="L131" s="59" t="str">
        <f>IFERROR(Inv_SY!L133/Inv_SY!$Y133-1,"")</f>
        <v/>
      </c>
      <c r="M131" s="59" t="str">
        <f>IFERROR(Inv_SY!M133/Inv_SY!$Y133-1,"")</f>
        <v/>
      </c>
      <c r="N131" s="59" t="str">
        <f>IFERROR(Inv_SY!N133/Inv_SY!$Y133-1,"")</f>
        <v/>
      </c>
      <c r="O131" s="59" t="str">
        <f>IFERROR(Inv_SY!O133/Inv_SY!$Y133-1,"")</f>
        <v/>
      </c>
      <c r="P131" s="59" t="str">
        <f>IFERROR(Inv_SY!P133/Inv_SY!$Y133-1,"")</f>
        <v/>
      </c>
      <c r="Q131" s="59" t="str">
        <f>IFERROR(Inv_SY!Q133/Inv_SY!$Y133-1,"")</f>
        <v/>
      </c>
      <c r="R131" s="59" t="str">
        <f>IFERROR(Inv_SY!R133/Inv_SY!$Y133-1,"")</f>
        <v/>
      </c>
      <c r="S131" s="59" t="str">
        <f>IFERROR(Inv_SY!S133/Inv_SY!$Y133-1,"")</f>
        <v/>
      </c>
      <c r="T131" s="59" t="str">
        <f>IFERROR(Inv_SY!T133/Inv_SY!$Y133-1,"")</f>
        <v/>
      </c>
      <c r="U131" s="59" t="str">
        <f>IFERROR(Inv_SY!U133/Inv_SY!$Y133-1,"")</f>
        <v/>
      </c>
      <c r="V131" s="59" t="str">
        <f>IFERROR(Inv_SY!J133/Inv_SY!$Z133-1,"")</f>
        <v/>
      </c>
      <c r="W131" s="59" t="str">
        <f>IFERROR(Inv_SY!K133/Inv_SY!$Z133-1,"")</f>
        <v/>
      </c>
      <c r="X131" s="59" t="str">
        <f>IFERROR(Inv_SY!L133/Inv_SY!$Z133-1,"")</f>
        <v/>
      </c>
      <c r="Y131" s="59" t="str">
        <f>IFERROR(Inv_SY!M133/Inv_SY!$Z133-1,"")</f>
        <v/>
      </c>
      <c r="Z131" s="59" t="str">
        <f>IFERROR(Inv_SY!N133/Inv_SY!$Z133-1,"")</f>
        <v/>
      </c>
      <c r="AA131" s="59" t="str">
        <f>IFERROR(Inv_SY!O133/Inv_SY!$Z133-1,"")</f>
        <v/>
      </c>
      <c r="AB131" s="59" t="str">
        <f>IFERROR(Inv_SY!P133/Inv_SY!$Z133-1,"")</f>
        <v/>
      </c>
      <c r="AC131" s="59" t="str">
        <f>IFERROR(Inv_SY!Q133/Inv_SY!$Z133-1,"")</f>
        <v/>
      </c>
      <c r="AD131" s="59" t="str">
        <f>IFERROR(Inv_SY!R133/Inv_SY!$Z133-1,"")</f>
        <v/>
      </c>
      <c r="AE131" s="59" t="str">
        <f>IFERROR(Inv_SY!S133/Inv_SY!$Z133-1,"")</f>
        <v/>
      </c>
      <c r="AF131" s="59" t="str">
        <f>IFERROR(Inv_SY!T133/Inv_SY!$Z133-1,"")</f>
        <v/>
      </c>
      <c r="AG131" s="59" t="str">
        <f>IFERROR(Inv_SY!U133/Inv_SY!$Z133-1,"")</f>
        <v/>
      </c>
      <c r="AH131" s="59" t="str">
        <f>IFERROR(Inv_SY!V133/Inv_SY!$Y133-1,"")</f>
        <v/>
      </c>
      <c r="AI131" s="59" t="str">
        <f>IFERROR(Inv_SY!W133/Inv_SY!$Y133-1,"")</f>
        <v/>
      </c>
      <c r="AJ131" s="59" t="str">
        <f>IFERROR(Inv_SY!X133/Inv_SY!$Y133-1,"")</f>
        <v/>
      </c>
      <c r="AK131" s="59" t="str">
        <f>IFERROR(Inv_SY!V133/Inv_SY!$Z133-1,"")</f>
        <v/>
      </c>
      <c r="AL131" s="59" t="str">
        <f>IFERROR(Inv_SY!W133/Inv_SY!$Z133-1,"")</f>
        <v/>
      </c>
      <c r="AM131" s="59" t="str">
        <f>IFERROR(Inv_SY!X133/Inv_SY!$Z133-1,"")</f>
        <v/>
      </c>
    </row>
    <row r="132" spans="1:39" x14ac:dyDescent="0.3">
      <c r="A132" s="55">
        <f>YEAR(Table5[[#This Row],[Date]])+IF(MONTH(Table5[[#This Row],[Date]])&gt;=4,1,0)</f>
        <v>2026</v>
      </c>
      <c r="B132" s="55">
        <v>92</v>
      </c>
      <c r="C132" s="124">
        <f>YEAR(Table5[[#This Row],[Date]])</f>
        <v>2025</v>
      </c>
      <c r="D132" s="55" t="s">
        <v>329</v>
      </c>
      <c r="E132" s="55" t="s">
        <v>329</v>
      </c>
      <c r="F132" s="126" t="str">
        <f>TEXT(Table5[[#This Row],[Date]],"mmm-yy")</f>
        <v>Aug-25</v>
      </c>
      <c r="G132" s="124">
        <f t="shared" si="7"/>
        <v>31</v>
      </c>
      <c r="H132" s="125">
        <f t="shared" si="6"/>
        <v>45875</v>
      </c>
      <c r="I132" s="55">
        <v>8.02</v>
      </c>
      <c r="J132" s="59" t="str">
        <f>IFERROR(Inv_SY!J134/Inv_SY!$Y134-1,"")</f>
        <v/>
      </c>
      <c r="K132" s="59" t="str">
        <f>IFERROR(Inv_SY!K134/Inv_SY!$Y134-1,"")</f>
        <v/>
      </c>
      <c r="L132" s="59" t="str">
        <f>IFERROR(Inv_SY!L134/Inv_SY!$Y134-1,"")</f>
        <v/>
      </c>
      <c r="M132" s="59" t="str">
        <f>IFERROR(Inv_SY!M134/Inv_SY!$Y134-1,"")</f>
        <v/>
      </c>
      <c r="N132" s="59" t="str">
        <f>IFERROR(Inv_SY!N134/Inv_SY!$Y134-1,"")</f>
        <v/>
      </c>
      <c r="O132" s="59" t="str">
        <f>IFERROR(Inv_SY!O134/Inv_SY!$Y134-1,"")</f>
        <v/>
      </c>
      <c r="P132" s="59" t="str">
        <f>IFERROR(Inv_SY!P134/Inv_SY!$Y134-1,"")</f>
        <v/>
      </c>
      <c r="Q132" s="59" t="str">
        <f>IFERROR(Inv_SY!Q134/Inv_SY!$Y134-1,"")</f>
        <v/>
      </c>
      <c r="R132" s="59" t="str">
        <f>IFERROR(Inv_SY!R134/Inv_SY!$Y134-1,"")</f>
        <v/>
      </c>
      <c r="S132" s="59" t="str">
        <f>IFERROR(Inv_SY!S134/Inv_SY!$Y134-1,"")</f>
        <v/>
      </c>
      <c r="T132" s="59" t="str">
        <f>IFERROR(Inv_SY!T134/Inv_SY!$Y134-1,"")</f>
        <v/>
      </c>
      <c r="U132" s="59" t="str">
        <f>IFERROR(Inv_SY!U134/Inv_SY!$Y134-1,"")</f>
        <v/>
      </c>
      <c r="V132" s="59" t="str">
        <f>IFERROR(Inv_SY!J134/Inv_SY!$Z134-1,"")</f>
        <v/>
      </c>
      <c r="W132" s="59" t="str">
        <f>IFERROR(Inv_SY!K134/Inv_SY!$Z134-1,"")</f>
        <v/>
      </c>
      <c r="X132" s="59" t="str">
        <f>IFERROR(Inv_SY!L134/Inv_SY!$Z134-1,"")</f>
        <v/>
      </c>
      <c r="Y132" s="59" t="str">
        <f>IFERROR(Inv_SY!M134/Inv_SY!$Z134-1,"")</f>
        <v/>
      </c>
      <c r="Z132" s="59" t="str">
        <f>IFERROR(Inv_SY!N134/Inv_SY!$Z134-1,"")</f>
        <v/>
      </c>
      <c r="AA132" s="59" t="str">
        <f>IFERROR(Inv_SY!O134/Inv_SY!$Z134-1,"")</f>
        <v/>
      </c>
      <c r="AB132" s="59" t="str">
        <f>IFERROR(Inv_SY!P134/Inv_SY!$Z134-1,"")</f>
        <v/>
      </c>
      <c r="AC132" s="59" t="str">
        <f>IFERROR(Inv_SY!Q134/Inv_SY!$Z134-1,"")</f>
        <v/>
      </c>
      <c r="AD132" s="59" t="str">
        <f>IFERROR(Inv_SY!R134/Inv_SY!$Z134-1,"")</f>
        <v/>
      </c>
      <c r="AE132" s="59" t="str">
        <f>IFERROR(Inv_SY!S134/Inv_SY!$Z134-1,"")</f>
        <v/>
      </c>
      <c r="AF132" s="59" t="str">
        <f>IFERROR(Inv_SY!T134/Inv_SY!$Z134-1,"")</f>
        <v/>
      </c>
      <c r="AG132" s="59" t="str">
        <f>IFERROR(Inv_SY!U134/Inv_SY!$Z134-1,"")</f>
        <v/>
      </c>
      <c r="AH132" s="59" t="str">
        <f>IFERROR(Inv_SY!V134/Inv_SY!$Y134-1,"")</f>
        <v/>
      </c>
      <c r="AI132" s="59" t="str">
        <f>IFERROR(Inv_SY!W134/Inv_SY!$Y134-1,"")</f>
        <v/>
      </c>
      <c r="AJ132" s="59" t="str">
        <f>IFERROR(Inv_SY!X134/Inv_SY!$Y134-1,"")</f>
        <v/>
      </c>
      <c r="AK132" s="59" t="str">
        <f>IFERROR(Inv_SY!V134/Inv_SY!$Z134-1,"")</f>
        <v/>
      </c>
      <c r="AL132" s="59" t="str">
        <f>IFERROR(Inv_SY!W134/Inv_SY!$Z134-1,"")</f>
        <v/>
      </c>
      <c r="AM132" s="59" t="str">
        <f>IFERROR(Inv_SY!X134/Inv_SY!$Z134-1,"")</f>
        <v/>
      </c>
    </row>
    <row r="133" spans="1:39" x14ac:dyDescent="0.3">
      <c r="A133" s="55">
        <f>YEAR(Table5[[#This Row],[Date]])+IF(MONTH(Table5[[#This Row],[Date]])&gt;=4,1,0)</f>
        <v>2026</v>
      </c>
      <c r="B133" s="55">
        <v>93</v>
      </c>
      <c r="C133" s="124">
        <f>YEAR(Table5[[#This Row],[Date]])</f>
        <v>2025</v>
      </c>
      <c r="D133" s="55" t="s">
        <v>329</v>
      </c>
      <c r="E133" s="55" t="s">
        <v>329</v>
      </c>
      <c r="F133" s="126" t="str">
        <f>TEXT(Table5[[#This Row],[Date]],"mmm-yy")</f>
        <v>Aug-25</v>
      </c>
      <c r="G133" s="124">
        <f t="shared" si="7"/>
        <v>31</v>
      </c>
      <c r="H133" s="125">
        <f t="shared" ref="H133:H196" si="8">H132+1</f>
        <v>45876</v>
      </c>
      <c r="I133" s="55">
        <v>8.02</v>
      </c>
      <c r="J133" s="59" t="str">
        <f>IFERROR(Inv_SY!J135/Inv_SY!$Y135-1,"")</f>
        <v/>
      </c>
      <c r="K133" s="59" t="str">
        <f>IFERROR(Inv_SY!K135/Inv_SY!$Y135-1,"")</f>
        <v/>
      </c>
      <c r="L133" s="59" t="str">
        <f>IFERROR(Inv_SY!L135/Inv_SY!$Y135-1,"")</f>
        <v/>
      </c>
      <c r="M133" s="59" t="str">
        <f>IFERROR(Inv_SY!M135/Inv_SY!$Y135-1,"")</f>
        <v/>
      </c>
      <c r="N133" s="59" t="str">
        <f>IFERROR(Inv_SY!N135/Inv_SY!$Y135-1,"")</f>
        <v/>
      </c>
      <c r="O133" s="59" t="str">
        <f>IFERROR(Inv_SY!O135/Inv_SY!$Y135-1,"")</f>
        <v/>
      </c>
      <c r="P133" s="59" t="str">
        <f>IFERROR(Inv_SY!P135/Inv_SY!$Y135-1,"")</f>
        <v/>
      </c>
      <c r="Q133" s="59" t="str">
        <f>IFERROR(Inv_SY!Q135/Inv_SY!$Y135-1,"")</f>
        <v/>
      </c>
      <c r="R133" s="59" t="str">
        <f>IFERROR(Inv_SY!R135/Inv_SY!$Y135-1,"")</f>
        <v/>
      </c>
      <c r="S133" s="59" t="str">
        <f>IFERROR(Inv_SY!S135/Inv_SY!$Y135-1,"")</f>
        <v/>
      </c>
      <c r="T133" s="59" t="str">
        <f>IFERROR(Inv_SY!T135/Inv_SY!$Y135-1,"")</f>
        <v/>
      </c>
      <c r="U133" s="59" t="str">
        <f>IFERROR(Inv_SY!U135/Inv_SY!$Y135-1,"")</f>
        <v/>
      </c>
      <c r="V133" s="59" t="str">
        <f>IFERROR(Inv_SY!J135/Inv_SY!$Z135-1,"")</f>
        <v/>
      </c>
      <c r="W133" s="59" t="str">
        <f>IFERROR(Inv_SY!K135/Inv_SY!$Z135-1,"")</f>
        <v/>
      </c>
      <c r="X133" s="59" t="str">
        <f>IFERROR(Inv_SY!L135/Inv_SY!$Z135-1,"")</f>
        <v/>
      </c>
      <c r="Y133" s="59" t="str">
        <f>IFERROR(Inv_SY!M135/Inv_SY!$Z135-1,"")</f>
        <v/>
      </c>
      <c r="Z133" s="59" t="str">
        <f>IFERROR(Inv_SY!N135/Inv_SY!$Z135-1,"")</f>
        <v/>
      </c>
      <c r="AA133" s="59" t="str">
        <f>IFERROR(Inv_SY!O135/Inv_SY!$Z135-1,"")</f>
        <v/>
      </c>
      <c r="AB133" s="59" t="str">
        <f>IFERROR(Inv_SY!P135/Inv_SY!$Z135-1,"")</f>
        <v/>
      </c>
      <c r="AC133" s="59" t="str">
        <f>IFERROR(Inv_SY!Q135/Inv_SY!$Z135-1,"")</f>
        <v/>
      </c>
      <c r="AD133" s="59" t="str">
        <f>IFERROR(Inv_SY!R135/Inv_SY!$Z135-1,"")</f>
        <v/>
      </c>
      <c r="AE133" s="59" t="str">
        <f>IFERROR(Inv_SY!S135/Inv_SY!$Z135-1,"")</f>
        <v/>
      </c>
      <c r="AF133" s="59" t="str">
        <f>IFERROR(Inv_SY!T135/Inv_SY!$Z135-1,"")</f>
        <v/>
      </c>
      <c r="AG133" s="59" t="str">
        <f>IFERROR(Inv_SY!U135/Inv_SY!$Z135-1,"")</f>
        <v/>
      </c>
      <c r="AH133" s="59" t="str">
        <f>IFERROR(Inv_SY!V135/Inv_SY!$Y135-1,"")</f>
        <v/>
      </c>
      <c r="AI133" s="59" t="str">
        <f>IFERROR(Inv_SY!W135/Inv_SY!$Y135-1,"")</f>
        <v/>
      </c>
      <c r="AJ133" s="59" t="str">
        <f>IFERROR(Inv_SY!X135/Inv_SY!$Y135-1,"")</f>
        <v/>
      </c>
      <c r="AK133" s="59" t="str">
        <f>IFERROR(Inv_SY!V135/Inv_SY!$Z135-1,"")</f>
        <v/>
      </c>
      <c r="AL133" s="59" t="str">
        <f>IFERROR(Inv_SY!W135/Inv_SY!$Z135-1,"")</f>
        <v/>
      </c>
      <c r="AM133" s="59" t="str">
        <f>IFERROR(Inv_SY!X135/Inv_SY!$Z135-1,"")</f>
        <v/>
      </c>
    </row>
    <row r="134" spans="1:39" x14ac:dyDescent="0.3">
      <c r="A134" s="55">
        <f>YEAR(Table5[[#This Row],[Date]])+IF(MONTH(Table5[[#This Row],[Date]])&gt;=4,1,0)</f>
        <v>2026</v>
      </c>
      <c r="B134" s="55">
        <v>94</v>
      </c>
      <c r="C134" s="124">
        <f>YEAR(Table5[[#This Row],[Date]])</f>
        <v>2025</v>
      </c>
      <c r="D134" s="55" t="s">
        <v>329</v>
      </c>
      <c r="E134" s="55" t="s">
        <v>329</v>
      </c>
      <c r="F134" s="126" t="str">
        <f>TEXT(Table5[[#This Row],[Date]],"mmm-yy")</f>
        <v>Aug-25</v>
      </c>
      <c r="G134" s="124">
        <f t="shared" si="7"/>
        <v>31</v>
      </c>
      <c r="H134" s="125">
        <f t="shared" si="8"/>
        <v>45877</v>
      </c>
      <c r="I134" s="55">
        <v>8.02</v>
      </c>
      <c r="J134" s="59" t="str">
        <f>IFERROR(Inv_SY!J136/Inv_SY!$Y136-1,"")</f>
        <v/>
      </c>
      <c r="K134" s="59" t="str">
        <f>IFERROR(Inv_SY!K136/Inv_SY!$Y136-1,"")</f>
        <v/>
      </c>
      <c r="L134" s="59" t="str">
        <f>IFERROR(Inv_SY!L136/Inv_SY!$Y136-1,"")</f>
        <v/>
      </c>
      <c r="M134" s="59" t="str">
        <f>IFERROR(Inv_SY!M136/Inv_SY!$Y136-1,"")</f>
        <v/>
      </c>
      <c r="N134" s="59" t="str">
        <f>IFERROR(Inv_SY!N136/Inv_SY!$Y136-1,"")</f>
        <v/>
      </c>
      <c r="O134" s="59" t="str">
        <f>IFERROR(Inv_SY!O136/Inv_SY!$Y136-1,"")</f>
        <v/>
      </c>
      <c r="P134" s="59" t="str">
        <f>IFERROR(Inv_SY!P136/Inv_SY!$Y136-1,"")</f>
        <v/>
      </c>
      <c r="Q134" s="59" t="str">
        <f>IFERROR(Inv_SY!Q136/Inv_SY!$Y136-1,"")</f>
        <v/>
      </c>
      <c r="R134" s="59" t="str">
        <f>IFERROR(Inv_SY!R136/Inv_SY!$Y136-1,"")</f>
        <v/>
      </c>
      <c r="S134" s="59" t="str">
        <f>IFERROR(Inv_SY!S136/Inv_SY!$Y136-1,"")</f>
        <v/>
      </c>
      <c r="T134" s="59" t="str">
        <f>IFERROR(Inv_SY!T136/Inv_SY!$Y136-1,"")</f>
        <v/>
      </c>
      <c r="U134" s="59" t="str">
        <f>IFERROR(Inv_SY!U136/Inv_SY!$Y136-1,"")</f>
        <v/>
      </c>
      <c r="V134" s="59" t="str">
        <f>IFERROR(Inv_SY!J136/Inv_SY!$Z136-1,"")</f>
        <v/>
      </c>
      <c r="W134" s="59" t="str">
        <f>IFERROR(Inv_SY!K136/Inv_SY!$Z136-1,"")</f>
        <v/>
      </c>
      <c r="X134" s="59" t="str">
        <f>IFERROR(Inv_SY!L136/Inv_SY!$Z136-1,"")</f>
        <v/>
      </c>
      <c r="Y134" s="59" t="str">
        <f>IFERROR(Inv_SY!M136/Inv_SY!$Z136-1,"")</f>
        <v/>
      </c>
      <c r="Z134" s="59" t="str">
        <f>IFERROR(Inv_SY!N136/Inv_SY!$Z136-1,"")</f>
        <v/>
      </c>
      <c r="AA134" s="59" t="str">
        <f>IFERROR(Inv_SY!O136/Inv_SY!$Z136-1,"")</f>
        <v/>
      </c>
      <c r="AB134" s="59" t="str">
        <f>IFERROR(Inv_SY!P136/Inv_SY!$Z136-1,"")</f>
        <v/>
      </c>
      <c r="AC134" s="59" t="str">
        <f>IFERROR(Inv_SY!Q136/Inv_SY!$Z136-1,"")</f>
        <v/>
      </c>
      <c r="AD134" s="59" t="str">
        <f>IFERROR(Inv_SY!R136/Inv_SY!$Z136-1,"")</f>
        <v/>
      </c>
      <c r="AE134" s="59" t="str">
        <f>IFERROR(Inv_SY!S136/Inv_SY!$Z136-1,"")</f>
        <v/>
      </c>
      <c r="AF134" s="59" t="str">
        <f>IFERROR(Inv_SY!T136/Inv_SY!$Z136-1,"")</f>
        <v/>
      </c>
      <c r="AG134" s="59" t="str">
        <f>IFERROR(Inv_SY!U136/Inv_SY!$Z136-1,"")</f>
        <v/>
      </c>
      <c r="AH134" s="59" t="str">
        <f>IFERROR(Inv_SY!V136/Inv_SY!$Y136-1,"")</f>
        <v/>
      </c>
      <c r="AI134" s="59" t="str">
        <f>IFERROR(Inv_SY!W136/Inv_SY!$Y136-1,"")</f>
        <v/>
      </c>
      <c r="AJ134" s="59" t="str">
        <f>IFERROR(Inv_SY!X136/Inv_SY!$Y136-1,"")</f>
        <v/>
      </c>
      <c r="AK134" s="59" t="str">
        <f>IFERROR(Inv_SY!V136/Inv_SY!$Z136-1,"")</f>
        <v/>
      </c>
      <c r="AL134" s="59" t="str">
        <f>IFERROR(Inv_SY!W136/Inv_SY!$Z136-1,"")</f>
        <v/>
      </c>
      <c r="AM134" s="59" t="str">
        <f>IFERROR(Inv_SY!X136/Inv_SY!$Z136-1,"")</f>
        <v/>
      </c>
    </row>
    <row r="135" spans="1:39" x14ac:dyDescent="0.3">
      <c r="A135" s="55">
        <f>YEAR(Table5[[#This Row],[Date]])+IF(MONTH(Table5[[#This Row],[Date]])&gt;=4,1,0)</f>
        <v>2026</v>
      </c>
      <c r="B135" s="55">
        <v>95</v>
      </c>
      <c r="C135" s="124">
        <f>YEAR(Table5[[#This Row],[Date]])</f>
        <v>2025</v>
      </c>
      <c r="D135" s="55" t="s">
        <v>329</v>
      </c>
      <c r="E135" s="55" t="s">
        <v>329</v>
      </c>
      <c r="F135" s="126" t="str">
        <f>TEXT(Table5[[#This Row],[Date]],"mmm-yy")</f>
        <v>Aug-25</v>
      </c>
      <c r="G135" s="124">
        <f t="shared" si="7"/>
        <v>31</v>
      </c>
      <c r="H135" s="125">
        <f t="shared" si="8"/>
        <v>45878</v>
      </c>
      <c r="I135" s="55">
        <v>8.02</v>
      </c>
      <c r="J135" s="59" t="str">
        <f>IFERROR(Inv_SY!J137/Inv_SY!$Y137-1,"")</f>
        <v/>
      </c>
      <c r="K135" s="59" t="str">
        <f>IFERROR(Inv_SY!K137/Inv_SY!$Y137-1,"")</f>
        <v/>
      </c>
      <c r="L135" s="59" t="str">
        <f>IFERROR(Inv_SY!L137/Inv_SY!$Y137-1,"")</f>
        <v/>
      </c>
      <c r="M135" s="59" t="str">
        <f>IFERROR(Inv_SY!M137/Inv_SY!$Y137-1,"")</f>
        <v/>
      </c>
      <c r="N135" s="59" t="str">
        <f>IFERROR(Inv_SY!N137/Inv_SY!$Y137-1,"")</f>
        <v/>
      </c>
      <c r="O135" s="59" t="str">
        <f>IFERROR(Inv_SY!O137/Inv_SY!$Y137-1,"")</f>
        <v/>
      </c>
      <c r="P135" s="59" t="str">
        <f>IFERROR(Inv_SY!P137/Inv_SY!$Y137-1,"")</f>
        <v/>
      </c>
      <c r="Q135" s="59" t="str">
        <f>IFERROR(Inv_SY!Q137/Inv_SY!$Y137-1,"")</f>
        <v/>
      </c>
      <c r="R135" s="59" t="str">
        <f>IFERROR(Inv_SY!R137/Inv_SY!$Y137-1,"")</f>
        <v/>
      </c>
      <c r="S135" s="59" t="str">
        <f>IFERROR(Inv_SY!S137/Inv_SY!$Y137-1,"")</f>
        <v/>
      </c>
      <c r="T135" s="59" t="str">
        <f>IFERROR(Inv_SY!T137/Inv_SY!$Y137-1,"")</f>
        <v/>
      </c>
      <c r="U135" s="59" t="str">
        <f>IFERROR(Inv_SY!U137/Inv_SY!$Y137-1,"")</f>
        <v/>
      </c>
      <c r="V135" s="59" t="str">
        <f>IFERROR(Inv_SY!J137/Inv_SY!$Z137-1,"")</f>
        <v/>
      </c>
      <c r="W135" s="59" t="str">
        <f>IFERROR(Inv_SY!K137/Inv_SY!$Z137-1,"")</f>
        <v/>
      </c>
      <c r="X135" s="59" t="str">
        <f>IFERROR(Inv_SY!L137/Inv_SY!$Z137-1,"")</f>
        <v/>
      </c>
      <c r="Y135" s="59" t="str">
        <f>IFERROR(Inv_SY!M137/Inv_SY!$Z137-1,"")</f>
        <v/>
      </c>
      <c r="Z135" s="59" t="str">
        <f>IFERROR(Inv_SY!N137/Inv_SY!$Z137-1,"")</f>
        <v/>
      </c>
      <c r="AA135" s="59" t="str">
        <f>IFERROR(Inv_SY!O137/Inv_SY!$Z137-1,"")</f>
        <v/>
      </c>
      <c r="AB135" s="59" t="str">
        <f>IFERROR(Inv_SY!P137/Inv_SY!$Z137-1,"")</f>
        <v/>
      </c>
      <c r="AC135" s="59" t="str">
        <f>IFERROR(Inv_SY!Q137/Inv_SY!$Z137-1,"")</f>
        <v/>
      </c>
      <c r="AD135" s="59" t="str">
        <f>IFERROR(Inv_SY!R137/Inv_SY!$Z137-1,"")</f>
        <v/>
      </c>
      <c r="AE135" s="59" t="str">
        <f>IFERROR(Inv_SY!S137/Inv_SY!$Z137-1,"")</f>
        <v/>
      </c>
      <c r="AF135" s="59" t="str">
        <f>IFERROR(Inv_SY!T137/Inv_SY!$Z137-1,"")</f>
        <v/>
      </c>
      <c r="AG135" s="59" t="str">
        <f>IFERROR(Inv_SY!U137/Inv_SY!$Z137-1,"")</f>
        <v/>
      </c>
      <c r="AH135" s="59" t="str">
        <f>IFERROR(Inv_SY!V137/Inv_SY!$Y137-1,"")</f>
        <v/>
      </c>
      <c r="AI135" s="59" t="str">
        <f>IFERROR(Inv_SY!W137/Inv_SY!$Y137-1,"")</f>
        <v/>
      </c>
      <c r="AJ135" s="59" t="str">
        <f>IFERROR(Inv_SY!X137/Inv_SY!$Y137-1,"")</f>
        <v/>
      </c>
      <c r="AK135" s="59" t="str">
        <f>IFERROR(Inv_SY!V137/Inv_SY!$Z137-1,"")</f>
        <v/>
      </c>
      <c r="AL135" s="59" t="str">
        <f>IFERROR(Inv_SY!W137/Inv_SY!$Z137-1,"")</f>
        <v/>
      </c>
      <c r="AM135" s="59" t="str">
        <f>IFERROR(Inv_SY!X137/Inv_SY!$Z137-1,"")</f>
        <v/>
      </c>
    </row>
    <row r="136" spans="1:39" x14ac:dyDescent="0.3">
      <c r="A136" s="55">
        <f>YEAR(Table5[[#This Row],[Date]])+IF(MONTH(Table5[[#This Row],[Date]])&gt;=4,1,0)</f>
        <v>2026</v>
      </c>
      <c r="B136" s="55">
        <v>96</v>
      </c>
      <c r="C136" s="124">
        <f>YEAR(Table5[[#This Row],[Date]])</f>
        <v>2025</v>
      </c>
      <c r="D136" s="55" t="s">
        <v>329</v>
      </c>
      <c r="E136" s="55" t="s">
        <v>329</v>
      </c>
      <c r="F136" s="126" t="str">
        <f>TEXT(Table5[[#This Row],[Date]],"mmm-yy")</f>
        <v>Aug-25</v>
      </c>
      <c r="G136" s="124">
        <f t="shared" si="7"/>
        <v>31</v>
      </c>
      <c r="H136" s="125">
        <f t="shared" si="8"/>
        <v>45879</v>
      </c>
      <c r="I136" s="55">
        <v>8.02</v>
      </c>
      <c r="J136" s="59" t="str">
        <f>IFERROR(Inv_SY!J138/Inv_SY!$Y138-1,"")</f>
        <v/>
      </c>
      <c r="K136" s="59" t="str">
        <f>IFERROR(Inv_SY!K138/Inv_SY!$Y138-1,"")</f>
        <v/>
      </c>
      <c r="L136" s="59" t="str">
        <f>IFERROR(Inv_SY!L138/Inv_SY!$Y138-1,"")</f>
        <v/>
      </c>
      <c r="M136" s="59" t="str">
        <f>IFERROR(Inv_SY!M138/Inv_SY!$Y138-1,"")</f>
        <v/>
      </c>
      <c r="N136" s="59" t="str">
        <f>IFERROR(Inv_SY!N138/Inv_SY!$Y138-1,"")</f>
        <v/>
      </c>
      <c r="O136" s="59" t="str">
        <f>IFERROR(Inv_SY!O138/Inv_SY!$Y138-1,"")</f>
        <v/>
      </c>
      <c r="P136" s="59" t="str">
        <f>IFERROR(Inv_SY!P138/Inv_SY!$Y138-1,"")</f>
        <v/>
      </c>
      <c r="Q136" s="59" t="str">
        <f>IFERROR(Inv_SY!Q138/Inv_SY!$Y138-1,"")</f>
        <v/>
      </c>
      <c r="R136" s="59" t="str">
        <f>IFERROR(Inv_SY!R138/Inv_SY!$Y138-1,"")</f>
        <v/>
      </c>
      <c r="S136" s="59" t="str">
        <f>IFERROR(Inv_SY!S138/Inv_SY!$Y138-1,"")</f>
        <v/>
      </c>
      <c r="T136" s="59" t="str">
        <f>IFERROR(Inv_SY!T138/Inv_SY!$Y138-1,"")</f>
        <v/>
      </c>
      <c r="U136" s="59" t="str">
        <f>IFERROR(Inv_SY!U138/Inv_SY!$Y138-1,"")</f>
        <v/>
      </c>
      <c r="V136" s="59" t="str">
        <f>IFERROR(Inv_SY!J138/Inv_SY!$Z138-1,"")</f>
        <v/>
      </c>
      <c r="W136" s="59" t="str">
        <f>IFERROR(Inv_SY!K138/Inv_SY!$Z138-1,"")</f>
        <v/>
      </c>
      <c r="X136" s="59" t="str">
        <f>IFERROR(Inv_SY!L138/Inv_SY!$Z138-1,"")</f>
        <v/>
      </c>
      <c r="Y136" s="59" t="str">
        <f>IFERROR(Inv_SY!M138/Inv_SY!$Z138-1,"")</f>
        <v/>
      </c>
      <c r="Z136" s="59" t="str">
        <f>IFERROR(Inv_SY!N138/Inv_SY!$Z138-1,"")</f>
        <v/>
      </c>
      <c r="AA136" s="59" t="str">
        <f>IFERROR(Inv_SY!O138/Inv_SY!$Z138-1,"")</f>
        <v/>
      </c>
      <c r="AB136" s="59" t="str">
        <f>IFERROR(Inv_SY!P138/Inv_SY!$Z138-1,"")</f>
        <v/>
      </c>
      <c r="AC136" s="59" t="str">
        <f>IFERROR(Inv_SY!Q138/Inv_SY!$Z138-1,"")</f>
        <v/>
      </c>
      <c r="AD136" s="59" t="str">
        <f>IFERROR(Inv_SY!R138/Inv_SY!$Z138-1,"")</f>
        <v/>
      </c>
      <c r="AE136" s="59" t="str">
        <f>IFERROR(Inv_SY!S138/Inv_SY!$Z138-1,"")</f>
        <v/>
      </c>
      <c r="AF136" s="59" t="str">
        <f>IFERROR(Inv_SY!T138/Inv_SY!$Z138-1,"")</f>
        <v/>
      </c>
      <c r="AG136" s="59" t="str">
        <f>IFERROR(Inv_SY!U138/Inv_SY!$Z138-1,"")</f>
        <v/>
      </c>
      <c r="AH136" s="59" t="str">
        <f>IFERROR(Inv_SY!V138/Inv_SY!$Y138-1,"")</f>
        <v/>
      </c>
      <c r="AI136" s="59" t="str">
        <f>IFERROR(Inv_SY!W138/Inv_SY!$Y138-1,"")</f>
        <v/>
      </c>
      <c r="AJ136" s="59" t="str">
        <f>IFERROR(Inv_SY!X138/Inv_SY!$Y138-1,"")</f>
        <v/>
      </c>
      <c r="AK136" s="59" t="str">
        <f>IFERROR(Inv_SY!V138/Inv_SY!$Z138-1,"")</f>
        <v/>
      </c>
      <c r="AL136" s="59" t="str">
        <f>IFERROR(Inv_SY!W138/Inv_SY!$Z138-1,"")</f>
        <v/>
      </c>
      <c r="AM136" s="59" t="str">
        <f>IFERROR(Inv_SY!X138/Inv_SY!$Z138-1,"")</f>
        <v/>
      </c>
    </row>
    <row r="137" spans="1:39" x14ac:dyDescent="0.3">
      <c r="A137" s="55">
        <f>YEAR(Table5[[#This Row],[Date]])+IF(MONTH(Table5[[#This Row],[Date]])&gt;=4,1,0)</f>
        <v>2026</v>
      </c>
      <c r="B137" s="55">
        <v>97</v>
      </c>
      <c r="C137" s="124">
        <f>YEAR(Table5[[#This Row],[Date]])</f>
        <v>2025</v>
      </c>
      <c r="D137" s="55" t="s">
        <v>329</v>
      </c>
      <c r="E137" s="55" t="s">
        <v>329</v>
      </c>
      <c r="F137" s="126" t="str">
        <f>TEXT(Table5[[#This Row],[Date]],"mmm-yy")</f>
        <v>Aug-25</v>
      </c>
      <c r="G137" s="124">
        <f t="shared" si="7"/>
        <v>31</v>
      </c>
      <c r="H137" s="125">
        <f t="shared" si="8"/>
        <v>45880</v>
      </c>
      <c r="I137" s="55">
        <v>8.02</v>
      </c>
      <c r="J137" s="59" t="str">
        <f>IFERROR(Inv_SY!J139/Inv_SY!$Y139-1,"")</f>
        <v/>
      </c>
      <c r="K137" s="59" t="str">
        <f>IFERROR(Inv_SY!K139/Inv_SY!$Y139-1,"")</f>
        <v/>
      </c>
      <c r="L137" s="59" t="str">
        <f>IFERROR(Inv_SY!L139/Inv_SY!$Y139-1,"")</f>
        <v/>
      </c>
      <c r="M137" s="59" t="str">
        <f>IFERROR(Inv_SY!M139/Inv_SY!$Y139-1,"")</f>
        <v/>
      </c>
      <c r="N137" s="59" t="str">
        <f>IFERROR(Inv_SY!N139/Inv_SY!$Y139-1,"")</f>
        <v/>
      </c>
      <c r="O137" s="59" t="str">
        <f>IFERROR(Inv_SY!O139/Inv_SY!$Y139-1,"")</f>
        <v/>
      </c>
      <c r="P137" s="59" t="str">
        <f>IFERROR(Inv_SY!P139/Inv_SY!$Y139-1,"")</f>
        <v/>
      </c>
      <c r="Q137" s="59" t="str">
        <f>IFERROR(Inv_SY!Q139/Inv_SY!$Y139-1,"")</f>
        <v/>
      </c>
      <c r="R137" s="59" t="str">
        <f>IFERROR(Inv_SY!R139/Inv_SY!$Y139-1,"")</f>
        <v/>
      </c>
      <c r="S137" s="59" t="str">
        <f>IFERROR(Inv_SY!S139/Inv_SY!$Y139-1,"")</f>
        <v/>
      </c>
      <c r="T137" s="59" t="str">
        <f>IFERROR(Inv_SY!T139/Inv_SY!$Y139-1,"")</f>
        <v/>
      </c>
      <c r="U137" s="59" t="str">
        <f>IFERROR(Inv_SY!U139/Inv_SY!$Y139-1,"")</f>
        <v/>
      </c>
      <c r="V137" s="59" t="str">
        <f>IFERROR(Inv_SY!J139/Inv_SY!$Z139-1,"")</f>
        <v/>
      </c>
      <c r="W137" s="59" t="str">
        <f>IFERROR(Inv_SY!K139/Inv_SY!$Z139-1,"")</f>
        <v/>
      </c>
      <c r="X137" s="59" t="str">
        <f>IFERROR(Inv_SY!L139/Inv_SY!$Z139-1,"")</f>
        <v/>
      </c>
      <c r="Y137" s="59" t="str">
        <f>IFERROR(Inv_SY!M139/Inv_SY!$Z139-1,"")</f>
        <v/>
      </c>
      <c r="Z137" s="59" t="str">
        <f>IFERROR(Inv_SY!N139/Inv_SY!$Z139-1,"")</f>
        <v/>
      </c>
      <c r="AA137" s="59" t="str">
        <f>IFERROR(Inv_SY!O139/Inv_SY!$Z139-1,"")</f>
        <v/>
      </c>
      <c r="AB137" s="59" t="str">
        <f>IFERROR(Inv_SY!P139/Inv_SY!$Z139-1,"")</f>
        <v/>
      </c>
      <c r="AC137" s="59" t="str">
        <f>IFERROR(Inv_SY!Q139/Inv_SY!$Z139-1,"")</f>
        <v/>
      </c>
      <c r="AD137" s="59" t="str">
        <f>IFERROR(Inv_SY!R139/Inv_SY!$Z139-1,"")</f>
        <v/>
      </c>
      <c r="AE137" s="59" t="str">
        <f>IFERROR(Inv_SY!S139/Inv_SY!$Z139-1,"")</f>
        <v/>
      </c>
      <c r="AF137" s="59" t="str">
        <f>IFERROR(Inv_SY!T139/Inv_SY!$Z139-1,"")</f>
        <v/>
      </c>
      <c r="AG137" s="59" t="str">
        <f>IFERROR(Inv_SY!U139/Inv_SY!$Z139-1,"")</f>
        <v/>
      </c>
      <c r="AH137" s="59" t="str">
        <f>IFERROR(Inv_SY!V139/Inv_SY!$Y139-1,"")</f>
        <v/>
      </c>
      <c r="AI137" s="59" t="str">
        <f>IFERROR(Inv_SY!W139/Inv_SY!$Y139-1,"")</f>
        <v/>
      </c>
      <c r="AJ137" s="59" t="str">
        <f>IFERROR(Inv_SY!X139/Inv_SY!$Y139-1,"")</f>
        <v/>
      </c>
      <c r="AK137" s="59" t="str">
        <f>IFERROR(Inv_SY!V139/Inv_SY!$Z139-1,"")</f>
        <v/>
      </c>
      <c r="AL137" s="59" t="str">
        <f>IFERROR(Inv_SY!W139/Inv_SY!$Z139-1,"")</f>
        <v/>
      </c>
      <c r="AM137" s="59" t="str">
        <f>IFERROR(Inv_SY!X139/Inv_SY!$Z139-1,"")</f>
        <v/>
      </c>
    </row>
    <row r="138" spans="1:39" x14ac:dyDescent="0.3">
      <c r="A138" s="55">
        <f>YEAR(Table5[[#This Row],[Date]])+IF(MONTH(Table5[[#This Row],[Date]])&gt;=4,1,0)</f>
        <v>2026</v>
      </c>
      <c r="B138" s="55">
        <v>98</v>
      </c>
      <c r="C138" s="124">
        <f>YEAR(Table5[[#This Row],[Date]])</f>
        <v>2025</v>
      </c>
      <c r="D138" s="55" t="s">
        <v>329</v>
      </c>
      <c r="E138" s="55" t="s">
        <v>329</v>
      </c>
      <c r="F138" s="126" t="str">
        <f>TEXT(Table5[[#This Row],[Date]],"mmm-yy")</f>
        <v>Aug-25</v>
      </c>
      <c r="G138" s="124">
        <f t="shared" si="7"/>
        <v>31</v>
      </c>
      <c r="H138" s="125">
        <f t="shared" si="8"/>
        <v>45881</v>
      </c>
      <c r="I138" s="55">
        <v>8.02</v>
      </c>
      <c r="J138" s="59" t="str">
        <f>IFERROR(Inv_SY!J140/Inv_SY!$Y140-1,"")</f>
        <v/>
      </c>
      <c r="K138" s="59" t="str">
        <f>IFERROR(Inv_SY!K140/Inv_SY!$Y140-1,"")</f>
        <v/>
      </c>
      <c r="L138" s="59" t="str">
        <f>IFERROR(Inv_SY!L140/Inv_SY!$Y140-1,"")</f>
        <v/>
      </c>
      <c r="M138" s="59" t="str">
        <f>IFERROR(Inv_SY!M140/Inv_SY!$Y140-1,"")</f>
        <v/>
      </c>
      <c r="N138" s="59" t="str">
        <f>IFERROR(Inv_SY!N140/Inv_SY!$Y140-1,"")</f>
        <v/>
      </c>
      <c r="O138" s="59" t="str">
        <f>IFERROR(Inv_SY!O140/Inv_SY!$Y140-1,"")</f>
        <v/>
      </c>
      <c r="P138" s="59" t="str">
        <f>IFERROR(Inv_SY!P140/Inv_SY!$Y140-1,"")</f>
        <v/>
      </c>
      <c r="Q138" s="59" t="str">
        <f>IFERROR(Inv_SY!Q140/Inv_SY!$Y140-1,"")</f>
        <v/>
      </c>
      <c r="R138" s="59" t="str">
        <f>IFERROR(Inv_SY!R140/Inv_SY!$Y140-1,"")</f>
        <v/>
      </c>
      <c r="S138" s="59" t="str">
        <f>IFERROR(Inv_SY!S140/Inv_SY!$Y140-1,"")</f>
        <v/>
      </c>
      <c r="T138" s="59" t="str">
        <f>IFERROR(Inv_SY!T140/Inv_SY!$Y140-1,"")</f>
        <v/>
      </c>
      <c r="U138" s="59" t="str">
        <f>IFERROR(Inv_SY!U140/Inv_SY!$Y140-1,"")</f>
        <v/>
      </c>
      <c r="V138" s="59" t="str">
        <f>IFERROR(Inv_SY!J140/Inv_SY!$Z140-1,"")</f>
        <v/>
      </c>
      <c r="W138" s="59" t="str">
        <f>IFERROR(Inv_SY!K140/Inv_SY!$Z140-1,"")</f>
        <v/>
      </c>
      <c r="X138" s="59" t="str">
        <f>IFERROR(Inv_SY!L140/Inv_SY!$Z140-1,"")</f>
        <v/>
      </c>
      <c r="Y138" s="59" t="str">
        <f>IFERROR(Inv_SY!M140/Inv_SY!$Z140-1,"")</f>
        <v/>
      </c>
      <c r="Z138" s="59" t="str">
        <f>IFERROR(Inv_SY!N140/Inv_SY!$Z140-1,"")</f>
        <v/>
      </c>
      <c r="AA138" s="59" t="str">
        <f>IFERROR(Inv_SY!O140/Inv_SY!$Z140-1,"")</f>
        <v/>
      </c>
      <c r="AB138" s="59" t="str">
        <f>IFERROR(Inv_SY!P140/Inv_SY!$Z140-1,"")</f>
        <v/>
      </c>
      <c r="AC138" s="59" t="str">
        <f>IFERROR(Inv_SY!Q140/Inv_SY!$Z140-1,"")</f>
        <v/>
      </c>
      <c r="AD138" s="59" t="str">
        <f>IFERROR(Inv_SY!R140/Inv_SY!$Z140-1,"")</f>
        <v/>
      </c>
      <c r="AE138" s="59" t="str">
        <f>IFERROR(Inv_SY!S140/Inv_SY!$Z140-1,"")</f>
        <v/>
      </c>
      <c r="AF138" s="59" t="str">
        <f>IFERROR(Inv_SY!T140/Inv_SY!$Z140-1,"")</f>
        <v/>
      </c>
      <c r="AG138" s="59" t="str">
        <f>IFERROR(Inv_SY!U140/Inv_SY!$Z140-1,"")</f>
        <v/>
      </c>
      <c r="AH138" s="59" t="str">
        <f>IFERROR(Inv_SY!V140/Inv_SY!$Y140-1,"")</f>
        <v/>
      </c>
      <c r="AI138" s="59" t="str">
        <f>IFERROR(Inv_SY!W140/Inv_SY!$Y140-1,"")</f>
        <v/>
      </c>
      <c r="AJ138" s="59" t="str">
        <f>IFERROR(Inv_SY!X140/Inv_SY!$Y140-1,"")</f>
        <v/>
      </c>
      <c r="AK138" s="59" t="str">
        <f>IFERROR(Inv_SY!V140/Inv_SY!$Z140-1,"")</f>
        <v/>
      </c>
      <c r="AL138" s="59" t="str">
        <f>IFERROR(Inv_SY!W140/Inv_SY!$Z140-1,"")</f>
        <v/>
      </c>
      <c r="AM138" s="59" t="str">
        <f>IFERROR(Inv_SY!X140/Inv_SY!$Z140-1,"")</f>
        <v/>
      </c>
    </row>
    <row r="139" spans="1:39" x14ac:dyDescent="0.3">
      <c r="A139" s="55">
        <f>YEAR(Table5[[#This Row],[Date]])+IF(MONTH(Table5[[#This Row],[Date]])&gt;=4,1,0)</f>
        <v>2026</v>
      </c>
      <c r="B139" s="55">
        <v>99</v>
      </c>
      <c r="C139" s="124">
        <f>YEAR(Table5[[#This Row],[Date]])</f>
        <v>2025</v>
      </c>
      <c r="D139" s="55" t="s">
        <v>329</v>
      </c>
      <c r="E139" s="55" t="s">
        <v>329</v>
      </c>
      <c r="F139" s="126" t="str">
        <f>TEXT(Table5[[#This Row],[Date]],"mmm-yy")</f>
        <v>Aug-25</v>
      </c>
      <c r="G139" s="124">
        <f t="shared" si="7"/>
        <v>31</v>
      </c>
      <c r="H139" s="125">
        <f t="shared" si="8"/>
        <v>45882</v>
      </c>
      <c r="I139" s="55">
        <v>8.02</v>
      </c>
      <c r="J139" s="59" t="str">
        <f>IFERROR(Inv_SY!J141/Inv_SY!$Y141-1,"")</f>
        <v/>
      </c>
      <c r="K139" s="59" t="str">
        <f>IFERROR(Inv_SY!K141/Inv_SY!$Y141-1,"")</f>
        <v/>
      </c>
      <c r="L139" s="59" t="str">
        <f>IFERROR(Inv_SY!L141/Inv_SY!$Y141-1,"")</f>
        <v/>
      </c>
      <c r="M139" s="59" t="str">
        <f>IFERROR(Inv_SY!M141/Inv_SY!$Y141-1,"")</f>
        <v/>
      </c>
      <c r="N139" s="59" t="str">
        <f>IFERROR(Inv_SY!N141/Inv_SY!$Y141-1,"")</f>
        <v/>
      </c>
      <c r="O139" s="59" t="str">
        <f>IFERROR(Inv_SY!O141/Inv_SY!$Y141-1,"")</f>
        <v/>
      </c>
      <c r="P139" s="59" t="str">
        <f>IFERROR(Inv_SY!P141/Inv_SY!$Y141-1,"")</f>
        <v/>
      </c>
      <c r="Q139" s="59" t="str">
        <f>IFERROR(Inv_SY!Q141/Inv_SY!$Y141-1,"")</f>
        <v/>
      </c>
      <c r="R139" s="59" t="str">
        <f>IFERROR(Inv_SY!R141/Inv_SY!$Y141-1,"")</f>
        <v/>
      </c>
      <c r="S139" s="59" t="str">
        <f>IFERROR(Inv_SY!S141/Inv_SY!$Y141-1,"")</f>
        <v/>
      </c>
      <c r="T139" s="59" t="str">
        <f>IFERROR(Inv_SY!T141/Inv_SY!$Y141-1,"")</f>
        <v/>
      </c>
      <c r="U139" s="59" t="str">
        <f>IFERROR(Inv_SY!U141/Inv_SY!$Y141-1,"")</f>
        <v/>
      </c>
      <c r="V139" s="59" t="str">
        <f>IFERROR(Inv_SY!J141/Inv_SY!$Z141-1,"")</f>
        <v/>
      </c>
      <c r="W139" s="59" t="str">
        <f>IFERROR(Inv_SY!K141/Inv_SY!$Z141-1,"")</f>
        <v/>
      </c>
      <c r="X139" s="59" t="str">
        <f>IFERROR(Inv_SY!L141/Inv_SY!$Z141-1,"")</f>
        <v/>
      </c>
      <c r="Y139" s="59" t="str">
        <f>IFERROR(Inv_SY!M141/Inv_SY!$Z141-1,"")</f>
        <v/>
      </c>
      <c r="Z139" s="59" t="str">
        <f>IFERROR(Inv_SY!N141/Inv_SY!$Z141-1,"")</f>
        <v/>
      </c>
      <c r="AA139" s="59" t="str">
        <f>IFERROR(Inv_SY!O141/Inv_SY!$Z141-1,"")</f>
        <v/>
      </c>
      <c r="AB139" s="59" t="str">
        <f>IFERROR(Inv_SY!P141/Inv_SY!$Z141-1,"")</f>
        <v/>
      </c>
      <c r="AC139" s="59" t="str">
        <f>IFERROR(Inv_SY!Q141/Inv_SY!$Z141-1,"")</f>
        <v/>
      </c>
      <c r="AD139" s="59" t="str">
        <f>IFERROR(Inv_SY!R141/Inv_SY!$Z141-1,"")</f>
        <v/>
      </c>
      <c r="AE139" s="59" t="str">
        <f>IFERROR(Inv_SY!S141/Inv_SY!$Z141-1,"")</f>
        <v/>
      </c>
      <c r="AF139" s="59" t="str">
        <f>IFERROR(Inv_SY!T141/Inv_SY!$Z141-1,"")</f>
        <v/>
      </c>
      <c r="AG139" s="59" t="str">
        <f>IFERROR(Inv_SY!U141/Inv_SY!$Z141-1,"")</f>
        <v/>
      </c>
      <c r="AH139" s="59" t="str">
        <f>IFERROR(Inv_SY!V141/Inv_SY!$Y141-1,"")</f>
        <v/>
      </c>
      <c r="AI139" s="59" t="str">
        <f>IFERROR(Inv_SY!W141/Inv_SY!$Y141-1,"")</f>
        <v/>
      </c>
      <c r="AJ139" s="59" t="str">
        <f>IFERROR(Inv_SY!X141/Inv_SY!$Y141-1,"")</f>
        <v/>
      </c>
      <c r="AK139" s="59" t="str">
        <f>IFERROR(Inv_SY!V141/Inv_SY!$Z141-1,"")</f>
        <v/>
      </c>
      <c r="AL139" s="59" t="str">
        <f>IFERROR(Inv_SY!W141/Inv_SY!$Z141-1,"")</f>
        <v/>
      </c>
      <c r="AM139" s="59" t="str">
        <f>IFERROR(Inv_SY!X141/Inv_SY!$Z141-1,"")</f>
        <v/>
      </c>
    </row>
    <row r="140" spans="1:39" x14ac:dyDescent="0.3">
      <c r="A140" s="55">
        <f>YEAR(Table5[[#This Row],[Date]])+IF(MONTH(Table5[[#This Row],[Date]])&gt;=4,1,0)</f>
        <v>2026</v>
      </c>
      <c r="B140" s="55">
        <v>100</v>
      </c>
      <c r="C140" s="124">
        <f>YEAR(Table5[[#This Row],[Date]])</f>
        <v>2025</v>
      </c>
      <c r="D140" s="55" t="s">
        <v>329</v>
      </c>
      <c r="E140" s="55" t="s">
        <v>329</v>
      </c>
      <c r="F140" s="126" t="str">
        <f>TEXT(Table5[[#This Row],[Date]],"mmm-yy")</f>
        <v>Aug-25</v>
      </c>
      <c r="G140" s="124">
        <f t="shared" si="7"/>
        <v>31</v>
      </c>
      <c r="H140" s="125">
        <f t="shared" si="8"/>
        <v>45883</v>
      </c>
      <c r="I140" s="55">
        <v>8.02</v>
      </c>
      <c r="J140" s="59" t="str">
        <f>IFERROR(Inv_SY!J142/Inv_SY!$Y142-1,"")</f>
        <v/>
      </c>
      <c r="K140" s="59" t="str">
        <f>IFERROR(Inv_SY!K142/Inv_SY!$Y142-1,"")</f>
        <v/>
      </c>
      <c r="L140" s="59" t="str">
        <f>IFERROR(Inv_SY!L142/Inv_SY!$Y142-1,"")</f>
        <v/>
      </c>
      <c r="M140" s="59" t="str">
        <f>IFERROR(Inv_SY!M142/Inv_SY!$Y142-1,"")</f>
        <v/>
      </c>
      <c r="N140" s="59" t="str">
        <f>IFERROR(Inv_SY!N142/Inv_SY!$Y142-1,"")</f>
        <v/>
      </c>
      <c r="O140" s="59" t="str">
        <f>IFERROR(Inv_SY!O142/Inv_SY!$Y142-1,"")</f>
        <v/>
      </c>
      <c r="P140" s="59" t="str">
        <f>IFERROR(Inv_SY!P142/Inv_SY!$Y142-1,"")</f>
        <v/>
      </c>
      <c r="Q140" s="59" t="str">
        <f>IFERROR(Inv_SY!Q142/Inv_SY!$Y142-1,"")</f>
        <v/>
      </c>
      <c r="R140" s="59" t="str">
        <f>IFERROR(Inv_SY!R142/Inv_SY!$Y142-1,"")</f>
        <v/>
      </c>
      <c r="S140" s="59" t="str">
        <f>IFERROR(Inv_SY!S142/Inv_SY!$Y142-1,"")</f>
        <v/>
      </c>
      <c r="T140" s="59" t="str">
        <f>IFERROR(Inv_SY!T142/Inv_SY!$Y142-1,"")</f>
        <v/>
      </c>
      <c r="U140" s="59" t="str">
        <f>IFERROR(Inv_SY!U142/Inv_SY!$Y142-1,"")</f>
        <v/>
      </c>
      <c r="V140" s="59" t="str">
        <f>IFERROR(Inv_SY!J142/Inv_SY!$Z142-1,"")</f>
        <v/>
      </c>
      <c r="W140" s="59" t="str">
        <f>IFERROR(Inv_SY!K142/Inv_SY!$Z142-1,"")</f>
        <v/>
      </c>
      <c r="X140" s="59" t="str">
        <f>IFERROR(Inv_SY!L142/Inv_SY!$Z142-1,"")</f>
        <v/>
      </c>
      <c r="Y140" s="59" t="str">
        <f>IFERROR(Inv_SY!M142/Inv_SY!$Z142-1,"")</f>
        <v/>
      </c>
      <c r="Z140" s="59" t="str">
        <f>IFERROR(Inv_SY!N142/Inv_SY!$Z142-1,"")</f>
        <v/>
      </c>
      <c r="AA140" s="59" t="str">
        <f>IFERROR(Inv_SY!O142/Inv_SY!$Z142-1,"")</f>
        <v/>
      </c>
      <c r="AB140" s="59" t="str">
        <f>IFERROR(Inv_SY!P142/Inv_SY!$Z142-1,"")</f>
        <v/>
      </c>
      <c r="AC140" s="59" t="str">
        <f>IFERROR(Inv_SY!Q142/Inv_SY!$Z142-1,"")</f>
        <v/>
      </c>
      <c r="AD140" s="59" t="str">
        <f>IFERROR(Inv_SY!R142/Inv_SY!$Z142-1,"")</f>
        <v/>
      </c>
      <c r="AE140" s="59" t="str">
        <f>IFERROR(Inv_SY!S142/Inv_SY!$Z142-1,"")</f>
        <v/>
      </c>
      <c r="AF140" s="59" t="str">
        <f>IFERROR(Inv_SY!T142/Inv_SY!$Z142-1,"")</f>
        <v/>
      </c>
      <c r="AG140" s="59" t="str">
        <f>IFERROR(Inv_SY!U142/Inv_SY!$Z142-1,"")</f>
        <v/>
      </c>
      <c r="AH140" s="59" t="str">
        <f>IFERROR(Inv_SY!V142/Inv_SY!$Y142-1,"")</f>
        <v/>
      </c>
      <c r="AI140" s="59" t="str">
        <f>IFERROR(Inv_SY!W142/Inv_SY!$Y142-1,"")</f>
        <v/>
      </c>
      <c r="AJ140" s="59" t="str">
        <f>IFERROR(Inv_SY!X142/Inv_SY!$Y142-1,"")</f>
        <v/>
      </c>
      <c r="AK140" s="59" t="str">
        <f>IFERROR(Inv_SY!V142/Inv_SY!$Z142-1,"")</f>
        <v/>
      </c>
      <c r="AL140" s="59" t="str">
        <f>IFERROR(Inv_SY!W142/Inv_SY!$Z142-1,"")</f>
        <v/>
      </c>
      <c r="AM140" s="59" t="str">
        <f>IFERROR(Inv_SY!X142/Inv_SY!$Z142-1,"")</f>
        <v/>
      </c>
    </row>
    <row r="141" spans="1:39" x14ac:dyDescent="0.3">
      <c r="A141" s="55">
        <f>YEAR(Table5[[#This Row],[Date]])+IF(MONTH(Table5[[#This Row],[Date]])&gt;=4,1,0)</f>
        <v>2026</v>
      </c>
      <c r="B141" s="55">
        <v>101</v>
      </c>
      <c r="C141" s="124">
        <f>YEAR(Table5[[#This Row],[Date]])</f>
        <v>2025</v>
      </c>
      <c r="D141" s="55" t="s">
        <v>329</v>
      </c>
      <c r="E141" s="55" t="s">
        <v>329</v>
      </c>
      <c r="F141" s="126" t="str">
        <f>TEXT(Table5[[#This Row],[Date]],"mmm-yy")</f>
        <v>Aug-25</v>
      </c>
      <c r="G141" s="124">
        <f t="shared" si="7"/>
        <v>31</v>
      </c>
      <c r="H141" s="125">
        <f t="shared" si="8"/>
        <v>45884</v>
      </c>
      <c r="I141" s="55">
        <v>8.02</v>
      </c>
      <c r="J141" s="59" t="str">
        <f>IFERROR(Inv_SY!J143/Inv_SY!$Y143-1,"")</f>
        <v/>
      </c>
      <c r="K141" s="59" t="str">
        <f>IFERROR(Inv_SY!K143/Inv_SY!$Y143-1,"")</f>
        <v/>
      </c>
      <c r="L141" s="59" t="str">
        <f>IFERROR(Inv_SY!L143/Inv_SY!$Y143-1,"")</f>
        <v/>
      </c>
      <c r="M141" s="59" t="str">
        <f>IFERROR(Inv_SY!M143/Inv_SY!$Y143-1,"")</f>
        <v/>
      </c>
      <c r="N141" s="59" t="str">
        <f>IFERROR(Inv_SY!N143/Inv_SY!$Y143-1,"")</f>
        <v/>
      </c>
      <c r="O141" s="59" t="str">
        <f>IFERROR(Inv_SY!O143/Inv_SY!$Y143-1,"")</f>
        <v/>
      </c>
      <c r="P141" s="59" t="str">
        <f>IFERROR(Inv_SY!P143/Inv_SY!$Y143-1,"")</f>
        <v/>
      </c>
      <c r="Q141" s="59" t="str">
        <f>IFERROR(Inv_SY!Q143/Inv_SY!$Y143-1,"")</f>
        <v/>
      </c>
      <c r="R141" s="59" t="str">
        <f>IFERROR(Inv_SY!R143/Inv_SY!$Y143-1,"")</f>
        <v/>
      </c>
      <c r="S141" s="59" t="str">
        <f>IFERROR(Inv_SY!S143/Inv_SY!$Y143-1,"")</f>
        <v/>
      </c>
      <c r="T141" s="59" t="str">
        <f>IFERROR(Inv_SY!T143/Inv_SY!$Y143-1,"")</f>
        <v/>
      </c>
      <c r="U141" s="59" t="str">
        <f>IFERROR(Inv_SY!U143/Inv_SY!$Y143-1,"")</f>
        <v/>
      </c>
      <c r="V141" s="59" t="str">
        <f>IFERROR(Inv_SY!J143/Inv_SY!$Z143-1,"")</f>
        <v/>
      </c>
      <c r="W141" s="59" t="str">
        <f>IFERROR(Inv_SY!K143/Inv_SY!$Z143-1,"")</f>
        <v/>
      </c>
      <c r="X141" s="59" t="str">
        <f>IFERROR(Inv_SY!L143/Inv_SY!$Z143-1,"")</f>
        <v/>
      </c>
      <c r="Y141" s="59" t="str">
        <f>IFERROR(Inv_SY!M143/Inv_SY!$Z143-1,"")</f>
        <v/>
      </c>
      <c r="Z141" s="59" t="str">
        <f>IFERROR(Inv_SY!N143/Inv_SY!$Z143-1,"")</f>
        <v/>
      </c>
      <c r="AA141" s="59" t="str">
        <f>IFERROR(Inv_SY!O143/Inv_SY!$Z143-1,"")</f>
        <v/>
      </c>
      <c r="AB141" s="59" t="str">
        <f>IFERROR(Inv_SY!P143/Inv_SY!$Z143-1,"")</f>
        <v/>
      </c>
      <c r="AC141" s="59" t="str">
        <f>IFERROR(Inv_SY!Q143/Inv_SY!$Z143-1,"")</f>
        <v/>
      </c>
      <c r="AD141" s="59" t="str">
        <f>IFERROR(Inv_SY!R143/Inv_SY!$Z143-1,"")</f>
        <v/>
      </c>
      <c r="AE141" s="59" t="str">
        <f>IFERROR(Inv_SY!S143/Inv_SY!$Z143-1,"")</f>
        <v/>
      </c>
      <c r="AF141" s="59" t="str">
        <f>IFERROR(Inv_SY!T143/Inv_SY!$Z143-1,"")</f>
        <v/>
      </c>
      <c r="AG141" s="59" t="str">
        <f>IFERROR(Inv_SY!U143/Inv_SY!$Z143-1,"")</f>
        <v/>
      </c>
      <c r="AH141" s="59" t="str">
        <f>IFERROR(Inv_SY!V143/Inv_SY!$Y143-1,"")</f>
        <v/>
      </c>
      <c r="AI141" s="59" t="str">
        <f>IFERROR(Inv_SY!W143/Inv_SY!$Y143-1,"")</f>
        <v/>
      </c>
      <c r="AJ141" s="59" t="str">
        <f>IFERROR(Inv_SY!X143/Inv_SY!$Y143-1,"")</f>
        <v/>
      </c>
      <c r="AK141" s="59" t="str">
        <f>IFERROR(Inv_SY!V143/Inv_SY!$Z143-1,"")</f>
        <v/>
      </c>
      <c r="AL141" s="59" t="str">
        <f>IFERROR(Inv_SY!W143/Inv_SY!$Z143-1,"")</f>
        <v/>
      </c>
      <c r="AM141" s="59" t="str">
        <f>IFERROR(Inv_SY!X143/Inv_SY!$Z143-1,"")</f>
        <v/>
      </c>
    </row>
    <row r="142" spans="1:39" x14ac:dyDescent="0.3">
      <c r="A142" s="55">
        <f>YEAR(Table5[[#This Row],[Date]])+IF(MONTH(Table5[[#This Row],[Date]])&gt;=4,1,0)</f>
        <v>2026</v>
      </c>
      <c r="B142" s="55">
        <v>102</v>
      </c>
      <c r="C142" s="124">
        <f>YEAR(Table5[[#This Row],[Date]])</f>
        <v>2025</v>
      </c>
      <c r="D142" s="55" t="s">
        <v>329</v>
      </c>
      <c r="E142" s="55" t="s">
        <v>329</v>
      </c>
      <c r="F142" s="126" t="str">
        <f>TEXT(Table5[[#This Row],[Date]],"mmm-yy")</f>
        <v>Aug-25</v>
      </c>
      <c r="G142" s="124">
        <f t="shared" si="7"/>
        <v>31</v>
      </c>
      <c r="H142" s="125">
        <f t="shared" si="8"/>
        <v>45885</v>
      </c>
      <c r="I142" s="55">
        <v>8.02</v>
      </c>
      <c r="J142" s="59" t="str">
        <f>IFERROR(Inv_SY!J144/Inv_SY!$Y144-1,"")</f>
        <v/>
      </c>
      <c r="K142" s="59" t="str">
        <f>IFERROR(Inv_SY!K144/Inv_SY!$Y144-1,"")</f>
        <v/>
      </c>
      <c r="L142" s="59" t="str">
        <f>IFERROR(Inv_SY!L144/Inv_SY!$Y144-1,"")</f>
        <v/>
      </c>
      <c r="M142" s="59" t="str">
        <f>IFERROR(Inv_SY!M144/Inv_SY!$Y144-1,"")</f>
        <v/>
      </c>
      <c r="N142" s="59" t="str">
        <f>IFERROR(Inv_SY!N144/Inv_SY!$Y144-1,"")</f>
        <v/>
      </c>
      <c r="O142" s="59" t="str">
        <f>IFERROR(Inv_SY!O144/Inv_SY!$Y144-1,"")</f>
        <v/>
      </c>
      <c r="P142" s="59" t="str">
        <f>IFERROR(Inv_SY!P144/Inv_SY!$Y144-1,"")</f>
        <v/>
      </c>
      <c r="Q142" s="59" t="str">
        <f>IFERROR(Inv_SY!Q144/Inv_SY!$Y144-1,"")</f>
        <v/>
      </c>
      <c r="R142" s="59" t="str">
        <f>IFERROR(Inv_SY!R144/Inv_SY!$Y144-1,"")</f>
        <v/>
      </c>
      <c r="S142" s="59" t="str">
        <f>IFERROR(Inv_SY!S144/Inv_SY!$Y144-1,"")</f>
        <v/>
      </c>
      <c r="T142" s="59" t="str">
        <f>IFERROR(Inv_SY!T144/Inv_SY!$Y144-1,"")</f>
        <v/>
      </c>
      <c r="U142" s="59" t="str">
        <f>IFERROR(Inv_SY!U144/Inv_SY!$Y144-1,"")</f>
        <v/>
      </c>
      <c r="V142" s="59" t="str">
        <f>IFERROR(Inv_SY!J144/Inv_SY!$Z144-1,"")</f>
        <v/>
      </c>
      <c r="W142" s="59" t="str">
        <f>IFERROR(Inv_SY!K144/Inv_SY!$Z144-1,"")</f>
        <v/>
      </c>
      <c r="X142" s="59" t="str">
        <f>IFERROR(Inv_SY!L144/Inv_SY!$Z144-1,"")</f>
        <v/>
      </c>
      <c r="Y142" s="59" t="str">
        <f>IFERROR(Inv_SY!M144/Inv_SY!$Z144-1,"")</f>
        <v/>
      </c>
      <c r="Z142" s="59" t="str">
        <f>IFERROR(Inv_SY!N144/Inv_SY!$Z144-1,"")</f>
        <v/>
      </c>
      <c r="AA142" s="59" t="str">
        <f>IFERROR(Inv_SY!O144/Inv_SY!$Z144-1,"")</f>
        <v/>
      </c>
      <c r="AB142" s="59" t="str">
        <f>IFERROR(Inv_SY!P144/Inv_SY!$Z144-1,"")</f>
        <v/>
      </c>
      <c r="AC142" s="59" t="str">
        <f>IFERROR(Inv_SY!Q144/Inv_SY!$Z144-1,"")</f>
        <v/>
      </c>
      <c r="AD142" s="59" t="str">
        <f>IFERROR(Inv_SY!R144/Inv_SY!$Z144-1,"")</f>
        <v/>
      </c>
      <c r="AE142" s="59" t="str">
        <f>IFERROR(Inv_SY!S144/Inv_SY!$Z144-1,"")</f>
        <v/>
      </c>
      <c r="AF142" s="59" t="str">
        <f>IFERROR(Inv_SY!T144/Inv_SY!$Z144-1,"")</f>
        <v/>
      </c>
      <c r="AG142" s="59" t="str">
        <f>IFERROR(Inv_SY!U144/Inv_SY!$Z144-1,"")</f>
        <v/>
      </c>
      <c r="AH142" s="59" t="str">
        <f>IFERROR(Inv_SY!V144/Inv_SY!$Y144-1,"")</f>
        <v/>
      </c>
      <c r="AI142" s="59" t="str">
        <f>IFERROR(Inv_SY!W144/Inv_SY!$Y144-1,"")</f>
        <v/>
      </c>
      <c r="AJ142" s="59" t="str">
        <f>IFERROR(Inv_SY!X144/Inv_SY!$Y144-1,"")</f>
        <v/>
      </c>
      <c r="AK142" s="59" t="str">
        <f>IFERROR(Inv_SY!V144/Inv_SY!$Z144-1,"")</f>
        <v/>
      </c>
      <c r="AL142" s="59" t="str">
        <f>IFERROR(Inv_SY!W144/Inv_SY!$Z144-1,"")</f>
        <v/>
      </c>
      <c r="AM142" s="59" t="str">
        <f>IFERROR(Inv_SY!X144/Inv_SY!$Z144-1,"")</f>
        <v/>
      </c>
    </row>
    <row r="143" spans="1:39" x14ac:dyDescent="0.3">
      <c r="A143" s="55">
        <f>YEAR(Table5[[#This Row],[Date]])+IF(MONTH(Table5[[#This Row],[Date]])&gt;=4,1,0)</f>
        <v>2026</v>
      </c>
      <c r="B143" s="55">
        <v>103</v>
      </c>
      <c r="C143" s="124">
        <f>YEAR(Table5[[#This Row],[Date]])</f>
        <v>2025</v>
      </c>
      <c r="D143" s="55" t="s">
        <v>329</v>
      </c>
      <c r="E143" s="55" t="s">
        <v>329</v>
      </c>
      <c r="F143" s="126" t="str">
        <f>TEXT(Table5[[#This Row],[Date]],"mmm-yy")</f>
        <v>Aug-25</v>
      </c>
      <c r="G143" s="124">
        <f t="shared" si="7"/>
        <v>31</v>
      </c>
      <c r="H143" s="125">
        <f t="shared" si="8"/>
        <v>45886</v>
      </c>
      <c r="I143" s="55">
        <v>8.02</v>
      </c>
      <c r="J143" s="59" t="str">
        <f>IFERROR(Inv_SY!J145/Inv_SY!$Y145-1,"")</f>
        <v/>
      </c>
      <c r="K143" s="59" t="str">
        <f>IFERROR(Inv_SY!K145/Inv_SY!$Y145-1,"")</f>
        <v/>
      </c>
      <c r="L143" s="59" t="str">
        <f>IFERROR(Inv_SY!L145/Inv_SY!$Y145-1,"")</f>
        <v/>
      </c>
      <c r="M143" s="59" t="str">
        <f>IFERROR(Inv_SY!M145/Inv_SY!$Y145-1,"")</f>
        <v/>
      </c>
      <c r="N143" s="59" t="str">
        <f>IFERROR(Inv_SY!N145/Inv_SY!$Y145-1,"")</f>
        <v/>
      </c>
      <c r="O143" s="59" t="str">
        <f>IFERROR(Inv_SY!O145/Inv_SY!$Y145-1,"")</f>
        <v/>
      </c>
      <c r="P143" s="59" t="str">
        <f>IFERROR(Inv_SY!P145/Inv_SY!$Y145-1,"")</f>
        <v/>
      </c>
      <c r="Q143" s="59" t="str">
        <f>IFERROR(Inv_SY!Q145/Inv_SY!$Y145-1,"")</f>
        <v/>
      </c>
      <c r="R143" s="59" t="str">
        <f>IFERROR(Inv_SY!R145/Inv_SY!$Y145-1,"")</f>
        <v/>
      </c>
      <c r="S143" s="59" t="str">
        <f>IFERROR(Inv_SY!S145/Inv_SY!$Y145-1,"")</f>
        <v/>
      </c>
      <c r="T143" s="59" t="str">
        <f>IFERROR(Inv_SY!T145/Inv_SY!$Y145-1,"")</f>
        <v/>
      </c>
      <c r="U143" s="59" t="str">
        <f>IFERROR(Inv_SY!U145/Inv_SY!$Y145-1,"")</f>
        <v/>
      </c>
      <c r="V143" s="59" t="str">
        <f>IFERROR(Inv_SY!J145/Inv_SY!$Z145-1,"")</f>
        <v/>
      </c>
      <c r="W143" s="59" t="str">
        <f>IFERROR(Inv_SY!K145/Inv_SY!$Z145-1,"")</f>
        <v/>
      </c>
      <c r="X143" s="59" t="str">
        <f>IFERROR(Inv_SY!L145/Inv_SY!$Z145-1,"")</f>
        <v/>
      </c>
      <c r="Y143" s="59" t="str">
        <f>IFERROR(Inv_SY!M145/Inv_SY!$Z145-1,"")</f>
        <v/>
      </c>
      <c r="Z143" s="59" t="str">
        <f>IFERROR(Inv_SY!N145/Inv_SY!$Z145-1,"")</f>
        <v/>
      </c>
      <c r="AA143" s="59" t="str">
        <f>IFERROR(Inv_SY!O145/Inv_SY!$Z145-1,"")</f>
        <v/>
      </c>
      <c r="AB143" s="59" t="str">
        <f>IFERROR(Inv_SY!P145/Inv_SY!$Z145-1,"")</f>
        <v/>
      </c>
      <c r="AC143" s="59" t="str">
        <f>IFERROR(Inv_SY!Q145/Inv_SY!$Z145-1,"")</f>
        <v/>
      </c>
      <c r="AD143" s="59" t="str">
        <f>IFERROR(Inv_SY!R145/Inv_SY!$Z145-1,"")</f>
        <v/>
      </c>
      <c r="AE143" s="59" t="str">
        <f>IFERROR(Inv_SY!S145/Inv_SY!$Z145-1,"")</f>
        <v/>
      </c>
      <c r="AF143" s="59" t="str">
        <f>IFERROR(Inv_SY!T145/Inv_SY!$Z145-1,"")</f>
        <v/>
      </c>
      <c r="AG143" s="59" t="str">
        <f>IFERROR(Inv_SY!U145/Inv_SY!$Z145-1,"")</f>
        <v/>
      </c>
      <c r="AH143" s="59" t="str">
        <f>IFERROR(Inv_SY!V145/Inv_SY!$Y145-1,"")</f>
        <v/>
      </c>
      <c r="AI143" s="59" t="str">
        <f>IFERROR(Inv_SY!W145/Inv_SY!$Y145-1,"")</f>
        <v/>
      </c>
      <c r="AJ143" s="59" t="str">
        <f>IFERROR(Inv_SY!X145/Inv_SY!$Y145-1,"")</f>
        <v/>
      </c>
      <c r="AK143" s="59" t="str">
        <f>IFERROR(Inv_SY!V145/Inv_SY!$Z145-1,"")</f>
        <v/>
      </c>
      <c r="AL143" s="59" t="str">
        <f>IFERROR(Inv_SY!W145/Inv_SY!$Z145-1,"")</f>
        <v/>
      </c>
      <c r="AM143" s="59" t="str">
        <f>IFERROR(Inv_SY!X145/Inv_SY!$Z145-1,"")</f>
        <v/>
      </c>
    </row>
    <row r="144" spans="1:39" x14ac:dyDescent="0.3">
      <c r="A144" s="55">
        <f>YEAR(Table5[[#This Row],[Date]])+IF(MONTH(Table5[[#This Row],[Date]])&gt;=4,1,0)</f>
        <v>2026</v>
      </c>
      <c r="B144" s="55">
        <v>104</v>
      </c>
      <c r="C144" s="124">
        <f>YEAR(Table5[[#This Row],[Date]])</f>
        <v>2025</v>
      </c>
      <c r="D144" s="55" t="s">
        <v>329</v>
      </c>
      <c r="E144" s="55" t="s">
        <v>329</v>
      </c>
      <c r="F144" s="126" t="str">
        <f>TEXT(Table5[[#This Row],[Date]],"mmm-yy")</f>
        <v>Aug-25</v>
      </c>
      <c r="G144" s="124">
        <f t="shared" si="7"/>
        <v>31</v>
      </c>
      <c r="H144" s="125">
        <f t="shared" si="8"/>
        <v>45887</v>
      </c>
      <c r="I144" s="55">
        <v>8.02</v>
      </c>
      <c r="J144" s="59" t="str">
        <f>IFERROR(Inv_SY!J146/Inv_SY!$Y146-1,"")</f>
        <v/>
      </c>
      <c r="K144" s="59" t="str">
        <f>IFERROR(Inv_SY!K146/Inv_SY!$Y146-1,"")</f>
        <v/>
      </c>
      <c r="L144" s="59" t="str">
        <f>IFERROR(Inv_SY!L146/Inv_SY!$Y146-1,"")</f>
        <v/>
      </c>
      <c r="M144" s="59" t="str">
        <f>IFERROR(Inv_SY!M146/Inv_SY!$Y146-1,"")</f>
        <v/>
      </c>
      <c r="N144" s="59" t="str">
        <f>IFERROR(Inv_SY!N146/Inv_SY!$Y146-1,"")</f>
        <v/>
      </c>
      <c r="O144" s="59" t="str">
        <f>IFERROR(Inv_SY!O146/Inv_SY!$Y146-1,"")</f>
        <v/>
      </c>
      <c r="P144" s="59" t="str">
        <f>IFERROR(Inv_SY!P146/Inv_SY!$Y146-1,"")</f>
        <v/>
      </c>
      <c r="Q144" s="59" t="str">
        <f>IFERROR(Inv_SY!Q146/Inv_SY!$Y146-1,"")</f>
        <v/>
      </c>
      <c r="R144" s="59" t="str">
        <f>IFERROR(Inv_SY!R146/Inv_SY!$Y146-1,"")</f>
        <v/>
      </c>
      <c r="S144" s="59" t="str">
        <f>IFERROR(Inv_SY!S146/Inv_SY!$Y146-1,"")</f>
        <v/>
      </c>
      <c r="T144" s="59" t="str">
        <f>IFERROR(Inv_SY!T146/Inv_SY!$Y146-1,"")</f>
        <v/>
      </c>
      <c r="U144" s="59" t="str">
        <f>IFERROR(Inv_SY!U146/Inv_SY!$Y146-1,"")</f>
        <v/>
      </c>
      <c r="V144" s="59" t="str">
        <f>IFERROR(Inv_SY!J146/Inv_SY!$Z146-1,"")</f>
        <v/>
      </c>
      <c r="W144" s="59" t="str">
        <f>IFERROR(Inv_SY!K146/Inv_SY!$Z146-1,"")</f>
        <v/>
      </c>
      <c r="X144" s="59" t="str">
        <f>IFERROR(Inv_SY!L146/Inv_SY!$Z146-1,"")</f>
        <v/>
      </c>
      <c r="Y144" s="59" t="str">
        <f>IFERROR(Inv_SY!M146/Inv_SY!$Z146-1,"")</f>
        <v/>
      </c>
      <c r="Z144" s="59" t="str">
        <f>IFERROR(Inv_SY!N146/Inv_SY!$Z146-1,"")</f>
        <v/>
      </c>
      <c r="AA144" s="59" t="str">
        <f>IFERROR(Inv_SY!O146/Inv_SY!$Z146-1,"")</f>
        <v/>
      </c>
      <c r="AB144" s="59" t="str">
        <f>IFERROR(Inv_SY!P146/Inv_SY!$Z146-1,"")</f>
        <v/>
      </c>
      <c r="AC144" s="59" t="str">
        <f>IFERROR(Inv_SY!Q146/Inv_SY!$Z146-1,"")</f>
        <v/>
      </c>
      <c r="AD144" s="59" t="str">
        <f>IFERROR(Inv_SY!R146/Inv_SY!$Z146-1,"")</f>
        <v/>
      </c>
      <c r="AE144" s="59" t="str">
        <f>IFERROR(Inv_SY!S146/Inv_SY!$Z146-1,"")</f>
        <v/>
      </c>
      <c r="AF144" s="59" t="str">
        <f>IFERROR(Inv_SY!T146/Inv_SY!$Z146-1,"")</f>
        <v/>
      </c>
      <c r="AG144" s="59" t="str">
        <f>IFERROR(Inv_SY!U146/Inv_SY!$Z146-1,"")</f>
        <v/>
      </c>
      <c r="AH144" s="59" t="str">
        <f>IFERROR(Inv_SY!V146/Inv_SY!$Y146-1,"")</f>
        <v/>
      </c>
      <c r="AI144" s="59" t="str">
        <f>IFERROR(Inv_SY!W146/Inv_SY!$Y146-1,"")</f>
        <v/>
      </c>
      <c r="AJ144" s="59" t="str">
        <f>IFERROR(Inv_SY!X146/Inv_SY!$Y146-1,"")</f>
        <v/>
      </c>
      <c r="AK144" s="59" t="str">
        <f>IFERROR(Inv_SY!V146/Inv_SY!$Z146-1,"")</f>
        <v/>
      </c>
      <c r="AL144" s="59" t="str">
        <f>IFERROR(Inv_SY!W146/Inv_SY!$Z146-1,"")</f>
        <v/>
      </c>
      <c r="AM144" s="59" t="str">
        <f>IFERROR(Inv_SY!X146/Inv_SY!$Z146-1,"")</f>
        <v/>
      </c>
    </row>
    <row r="145" spans="1:39" x14ac:dyDescent="0.3">
      <c r="A145" s="55">
        <f>YEAR(Table5[[#This Row],[Date]])+IF(MONTH(Table5[[#This Row],[Date]])&gt;=4,1,0)</f>
        <v>2026</v>
      </c>
      <c r="B145" s="55">
        <v>105</v>
      </c>
      <c r="C145" s="124">
        <f>YEAR(Table5[[#This Row],[Date]])</f>
        <v>2025</v>
      </c>
      <c r="D145" s="55" t="s">
        <v>329</v>
      </c>
      <c r="E145" s="55" t="s">
        <v>329</v>
      </c>
      <c r="F145" s="126" t="str">
        <f>TEXT(Table5[[#This Row],[Date]],"mmm-yy")</f>
        <v>Aug-25</v>
      </c>
      <c r="G145" s="124">
        <f t="shared" si="7"/>
        <v>31</v>
      </c>
      <c r="H145" s="125">
        <f t="shared" si="8"/>
        <v>45888</v>
      </c>
      <c r="I145" s="55">
        <v>8.02</v>
      </c>
      <c r="J145" s="59" t="str">
        <f>IFERROR(Inv_SY!J147/Inv_SY!$Y147-1,"")</f>
        <v/>
      </c>
      <c r="K145" s="59" t="str">
        <f>IFERROR(Inv_SY!K147/Inv_SY!$Y147-1,"")</f>
        <v/>
      </c>
      <c r="L145" s="59" t="str">
        <f>IFERROR(Inv_SY!L147/Inv_SY!$Y147-1,"")</f>
        <v/>
      </c>
      <c r="M145" s="59" t="str">
        <f>IFERROR(Inv_SY!M147/Inv_SY!$Y147-1,"")</f>
        <v/>
      </c>
      <c r="N145" s="59" t="str">
        <f>IFERROR(Inv_SY!N147/Inv_SY!$Y147-1,"")</f>
        <v/>
      </c>
      <c r="O145" s="59" t="str">
        <f>IFERROR(Inv_SY!O147/Inv_SY!$Y147-1,"")</f>
        <v/>
      </c>
      <c r="P145" s="59" t="str">
        <f>IFERROR(Inv_SY!P147/Inv_SY!$Y147-1,"")</f>
        <v/>
      </c>
      <c r="Q145" s="59" t="str">
        <f>IFERROR(Inv_SY!Q147/Inv_SY!$Y147-1,"")</f>
        <v/>
      </c>
      <c r="R145" s="59" t="str">
        <f>IFERROR(Inv_SY!R147/Inv_SY!$Y147-1,"")</f>
        <v/>
      </c>
      <c r="S145" s="59" t="str">
        <f>IFERROR(Inv_SY!S147/Inv_SY!$Y147-1,"")</f>
        <v/>
      </c>
      <c r="T145" s="59" t="str">
        <f>IFERROR(Inv_SY!T147/Inv_SY!$Y147-1,"")</f>
        <v/>
      </c>
      <c r="U145" s="59" t="str">
        <f>IFERROR(Inv_SY!U147/Inv_SY!$Y147-1,"")</f>
        <v/>
      </c>
      <c r="V145" s="59" t="str">
        <f>IFERROR(Inv_SY!J147/Inv_SY!$Z147-1,"")</f>
        <v/>
      </c>
      <c r="W145" s="59" t="str">
        <f>IFERROR(Inv_SY!K147/Inv_SY!$Z147-1,"")</f>
        <v/>
      </c>
      <c r="X145" s="59" t="str">
        <f>IFERROR(Inv_SY!L147/Inv_SY!$Z147-1,"")</f>
        <v/>
      </c>
      <c r="Y145" s="59" t="str">
        <f>IFERROR(Inv_SY!M147/Inv_SY!$Z147-1,"")</f>
        <v/>
      </c>
      <c r="Z145" s="59" t="str">
        <f>IFERROR(Inv_SY!N147/Inv_SY!$Z147-1,"")</f>
        <v/>
      </c>
      <c r="AA145" s="59" t="str">
        <f>IFERROR(Inv_SY!O147/Inv_SY!$Z147-1,"")</f>
        <v/>
      </c>
      <c r="AB145" s="59" t="str">
        <f>IFERROR(Inv_SY!P147/Inv_SY!$Z147-1,"")</f>
        <v/>
      </c>
      <c r="AC145" s="59" t="str">
        <f>IFERROR(Inv_SY!Q147/Inv_SY!$Z147-1,"")</f>
        <v/>
      </c>
      <c r="AD145" s="59" t="str">
        <f>IFERROR(Inv_SY!R147/Inv_SY!$Z147-1,"")</f>
        <v/>
      </c>
      <c r="AE145" s="59" t="str">
        <f>IFERROR(Inv_SY!S147/Inv_SY!$Z147-1,"")</f>
        <v/>
      </c>
      <c r="AF145" s="59" t="str">
        <f>IFERROR(Inv_SY!T147/Inv_SY!$Z147-1,"")</f>
        <v/>
      </c>
      <c r="AG145" s="59" t="str">
        <f>IFERROR(Inv_SY!U147/Inv_SY!$Z147-1,"")</f>
        <v/>
      </c>
      <c r="AH145" s="59" t="str">
        <f>IFERROR(Inv_SY!V147/Inv_SY!$Y147-1,"")</f>
        <v/>
      </c>
      <c r="AI145" s="59" t="str">
        <f>IFERROR(Inv_SY!W147/Inv_SY!$Y147-1,"")</f>
        <v/>
      </c>
      <c r="AJ145" s="59" t="str">
        <f>IFERROR(Inv_SY!X147/Inv_SY!$Y147-1,"")</f>
        <v/>
      </c>
      <c r="AK145" s="59" t="str">
        <f>IFERROR(Inv_SY!V147/Inv_SY!$Z147-1,"")</f>
        <v/>
      </c>
      <c r="AL145" s="59" t="str">
        <f>IFERROR(Inv_SY!W147/Inv_SY!$Z147-1,"")</f>
        <v/>
      </c>
      <c r="AM145" s="59" t="str">
        <f>IFERROR(Inv_SY!X147/Inv_SY!$Z147-1,"")</f>
        <v/>
      </c>
    </row>
    <row r="146" spans="1:39" x14ac:dyDescent="0.3">
      <c r="A146" s="55">
        <f>YEAR(Table5[[#This Row],[Date]])+IF(MONTH(Table5[[#This Row],[Date]])&gt;=4,1,0)</f>
        <v>2026</v>
      </c>
      <c r="B146" s="55">
        <v>106</v>
      </c>
      <c r="C146" s="124">
        <f>YEAR(Table5[[#This Row],[Date]])</f>
        <v>2025</v>
      </c>
      <c r="D146" s="55" t="s">
        <v>329</v>
      </c>
      <c r="E146" s="55" t="s">
        <v>329</v>
      </c>
      <c r="F146" s="126" t="str">
        <f>TEXT(Table5[[#This Row],[Date]],"mmm-yy")</f>
        <v>Aug-25</v>
      </c>
      <c r="G146" s="124">
        <f t="shared" si="7"/>
        <v>31</v>
      </c>
      <c r="H146" s="125">
        <f t="shared" si="8"/>
        <v>45889</v>
      </c>
      <c r="I146" s="55">
        <v>8.02</v>
      </c>
      <c r="J146" s="59" t="str">
        <f>IFERROR(Inv_SY!J148/Inv_SY!$Y148-1,"")</f>
        <v/>
      </c>
      <c r="K146" s="59" t="str">
        <f>IFERROR(Inv_SY!K148/Inv_SY!$Y148-1,"")</f>
        <v/>
      </c>
      <c r="L146" s="59" t="str">
        <f>IFERROR(Inv_SY!L148/Inv_SY!$Y148-1,"")</f>
        <v/>
      </c>
      <c r="M146" s="59" t="str">
        <f>IFERROR(Inv_SY!M148/Inv_SY!$Y148-1,"")</f>
        <v/>
      </c>
      <c r="N146" s="59" t="str">
        <f>IFERROR(Inv_SY!N148/Inv_SY!$Y148-1,"")</f>
        <v/>
      </c>
      <c r="O146" s="59" t="str">
        <f>IFERROR(Inv_SY!O148/Inv_SY!$Y148-1,"")</f>
        <v/>
      </c>
      <c r="P146" s="59" t="str">
        <f>IFERROR(Inv_SY!P148/Inv_SY!$Y148-1,"")</f>
        <v/>
      </c>
      <c r="Q146" s="59" t="str">
        <f>IFERROR(Inv_SY!Q148/Inv_SY!$Y148-1,"")</f>
        <v/>
      </c>
      <c r="R146" s="59" t="str">
        <f>IFERROR(Inv_SY!R148/Inv_SY!$Y148-1,"")</f>
        <v/>
      </c>
      <c r="S146" s="59" t="str">
        <f>IFERROR(Inv_SY!S148/Inv_SY!$Y148-1,"")</f>
        <v/>
      </c>
      <c r="T146" s="59" t="str">
        <f>IFERROR(Inv_SY!T148/Inv_SY!$Y148-1,"")</f>
        <v/>
      </c>
      <c r="U146" s="59" t="str">
        <f>IFERROR(Inv_SY!U148/Inv_SY!$Y148-1,"")</f>
        <v/>
      </c>
      <c r="V146" s="59" t="str">
        <f>IFERROR(Inv_SY!J148/Inv_SY!$Z148-1,"")</f>
        <v/>
      </c>
      <c r="W146" s="59" t="str">
        <f>IFERROR(Inv_SY!K148/Inv_SY!$Z148-1,"")</f>
        <v/>
      </c>
      <c r="X146" s="59" t="str">
        <f>IFERROR(Inv_SY!L148/Inv_SY!$Z148-1,"")</f>
        <v/>
      </c>
      <c r="Y146" s="59" t="str">
        <f>IFERROR(Inv_SY!M148/Inv_SY!$Z148-1,"")</f>
        <v/>
      </c>
      <c r="Z146" s="59" t="str">
        <f>IFERROR(Inv_SY!N148/Inv_SY!$Z148-1,"")</f>
        <v/>
      </c>
      <c r="AA146" s="59" t="str">
        <f>IFERROR(Inv_SY!O148/Inv_SY!$Z148-1,"")</f>
        <v/>
      </c>
      <c r="AB146" s="59" t="str">
        <f>IFERROR(Inv_SY!P148/Inv_SY!$Z148-1,"")</f>
        <v/>
      </c>
      <c r="AC146" s="59" t="str">
        <f>IFERROR(Inv_SY!Q148/Inv_SY!$Z148-1,"")</f>
        <v/>
      </c>
      <c r="AD146" s="59" t="str">
        <f>IFERROR(Inv_SY!R148/Inv_SY!$Z148-1,"")</f>
        <v/>
      </c>
      <c r="AE146" s="59" t="str">
        <f>IFERROR(Inv_SY!S148/Inv_SY!$Z148-1,"")</f>
        <v/>
      </c>
      <c r="AF146" s="59" t="str">
        <f>IFERROR(Inv_SY!T148/Inv_SY!$Z148-1,"")</f>
        <v/>
      </c>
      <c r="AG146" s="59" t="str">
        <f>IFERROR(Inv_SY!U148/Inv_SY!$Z148-1,"")</f>
        <v/>
      </c>
      <c r="AH146" s="59" t="str">
        <f>IFERROR(Inv_SY!V148/Inv_SY!$Y148-1,"")</f>
        <v/>
      </c>
      <c r="AI146" s="59" t="str">
        <f>IFERROR(Inv_SY!W148/Inv_SY!$Y148-1,"")</f>
        <v/>
      </c>
      <c r="AJ146" s="59" t="str">
        <f>IFERROR(Inv_SY!X148/Inv_SY!$Y148-1,"")</f>
        <v/>
      </c>
      <c r="AK146" s="59" t="str">
        <f>IFERROR(Inv_SY!V148/Inv_SY!$Z148-1,"")</f>
        <v/>
      </c>
      <c r="AL146" s="59" t="str">
        <f>IFERROR(Inv_SY!W148/Inv_SY!$Z148-1,"")</f>
        <v/>
      </c>
      <c r="AM146" s="59" t="str">
        <f>IFERROR(Inv_SY!X148/Inv_SY!$Z148-1,"")</f>
        <v/>
      </c>
    </row>
    <row r="147" spans="1:39" x14ac:dyDescent="0.3">
      <c r="A147" s="55">
        <f>YEAR(Table5[[#This Row],[Date]])+IF(MONTH(Table5[[#This Row],[Date]])&gt;=4,1,0)</f>
        <v>2026</v>
      </c>
      <c r="B147" s="55">
        <v>107</v>
      </c>
      <c r="C147" s="124">
        <f>YEAR(Table5[[#This Row],[Date]])</f>
        <v>2025</v>
      </c>
      <c r="D147" s="55" t="s">
        <v>329</v>
      </c>
      <c r="E147" s="55" t="s">
        <v>329</v>
      </c>
      <c r="F147" s="126" t="str">
        <f>TEXT(Table5[[#This Row],[Date]],"mmm-yy")</f>
        <v>Aug-25</v>
      </c>
      <c r="G147" s="124">
        <f t="shared" si="7"/>
        <v>31</v>
      </c>
      <c r="H147" s="125">
        <f t="shared" si="8"/>
        <v>45890</v>
      </c>
      <c r="I147" s="55">
        <v>8.02</v>
      </c>
      <c r="J147" s="59" t="str">
        <f>IFERROR(Inv_SY!J149/Inv_SY!$Y149-1,"")</f>
        <v/>
      </c>
      <c r="K147" s="59" t="str">
        <f>IFERROR(Inv_SY!K149/Inv_SY!$Y149-1,"")</f>
        <v/>
      </c>
      <c r="L147" s="59" t="str">
        <f>IFERROR(Inv_SY!L149/Inv_SY!$Y149-1,"")</f>
        <v/>
      </c>
      <c r="M147" s="59" t="str">
        <f>IFERROR(Inv_SY!M149/Inv_SY!$Y149-1,"")</f>
        <v/>
      </c>
      <c r="N147" s="59" t="str">
        <f>IFERROR(Inv_SY!N149/Inv_SY!$Y149-1,"")</f>
        <v/>
      </c>
      <c r="O147" s="59" t="str">
        <f>IFERROR(Inv_SY!O149/Inv_SY!$Y149-1,"")</f>
        <v/>
      </c>
      <c r="P147" s="59" t="str">
        <f>IFERROR(Inv_SY!P149/Inv_SY!$Y149-1,"")</f>
        <v/>
      </c>
      <c r="Q147" s="59" t="str">
        <f>IFERROR(Inv_SY!Q149/Inv_SY!$Y149-1,"")</f>
        <v/>
      </c>
      <c r="R147" s="59" t="str">
        <f>IFERROR(Inv_SY!R149/Inv_SY!$Y149-1,"")</f>
        <v/>
      </c>
      <c r="S147" s="59" t="str">
        <f>IFERROR(Inv_SY!S149/Inv_SY!$Y149-1,"")</f>
        <v/>
      </c>
      <c r="T147" s="59" t="str">
        <f>IFERROR(Inv_SY!T149/Inv_SY!$Y149-1,"")</f>
        <v/>
      </c>
      <c r="U147" s="59" t="str">
        <f>IFERROR(Inv_SY!U149/Inv_SY!$Y149-1,"")</f>
        <v/>
      </c>
      <c r="V147" s="59" t="str">
        <f>IFERROR(Inv_SY!J149/Inv_SY!$Z149-1,"")</f>
        <v/>
      </c>
      <c r="W147" s="59" t="str">
        <f>IFERROR(Inv_SY!K149/Inv_SY!$Z149-1,"")</f>
        <v/>
      </c>
      <c r="X147" s="59" t="str">
        <f>IFERROR(Inv_SY!L149/Inv_SY!$Z149-1,"")</f>
        <v/>
      </c>
      <c r="Y147" s="59" t="str">
        <f>IFERROR(Inv_SY!M149/Inv_SY!$Z149-1,"")</f>
        <v/>
      </c>
      <c r="Z147" s="59" t="str">
        <f>IFERROR(Inv_SY!N149/Inv_SY!$Z149-1,"")</f>
        <v/>
      </c>
      <c r="AA147" s="59" t="str">
        <f>IFERROR(Inv_SY!O149/Inv_SY!$Z149-1,"")</f>
        <v/>
      </c>
      <c r="AB147" s="59" t="str">
        <f>IFERROR(Inv_SY!P149/Inv_SY!$Z149-1,"")</f>
        <v/>
      </c>
      <c r="AC147" s="59" t="str">
        <f>IFERROR(Inv_SY!Q149/Inv_SY!$Z149-1,"")</f>
        <v/>
      </c>
      <c r="AD147" s="59" t="str">
        <f>IFERROR(Inv_SY!R149/Inv_SY!$Z149-1,"")</f>
        <v/>
      </c>
      <c r="AE147" s="59" t="str">
        <f>IFERROR(Inv_SY!S149/Inv_SY!$Z149-1,"")</f>
        <v/>
      </c>
      <c r="AF147" s="59" t="str">
        <f>IFERROR(Inv_SY!T149/Inv_SY!$Z149-1,"")</f>
        <v/>
      </c>
      <c r="AG147" s="59" t="str">
        <f>IFERROR(Inv_SY!U149/Inv_SY!$Z149-1,"")</f>
        <v/>
      </c>
      <c r="AH147" s="59" t="str">
        <f>IFERROR(Inv_SY!V149/Inv_SY!$Y149-1,"")</f>
        <v/>
      </c>
      <c r="AI147" s="59" t="str">
        <f>IFERROR(Inv_SY!W149/Inv_SY!$Y149-1,"")</f>
        <v/>
      </c>
      <c r="AJ147" s="59" t="str">
        <f>IFERROR(Inv_SY!X149/Inv_SY!$Y149-1,"")</f>
        <v/>
      </c>
      <c r="AK147" s="59" t="str">
        <f>IFERROR(Inv_SY!V149/Inv_SY!$Z149-1,"")</f>
        <v/>
      </c>
      <c r="AL147" s="59" t="str">
        <f>IFERROR(Inv_SY!W149/Inv_SY!$Z149-1,"")</f>
        <v/>
      </c>
      <c r="AM147" s="59" t="str">
        <f>IFERROR(Inv_SY!X149/Inv_SY!$Z149-1,"")</f>
        <v/>
      </c>
    </row>
    <row r="148" spans="1:39" x14ac:dyDescent="0.3">
      <c r="A148" s="55">
        <f>YEAR(Table5[[#This Row],[Date]])+IF(MONTH(Table5[[#This Row],[Date]])&gt;=4,1,0)</f>
        <v>2026</v>
      </c>
      <c r="B148" s="55">
        <v>108</v>
      </c>
      <c r="C148" s="124">
        <f>YEAR(Table5[[#This Row],[Date]])</f>
        <v>2025</v>
      </c>
      <c r="D148" s="55" t="s">
        <v>329</v>
      </c>
      <c r="E148" s="55" t="s">
        <v>329</v>
      </c>
      <c r="F148" s="126" t="str">
        <f>TEXT(Table5[[#This Row],[Date]],"mmm-yy")</f>
        <v>Aug-25</v>
      </c>
      <c r="G148" s="124">
        <f t="shared" si="7"/>
        <v>31</v>
      </c>
      <c r="H148" s="125">
        <f t="shared" si="8"/>
        <v>45891</v>
      </c>
      <c r="I148" s="55">
        <v>8.02</v>
      </c>
      <c r="J148" s="59" t="str">
        <f>IFERROR(Inv_SY!J150/Inv_SY!$Y150-1,"")</f>
        <v/>
      </c>
      <c r="K148" s="59" t="str">
        <f>IFERROR(Inv_SY!K150/Inv_SY!$Y150-1,"")</f>
        <v/>
      </c>
      <c r="L148" s="59" t="str">
        <f>IFERROR(Inv_SY!L150/Inv_SY!$Y150-1,"")</f>
        <v/>
      </c>
      <c r="M148" s="59" t="str">
        <f>IFERROR(Inv_SY!M150/Inv_SY!$Y150-1,"")</f>
        <v/>
      </c>
      <c r="N148" s="59" t="str">
        <f>IFERROR(Inv_SY!N150/Inv_SY!$Y150-1,"")</f>
        <v/>
      </c>
      <c r="O148" s="59" t="str">
        <f>IFERROR(Inv_SY!O150/Inv_SY!$Y150-1,"")</f>
        <v/>
      </c>
      <c r="P148" s="59" t="str">
        <f>IFERROR(Inv_SY!P150/Inv_SY!$Y150-1,"")</f>
        <v/>
      </c>
      <c r="Q148" s="59" t="str">
        <f>IFERROR(Inv_SY!Q150/Inv_SY!$Y150-1,"")</f>
        <v/>
      </c>
      <c r="R148" s="59" t="str">
        <f>IFERROR(Inv_SY!R150/Inv_SY!$Y150-1,"")</f>
        <v/>
      </c>
      <c r="S148" s="59" t="str">
        <f>IFERROR(Inv_SY!S150/Inv_SY!$Y150-1,"")</f>
        <v/>
      </c>
      <c r="T148" s="59" t="str">
        <f>IFERROR(Inv_SY!T150/Inv_SY!$Y150-1,"")</f>
        <v/>
      </c>
      <c r="U148" s="59" t="str">
        <f>IFERROR(Inv_SY!U150/Inv_SY!$Y150-1,"")</f>
        <v/>
      </c>
      <c r="V148" s="59" t="str">
        <f>IFERROR(Inv_SY!J150/Inv_SY!$Z150-1,"")</f>
        <v/>
      </c>
      <c r="W148" s="59" t="str">
        <f>IFERROR(Inv_SY!K150/Inv_SY!$Z150-1,"")</f>
        <v/>
      </c>
      <c r="X148" s="59" t="str">
        <f>IFERROR(Inv_SY!L150/Inv_SY!$Z150-1,"")</f>
        <v/>
      </c>
      <c r="Y148" s="59" t="str">
        <f>IFERROR(Inv_SY!M150/Inv_SY!$Z150-1,"")</f>
        <v/>
      </c>
      <c r="Z148" s="59" t="str">
        <f>IFERROR(Inv_SY!N150/Inv_SY!$Z150-1,"")</f>
        <v/>
      </c>
      <c r="AA148" s="59" t="str">
        <f>IFERROR(Inv_SY!O150/Inv_SY!$Z150-1,"")</f>
        <v/>
      </c>
      <c r="AB148" s="59" t="str">
        <f>IFERROR(Inv_SY!P150/Inv_SY!$Z150-1,"")</f>
        <v/>
      </c>
      <c r="AC148" s="59" t="str">
        <f>IFERROR(Inv_SY!Q150/Inv_SY!$Z150-1,"")</f>
        <v/>
      </c>
      <c r="AD148" s="59" t="str">
        <f>IFERROR(Inv_SY!R150/Inv_SY!$Z150-1,"")</f>
        <v/>
      </c>
      <c r="AE148" s="59" t="str">
        <f>IFERROR(Inv_SY!S150/Inv_SY!$Z150-1,"")</f>
        <v/>
      </c>
      <c r="AF148" s="59" t="str">
        <f>IFERROR(Inv_SY!T150/Inv_SY!$Z150-1,"")</f>
        <v/>
      </c>
      <c r="AG148" s="59" t="str">
        <f>IFERROR(Inv_SY!U150/Inv_SY!$Z150-1,"")</f>
        <v/>
      </c>
      <c r="AH148" s="59" t="str">
        <f>IFERROR(Inv_SY!V150/Inv_SY!$Y150-1,"")</f>
        <v/>
      </c>
      <c r="AI148" s="59" t="str">
        <f>IFERROR(Inv_SY!W150/Inv_SY!$Y150-1,"")</f>
        <v/>
      </c>
      <c r="AJ148" s="59" t="str">
        <f>IFERROR(Inv_SY!X150/Inv_SY!$Y150-1,"")</f>
        <v/>
      </c>
      <c r="AK148" s="59" t="str">
        <f>IFERROR(Inv_SY!V150/Inv_SY!$Z150-1,"")</f>
        <v/>
      </c>
      <c r="AL148" s="59" t="str">
        <f>IFERROR(Inv_SY!W150/Inv_SY!$Z150-1,"")</f>
        <v/>
      </c>
      <c r="AM148" s="59" t="str">
        <f>IFERROR(Inv_SY!X150/Inv_SY!$Z150-1,"")</f>
        <v/>
      </c>
    </row>
    <row r="149" spans="1:39" x14ac:dyDescent="0.3">
      <c r="A149" s="55">
        <f>YEAR(Table5[[#This Row],[Date]])+IF(MONTH(Table5[[#This Row],[Date]])&gt;=4,1,0)</f>
        <v>2026</v>
      </c>
      <c r="B149" s="55">
        <v>109</v>
      </c>
      <c r="C149" s="124">
        <f>YEAR(Table5[[#This Row],[Date]])</f>
        <v>2025</v>
      </c>
      <c r="D149" s="55" t="s">
        <v>329</v>
      </c>
      <c r="E149" s="55" t="s">
        <v>329</v>
      </c>
      <c r="F149" s="126" t="str">
        <f>TEXT(Table5[[#This Row],[Date]],"mmm-yy")</f>
        <v>Aug-25</v>
      </c>
      <c r="G149" s="124">
        <f t="shared" si="7"/>
        <v>31</v>
      </c>
      <c r="H149" s="125">
        <f t="shared" si="8"/>
        <v>45892</v>
      </c>
      <c r="I149" s="55">
        <v>8.02</v>
      </c>
      <c r="J149" s="59" t="str">
        <f>IFERROR(Inv_SY!J151/Inv_SY!$Y151-1,"")</f>
        <v/>
      </c>
      <c r="K149" s="59" t="str">
        <f>IFERROR(Inv_SY!K151/Inv_SY!$Y151-1,"")</f>
        <v/>
      </c>
      <c r="L149" s="59" t="str">
        <f>IFERROR(Inv_SY!L151/Inv_SY!$Y151-1,"")</f>
        <v/>
      </c>
      <c r="M149" s="59" t="str">
        <f>IFERROR(Inv_SY!M151/Inv_SY!$Y151-1,"")</f>
        <v/>
      </c>
      <c r="N149" s="59" t="str">
        <f>IFERROR(Inv_SY!N151/Inv_SY!$Y151-1,"")</f>
        <v/>
      </c>
      <c r="O149" s="59" t="str">
        <f>IFERROR(Inv_SY!O151/Inv_SY!$Y151-1,"")</f>
        <v/>
      </c>
      <c r="P149" s="59" t="str">
        <f>IFERROR(Inv_SY!P151/Inv_SY!$Y151-1,"")</f>
        <v/>
      </c>
      <c r="Q149" s="59" t="str">
        <f>IFERROR(Inv_SY!Q151/Inv_SY!$Y151-1,"")</f>
        <v/>
      </c>
      <c r="R149" s="59" t="str">
        <f>IFERROR(Inv_SY!R151/Inv_SY!$Y151-1,"")</f>
        <v/>
      </c>
      <c r="S149" s="59" t="str">
        <f>IFERROR(Inv_SY!S151/Inv_SY!$Y151-1,"")</f>
        <v/>
      </c>
      <c r="T149" s="59" t="str">
        <f>IFERROR(Inv_SY!T151/Inv_SY!$Y151-1,"")</f>
        <v/>
      </c>
      <c r="U149" s="59" t="str">
        <f>IFERROR(Inv_SY!U151/Inv_SY!$Y151-1,"")</f>
        <v/>
      </c>
      <c r="V149" s="59" t="str">
        <f>IFERROR(Inv_SY!J151/Inv_SY!$Z151-1,"")</f>
        <v/>
      </c>
      <c r="W149" s="59" t="str">
        <f>IFERROR(Inv_SY!K151/Inv_SY!$Z151-1,"")</f>
        <v/>
      </c>
      <c r="X149" s="59" t="str">
        <f>IFERROR(Inv_SY!L151/Inv_SY!$Z151-1,"")</f>
        <v/>
      </c>
      <c r="Y149" s="59" t="str">
        <f>IFERROR(Inv_SY!M151/Inv_SY!$Z151-1,"")</f>
        <v/>
      </c>
      <c r="Z149" s="59" t="str">
        <f>IFERROR(Inv_SY!N151/Inv_SY!$Z151-1,"")</f>
        <v/>
      </c>
      <c r="AA149" s="59" t="str">
        <f>IFERROR(Inv_SY!O151/Inv_SY!$Z151-1,"")</f>
        <v/>
      </c>
      <c r="AB149" s="59" t="str">
        <f>IFERROR(Inv_SY!P151/Inv_SY!$Z151-1,"")</f>
        <v/>
      </c>
      <c r="AC149" s="59" t="str">
        <f>IFERROR(Inv_SY!Q151/Inv_SY!$Z151-1,"")</f>
        <v/>
      </c>
      <c r="AD149" s="59" t="str">
        <f>IFERROR(Inv_SY!R151/Inv_SY!$Z151-1,"")</f>
        <v/>
      </c>
      <c r="AE149" s="59" t="str">
        <f>IFERROR(Inv_SY!S151/Inv_SY!$Z151-1,"")</f>
        <v/>
      </c>
      <c r="AF149" s="59" t="str">
        <f>IFERROR(Inv_SY!T151/Inv_SY!$Z151-1,"")</f>
        <v/>
      </c>
      <c r="AG149" s="59" t="str">
        <f>IFERROR(Inv_SY!U151/Inv_SY!$Z151-1,"")</f>
        <v/>
      </c>
      <c r="AH149" s="59" t="str">
        <f>IFERROR(Inv_SY!V151/Inv_SY!$Y151-1,"")</f>
        <v/>
      </c>
      <c r="AI149" s="59" t="str">
        <f>IFERROR(Inv_SY!W151/Inv_SY!$Y151-1,"")</f>
        <v/>
      </c>
      <c r="AJ149" s="59" t="str">
        <f>IFERROR(Inv_SY!X151/Inv_SY!$Y151-1,"")</f>
        <v/>
      </c>
      <c r="AK149" s="59" t="str">
        <f>IFERROR(Inv_SY!V151/Inv_SY!$Z151-1,"")</f>
        <v/>
      </c>
      <c r="AL149" s="59" t="str">
        <f>IFERROR(Inv_SY!W151/Inv_SY!$Z151-1,"")</f>
        <v/>
      </c>
      <c r="AM149" s="59" t="str">
        <f>IFERROR(Inv_SY!X151/Inv_SY!$Z151-1,"")</f>
        <v/>
      </c>
    </row>
    <row r="150" spans="1:39" x14ac:dyDescent="0.3">
      <c r="A150" s="55">
        <f>YEAR(Table5[[#This Row],[Date]])+IF(MONTH(Table5[[#This Row],[Date]])&gt;=4,1,0)</f>
        <v>2026</v>
      </c>
      <c r="B150" s="55">
        <v>110</v>
      </c>
      <c r="C150" s="124">
        <f>YEAR(Table5[[#This Row],[Date]])</f>
        <v>2025</v>
      </c>
      <c r="D150" s="55" t="s">
        <v>329</v>
      </c>
      <c r="E150" s="55" t="s">
        <v>329</v>
      </c>
      <c r="F150" s="126" t="str">
        <f>TEXT(Table5[[#This Row],[Date]],"mmm-yy")</f>
        <v>Aug-25</v>
      </c>
      <c r="G150" s="124">
        <f t="shared" si="7"/>
        <v>31</v>
      </c>
      <c r="H150" s="125">
        <f t="shared" si="8"/>
        <v>45893</v>
      </c>
      <c r="I150" s="55">
        <v>8.02</v>
      </c>
      <c r="J150" s="59" t="str">
        <f>IFERROR(Inv_SY!J152/Inv_SY!$Y152-1,"")</f>
        <v/>
      </c>
      <c r="K150" s="59" t="str">
        <f>IFERROR(Inv_SY!K152/Inv_SY!$Y152-1,"")</f>
        <v/>
      </c>
      <c r="L150" s="59" t="str">
        <f>IFERROR(Inv_SY!L152/Inv_SY!$Y152-1,"")</f>
        <v/>
      </c>
      <c r="M150" s="59" t="str">
        <f>IFERROR(Inv_SY!M152/Inv_SY!$Y152-1,"")</f>
        <v/>
      </c>
      <c r="N150" s="59" t="str">
        <f>IFERROR(Inv_SY!N152/Inv_SY!$Y152-1,"")</f>
        <v/>
      </c>
      <c r="O150" s="59" t="str">
        <f>IFERROR(Inv_SY!O152/Inv_SY!$Y152-1,"")</f>
        <v/>
      </c>
      <c r="P150" s="59" t="str">
        <f>IFERROR(Inv_SY!P152/Inv_SY!$Y152-1,"")</f>
        <v/>
      </c>
      <c r="Q150" s="59" t="str">
        <f>IFERROR(Inv_SY!Q152/Inv_SY!$Y152-1,"")</f>
        <v/>
      </c>
      <c r="R150" s="59" t="str">
        <f>IFERROR(Inv_SY!R152/Inv_SY!$Y152-1,"")</f>
        <v/>
      </c>
      <c r="S150" s="59" t="str">
        <f>IFERROR(Inv_SY!S152/Inv_SY!$Y152-1,"")</f>
        <v/>
      </c>
      <c r="T150" s="59" t="str">
        <f>IFERROR(Inv_SY!T152/Inv_SY!$Y152-1,"")</f>
        <v/>
      </c>
      <c r="U150" s="59" t="str">
        <f>IFERROR(Inv_SY!U152/Inv_SY!$Y152-1,"")</f>
        <v/>
      </c>
      <c r="V150" s="59" t="str">
        <f>IFERROR(Inv_SY!J152/Inv_SY!$Z152-1,"")</f>
        <v/>
      </c>
      <c r="W150" s="59" t="str">
        <f>IFERROR(Inv_SY!K152/Inv_SY!$Z152-1,"")</f>
        <v/>
      </c>
      <c r="X150" s="59" t="str">
        <f>IFERROR(Inv_SY!L152/Inv_SY!$Z152-1,"")</f>
        <v/>
      </c>
      <c r="Y150" s="59" t="str">
        <f>IFERROR(Inv_SY!M152/Inv_SY!$Z152-1,"")</f>
        <v/>
      </c>
      <c r="Z150" s="59" t="str">
        <f>IFERROR(Inv_SY!N152/Inv_SY!$Z152-1,"")</f>
        <v/>
      </c>
      <c r="AA150" s="59" t="str">
        <f>IFERROR(Inv_SY!O152/Inv_SY!$Z152-1,"")</f>
        <v/>
      </c>
      <c r="AB150" s="59" t="str">
        <f>IFERROR(Inv_SY!P152/Inv_SY!$Z152-1,"")</f>
        <v/>
      </c>
      <c r="AC150" s="59" t="str">
        <f>IFERROR(Inv_SY!Q152/Inv_SY!$Z152-1,"")</f>
        <v/>
      </c>
      <c r="AD150" s="59" t="str">
        <f>IFERROR(Inv_SY!R152/Inv_SY!$Z152-1,"")</f>
        <v/>
      </c>
      <c r="AE150" s="59" t="str">
        <f>IFERROR(Inv_SY!S152/Inv_SY!$Z152-1,"")</f>
        <v/>
      </c>
      <c r="AF150" s="59" t="str">
        <f>IFERROR(Inv_SY!T152/Inv_SY!$Z152-1,"")</f>
        <v/>
      </c>
      <c r="AG150" s="59" t="str">
        <f>IFERROR(Inv_SY!U152/Inv_SY!$Z152-1,"")</f>
        <v/>
      </c>
      <c r="AH150" s="59" t="str">
        <f>IFERROR(Inv_SY!V152/Inv_SY!$Y152-1,"")</f>
        <v/>
      </c>
      <c r="AI150" s="59" t="str">
        <f>IFERROR(Inv_SY!W152/Inv_SY!$Y152-1,"")</f>
        <v/>
      </c>
      <c r="AJ150" s="59" t="str">
        <f>IFERROR(Inv_SY!X152/Inv_SY!$Y152-1,"")</f>
        <v/>
      </c>
      <c r="AK150" s="59" t="str">
        <f>IFERROR(Inv_SY!V152/Inv_SY!$Z152-1,"")</f>
        <v/>
      </c>
      <c r="AL150" s="59" t="str">
        <f>IFERROR(Inv_SY!W152/Inv_SY!$Z152-1,"")</f>
        <v/>
      </c>
      <c r="AM150" s="59" t="str">
        <f>IFERROR(Inv_SY!X152/Inv_SY!$Z152-1,"")</f>
        <v/>
      </c>
    </row>
    <row r="151" spans="1:39" x14ac:dyDescent="0.3">
      <c r="A151" s="55">
        <f>YEAR(Table5[[#This Row],[Date]])+IF(MONTH(Table5[[#This Row],[Date]])&gt;=4,1,0)</f>
        <v>2026</v>
      </c>
      <c r="B151" s="55">
        <v>111</v>
      </c>
      <c r="C151" s="124">
        <f>YEAR(Table5[[#This Row],[Date]])</f>
        <v>2025</v>
      </c>
      <c r="D151" s="55" t="s">
        <v>329</v>
      </c>
      <c r="E151" s="55" t="s">
        <v>329</v>
      </c>
      <c r="F151" s="126" t="str">
        <f>TEXT(Table5[[#This Row],[Date]],"mmm-yy")</f>
        <v>Aug-25</v>
      </c>
      <c r="G151" s="124">
        <f t="shared" si="7"/>
        <v>31</v>
      </c>
      <c r="H151" s="125">
        <f t="shared" si="8"/>
        <v>45894</v>
      </c>
      <c r="I151" s="55">
        <v>8.02</v>
      </c>
      <c r="J151" s="59" t="str">
        <f>IFERROR(Inv_SY!J153/Inv_SY!$Y153-1,"")</f>
        <v/>
      </c>
      <c r="K151" s="59" t="str">
        <f>IFERROR(Inv_SY!K153/Inv_SY!$Y153-1,"")</f>
        <v/>
      </c>
      <c r="L151" s="59" t="str">
        <f>IFERROR(Inv_SY!L153/Inv_SY!$Y153-1,"")</f>
        <v/>
      </c>
      <c r="M151" s="59" t="str">
        <f>IFERROR(Inv_SY!M153/Inv_SY!$Y153-1,"")</f>
        <v/>
      </c>
      <c r="N151" s="59" t="str">
        <f>IFERROR(Inv_SY!N153/Inv_SY!$Y153-1,"")</f>
        <v/>
      </c>
      <c r="O151" s="59" t="str">
        <f>IFERROR(Inv_SY!O153/Inv_SY!$Y153-1,"")</f>
        <v/>
      </c>
      <c r="P151" s="59" t="str">
        <f>IFERROR(Inv_SY!P153/Inv_SY!$Y153-1,"")</f>
        <v/>
      </c>
      <c r="Q151" s="59" t="str">
        <f>IFERROR(Inv_SY!Q153/Inv_SY!$Y153-1,"")</f>
        <v/>
      </c>
      <c r="R151" s="59" t="str">
        <f>IFERROR(Inv_SY!R153/Inv_SY!$Y153-1,"")</f>
        <v/>
      </c>
      <c r="S151" s="59" t="str">
        <f>IFERROR(Inv_SY!S153/Inv_SY!$Y153-1,"")</f>
        <v/>
      </c>
      <c r="T151" s="59" t="str">
        <f>IFERROR(Inv_SY!T153/Inv_SY!$Y153-1,"")</f>
        <v/>
      </c>
      <c r="U151" s="59" t="str">
        <f>IFERROR(Inv_SY!U153/Inv_SY!$Y153-1,"")</f>
        <v/>
      </c>
      <c r="V151" s="59" t="str">
        <f>IFERROR(Inv_SY!J153/Inv_SY!$Z153-1,"")</f>
        <v/>
      </c>
      <c r="W151" s="59" t="str">
        <f>IFERROR(Inv_SY!K153/Inv_SY!$Z153-1,"")</f>
        <v/>
      </c>
      <c r="X151" s="59" t="str">
        <f>IFERROR(Inv_SY!L153/Inv_SY!$Z153-1,"")</f>
        <v/>
      </c>
      <c r="Y151" s="59" t="str">
        <f>IFERROR(Inv_SY!M153/Inv_SY!$Z153-1,"")</f>
        <v/>
      </c>
      <c r="Z151" s="59" t="str">
        <f>IFERROR(Inv_SY!N153/Inv_SY!$Z153-1,"")</f>
        <v/>
      </c>
      <c r="AA151" s="59" t="str">
        <f>IFERROR(Inv_SY!O153/Inv_SY!$Z153-1,"")</f>
        <v/>
      </c>
      <c r="AB151" s="59" t="str">
        <f>IFERROR(Inv_SY!P153/Inv_SY!$Z153-1,"")</f>
        <v/>
      </c>
      <c r="AC151" s="59" t="str">
        <f>IFERROR(Inv_SY!Q153/Inv_SY!$Z153-1,"")</f>
        <v/>
      </c>
      <c r="AD151" s="59" t="str">
        <f>IFERROR(Inv_SY!R153/Inv_SY!$Z153-1,"")</f>
        <v/>
      </c>
      <c r="AE151" s="59" t="str">
        <f>IFERROR(Inv_SY!S153/Inv_SY!$Z153-1,"")</f>
        <v/>
      </c>
      <c r="AF151" s="59" t="str">
        <f>IFERROR(Inv_SY!T153/Inv_SY!$Z153-1,"")</f>
        <v/>
      </c>
      <c r="AG151" s="59" t="str">
        <f>IFERROR(Inv_SY!U153/Inv_SY!$Z153-1,"")</f>
        <v/>
      </c>
      <c r="AH151" s="59" t="str">
        <f>IFERROR(Inv_SY!V153/Inv_SY!$Y153-1,"")</f>
        <v/>
      </c>
      <c r="AI151" s="59" t="str">
        <f>IFERROR(Inv_SY!W153/Inv_SY!$Y153-1,"")</f>
        <v/>
      </c>
      <c r="AJ151" s="59" t="str">
        <f>IFERROR(Inv_SY!X153/Inv_SY!$Y153-1,"")</f>
        <v/>
      </c>
      <c r="AK151" s="59" t="str">
        <f>IFERROR(Inv_SY!V153/Inv_SY!$Z153-1,"")</f>
        <v/>
      </c>
      <c r="AL151" s="59" t="str">
        <f>IFERROR(Inv_SY!W153/Inv_SY!$Z153-1,"")</f>
        <v/>
      </c>
      <c r="AM151" s="59" t="str">
        <f>IFERROR(Inv_SY!X153/Inv_SY!$Z153-1,"")</f>
        <v/>
      </c>
    </row>
    <row r="152" spans="1:39" x14ac:dyDescent="0.3">
      <c r="A152" s="55">
        <f>YEAR(Table5[[#This Row],[Date]])+IF(MONTH(Table5[[#This Row],[Date]])&gt;=4,1,0)</f>
        <v>2026</v>
      </c>
      <c r="B152" s="55">
        <v>112</v>
      </c>
      <c r="C152" s="124">
        <f>YEAR(Table5[[#This Row],[Date]])</f>
        <v>2025</v>
      </c>
      <c r="D152" s="55" t="s">
        <v>329</v>
      </c>
      <c r="E152" s="55" t="s">
        <v>329</v>
      </c>
      <c r="F152" s="126" t="str">
        <f>TEXT(Table5[[#This Row],[Date]],"mmm-yy")</f>
        <v>Aug-25</v>
      </c>
      <c r="G152" s="124">
        <f t="shared" si="7"/>
        <v>31</v>
      </c>
      <c r="H152" s="125">
        <f t="shared" si="8"/>
        <v>45895</v>
      </c>
      <c r="I152" s="55">
        <v>8.02</v>
      </c>
      <c r="J152" s="59" t="str">
        <f>IFERROR(Inv_SY!J154/Inv_SY!$Y154-1,"")</f>
        <v/>
      </c>
      <c r="K152" s="59" t="str">
        <f>IFERROR(Inv_SY!K154/Inv_SY!$Y154-1,"")</f>
        <v/>
      </c>
      <c r="L152" s="59" t="str">
        <f>IFERROR(Inv_SY!L154/Inv_SY!$Y154-1,"")</f>
        <v/>
      </c>
      <c r="M152" s="59" t="str">
        <f>IFERROR(Inv_SY!M154/Inv_SY!$Y154-1,"")</f>
        <v/>
      </c>
      <c r="N152" s="59" t="str">
        <f>IFERROR(Inv_SY!N154/Inv_SY!$Y154-1,"")</f>
        <v/>
      </c>
      <c r="O152" s="59" t="str">
        <f>IFERROR(Inv_SY!O154/Inv_SY!$Y154-1,"")</f>
        <v/>
      </c>
      <c r="P152" s="59" t="str">
        <f>IFERROR(Inv_SY!P154/Inv_SY!$Y154-1,"")</f>
        <v/>
      </c>
      <c r="Q152" s="59" t="str">
        <f>IFERROR(Inv_SY!Q154/Inv_SY!$Y154-1,"")</f>
        <v/>
      </c>
      <c r="R152" s="59" t="str">
        <f>IFERROR(Inv_SY!R154/Inv_SY!$Y154-1,"")</f>
        <v/>
      </c>
      <c r="S152" s="59" t="str">
        <f>IFERROR(Inv_SY!S154/Inv_SY!$Y154-1,"")</f>
        <v/>
      </c>
      <c r="T152" s="59" t="str">
        <f>IFERROR(Inv_SY!T154/Inv_SY!$Y154-1,"")</f>
        <v/>
      </c>
      <c r="U152" s="59" t="str">
        <f>IFERROR(Inv_SY!U154/Inv_SY!$Y154-1,"")</f>
        <v/>
      </c>
      <c r="V152" s="59" t="str">
        <f>IFERROR(Inv_SY!J154/Inv_SY!$Z154-1,"")</f>
        <v/>
      </c>
      <c r="W152" s="59" t="str">
        <f>IFERROR(Inv_SY!K154/Inv_SY!$Z154-1,"")</f>
        <v/>
      </c>
      <c r="X152" s="59" t="str">
        <f>IFERROR(Inv_SY!L154/Inv_SY!$Z154-1,"")</f>
        <v/>
      </c>
      <c r="Y152" s="59" t="str">
        <f>IFERROR(Inv_SY!M154/Inv_SY!$Z154-1,"")</f>
        <v/>
      </c>
      <c r="Z152" s="59" t="str">
        <f>IFERROR(Inv_SY!N154/Inv_SY!$Z154-1,"")</f>
        <v/>
      </c>
      <c r="AA152" s="59" t="str">
        <f>IFERROR(Inv_SY!O154/Inv_SY!$Z154-1,"")</f>
        <v/>
      </c>
      <c r="AB152" s="59" t="str">
        <f>IFERROR(Inv_SY!P154/Inv_SY!$Z154-1,"")</f>
        <v/>
      </c>
      <c r="AC152" s="59" t="str">
        <f>IFERROR(Inv_SY!Q154/Inv_SY!$Z154-1,"")</f>
        <v/>
      </c>
      <c r="AD152" s="59" t="str">
        <f>IFERROR(Inv_SY!R154/Inv_SY!$Z154-1,"")</f>
        <v/>
      </c>
      <c r="AE152" s="59" t="str">
        <f>IFERROR(Inv_SY!S154/Inv_SY!$Z154-1,"")</f>
        <v/>
      </c>
      <c r="AF152" s="59" t="str">
        <f>IFERROR(Inv_SY!T154/Inv_SY!$Z154-1,"")</f>
        <v/>
      </c>
      <c r="AG152" s="59" t="str">
        <f>IFERROR(Inv_SY!U154/Inv_SY!$Z154-1,"")</f>
        <v/>
      </c>
      <c r="AH152" s="59" t="str">
        <f>IFERROR(Inv_SY!V154/Inv_SY!$Y154-1,"")</f>
        <v/>
      </c>
      <c r="AI152" s="59" t="str">
        <f>IFERROR(Inv_SY!W154/Inv_SY!$Y154-1,"")</f>
        <v/>
      </c>
      <c r="AJ152" s="59" t="str">
        <f>IFERROR(Inv_SY!X154/Inv_SY!$Y154-1,"")</f>
        <v/>
      </c>
      <c r="AK152" s="59" t="str">
        <f>IFERROR(Inv_SY!V154/Inv_SY!$Z154-1,"")</f>
        <v/>
      </c>
      <c r="AL152" s="59" t="str">
        <f>IFERROR(Inv_SY!W154/Inv_SY!$Z154-1,"")</f>
        <v/>
      </c>
      <c r="AM152" s="59" t="str">
        <f>IFERROR(Inv_SY!X154/Inv_SY!$Z154-1,"")</f>
        <v/>
      </c>
    </row>
    <row r="153" spans="1:39" x14ac:dyDescent="0.3">
      <c r="A153" s="55">
        <f>YEAR(Table5[[#This Row],[Date]])+IF(MONTH(Table5[[#This Row],[Date]])&gt;=4,1,0)</f>
        <v>2026</v>
      </c>
      <c r="B153" s="55">
        <v>113</v>
      </c>
      <c r="C153" s="124">
        <f>YEAR(Table5[[#This Row],[Date]])</f>
        <v>2025</v>
      </c>
      <c r="D153" s="55" t="s">
        <v>329</v>
      </c>
      <c r="E153" s="55" t="s">
        <v>329</v>
      </c>
      <c r="F153" s="126" t="str">
        <f>TEXT(Table5[[#This Row],[Date]],"mmm-yy")</f>
        <v>Aug-25</v>
      </c>
      <c r="G153" s="124">
        <f t="shared" si="7"/>
        <v>31</v>
      </c>
      <c r="H153" s="125">
        <f t="shared" si="8"/>
        <v>45896</v>
      </c>
      <c r="I153" s="55">
        <v>8.02</v>
      </c>
      <c r="J153" s="59" t="str">
        <f>IFERROR(Inv_SY!J155/Inv_SY!$Y155-1,"")</f>
        <v/>
      </c>
      <c r="K153" s="59" t="str">
        <f>IFERROR(Inv_SY!K155/Inv_SY!$Y155-1,"")</f>
        <v/>
      </c>
      <c r="L153" s="59" t="str">
        <f>IFERROR(Inv_SY!L155/Inv_SY!$Y155-1,"")</f>
        <v/>
      </c>
      <c r="M153" s="59" t="str">
        <f>IFERROR(Inv_SY!M155/Inv_SY!$Y155-1,"")</f>
        <v/>
      </c>
      <c r="N153" s="59" t="str">
        <f>IFERROR(Inv_SY!N155/Inv_SY!$Y155-1,"")</f>
        <v/>
      </c>
      <c r="O153" s="59" t="str">
        <f>IFERROR(Inv_SY!O155/Inv_SY!$Y155-1,"")</f>
        <v/>
      </c>
      <c r="P153" s="59" t="str">
        <f>IFERROR(Inv_SY!P155/Inv_SY!$Y155-1,"")</f>
        <v/>
      </c>
      <c r="Q153" s="59" t="str">
        <f>IFERROR(Inv_SY!Q155/Inv_SY!$Y155-1,"")</f>
        <v/>
      </c>
      <c r="R153" s="59" t="str">
        <f>IFERROR(Inv_SY!R155/Inv_SY!$Y155-1,"")</f>
        <v/>
      </c>
      <c r="S153" s="59" t="str">
        <f>IFERROR(Inv_SY!S155/Inv_SY!$Y155-1,"")</f>
        <v/>
      </c>
      <c r="T153" s="59" t="str">
        <f>IFERROR(Inv_SY!T155/Inv_SY!$Y155-1,"")</f>
        <v/>
      </c>
      <c r="U153" s="59" t="str">
        <f>IFERROR(Inv_SY!U155/Inv_SY!$Y155-1,"")</f>
        <v/>
      </c>
      <c r="V153" s="59" t="str">
        <f>IFERROR(Inv_SY!J155/Inv_SY!$Z155-1,"")</f>
        <v/>
      </c>
      <c r="W153" s="59" t="str">
        <f>IFERROR(Inv_SY!K155/Inv_SY!$Z155-1,"")</f>
        <v/>
      </c>
      <c r="X153" s="59" t="str">
        <f>IFERROR(Inv_SY!L155/Inv_SY!$Z155-1,"")</f>
        <v/>
      </c>
      <c r="Y153" s="59" t="str">
        <f>IFERROR(Inv_SY!M155/Inv_SY!$Z155-1,"")</f>
        <v/>
      </c>
      <c r="Z153" s="59" t="str">
        <f>IFERROR(Inv_SY!N155/Inv_SY!$Z155-1,"")</f>
        <v/>
      </c>
      <c r="AA153" s="59" t="str">
        <f>IFERROR(Inv_SY!O155/Inv_SY!$Z155-1,"")</f>
        <v/>
      </c>
      <c r="AB153" s="59" t="str">
        <f>IFERROR(Inv_SY!P155/Inv_SY!$Z155-1,"")</f>
        <v/>
      </c>
      <c r="AC153" s="59" t="str">
        <f>IFERROR(Inv_SY!Q155/Inv_SY!$Z155-1,"")</f>
        <v/>
      </c>
      <c r="AD153" s="59" t="str">
        <f>IFERROR(Inv_SY!R155/Inv_SY!$Z155-1,"")</f>
        <v/>
      </c>
      <c r="AE153" s="59" t="str">
        <f>IFERROR(Inv_SY!S155/Inv_SY!$Z155-1,"")</f>
        <v/>
      </c>
      <c r="AF153" s="59" t="str">
        <f>IFERROR(Inv_SY!T155/Inv_SY!$Z155-1,"")</f>
        <v/>
      </c>
      <c r="AG153" s="59" t="str">
        <f>IFERROR(Inv_SY!U155/Inv_SY!$Z155-1,"")</f>
        <v/>
      </c>
      <c r="AH153" s="59" t="str">
        <f>IFERROR(Inv_SY!V155/Inv_SY!$Y155-1,"")</f>
        <v/>
      </c>
      <c r="AI153" s="59" t="str">
        <f>IFERROR(Inv_SY!W155/Inv_SY!$Y155-1,"")</f>
        <v/>
      </c>
      <c r="AJ153" s="59" t="str">
        <f>IFERROR(Inv_SY!X155/Inv_SY!$Y155-1,"")</f>
        <v/>
      </c>
      <c r="AK153" s="59" t="str">
        <f>IFERROR(Inv_SY!V155/Inv_SY!$Z155-1,"")</f>
        <v/>
      </c>
      <c r="AL153" s="59" t="str">
        <f>IFERROR(Inv_SY!W155/Inv_SY!$Z155-1,"")</f>
        <v/>
      </c>
      <c r="AM153" s="59" t="str">
        <f>IFERROR(Inv_SY!X155/Inv_SY!$Z155-1,"")</f>
        <v/>
      </c>
    </row>
    <row r="154" spans="1:39" x14ac:dyDescent="0.3">
      <c r="A154" s="55">
        <f>YEAR(Table5[[#This Row],[Date]])+IF(MONTH(Table5[[#This Row],[Date]])&gt;=4,1,0)</f>
        <v>2026</v>
      </c>
      <c r="B154" s="55">
        <v>114</v>
      </c>
      <c r="C154" s="124">
        <f>YEAR(Table5[[#This Row],[Date]])</f>
        <v>2025</v>
      </c>
      <c r="D154" s="55" t="s">
        <v>329</v>
      </c>
      <c r="E154" s="55" t="s">
        <v>329</v>
      </c>
      <c r="F154" s="126" t="str">
        <f>TEXT(Table5[[#This Row],[Date]],"mmm-yy")</f>
        <v>Aug-25</v>
      </c>
      <c r="G154" s="124">
        <f t="shared" si="7"/>
        <v>31</v>
      </c>
      <c r="H154" s="125">
        <f t="shared" si="8"/>
        <v>45897</v>
      </c>
      <c r="I154" s="55">
        <v>8.02</v>
      </c>
      <c r="J154" s="59" t="str">
        <f>IFERROR(Inv_SY!J156/Inv_SY!$Y156-1,"")</f>
        <v/>
      </c>
      <c r="K154" s="59" t="str">
        <f>IFERROR(Inv_SY!K156/Inv_SY!$Y156-1,"")</f>
        <v/>
      </c>
      <c r="L154" s="59" t="str">
        <f>IFERROR(Inv_SY!L156/Inv_SY!$Y156-1,"")</f>
        <v/>
      </c>
      <c r="M154" s="59" t="str">
        <f>IFERROR(Inv_SY!M156/Inv_SY!$Y156-1,"")</f>
        <v/>
      </c>
      <c r="N154" s="59" t="str">
        <f>IFERROR(Inv_SY!N156/Inv_SY!$Y156-1,"")</f>
        <v/>
      </c>
      <c r="O154" s="59" t="str">
        <f>IFERROR(Inv_SY!O156/Inv_SY!$Y156-1,"")</f>
        <v/>
      </c>
      <c r="P154" s="59" t="str">
        <f>IFERROR(Inv_SY!P156/Inv_SY!$Y156-1,"")</f>
        <v/>
      </c>
      <c r="Q154" s="59" t="str">
        <f>IFERROR(Inv_SY!Q156/Inv_SY!$Y156-1,"")</f>
        <v/>
      </c>
      <c r="R154" s="59" t="str">
        <f>IFERROR(Inv_SY!R156/Inv_SY!$Y156-1,"")</f>
        <v/>
      </c>
      <c r="S154" s="59" t="str">
        <f>IFERROR(Inv_SY!S156/Inv_SY!$Y156-1,"")</f>
        <v/>
      </c>
      <c r="T154" s="59" t="str">
        <f>IFERROR(Inv_SY!T156/Inv_SY!$Y156-1,"")</f>
        <v/>
      </c>
      <c r="U154" s="59" t="str">
        <f>IFERROR(Inv_SY!U156/Inv_SY!$Y156-1,"")</f>
        <v/>
      </c>
      <c r="V154" s="59" t="str">
        <f>IFERROR(Inv_SY!J156/Inv_SY!$Z156-1,"")</f>
        <v/>
      </c>
      <c r="W154" s="59" t="str">
        <f>IFERROR(Inv_SY!K156/Inv_SY!$Z156-1,"")</f>
        <v/>
      </c>
      <c r="X154" s="59" t="str">
        <f>IFERROR(Inv_SY!L156/Inv_SY!$Z156-1,"")</f>
        <v/>
      </c>
      <c r="Y154" s="59" t="str">
        <f>IFERROR(Inv_SY!M156/Inv_SY!$Z156-1,"")</f>
        <v/>
      </c>
      <c r="Z154" s="59" t="str">
        <f>IFERROR(Inv_SY!N156/Inv_SY!$Z156-1,"")</f>
        <v/>
      </c>
      <c r="AA154" s="59" t="str">
        <f>IFERROR(Inv_SY!O156/Inv_SY!$Z156-1,"")</f>
        <v/>
      </c>
      <c r="AB154" s="59" t="str">
        <f>IFERROR(Inv_SY!P156/Inv_SY!$Z156-1,"")</f>
        <v/>
      </c>
      <c r="AC154" s="59" t="str">
        <f>IFERROR(Inv_SY!Q156/Inv_SY!$Z156-1,"")</f>
        <v/>
      </c>
      <c r="AD154" s="59" t="str">
        <f>IFERROR(Inv_SY!R156/Inv_SY!$Z156-1,"")</f>
        <v/>
      </c>
      <c r="AE154" s="59" t="str">
        <f>IFERROR(Inv_SY!S156/Inv_SY!$Z156-1,"")</f>
        <v/>
      </c>
      <c r="AF154" s="59" t="str">
        <f>IFERROR(Inv_SY!T156/Inv_SY!$Z156-1,"")</f>
        <v/>
      </c>
      <c r="AG154" s="59" t="str">
        <f>IFERROR(Inv_SY!U156/Inv_SY!$Z156-1,"")</f>
        <v/>
      </c>
      <c r="AH154" s="59" t="str">
        <f>IFERROR(Inv_SY!V156/Inv_SY!$Y156-1,"")</f>
        <v/>
      </c>
      <c r="AI154" s="59" t="str">
        <f>IFERROR(Inv_SY!W156/Inv_SY!$Y156-1,"")</f>
        <v/>
      </c>
      <c r="AJ154" s="59" t="str">
        <f>IFERROR(Inv_SY!X156/Inv_SY!$Y156-1,"")</f>
        <v/>
      </c>
      <c r="AK154" s="59" t="str">
        <f>IFERROR(Inv_SY!V156/Inv_SY!$Z156-1,"")</f>
        <v/>
      </c>
      <c r="AL154" s="59" t="str">
        <f>IFERROR(Inv_SY!W156/Inv_SY!$Z156-1,"")</f>
        <v/>
      </c>
      <c r="AM154" s="59" t="str">
        <f>IFERROR(Inv_SY!X156/Inv_SY!$Z156-1,"")</f>
        <v/>
      </c>
    </row>
    <row r="155" spans="1:39" x14ac:dyDescent="0.3">
      <c r="A155" s="55">
        <f>YEAR(Table5[[#This Row],[Date]])+IF(MONTH(Table5[[#This Row],[Date]])&gt;=4,1,0)</f>
        <v>2026</v>
      </c>
      <c r="B155" s="55">
        <v>115</v>
      </c>
      <c r="C155" s="124">
        <f>YEAR(Table5[[#This Row],[Date]])</f>
        <v>2025</v>
      </c>
      <c r="D155" s="55" t="s">
        <v>329</v>
      </c>
      <c r="E155" s="55" t="s">
        <v>329</v>
      </c>
      <c r="F155" s="126" t="str">
        <f>TEXT(Table5[[#This Row],[Date]],"mmm-yy")</f>
        <v>Aug-25</v>
      </c>
      <c r="G155" s="124">
        <f t="shared" si="7"/>
        <v>31</v>
      </c>
      <c r="H155" s="125">
        <f t="shared" si="8"/>
        <v>45898</v>
      </c>
      <c r="I155" s="55">
        <v>8.02</v>
      </c>
      <c r="J155" s="59" t="str">
        <f>IFERROR(Inv_SY!J157/Inv_SY!$Y157-1,"")</f>
        <v/>
      </c>
      <c r="K155" s="59" t="str">
        <f>IFERROR(Inv_SY!K157/Inv_SY!$Y157-1,"")</f>
        <v/>
      </c>
      <c r="L155" s="59" t="str">
        <f>IFERROR(Inv_SY!L157/Inv_SY!$Y157-1,"")</f>
        <v/>
      </c>
      <c r="M155" s="59" t="str">
        <f>IFERROR(Inv_SY!M157/Inv_SY!$Y157-1,"")</f>
        <v/>
      </c>
      <c r="N155" s="59" t="str">
        <f>IFERROR(Inv_SY!N157/Inv_SY!$Y157-1,"")</f>
        <v/>
      </c>
      <c r="O155" s="59" t="str">
        <f>IFERROR(Inv_SY!O157/Inv_SY!$Y157-1,"")</f>
        <v/>
      </c>
      <c r="P155" s="59" t="str">
        <f>IFERROR(Inv_SY!P157/Inv_SY!$Y157-1,"")</f>
        <v/>
      </c>
      <c r="Q155" s="59" t="str">
        <f>IFERROR(Inv_SY!Q157/Inv_SY!$Y157-1,"")</f>
        <v/>
      </c>
      <c r="R155" s="59" t="str">
        <f>IFERROR(Inv_SY!R157/Inv_SY!$Y157-1,"")</f>
        <v/>
      </c>
      <c r="S155" s="59" t="str">
        <f>IFERROR(Inv_SY!S157/Inv_SY!$Y157-1,"")</f>
        <v/>
      </c>
      <c r="T155" s="59" t="str">
        <f>IFERROR(Inv_SY!T157/Inv_SY!$Y157-1,"")</f>
        <v/>
      </c>
      <c r="U155" s="59" t="str">
        <f>IFERROR(Inv_SY!U157/Inv_SY!$Y157-1,"")</f>
        <v/>
      </c>
      <c r="V155" s="59" t="str">
        <f>IFERROR(Inv_SY!J157/Inv_SY!$Z157-1,"")</f>
        <v/>
      </c>
      <c r="W155" s="59" t="str">
        <f>IFERROR(Inv_SY!K157/Inv_SY!$Z157-1,"")</f>
        <v/>
      </c>
      <c r="X155" s="59" t="str">
        <f>IFERROR(Inv_SY!L157/Inv_SY!$Z157-1,"")</f>
        <v/>
      </c>
      <c r="Y155" s="59" t="str">
        <f>IFERROR(Inv_SY!M157/Inv_SY!$Z157-1,"")</f>
        <v/>
      </c>
      <c r="Z155" s="59" t="str">
        <f>IFERROR(Inv_SY!N157/Inv_SY!$Z157-1,"")</f>
        <v/>
      </c>
      <c r="AA155" s="59" t="str">
        <f>IFERROR(Inv_SY!O157/Inv_SY!$Z157-1,"")</f>
        <v/>
      </c>
      <c r="AB155" s="59" t="str">
        <f>IFERROR(Inv_SY!P157/Inv_SY!$Z157-1,"")</f>
        <v/>
      </c>
      <c r="AC155" s="59" t="str">
        <f>IFERROR(Inv_SY!Q157/Inv_SY!$Z157-1,"")</f>
        <v/>
      </c>
      <c r="AD155" s="59" t="str">
        <f>IFERROR(Inv_SY!R157/Inv_SY!$Z157-1,"")</f>
        <v/>
      </c>
      <c r="AE155" s="59" t="str">
        <f>IFERROR(Inv_SY!S157/Inv_SY!$Z157-1,"")</f>
        <v/>
      </c>
      <c r="AF155" s="59" t="str">
        <f>IFERROR(Inv_SY!T157/Inv_SY!$Z157-1,"")</f>
        <v/>
      </c>
      <c r="AG155" s="59" t="str">
        <f>IFERROR(Inv_SY!U157/Inv_SY!$Z157-1,"")</f>
        <v/>
      </c>
      <c r="AH155" s="59" t="str">
        <f>IFERROR(Inv_SY!V157/Inv_SY!$Y157-1,"")</f>
        <v/>
      </c>
      <c r="AI155" s="59" t="str">
        <f>IFERROR(Inv_SY!W157/Inv_SY!$Y157-1,"")</f>
        <v/>
      </c>
      <c r="AJ155" s="59" t="str">
        <f>IFERROR(Inv_SY!X157/Inv_SY!$Y157-1,"")</f>
        <v/>
      </c>
      <c r="AK155" s="59" t="str">
        <f>IFERROR(Inv_SY!V157/Inv_SY!$Z157-1,"")</f>
        <v/>
      </c>
      <c r="AL155" s="59" t="str">
        <f>IFERROR(Inv_SY!W157/Inv_SY!$Z157-1,"")</f>
        <v/>
      </c>
      <c r="AM155" s="59" t="str">
        <f>IFERROR(Inv_SY!X157/Inv_SY!$Z157-1,"")</f>
        <v/>
      </c>
    </row>
    <row r="156" spans="1:39" x14ac:dyDescent="0.3">
      <c r="A156" s="55">
        <f>YEAR(Table5[[#This Row],[Date]])+IF(MONTH(Table5[[#This Row],[Date]])&gt;=4,1,0)</f>
        <v>2026</v>
      </c>
      <c r="B156" s="55">
        <v>116</v>
      </c>
      <c r="C156" s="124">
        <f>YEAR(Table5[[#This Row],[Date]])</f>
        <v>2025</v>
      </c>
      <c r="D156" s="55" t="s">
        <v>329</v>
      </c>
      <c r="E156" s="55" t="s">
        <v>329</v>
      </c>
      <c r="F156" s="126" t="str">
        <f>TEXT(Table5[[#This Row],[Date]],"mmm-yy")</f>
        <v>Aug-25</v>
      </c>
      <c r="G156" s="124">
        <f t="shared" si="7"/>
        <v>31</v>
      </c>
      <c r="H156" s="125">
        <f t="shared" si="8"/>
        <v>45899</v>
      </c>
      <c r="I156" s="55">
        <v>8.02</v>
      </c>
      <c r="J156" s="59" t="str">
        <f>IFERROR(Inv_SY!J158/Inv_SY!$Y158-1,"")</f>
        <v/>
      </c>
      <c r="K156" s="59" t="str">
        <f>IFERROR(Inv_SY!K158/Inv_SY!$Y158-1,"")</f>
        <v/>
      </c>
      <c r="L156" s="59" t="str">
        <f>IFERROR(Inv_SY!L158/Inv_SY!$Y158-1,"")</f>
        <v/>
      </c>
      <c r="M156" s="59" t="str">
        <f>IFERROR(Inv_SY!M158/Inv_SY!$Y158-1,"")</f>
        <v/>
      </c>
      <c r="N156" s="59" t="str">
        <f>IFERROR(Inv_SY!N158/Inv_SY!$Y158-1,"")</f>
        <v/>
      </c>
      <c r="O156" s="59" t="str">
        <f>IFERROR(Inv_SY!O158/Inv_SY!$Y158-1,"")</f>
        <v/>
      </c>
      <c r="P156" s="59" t="str">
        <f>IFERROR(Inv_SY!P158/Inv_SY!$Y158-1,"")</f>
        <v/>
      </c>
      <c r="Q156" s="59" t="str">
        <f>IFERROR(Inv_SY!Q158/Inv_SY!$Y158-1,"")</f>
        <v/>
      </c>
      <c r="R156" s="59" t="str">
        <f>IFERROR(Inv_SY!R158/Inv_SY!$Y158-1,"")</f>
        <v/>
      </c>
      <c r="S156" s="59" t="str">
        <f>IFERROR(Inv_SY!S158/Inv_SY!$Y158-1,"")</f>
        <v/>
      </c>
      <c r="T156" s="59" t="str">
        <f>IFERROR(Inv_SY!T158/Inv_SY!$Y158-1,"")</f>
        <v/>
      </c>
      <c r="U156" s="59" t="str">
        <f>IFERROR(Inv_SY!U158/Inv_SY!$Y158-1,"")</f>
        <v/>
      </c>
      <c r="V156" s="59" t="str">
        <f>IFERROR(Inv_SY!J158/Inv_SY!$Z158-1,"")</f>
        <v/>
      </c>
      <c r="W156" s="59" t="str">
        <f>IFERROR(Inv_SY!K158/Inv_SY!$Z158-1,"")</f>
        <v/>
      </c>
      <c r="X156" s="59" t="str">
        <f>IFERROR(Inv_SY!L158/Inv_SY!$Z158-1,"")</f>
        <v/>
      </c>
      <c r="Y156" s="59" t="str">
        <f>IFERROR(Inv_SY!M158/Inv_SY!$Z158-1,"")</f>
        <v/>
      </c>
      <c r="Z156" s="59" t="str">
        <f>IFERROR(Inv_SY!N158/Inv_SY!$Z158-1,"")</f>
        <v/>
      </c>
      <c r="AA156" s="59" t="str">
        <f>IFERROR(Inv_SY!O158/Inv_SY!$Z158-1,"")</f>
        <v/>
      </c>
      <c r="AB156" s="59" t="str">
        <f>IFERROR(Inv_SY!P158/Inv_SY!$Z158-1,"")</f>
        <v/>
      </c>
      <c r="AC156" s="59" t="str">
        <f>IFERROR(Inv_SY!Q158/Inv_SY!$Z158-1,"")</f>
        <v/>
      </c>
      <c r="AD156" s="59" t="str">
        <f>IFERROR(Inv_SY!R158/Inv_SY!$Z158-1,"")</f>
        <v/>
      </c>
      <c r="AE156" s="59" t="str">
        <f>IFERROR(Inv_SY!S158/Inv_SY!$Z158-1,"")</f>
        <v/>
      </c>
      <c r="AF156" s="59" t="str">
        <f>IFERROR(Inv_SY!T158/Inv_SY!$Z158-1,"")</f>
        <v/>
      </c>
      <c r="AG156" s="59" t="str">
        <f>IFERROR(Inv_SY!U158/Inv_SY!$Z158-1,"")</f>
        <v/>
      </c>
      <c r="AH156" s="59" t="str">
        <f>IFERROR(Inv_SY!V158/Inv_SY!$Y158-1,"")</f>
        <v/>
      </c>
      <c r="AI156" s="59" t="str">
        <f>IFERROR(Inv_SY!W158/Inv_SY!$Y158-1,"")</f>
        <v/>
      </c>
      <c r="AJ156" s="59" t="str">
        <f>IFERROR(Inv_SY!X158/Inv_SY!$Y158-1,"")</f>
        <v/>
      </c>
      <c r="AK156" s="59" t="str">
        <f>IFERROR(Inv_SY!V158/Inv_SY!$Z158-1,"")</f>
        <v/>
      </c>
      <c r="AL156" s="59" t="str">
        <f>IFERROR(Inv_SY!W158/Inv_SY!$Z158-1,"")</f>
        <v/>
      </c>
      <c r="AM156" s="59" t="str">
        <f>IFERROR(Inv_SY!X158/Inv_SY!$Z158-1,"")</f>
        <v/>
      </c>
    </row>
    <row r="157" spans="1:39" x14ac:dyDescent="0.3">
      <c r="A157" s="55">
        <f>YEAR(Table5[[#This Row],[Date]])+IF(MONTH(Table5[[#This Row],[Date]])&gt;=4,1,0)</f>
        <v>2026</v>
      </c>
      <c r="B157" s="55">
        <v>117</v>
      </c>
      <c r="C157" s="124">
        <f>YEAR(Table5[[#This Row],[Date]])</f>
        <v>2025</v>
      </c>
      <c r="D157" s="55" t="s">
        <v>329</v>
      </c>
      <c r="E157" s="55" t="s">
        <v>329</v>
      </c>
      <c r="F157" s="126" t="str">
        <f>TEXT(Table5[[#This Row],[Date]],"mmm-yy")</f>
        <v>Aug-25</v>
      </c>
      <c r="G157" s="124">
        <f t="shared" si="7"/>
        <v>31</v>
      </c>
      <c r="H157" s="125">
        <f t="shared" si="8"/>
        <v>45900</v>
      </c>
      <c r="I157" s="55">
        <v>8.02</v>
      </c>
      <c r="J157" s="59" t="str">
        <f>IFERROR(Inv_SY!J159/Inv_SY!$Y159-1,"")</f>
        <v/>
      </c>
      <c r="K157" s="59" t="str">
        <f>IFERROR(Inv_SY!K159/Inv_SY!$Y159-1,"")</f>
        <v/>
      </c>
      <c r="L157" s="59" t="str">
        <f>IFERROR(Inv_SY!L159/Inv_SY!$Y159-1,"")</f>
        <v/>
      </c>
      <c r="M157" s="59" t="str">
        <f>IFERROR(Inv_SY!M159/Inv_SY!$Y159-1,"")</f>
        <v/>
      </c>
      <c r="N157" s="59" t="str">
        <f>IFERROR(Inv_SY!N159/Inv_SY!$Y159-1,"")</f>
        <v/>
      </c>
      <c r="O157" s="59" t="str">
        <f>IFERROR(Inv_SY!O159/Inv_SY!$Y159-1,"")</f>
        <v/>
      </c>
      <c r="P157" s="59" t="str">
        <f>IFERROR(Inv_SY!P159/Inv_SY!$Y159-1,"")</f>
        <v/>
      </c>
      <c r="Q157" s="59" t="str">
        <f>IFERROR(Inv_SY!Q159/Inv_SY!$Y159-1,"")</f>
        <v/>
      </c>
      <c r="R157" s="59" t="str">
        <f>IFERROR(Inv_SY!R159/Inv_SY!$Y159-1,"")</f>
        <v/>
      </c>
      <c r="S157" s="59" t="str">
        <f>IFERROR(Inv_SY!S159/Inv_SY!$Y159-1,"")</f>
        <v/>
      </c>
      <c r="T157" s="59" t="str">
        <f>IFERROR(Inv_SY!T159/Inv_SY!$Y159-1,"")</f>
        <v/>
      </c>
      <c r="U157" s="59" t="str">
        <f>IFERROR(Inv_SY!U159/Inv_SY!$Y159-1,"")</f>
        <v/>
      </c>
      <c r="V157" s="59" t="str">
        <f>IFERROR(Inv_SY!J159/Inv_SY!$Z159-1,"")</f>
        <v/>
      </c>
      <c r="W157" s="59" t="str">
        <f>IFERROR(Inv_SY!K159/Inv_SY!$Z159-1,"")</f>
        <v/>
      </c>
      <c r="X157" s="59" t="str">
        <f>IFERROR(Inv_SY!L159/Inv_SY!$Z159-1,"")</f>
        <v/>
      </c>
      <c r="Y157" s="59" t="str">
        <f>IFERROR(Inv_SY!M159/Inv_SY!$Z159-1,"")</f>
        <v/>
      </c>
      <c r="Z157" s="59" t="str">
        <f>IFERROR(Inv_SY!N159/Inv_SY!$Z159-1,"")</f>
        <v/>
      </c>
      <c r="AA157" s="59" t="str">
        <f>IFERROR(Inv_SY!O159/Inv_SY!$Z159-1,"")</f>
        <v/>
      </c>
      <c r="AB157" s="59" t="str">
        <f>IFERROR(Inv_SY!P159/Inv_SY!$Z159-1,"")</f>
        <v/>
      </c>
      <c r="AC157" s="59" t="str">
        <f>IFERROR(Inv_SY!Q159/Inv_SY!$Z159-1,"")</f>
        <v/>
      </c>
      <c r="AD157" s="59" t="str">
        <f>IFERROR(Inv_SY!R159/Inv_SY!$Z159-1,"")</f>
        <v/>
      </c>
      <c r="AE157" s="59" t="str">
        <f>IFERROR(Inv_SY!S159/Inv_SY!$Z159-1,"")</f>
        <v/>
      </c>
      <c r="AF157" s="59" t="str">
        <f>IFERROR(Inv_SY!T159/Inv_SY!$Z159-1,"")</f>
        <v/>
      </c>
      <c r="AG157" s="59" t="str">
        <f>IFERROR(Inv_SY!U159/Inv_SY!$Z159-1,"")</f>
        <v/>
      </c>
      <c r="AH157" s="59" t="str">
        <f>IFERROR(Inv_SY!V159/Inv_SY!$Y159-1,"")</f>
        <v/>
      </c>
      <c r="AI157" s="59" t="str">
        <f>IFERROR(Inv_SY!W159/Inv_SY!$Y159-1,"")</f>
        <v/>
      </c>
      <c r="AJ157" s="59" t="str">
        <f>IFERROR(Inv_SY!X159/Inv_SY!$Y159-1,"")</f>
        <v/>
      </c>
      <c r="AK157" s="59" t="str">
        <f>IFERROR(Inv_SY!V159/Inv_SY!$Z159-1,"")</f>
        <v/>
      </c>
      <c r="AL157" s="59" t="str">
        <f>IFERROR(Inv_SY!W159/Inv_SY!$Z159-1,"")</f>
        <v/>
      </c>
      <c r="AM157" s="59" t="str">
        <f>IFERROR(Inv_SY!X159/Inv_SY!$Z159-1,"")</f>
        <v/>
      </c>
    </row>
    <row r="158" spans="1:39" x14ac:dyDescent="0.3">
      <c r="A158" s="55">
        <f>YEAR(Table5[[#This Row],[Date]])+IF(MONTH(Table5[[#This Row],[Date]])&gt;=4,1,0)</f>
        <v>2026</v>
      </c>
      <c r="B158" s="55">
        <v>118</v>
      </c>
      <c r="C158" s="124">
        <f>YEAR(Table5[[#This Row],[Date]])</f>
        <v>2025</v>
      </c>
      <c r="D158" s="55" t="s">
        <v>329</v>
      </c>
      <c r="E158" s="55" t="s">
        <v>329</v>
      </c>
      <c r="F158" s="126" t="str">
        <f>TEXT(Table5[[#This Row],[Date]],"mmm-yy")</f>
        <v>Sep-25</v>
      </c>
      <c r="G158" s="124">
        <f t="shared" si="7"/>
        <v>30</v>
      </c>
      <c r="H158" s="125">
        <f t="shared" si="8"/>
        <v>45901</v>
      </c>
      <c r="I158" s="55">
        <v>8.02</v>
      </c>
      <c r="J158" s="59" t="str">
        <f>IFERROR(Inv_SY!J160/Inv_SY!$Y160-1,"")</f>
        <v/>
      </c>
      <c r="K158" s="59" t="str">
        <f>IFERROR(Inv_SY!K160/Inv_SY!$Y160-1,"")</f>
        <v/>
      </c>
      <c r="L158" s="59" t="str">
        <f>IFERROR(Inv_SY!L160/Inv_SY!$Y160-1,"")</f>
        <v/>
      </c>
      <c r="M158" s="59" t="str">
        <f>IFERROR(Inv_SY!M160/Inv_SY!$Y160-1,"")</f>
        <v/>
      </c>
      <c r="N158" s="59" t="str">
        <f>IFERROR(Inv_SY!N160/Inv_SY!$Y160-1,"")</f>
        <v/>
      </c>
      <c r="O158" s="59" t="str">
        <f>IFERROR(Inv_SY!O160/Inv_SY!$Y160-1,"")</f>
        <v/>
      </c>
      <c r="P158" s="59" t="str">
        <f>IFERROR(Inv_SY!P160/Inv_SY!$Y160-1,"")</f>
        <v/>
      </c>
      <c r="Q158" s="59" t="str">
        <f>IFERROR(Inv_SY!Q160/Inv_SY!$Y160-1,"")</f>
        <v/>
      </c>
      <c r="R158" s="59" t="str">
        <f>IFERROR(Inv_SY!R160/Inv_SY!$Y160-1,"")</f>
        <v/>
      </c>
      <c r="S158" s="59" t="str">
        <f>IFERROR(Inv_SY!S160/Inv_SY!$Y160-1,"")</f>
        <v/>
      </c>
      <c r="T158" s="59" t="str">
        <f>IFERROR(Inv_SY!T160/Inv_SY!$Y160-1,"")</f>
        <v/>
      </c>
      <c r="U158" s="59" t="str">
        <f>IFERROR(Inv_SY!U160/Inv_SY!$Y160-1,"")</f>
        <v/>
      </c>
      <c r="V158" s="59" t="str">
        <f>IFERROR(Inv_SY!J160/Inv_SY!$Z160-1,"")</f>
        <v/>
      </c>
      <c r="W158" s="59" t="str">
        <f>IFERROR(Inv_SY!K160/Inv_SY!$Z160-1,"")</f>
        <v/>
      </c>
      <c r="X158" s="59" t="str">
        <f>IFERROR(Inv_SY!L160/Inv_SY!$Z160-1,"")</f>
        <v/>
      </c>
      <c r="Y158" s="59" t="str">
        <f>IFERROR(Inv_SY!M160/Inv_SY!$Z160-1,"")</f>
        <v/>
      </c>
      <c r="Z158" s="59" t="str">
        <f>IFERROR(Inv_SY!N160/Inv_SY!$Z160-1,"")</f>
        <v/>
      </c>
      <c r="AA158" s="59" t="str">
        <f>IFERROR(Inv_SY!O160/Inv_SY!$Z160-1,"")</f>
        <v/>
      </c>
      <c r="AB158" s="59" t="str">
        <f>IFERROR(Inv_SY!P160/Inv_SY!$Z160-1,"")</f>
        <v/>
      </c>
      <c r="AC158" s="59" t="str">
        <f>IFERROR(Inv_SY!Q160/Inv_SY!$Z160-1,"")</f>
        <v/>
      </c>
      <c r="AD158" s="59" t="str">
        <f>IFERROR(Inv_SY!R160/Inv_SY!$Z160-1,"")</f>
        <v/>
      </c>
      <c r="AE158" s="59" t="str">
        <f>IFERROR(Inv_SY!S160/Inv_SY!$Z160-1,"")</f>
        <v/>
      </c>
      <c r="AF158" s="59" t="str">
        <f>IFERROR(Inv_SY!T160/Inv_SY!$Z160-1,"")</f>
        <v/>
      </c>
      <c r="AG158" s="59" t="str">
        <f>IFERROR(Inv_SY!U160/Inv_SY!$Z160-1,"")</f>
        <v/>
      </c>
      <c r="AH158" s="59" t="str">
        <f>IFERROR(Inv_SY!V160/Inv_SY!$Y160-1,"")</f>
        <v/>
      </c>
      <c r="AI158" s="59" t="str">
        <f>IFERROR(Inv_SY!W160/Inv_SY!$Y160-1,"")</f>
        <v/>
      </c>
      <c r="AJ158" s="59" t="str">
        <f>IFERROR(Inv_SY!X160/Inv_SY!$Y160-1,"")</f>
        <v/>
      </c>
      <c r="AK158" s="59" t="str">
        <f>IFERROR(Inv_SY!V160/Inv_SY!$Z160-1,"")</f>
        <v/>
      </c>
      <c r="AL158" s="59" t="str">
        <f>IFERROR(Inv_SY!W160/Inv_SY!$Z160-1,"")</f>
        <v/>
      </c>
      <c r="AM158" s="59" t="str">
        <f>IFERROR(Inv_SY!X160/Inv_SY!$Z160-1,"")</f>
        <v/>
      </c>
    </row>
    <row r="159" spans="1:39" x14ac:dyDescent="0.3">
      <c r="A159" s="55">
        <f>YEAR(Table5[[#This Row],[Date]])+IF(MONTH(Table5[[#This Row],[Date]])&gt;=4,1,0)</f>
        <v>2026</v>
      </c>
      <c r="B159" s="55">
        <v>119</v>
      </c>
      <c r="C159" s="124">
        <f>YEAR(Table5[[#This Row],[Date]])</f>
        <v>2025</v>
      </c>
      <c r="D159" s="55" t="s">
        <v>329</v>
      </c>
      <c r="E159" s="55" t="s">
        <v>329</v>
      </c>
      <c r="F159" s="126" t="str">
        <f>TEXT(Table5[[#This Row],[Date]],"mmm-yy")</f>
        <v>Sep-25</v>
      </c>
      <c r="G159" s="124">
        <f t="shared" si="7"/>
        <v>30</v>
      </c>
      <c r="H159" s="125">
        <f t="shared" si="8"/>
        <v>45902</v>
      </c>
      <c r="I159" s="55">
        <v>8.02</v>
      </c>
      <c r="J159" s="59" t="str">
        <f>IFERROR(Inv_SY!J161/Inv_SY!$Y161-1,"")</f>
        <v/>
      </c>
      <c r="K159" s="59" t="str">
        <f>IFERROR(Inv_SY!K161/Inv_SY!$Y161-1,"")</f>
        <v/>
      </c>
      <c r="L159" s="59" t="str">
        <f>IFERROR(Inv_SY!L161/Inv_SY!$Y161-1,"")</f>
        <v/>
      </c>
      <c r="M159" s="59" t="str">
        <f>IFERROR(Inv_SY!M161/Inv_SY!$Y161-1,"")</f>
        <v/>
      </c>
      <c r="N159" s="59" t="str">
        <f>IFERROR(Inv_SY!N161/Inv_SY!$Y161-1,"")</f>
        <v/>
      </c>
      <c r="O159" s="59" t="str">
        <f>IFERROR(Inv_SY!O161/Inv_SY!$Y161-1,"")</f>
        <v/>
      </c>
      <c r="P159" s="59" t="str">
        <f>IFERROR(Inv_SY!P161/Inv_SY!$Y161-1,"")</f>
        <v/>
      </c>
      <c r="Q159" s="59" t="str">
        <f>IFERROR(Inv_SY!Q161/Inv_SY!$Y161-1,"")</f>
        <v/>
      </c>
      <c r="R159" s="59" t="str">
        <f>IFERROR(Inv_SY!R161/Inv_SY!$Y161-1,"")</f>
        <v/>
      </c>
      <c r="S159" s="59" t="str">
        <f>IFERROR(Inv_SY!S161/Inv_SY!$Y161-1,"")</f>
        <v/>
      </c>
      <c r="T159" s="59" t="str">
        <f>IFERROR(Inv_SY!T161/Inv_SY!$Y161-1,"")</f>
        <v/>
      </c>
      <c r="U159" s="59" t="str">
        <f>IFERROR(Inv_SY!U161/Inv_SY!$Y161-1,"")</f>
        <v/>
      </c>
      <c r="V159" s="59" t="str">
        <f>IFERROR(Inv_SY!J161/Inv_SY!$Z161-1,"")</f>
        <v/>
      </c>
      <c r="W159" s="59" t="str">
        <f>IFERROR(Inv_SY!K161/Inv_SY!$Z161-1,"")</f>
        <v/>
      </c>
      <c r="X159" s="59" t="str">
        <f>IFERROR(Inv_SY!L161/Inv_SY!$Z161-1,"")</f>
        <v/>
      </c>
      <c r="Y159" s="59" t="str">
        <f>IFERROR(Inv_SY!M161/Inv_SY!$Z161-1,"")</f>
        <v/>
      </c>
      <c r="Z159" s="59" t="str">
        <f>IFERROR(Inv_SY!N161/Inv_SY!$Z161-1,"")</f>
        <v/>
      </c>
      <c r="AA159" s="59" t="str">
        <f>IFERROR(Inv_SY!O161/Inv_SY!$Z161-1,"")</f>
        <v/>
      </c>
      <c r="AB159" s="59" t="str">
        <f>IFERROR(Inv_SY!P161/Inv_SY!$Z161-1,"")</f>
        <v/>
      </c>
      <c r="AC159" s="59" t="str">
        <f>IFERROR(Inv_SY!Q161/Inv_SY!$Z161-1,"")</f>
        <v/>
      </c>
      <c r="AD159" s="59" t="str">
        <f>IFERROR(Inv_SY!R161/Inv_SY!$Z161-1,"")</f>
        <v/>
      </c>
      <c r="AE159" s="59" t="str">
        <f>IFERROR(Inv_SY!S161/Inv_SY!$Z161-1,"")</f>
        <v/>
      </c>
      <c r="AF159" s="59" t="str">
        <f>IFERROR(Inv_SY!T161/Inv_SY!$Z161-1,"")</f>
        <v/>
      </c>
      <c r="AG159" s="59" t="str">
        <f>IFERROR(Inv_SY!U161/Inv_SY!$Z161-1,"")</f>
        <v/>
      </c>
      <c r="AH159" s="59" t="str">
        <f>IFERROR(Inv_SY!V161/Inv_SY!$Y161-1,"")</f>
        <v/>
      </c>
      <c r="AI159" s="59" t="str">
        <f>IFERROR(Inv_SY!W161/Inv_SY!$Y161-1,"")</f>
        <v/>
      </c>
      <c r="AJ159" s="59" t="str">
        <f>IFERROR(Inv_SY!X161/Inv_SY!$Y161-1,"")</f>
        <v/>
      </c>
      <c r="AK159" s="59" t="str">
        <f>IFERROR(Inv_SY!V161/Inv_SY!$Z161-1,"")</f>
        <v/>
      </c>
      <c r="AL159" s="59" t="str">
        <f>IFERROR(Inv_SY!W161/Inv_SY!$Z161-1,"")</f>
        <v/>
      </c>
      <c r="AM159" s="59" t="str">
        <f>IFERROR(Inv_SY!X161/Inv_SY!$Z161-1,"")</f>
        <v/>
      </c>
    </row>
    <row r="160" spans="1:39" x14ac:dyDescent="0.3">
      <c r="A160" s="55">
        <f>YEAR(Table5[[#This Row],[Date]])+IF(MONTH(Table5[[#This Row],[Date]])&gt;=4,1,0)</f>
        <v>2026</v>
      </c>
      <c r="B160" s="55">
        <v>120</v>
      </c>
      <c r="C160" s="124">
        <f>YEAR(Table5[[#This Row],[Date]])</f>
        <v>2025</v>
      </c>
      <c r="D160" s="55" t="s">
        <v>329</v>
      </c>
      <c r="E160" s="55" t="s">
        <v>329</v>
      </c>
      <c r="F160" s="126" t="str">
        <f>TEXT(Table5[[#This Row],[Date]],"mmm-yy")</f>
        <v>Sep-25</v>
      </c>
      <c r="G160" s="124">
        <f t="shared" si="7"/>
        <v>30</v>
      </c>
      <c r="H160" s="125">
        <f t="shared" si="8"/>
        <v>45903</v>
      </c>
      <c r="I160" s="55">
        <v>8.02</v>
      </c>
      <c r="J160" s="59" t="str">
        <f>IFERROR(Inv_SY!J162/Inv_SY!$Y162-1,"")</f>
        <v/>
      </c>
      <c r="K160" s="59" t="str">
        <f>IFERROR(Inv_SY!K162/Inv_SY!$Y162-1,"")</f>
        <v/>
      </c>
      <c r="L160" s="59" t="str">
        <f>IFERROR(Inv_SY!L162/Inv_SY!$Y162-1,"")</f>
        <v/>
      </c>
      <c r="M160" s="59" t="str">
        <f>IFERROR(Inv_SY!M162/Inv_SY!$Y162-1,"")</f>
        <v/>
      </c>
      <c r="N160" s="59" t="str">
        <f>IFERROR(Inv_SY!N162/Inv_SY!$Y162-1,"")</f>
        <v/>
      </c>
      <c r="O160" s="59" t="str">
        <f>IFERROR(Inv_SY!O162/Inv_SY!$Y162-1,"")</f>
        <v/>
      </c>
      <c r="P160" s="59" t="str">
        <f>IFERROR(Inv_SY!P162/Inv_SY!$Y162-1,"")</f>
        <v/>
      </c>
      <c r="Q160" s="59" t="str">
        <f>IFERROR(Inv_SY!Q162/Inv_SY!$Y162-1,"")</f>
        <v/>
      </c>
      <c r="R160" s="59" t="str">
        <f>IFERROR(Inv_SY!R162/Inv_SY!$Y162-1,"")</f>
        <v/>
      </c>
      <c r="S160" s="59" t="str">
        <f>IFERROR(Inv_SY!S162/Inv_SY!$Y162-1,"")</f>
        <v/>
      </c>
      <c r="T160" s="59" t="str">
        <f>IFERROR(Inv_SY!T162/Inv_SY!$Y162-1,"")</f>
        <v/>
      </c>
      <c r="U160" s="59" t="str">
        <f>IFERROR(Inv_SY!U162/Inv_SY!$Y162-1,"")</f>
        <v/>
      </c>
      <c r="V160" s="59" t="str">
        <f>IFERROR(Inv_SY!J162/Inv_SY!$Z162-1,"")</f>
        <v/>
      </c>
      <c r="W160" s="59" t="str">
        <f>IFERROR(Inv_SY!K162/Inv_SY!$Z162-1,"")</f>
        <v/>
      </c>
      <c r="X160" s="59" t="str">
        <f>IFERROR(Inv_SY!L162/Inv_SY!$Z162-1,"")</f>
        <v/>
      </c>
      <c r="Y160" s="59" t="str">
        <f>IFERROR(Inv_SY!M162/Inv_SY!$Z162-1,"")</f>
        <v/>
      </c>
      <c r="Z160" s="59" t="str">
        <f>IFERROR(Inv_SY!N162/Inv_SY!$Z162-1,"")</f>
        <v/>
      </c>
      <c r="AA160" s="59" t="str">
        <f>IFERROR(Inv_SY!O162/Inv_SY!$Z162-1,"")</f>
        <v/>
      </c>
      <c r="AB160" s="59" t="str">
        <f>IFERROR(Inv_SY!P162/Inv_SY!$Z162-1,"")</f>
        <v/>
      </c>
      <c r="AC160" s="59" t="str">
        <f>IFERROR(Inv_SY!Q162/Inv_SY!$Z162-1,"")</f>
        <v/>
      </c>
      <c r="AD160" s="59" t="str">
        <f>IFERROR(Inv_SY!R162/Inv_SY!$Z162-1,"")</f>
        <v/>
      </c>
      <c r="AE160" s="59" t="str">
        <f>IFERROR(Inv_SY!S162/Inv_SY!$Z162-1,"")</f>
        <v/>
      </c>
      <c r="AF160" s="59" t="str">
        <f>IFERROR(Inv_SY!T162/Inv_SY!$Z162-1,"")</f>
        <v/>
      </c>
      <c r="AG160" s="59" t="str">
        <f>IFERROR(Inv_SY!U162/Inv_SY!$Z162-1,"")</f>
        <v/>
      </c>
      <c r="AH160" s="59" t="str">
        <f>IFERROR(Inv_SY!V162/Inv_SY!$Y162-1,"")</f>
        <v/>
      </c>
      <c r="AI160" s="59" t="str">
        <f>IFERROR(Inv_SY!W162/Inv_SY!$Y162-1,"")</f>
        <v/>
      </c>
      <c r="AJ160" s="59" t="str">
        <f>IFERROR(Inv_SY!X162/Inv_SY!$Y162-1,"")</f>
        <v/>
      </c>
      <c r="AK160" s="59" t="str">
        <f>IFERROR(Inv_SY!V162/Inv_SY!$Z162-1,"")</f>
        <v/>
      </c>
      <c r="AL160" s="59" t="str">
        <f>IFERROR(Inv_SY!W162/Inv_SY!$Z162-1,"")</f>
        <v/>
      </c>
      <c r="AM160" s="59" t="str">
        <f>IFERROR(Inv_SY!X162/Inv_SY!$Z162-1,"")</f>
        <v/>
      </c>
    </row>
    <row r="161" spans="1:39" x14ac:dyDescent="0.3">
      <c r="A161" s="55">
        <f>YEAR(Table5[[#This Row],[Date]])+IF(MONTH(Table5[[#This Row],[Date]])&gt;=4,1,0)</f>
        <v>2026</v>
      </c>
      <c r="B161" s="55">
        <v>121</v>
      </c>
      <c r="C161" s="124">
        <f>YEAR(Table5[[#This Row],[Date]])</f>
        <v>2025</v>
      </c>
      <c r="D161" s="55" t="s">
        <v>329</v>
      </c>
      <c r="E161" s="55" t="s">
        <v>329</v>
      </c>
      <c r="F161" s="126" t="str">
        <f>TEXT(Table5[[#This Row],[Date]],"mmm-yy")</f>
        <v>Sep-25</v>
      </c>
      <c r="G161" s="124">
        <f t="shared" si="7"/>
        <v>30</v>
      </c>
      <c r="H161" s="125">
        <f t="shared" si="8"/>
        <v>45904</v>
      </c>
      <c r="I161" s="55">
        <v>8.02</v>
      </c>
      <c r="J161" s="59" t="str">
        <f>IFERROR(Inv_SY!J163/Inv_SY!$Y163-1,"")</f>
        <v/>
      </c>
      <c r="K161" s="59" t="str">
        <f>IFERROR(Inv_SY!K163/Inv_SY!$Y163-1,"")</f>
        <v/>
      </c>
      <c r="L161" s="59" t="str">
        <f>IFERROR(Inv_SY!L163/Inv_SY!$Y163-1,"")</f>
        <v/>
      </c>
      <c r="M161" s="59" t="str">
        <f>IFERROR(Inv_SY!M163/Inv_SY!$Y163-1,"")</f>
        <v/>
      </c>
      <c r="N161" s="59" t="str">
        <f>IFERROR(Inv_SY!N163/Inv_SY!$Y163-1,"")</f>
        <v/>
      </c>
      <c r="O161" s="59" t="str">
        <f>IFERROR(Inv_SY!O163/Inv_SY!$Y163-1,"")</f>
        <v/>
      </c>
      <c r="P161" s="59" t="str">
        <f>IFERROR(Inv_SY!P163/Inv_SY!$Y163-1,"")</f>
        <v/>
      </c>
      <c r="Q161" s="59" t="str">
        <f>IFERROR(Inv_SY!Q163/Inv_SY!$Y163-1,"")</f>
        <v/>
      </c>
      <c r="R161" s="59" t="str">
        <f>IFERROR(Inv_SY!R163/Inv_SY!$Y163-1,"")</f>
        <v/>
      </c>
      <c r="S161" s="59" t="str">
        <f>IFERROR(Inv_SY!S163/Inv_SY!$Y163-1,"")</f>
        <v/>
      </c>
      <c r="T161" s="59" t="str">
        <f>IFERROR(Inv_SY!T163/Inv_SY!$Y163-1,"")</f>
        <v/>
      </c>
      <c r="U161" s="59" t="str">
        <f>IFERROR(Inv_SY!U163/Inv_SY!$Y163-1,"")</f>
        <v/>
      </c>
      <c r="V161" s="59" t="str">
        <f>IFERROR(Inv_SY!J163/Inv_SY!$Z163-1,"")</f>
        <v/>
      </c>
      <c r="W161" s="59" t="str">
        <f>IFERROR(Inv_SY!K163/Inv_SY!$Z163-1,"")</f>
        <v/>
      </c>
      <c r="X161" s="59" t="str">
        <f>IFERROR(Inv_SY!L163/Inv_SY!$Z163-1,"")</f>
        <v/>
      </c>
      <c r="Y161" s="59" t="str">
        <f>IFERROR(Inv_SY!M163/Inv_SY!$Z163-1,"")</f>
        <v/>
      </c>
      <c r="Z161" s="59" t="str">
        <f>IFERROR(Inv_SY!N163/Inv_SY!$Z163-1,"")</f>
        <v/>
      </c>
      <c r="AA161" s="59" t="str">
        <f>IFERROR(Inv_SY!O163/Inv_SY!$Z163-1,"")</f>
        <v/>
      </c>
      <c r="AB161" s="59" t="str">
        <f>IFERROR(Inv_SY!P163/Inv_SY!$Z163-1,"")</f>
        <v/>
      </c>
      <c r="AC161" s="59" t="str">
        <f>IFERROR(Inv_SY!Q163/Inv_SY!$Z163-1,"")</f>
        <v/>
      </c>
      <c r="AD161" s="59" t="str">
        <f>IFERROR(Inv_SY!R163/Inv_SY!$Z163-1,"")</f>
        <v/>
      </c>
      <c r="AE161" s="59" t="str">
        <f>IFERROR(Inv_SY!S163/Inv_SY!$Z163-1,"")</f>
        <v/>
      </c>
      <c r="AF161" s="59" t="str">
        <f>IFERROR(Inv_SY!T163/Inv_SY!$Z163-1,"")</f>
        <v/>
      </c>
      <c r="AG161" s="59" t="str">
        <f>IFERROR(Inv_SY!U163/Inv_SY!$Z163-1,"")</f>
        <v/>
      </c>
      <c r="AH161" s="59" t="str">
        <f>IFERROR(Inv_SY!V163/Inv_SY!$Y163-1,"")</f>
        <v/>
      </c>
      <c r="AI161" s="59" t="str">
        <f>IFERROR(Inv_SY!W163/Inv_SY!$Y163-1,"")</f>
        <v/>
      </c>
      <c r="AJ161" s="59" t="str">
        <f>IFERROR(Inv_SY!X163/Inv_SY!$Y163-1,"")</f>
        <v/>
      </c>
      <c r="AK161" s="59" t="str">
        <f>IFERROR(Inv_SY!V163/Inv_SY!$Z163-1,"")</f>
        <v/>
      </c>
      <c r="AL161" s="59" t="str">
        <f>IFERROR(Inv_SY!W163/Inv_SY!$Z163-1,"")</f>
        <v/>
      </c>
      <c r="AM161" s="59" t="str">
        <f>IFERROR(Inv_SY!X163/Inv_SY!$Z163-1,"")</f>
        <v/>
      </c>
    </row>
    <row r="162" spans="1:39" x14ac:dyDescent="0.3">
      <c r="A162" s="55">
        <f>YEAR(Table5[[#This Row],[Date]])+IF(MONTH(Table5[[#This Row],[Date]])&gt;=4,1,0)</f>
        <v>2026</v>
      </c>
      <c r="B162" s="55">
        <v>122</v>
      </c>
      <c r="C162" s="124">
        <f>YEAR(Table5[[#This Row],[Date]])</f>
        <v>2025</v>
      </c>
      <c r="D162" s="55" t="s">
        <v>329</v>
      </c>
      <c r="E162" s="55" t="s">
        <v>329</v>
      </c>
      <c r="F162" s="126" t="str">
        <f>TEXT(Table5[[#This Row],[Date]],"mmm-yy")</f>
        <v>Sep-25</v>
      </c>
      <c r="G162" s="124">
        <f t="shared" si="7"/>
        <v>30</v>
      </c>
      <c r="H162" s="125">
        <f t="shared" si="8"/>
        <v>45905</v>
      </c>
      <c r="I162" s="55">
        <v>8.02</v>
      </c>
      <c r="J162" s="59" t="str">
        <f>IFERROR(Inv_SY!J164/Inv_SY!$Y164-1,"")</f>
        <v/>
      </c>
      <c r="K162" s="59" t="str">
        <f>IFERROR(Inv_SY!K164/Inv_SY!$Y164-1,"")</f>
        <v/>
      </c>
      <c r="L162" s="59" t="str">
        <f>IFERROR(Inv_SY!L164/Inv_SY!$Y164-1,"")</f>
        <v/>
      </c>
      <c r="M162" s="59" t="str">
        <f>IFERROR(Inv_SY!M164/Inv_SY!$Y164-1,"")</f>
        <v/>
      </c>
      <c r="N162" s="59" t="str">
        <f>IFERROR(Inv_SY!N164/Inv_SY!$Y164-1,"")</f>
        <v/>
      </c>
      <c r="O162" s="59" t="str">
        <f>IFERROR(Inv_SY!O164/Inv_SY!$Y164-1,"")</f>
        <v/>
      </c>
      <c r="P162" s="59" t="str">
        <f>IFERROR(Inv_SY!P164/Inv_SY!$Y164-1,"")</f>
        <v/>
      </c>
      <c r="Q162" s="59" t="str">
        <f>IFERROR(Inv_SY!Q164/Inv_SY!$Y164-1,"")</f>
        <v/>
      </c>
      <c r="R162" s="59" t="str">
        <f>IFERROR(Inv_SY!R164/Inv_SY!$Y164-1,"")</f>
        <v/>
      </c>
      <c r="S162" s="59" t="str">
        <f>IFERROR(Inv_SY!S164/Inv_SY!$Y164-1,"")</f>
        <v/>
      </c>
      <c r="T162" s="59" t="str">
        <f>IFERROR(Inv_SY!T164/Inv_SY!$Y164-1,"")</f>
        <v/>
      </c>
      <c r="U162" s="59" t="str">
        <f>IFERROR(Inv_SY!U164/Inv_SY!$Y164-1,"")</f>
        <v/>
      </c>
      <c r="V162" s="59" t="str">
        <f>IFERROR(Inv_SY!J164/Inv_SY!$Z164-1,"")</f>
        <v/>
      </c>
      <c r="W162" s="59" t="str">
        <f>IFERROR(Inv_SY!K164/Inv_SY!$Z164-1,"")</f>
        <v/>
      </c>
      <c r="X162" s="59" t="str">
        <f>IFERROR(Inv_SY!L164/Inv_SY!$Z164-1,"")</f>
        <v/>
      </c>
      <c r="Y162" s="59" t="str">
        <f>IFERROR(Inv_SY!M164/Inv_SY!$Z164-1,"")</f>
        <v/>
      </c>
      <c r="Z162" s="59" t="str">
        <f>IFERROR(Inv_SY!N164/Inv_SY!$Z164-1,"")</f>
        <v/>
      </c>
      <c r="AA162" s="59" t="str">
        <f>IFERROR(Inv_SY!O164/Inv_SY!$Z164-1,"")</f>
        <v/>
      </c>
      <c r="AB162" s="59" t="str">
        <f>IFERROR(Inv_SY!P164/Inv_SY!$Z164-1,"")</f>
        <v/>
      </c>
      <c r="AC162" s="59" t="str">
        <f>IFERROR(Inv_SY!Q164/Inv_SY!$Z164-1,"")</f>
        <v/>
      </c>
      <c r="AD162" s="59" t="str">
        <f>IFERROR(Inv_SY!R164/Inv_SY!$Z164-1,"")</f>
        <v/>
      </c>
      <c r="AE162" s="59" t="str">
        <f>IFERROR(Inv_SY!S164/Inv_SY!$Z164-1,"")</f>
        <v/>
      </c>
      <c r="AF162" s="59" t="str">
        <f>IFERROR(Inv_SY!T164/Inv_SY!$Z164-1,"")</f>
        <v/>
      </c>
      <c r="AG162" s="59" t="str">
        <f>IFERROR(Inv_SY!U164/Inv_SY!$Z164-1,"")</f>
        <v/>
      </c>
      <c r="AH162" s="59" t="str">
        <f>IFERROR(Inv_SY!V164/Inv_SY!$Y164-1,"")</f>
        <v/>
      </c>
      <c r="AI162" s="59" t="str">
        <f>IFERROR(Inv_SY!W164/Inv_SY!$Y164-1,"")</f>
        <v/>
      </c>
      <c r="AJ162" s="59" t="str">
        <f>IFERROR(Inv_SY!X164/Inv_SY!$Y164-1,"")</f>
        <v/>
      </c>
      <c r="AK162" s="59" t="str">
        <f>IFERROR(Inv_SY!V164/Inv_SY!$Z164-1,"")</f>
        <v/>
      </c>
      <c r="AL162" s="59" t="str">
        <f>IFERROR(Inv_SY!W164/Inv_SY!$Z164-1,"")</f>
        <v/>
      </c>
      <c r="AM162" s="59" t="str">
        <f>IFERROR(Inv_SY!X164/Inv_SY!$Z164-1,"")</f>
        <v/>
      </c>
    </row>
    <row r="163" spans="1:39" x14ac:dyDescent="0.3">
      <c r="A163" s="55">
        <f>YEAR(Table5[[#This Row],[Date]])+IF(MONTH(Table5[[#This Row],[Date]])&gt;=4,1,0)</f>
        <v>2026</v>
      </c>
      <c r="B163" s="55">
        <v>123</v>
      </c>
      <c r="C163" s="124">
        <f>YEAR(Table5[[#This Row],[Date]])</f>
        <v>2025</v>
      </c>
      <c r="D163" s="55" t="s">
        <v>329</v>
      </c>
      <c r="E163" s="55" t="s">
        <v>329</v>
      </c>
      <c r="F163" s="126" t="str">
        <f>TEXT(Table5[[#This Row],[Date]],"mmm-yy")</f>
        <v>Sep-25</v>
      </c>
      <c r="G163" s="124">
        <f t="shared" si="7"/>
        <v>30</v>
      </c>
      <c r="H163" s="125">
        <f t="shared" si="8"/>
        <v>45906</v>
      </c>
      <c r="I163" s="55">
        <v>8.02</v>
      </c>
      <c r="J163" s="59" t="str">
        <f>IFERROR(Inv_SY!J165/Inv_SY!$Y165-1,"")</f>
        <v/>
      </c>
      <c r="K163" s="59" t="str">
        <f>IFERROR(Inv_SY!K165/Inv_SY!$Y165-1,"")</f>
        <v/>
      </c>
      <c r="L163" s="59" t="str">
        <f>IFERROR(Inv_SY!L165/Inv_SY!$Y165-1,"")</f>
        <v/>
      </c>
      <c r="M163" s="59" t="str">
        <f>IFERROR(Inv_SY!M165/Inv_SY!$Y165-1,"")</f>
        <v/>
      </c>
      <c r="N163" s="59" t="str">
        <f>IFERROR(Inv_SY!N165/Inv_SY!$Y165-1,"")</f>
        <v/>
      </c>
      <c r="O163" s="59" t="str">
        <f>IFERROR(Inv_SY!O165/Inv_SY!$Y165-1,"")</f>
        <v/>
      </c>
      <c r="P163" s="59" t="str">
        <f>IFERROR(Inv_SY!P165/Inv_SY!$Y165-1,"")</f>
        <v/>
      </c>
      <c r="Q163" s="59" t="str">
        <f>IFERROR(Inv_SY!Q165/Inv_SY!$Y165-1,"")</f>
        <v/>
      </c>
      <c r="R163" s="59" t="str">
        <f>IFERROR(Inv_SY!R165/Inv_SY!$Y165-1,"")</f>
        <v/>
      </c>
      <c r="S163" s="59" t="str">
        <f>IFERROR(Inv_SY!S165/Inv_SY!$Y165-1,"")</f>
        <v/>
      </c>
      <c r="T163" s="59" t="str">
        <f>IFERROR(Inv_SY!T165/Inv_SY!$Y165-1,"")</f>
        <v/>
      </c>
      <c r="U163" s="59" t="str">
        <f>IFERROR(Inv_SY!U165/Inv_SY!$Y165-1,"")</f>
        <v/>
      </c>
      <c r="V163" s="59" t="str">
        <f>IFERROR(Inv_SY!J165/Inv_SY!$Z165-1,"")</f>
        <v/>
      </c>
      <c r="W163" s="59" t="str">
        <f>IFERROR(Inv_SY!K165/Inv_SY!$Z165-1,"")</f>
        <v/>
      </c>
      <c r="X163" s="59" t="str">
        <f>IFERROR(Inv_SY!L165/Inv_SY!$Z165-1,"")</f>
        <v/>
      </c>
      <c r="Y163" s="59" t="str">
        <f>IFERROR(Inv_SY!M165/Inv_SY!$Z165-1,"")</f>
        <v/>
      </c>
      <c r="Z163" s="59" t="str">
        <f>IFERROR(Inv_SY!N165/Inv_SY!$Z165-1,"")</f>
        <v/>
      </c>
      <c r="AA163" s="59" t="str">
        <f>IFERROR(Inv_SY!O165/Inv_SY!$Z165-1,"")</f>
        <v/>
      </c>
      <c r="AB163" s="59" t="str">
        <f>IFERROR(Inv_SY!P165/Inv_SY!$Z165-1,"")</f>
        <v/>
      </c>
      <c r="AC163" s="59" t="str">
        <f>IFERROR(Inv_SY!Q165/Inv_SY!$Z165-1,"")</f>
        <v/>
      </c>
      <c r="AD163" s="59" t="str">
        <f>IFERROR(Inv_SY!R165/Inv_SY!$Z165-1,"")</f>
        <v/>
      </c>
      <c r="AE163" s="59" t="str">
        <f>IFERROR(Inv_SY!S165/Inv_SY!$Z165-1,"")</f>
        <v/>
      </c>
      <c r="AF163" s="59" t="str">
        <f>IFERROR(Inv_SY!T165/Inv_SY!$Z165-1,"")</f>
        <v/>
      </c>
      <c r="AG163" s="59" t="str">
        <f>IFERROR(Inv_SY!U165/Inv_SY!$Z165-1,"")</f>
        <v/>
      </c>
      <c r="AH163" s="59" t="str">
        <f>IFERROR(Inv_SY!V165/Inv_SY!$Y165-1,"")</f>
        <v/>
      </c>
      <c r="AI163" s="59" t="str">
        <f>IFERROR(Inv_SY!W165/Inv_SY!$Y165-1,"")</f>
        <v/>
      </c>
      <c r="AJ163" s="59" t="str">
        <f>IFERROR(Inv_SY!X165/Inv_SY!$Y165-1,"")</f>
        <v/>
      </c>
      <c r="AK163" s="59" t="str">
        <f>IFERROR(Inv_SY!V165/Inv_SY!$Z165-1,"")</f>
        <v/>
      </c>
      <c r="AL163" s="59" t="str">
        <f>IFERROR(Inv_SY!W165/Inv_SY!$Z165-1,"")</f>
        <v/>
      </c>
      <c r="AM163" s="59" t="str">
        <f>IFERROR(Inv_SY!X165/Inv_SY!$Z165-1,"")</f>
        <v/>
      </c>
    </row>
    <row r="164" spans="1:39" x14ac:dyDescent="0.3">
      <c r="A164" s="55">
        <f>YEAR(Table5[[#This Row],[Date]])+IF(MONTH(Table5[[#This Row],[Date]])&gt;=4,1,0)</f>
        <v>2026</v>
      </c>
      <c r="B164" s="55">
        <v>124</v>
      </c>
      <c r="C164" s="124">
        <f>YEAR(Table5[[#This Row],[Date]])</f>
        <v>2025</v>
      </c>
      <c r="D164" s="55" t="s">
        <v>329</v>
      </c>
      <c r="E164" s="55" t="s">
        <v>329</v>
      </c>
      <c r="F164" s="126" t="str">
        <f>TEXT(Table5[[#This Row],[Date]],"mmm-yy")</f>
        <v>Sep-25</v>
      </c>
      <c r="G164" s="124">
        <f t="shared" si="7"/>
        <v>30</v>
      </c>
      <c r="H164" s="125">
        <f t="shared" si="8"/>
        <v>45907</v>
      </c>
      <c r="I164" s="55">
        <v>8.02</v>
      </c>
      <c r="J164" s="59" t="str">
        <f>IFERROR(Inv_SY!J166/Inv_SY!$Y166-1,"")</f>
        <v/>
      </c>
      <c r="K164" s="59" t="str">
        <f>IFERROR(Inv_SY!K166/Inv_SY!$Y166-1,"")</f>
        <v/>
      </c>
      <c r="L164" s="59" t="str">
        <f>IFERROR(Inv_SY!L166/Inv_SY!$Y166-1,"")</f>
        <v/>
      </c>
      <c r="M164" s="59" t="str">
        <f>IFERROR(Inv_SY!M166/Inv_SY!$Y166-1,"")</f>
        <v/>
      </c>
      <c r="N164" s="59" t="str">
        <f>IFERROR(Inv_SY!N166/Inv_SY!$Y166-1,"")</f>
        <v/>
      </c>
      <c r="O164" s="59" t="str">
        <f>IFERROR(Inv_SY!O166/Inv_SY!$Y166-1,"")</f>
        <v/>
      </c>
      <c r="P164" s="59" t="str">
        <f>IFERROR(Inv_SY!P166/Inv_SY!$Y166-1,"")</f>
        <v/>
      </c>
      <c r="Q164" s="59" t="str">
        <f>IFERROR(Inv_SY!Q166/Inv_SY!$Y166-1,"")</f>
        <v/>
      </c>
      <c r="R164" s="59" t="str">
        <f>IFERROR(Inv_SY!R166/Inv_SY!$Y166-1,"")</f>
        <v/>
      </c>
      <c r="S164" s="59" t="str">
        <f>IFERROR(Inv_SY!S166/Inv_SY!$Y166-1,"")</f>
        <v/>
      </c>
      <c r="T164" s="59" t="str">
        <f>IFERROR(Inv_SY!T166/Inv_SY!$Y166-1,"")</f>
        <v/>
      </c>
      <c r="U164" s="59" t="str">
        <f>IFERROR(Inv_SY!U166/Inv_SY!$Y166-1,"")</f>
        <v/>
      </c>
      <c r="V164" s="59" t="str">
        <f>IFERROR(Inv_SY!J166/Inv_SY!$Z166-1,"")</f>
        <v/>
      </c>
      <c r="W164" s="59" t="str">
        <f>IFERROR(Inv_SY!K166/Inv_SY!$Z166-1,"")</f>
        <v/>
      </c>
      <c r="X164" s="59" t="str">
        <f>IFERROR(Inv_SY!L166/Inv_SY!$Z166-1,"")</f>
        <v/>
      </c>
      <c r="Y164" s="59" t="str">
        <f>IFERROR(Inv_SY!M166/Inv_SY!$Z166-1,"")</f>
        <v/>
      </c>
      <c r="Z164" s="59" t="str">
        <f>IFERROR(Inv_SY!N166/Inv_SY!$Z166-1,"")</f>
        <v/>
      </c>
      <c r="AA164" s="59" t="str">
        <f>IFERROR(Inv_SY!O166/Inv_SY!$Z166-1,"")</f>
        <v/>
      </c>
      <c r="AB164" s="59" t="str">
        <f>IFERROR(Inv_SY!P166/Inv_SY!$Z166-1,"")</f>
        <v/>
      </c>
      <c r="AC164" s="59" t="str">
        <f>IFERROR(Inv_SY!Q166/Inv_SY!$Z166-1,"")</f>
        <v/>
      </c>
      <c r="AD164" s="59" t="str">
        <f>IFERROR(Inv_SY!R166/Inv_SY!$Z166-1,"")</f>
        <v/>
      </c>
      <c r="AE164" s="59" t="str">
        <f>IFERROR(Inv_SY!S166/Inv_SY!$Z166-1,"")</f>
        <v/>
      </c>
      <c r="AF164" s="59" t="str">
        <f>IFERROR(Inv_SY!T166/Inv_SY!$Z166-1,"")</f>
        <v/>
      </c>
      <c r="AG164" s="59" t="str">
        <f>IFERROR(Inv_SY!U166/Inv_SY!$Z166-1,"")</f>
        <v/>
      </c>
      <c r="AH164" s="59" t="str">
        <f>IFERROR(Inv_SY!V166/Inv_SY!$Y166-1,"")</f>
        <v/>
      </c>
      <c r="AI164" s="59" t="str">
        <f>IFERROR(Inv_SY!W166/Inv_SY!$Y166-1,"")</f>
        <v/>
      </c>
      <c r="AJ164" s="59" t="str">
        <f>IFERROR(Inv_SY!X166/Inv_SY!$Y166-1,"")</f>
        <v/>
      </c>
      <c r="AK164" s="59" t="str">
        <f>IFERROR(Inv_SY!V166/Inv_SY!$Z166-1,"")</f>
        <v/>
      </c>
      <c r="AL164" s="59" t="str">
        <f>IFERROR(Inv_SY!W166/Inv_SY!$Z166-1,"")</f>
        <v/>
      </c>
      <c r="AM164" s="59" t="str">
        <f>IFERROR(Inv_SY!X166/Inv_SY!$Z166-1,"")</f>
        <v/>
      </c>
    </row>
    <row r="165" spans="1:39" x14ac:dyDescent="0.3">
      <c r="A165" s="55">
        <f>YEAR(Table5[[#This Row],[Date]])+IF(MONTH(Table5[[#This Row],[Date]])&gt;=4,1,0)</f>
        <v>2026</v>
      </c>
      <c r="B165" s="55">
        <v>125</v>
      </c>
      <c r="C165" s="124">
        <f>YEAR(Table5[[#This Row],[Date]])</f>
        <v>2025</v>
      </c>
      <c r="D165" s="55" t="s">
        <v>329</v>
      </c>
      <c r="E165" s="55" t="s">
        <v>329</v>
      </c>
      <c r="F165" s="126" t="str">
        <f>TEXT(Table5[[#This Row],[Date]],"mmm-yy")</f>
        <v>Sep-25</v>
      </c>
      <c r="G165" s="124">
        <f t="shared" si="7"/>
        <v>30</v>
      </c>
      <c r="H165" s="125">
        <f t="shared" si="8"/>
        <v>45908</v>
      </c>
      <c r="I165" s="55">
        <v>8.02</v>
      </c>
      <c r="J165" s="59" t="str">
        <f>IFERROR(Inv_SY!J167/Inv_SY!$Y167-1,"")</f>
        <v/>
      </c>
      <c r="K165" s="59" t="str">
        <f>IFERROR(Inv_SY!K167/Inv_SY!$Y167-1,"")</f>
        <v/>
      </c>
      <c r="L165" s="59" t="str">
        <f>IFERROR(Inv_SY!L167/Inv_SY!$Y167-1,"")</f>
        <v/>
      </c>
      <c r="M165" s="59" t="str">
        <f>IFERROR(Inv_SY!M167/Inv_SY!$Y167-1,"")</f>
        <v/>
      </c>
      <c r="N165" s="59" t="str">
        <f>IFERROR(Inv_SY!N167/Inv_SY!$Y167-1,"")</f>
        <v/>
      </c>
      <c r="O165" s="59" t="str">
        <f>IFERROR(Inv_SY!O167/Inv_SY!$Y167-1,"")</f>
        <v/>
      </c>
      <c r="P165" s="59" t="str">
        <f>IFERROR(Inv_SY!P167/Inv_SY!$Y167-1,"")</f>
        <v/>
      </c>
      <c r="Q165" s="59" t="str">
        <f>IFERROR(Inv_SY!Q167/Inv_SY!$Y167-1,"")</f>
        <v/>
      </c>
      <c r="R165" s="59" t="str">
        <f>IFERROR(Inv_SY!R167/Inv_SY!$Y167-1,"")</f>
        <v/>
      </c>
      <c r="S165" s="59" t="str">
        <f>IFERROR(Inv_SY!S167/Inv_SY!$Y167-1,"")</f>
        <v/>
      </c>
      <c r="T165" s="59" t="str">
        <f>IFERROR(Inv_SY!T167/Inv_SY!$Y167-1,"")</f>
        <v/>
      </c>
      <c r="U165" s="59" t="str">
        <f>IFERROR(Inv_SY!U167/Inv_SY!$Y167-1,"")</f>
        <v/>
      </c>
      <c r="V165" s="59" t="str">
        <f>IFERROR(Inv_SY!J167/Inv_SY!$Z167-1,"")</f>
        <v/>
      </c>
      <c r="W165" s="59" t="str">
        <f>IFERROR(Inv_SY!K167/Inv_SY!$Z167-1,"")</f>
        <v/>
      </c>
      <c r="X165" s="59" t="str">
        <f>IFERROR(Inv_SY!L167/Inv_SY!$Z167-1,"")</f>
        <v/>
      </c>
      <c r="Y165" s="59" t="str">
        <f>IFERROR(Inv_SY!M167/Inv_SY!$Z167-1,"")</f>
        <v/>
      </c>
      <c r="Z165" s="59" t="str">
        <f>IFERROR(Inv_SY!N167/Inv_SY!$Z167-1,"")</f>
        <v/>
      </c>
      <c r="AA165" s="59" t="str">
        <f>IFERROR(Inv_SY!O167/Inv_SY!$Z167-1,"")</f>
        <v/>
      </c>
      <c r="AB165" s="59" t="str">
        <f>IFERROR(Inv_SY!P167/Inv_SY!$Z167-1,"")</f>
        <v/>
      </c>
      <c r="AC165" s="59" t="str">
        <f>IFERROR(Inv_SY!Q167/Inv_SY!$Z167-1,"")</f>
        <v/>
      </c>
      <c r="AD165" s="59" t="str">
        <f>IFERROR(Inv_SY!R167/Inv_SY!$Z167-1,"")</f>
        <v/>
      </c>
      <c r="AE165" s="59" t="str">
        <f>IFERROR(Inv_SY!S167/Inv_SY!$Z167-1,"")</f>
        <v/>
      </c>
      <c r="AF165" s="59" t="str">
        <f>IFERROR(Inv_SY!T167/Inv_SY!$Z167-1,"")</f>
        <v/>
      </c>
      <c r="AG165" s="59" t="str">
        <f>IFERROR(Inv_SY!U167/Inv_SY!$Z167-1,"")</f>
        <v/>
      </c>
      <c r="AH165" s="59" t="str">
        <f>IFERROR(Inv_SY!V167/Inv_SY!$Y167-1,"")</f>
        <v/>
      </c>
      <c r="AI165" s="59" t="str">
        <f>IFERROR(Inv_SY!W167/Inv_SY!$Y167-1,"")</f>
        <v/>
      </c>
      <c r="AJ165" s="59" t="str">
        <f>IFERROR(Inv_SY!X167/Inv_SY!$Y167-1,"")</f>
        <v/>
      </c>
      <c r="AK165" s="59" t="str">
        <f>IFERROR(Inv_SY!V167/Inv_SY!$Z167-1,"")</f>
        <v/>
      </c>
      <c r="AL165" s="59" t="str">
        <f>IFERROR(Inv_SY!W167/Inv_SY!$Z167-1,"")</f>
        <v/>
      </c>
      <c r="AM165" s="59" t="str">
        <f>IFERROR(Inv_SY!X167/Inv_SY!$Z167-1,"")</f>
        <v/>
      </c>
    </row>
    <row r="166" spans="1:39" x14ac:dyDescent="0.3">
      <c r="A166" s="55">
        <f>YEAR(Table5[[#This Row],[Date]])+IF(MONTH(Table5[[#This Row],[Date]])&gt;=4,1,0)</f>
        <v>2026</v>
      </c>
      <c r="B166" s="55">
        <v>126</v>
      </c>
      <c r="C166" s="124">
        <f>YEAR(Table5[[#This Row],[Date]])</f>
        <v>2025</v>
      </c>
      <c r="D166" s="55" t="s">
        <v>329</v>
      </c>
      <c r="E166" s="55" t="s">
        <v>329</v>
      </c>
      <c r="F166" s="126" t="str">
        <f>TEXT(Table5[[#This Row],[Date]],"mmm-yy")</f>
        <v>Sep-25</v>
      </c>
      <c r="G166" s="124">
        <f t="shared" si="7"/>
        <v>30</v>
      </c>
      <c r="H166" s="125">
        <f t="shared" si="8"/>
        <v>45909</v>
      </c>
      <c r="I166" s="55">
        <v>8.02</v>
      </c>
      <c r="J166" s="59" t="str">
        <f>IFERROR(Inv_SY!J168/Inv_SY!$Y168-1,"")</f>
        <v/>
      </c>
      <c r="K166" s="59" t="str">
        <f>IFERROR(Inv_SY!K168/Inv_SY!$Y168-1,"")</f>
        <v/>
      </c>
      <c r="L166" s="59" t="str">
        <f>IFERROR(Inv_SY!L168/Inv_SY!$Y168-1,"")</f>
        <v/>
      </c>
      <c r="M166" s="59" t="str">
        <f>IFERROR(Inv_SY!M168/Inv_SY!$Y168-1,"")</f>
        <v/>
      </c>
      <c r="N166" s="59" t="str">
        <f>IFERROR(Inv_SY!N168/Inv_SY!$Y168-1,"")</f>
        <v/>
      </c>
      <c r="O166" s="59" t="str">
        <f>IFERROR(Inv_SY!O168/Inv_SY!$Y168-1,"")</f>
        <v/>
      </c>
      <c r="P166" s="59" t="str">
        <f>IFERROR(Inv_SY!P168/Inv_SY!$Y168-1,"")</f>
        <v/>
      </c>
      <c r="Q166" s="59" t="str">
        <f>IFERROR(Inv_SY!Q168/Inv_SY!$Y168-1,"")</f>
        <v/>
      </c>
      <c r="R166" s="59" t="str">
        <f>IFERROR(Inv_SY!R168/Inv_SY!$Y168-1,"")</f>
        <v/>
      </c>
      <c r="S166" s="59" t="str">
        <f>IFERROR(Inv_SY!S168/Inv_SY!$Y168-1,"")</f>
        <v/>
      </c>
      <c r="T166" s="59" t="str">
        <f>IFERROR(Inv_SY!T168/Inv_SY!$Y168-1,"")</f>
        <v/>
      </c>
      <c r="U166" s="59" t="str">
        <f>IFERROR(Inv_SY!U168/Inv_SY!$Y168-1,"")</f>
        <v/>
      </c>
      <c r="V166" s="59" t="str">
        <f>IFERROR(Inv_SY!J168/Inv_SY!$Z168-1,"")</f>
        <v/>
      </c>
      <c r="W166" s="59" t="str">
        <f>IFERROR(Inv_SY!K168/Inv_SY!$Z168-1,"")</f>
        <v/>
      </c>
      <c r="X166" s="59" t="str">
        <f>IFERROR(Inv_SY!L168/Inv_SY!$Z168-1,"")</f>
        <v/>
      </c>
      <c r="Y166" s="59" t="str">
        <f>IFERROR(Inv_SY!M168/Inv_SY!$Z168-1,"")</f>
        <v/>
      </c>
      <c r="Z166" s="59" t="str">
        <f>IFERROR(Inv_SY!N168/Inv_SY!$Z168-1,"")</f>
        <v/>
      </c>
      <c r="AA166" s="59" t="str">
        <f>IFERROR(Inv_SY!O168/Inv_SY!$Z168-1,"")</f>
        <v/>
      </c>
      <c r="AB166" s="59" t="str">
        <f>IFERROR(Inv_SY!P168/Inv_SY!$Z168-1,"")</f>
        <v/>
      </c>
      <c r="AC166" s="59" t="str">
        <f>IFERROR(Inv_SY!Q168/Inv_SY!$Z168-1,"")</f>
        <v/>
      </c>
      <c r="AD166" s="59" t="str">
        <f>IFERROR(Inv_SY!R168/Inv_SY!$Z168-1,"")</f>
        <v/>
      </c>
      <c r="AE166" s="59" t="str">
        <f>IFERROR(Inv_SY!S168/Inv_SY!$Z168-1,"")</f>
        <v/>
      </c>
      <c r="AF166" s="59" t="str">
        <f>IFERROR(Inv_SY!T168/Inv_SY!$Z168-1,"")</f>
        <v/>
      </c>
      <c r="AG166" s="59" t="str">
        <f>IFERROR(Inv_SY!U168/Inv_SY!$Z168-1,"")</f>
        <v/>
      </c>
      <c r="AH166" s="59" t="str">
        <f>IFERROR(Inv_SY!V168/Inv_SY!$Y168-1,"")</f>
        <v/>
      </c>
      <c r="AI166" s="59" t="str">
        <f>IFERROR(Inv_SY!W168/Inv_SY!$Y168-1,"")</f>
        <v/>
      </c>
      <c r="AJ166" s="59" t="str">
        <f>IFERROR(Inv_SY!X168/Inv_SY!$Y168-1,"")</f>
        <v/>
      </c>
      <c r="AK166" s="59" t="str">
        <f>IFERROR(Inv_SY!V168/Inv_SY!$Z168-1,"")</f>
        <v/>
      </c>
      <c r="AL166" s="59" t="str">
        <f>IFERROR(Inv_SY!W168/Inv_SY!$Z168-1,"")</f>
        <v/>
      </c>
      <c r="AM166" s="59" t="str">
        <f>IFERROR(Inv_SY!X168/Inv_SY!$Z168-1,"")</f>
        <v/>
      </c>
    </row>
    <row r="167" spans="1:39" x14ac:dyDescent="0.3">
      <c r="A167" s="55">
        <f>YEAR(Table5[[#This Row],[Date]])+IF(MONTH(Table5[[#This Row],[Date]])&gt;=4,1,0)</f>
        <v>2026</v>
      </c>
      <c r="B167" s="55">
        <v>127</v>
      </c>
      <c r="C167" s="124">
        <f>YEAR(Table5[[#This Row],[Date]])</f>
        <v>2025</v>
      </c>
      <c r="D167" s="55" t="s">
        <v>329</v>
      </c>
      <c r="E167" s="55" t="s">
        <v>329</v>
      </c>
      <c r="F167" s="126" t="str">
        <f>TEXT(Table5[[#This Row],[Date]],"mmm-yy")</f>
        <v>Sep-25</v>
      </c>
      <c r="G167" s="124">
        <f t="shared" si="7"/>
        <v>30</v>
      </c>
      <c r="H167" s="125">
        <f t="shared" si="8"/>
        <v>45910</v>
      </c>
      <c r="I167" s="55">
        <v>8.02</v>
      </c>
      <c r="J167" s="59" t="str">
        <f>IFERROR(Inv_SY!J169/Inv_SY!$Y169-1,"")</f>
        <v/>
      </c>
      <c r="K167" s="59" t="str">
        <f>IFERROR(Inv_SY!K169/Inv_SY!$Y169-1,"")</f>
        <v/>
      </c>
      <c r="L167" s="59" t="str">
        <f>IFERROR(Inv_SY!L169/Inv_SY!$Y169-1,"")</f>
        <v/>
      </c>
      <c r="M167" s="59" t="str">
        <f>IFERROR(Inv_SY!M169/Inv_SY!$Y169-1,"")</f>
        <v/>
      </c>
      <c r="N167" s="59" t="str">
        <f>IFERROR(Inv_SY!N169/Inv_SY!$Y169-1,"")</f>
        <v/>
      </c>
      <c r="O167" s="59" t="str">
        <f>IFERROR(Inv_SY!O169/Inv_SY!$Y169-1,"")</f>
        <v/>
      </c>
      <c r="P167" s="59" t="str">
        <f>IFERROR(Inv_SY!P169/Inv_SY!$Y169-1,"")</f>
        <v/>
      </c>
      <c r="Q167" s="59" t="str">
        <f>IFERROR(Inv_SY!Q169/Inv_SY!$Y169-1,"")</f>
        <v/>
      </c>
      <c r="R167" s="59" t="str">
        <f>IFERROR(Inv_SY!R169/Inv_SY!$Y169-1,"")</f>
        <v/>
      </c>
      <c r="S167" s="59" t="str">
        <f>IFERROR(Inv_SY!S169/Inv_SY!$Y169-1,"")</f>
        <v/>
      </c>
      <c r="T167" s="59" t="str">
        <f>IFERROR(Inv_SY!T169/Inv_SY!$Y169-1,"")</f>
        <v/>
      </c>
      <c r="U167" s="59" t="str">
        <f>IFERROR(Inv_SY!U169/Inv_SY!$Y169-1,"")</f>
        <v/>
      </c>
      <c r="V167" s="59" t="str">
        <f>IFERROR(Inv_SY!J169/Inv_SY!$Z169-1,"")</f>
        <v/>
      </c>
      <c r="W167" s="59" t="str">
        <f>IFERROR(Inv_SY!K169/Inv_SY!$Z169-1,"")</f>
        <v/>
      </c>
      <c r="X167" s="59" t="str">
        <f>IFERROR(Inv_SY!L169/Inv_SY!$Z169-1,"")</f>
        <v/>
      </c>
      <c r="Y167" s="59" t="str">
        <f>IFERROR(Inv_SY!M169/Inv_SY!$Z169-1,"")</f>
        <v/>
      </c>
      <c r="Z167" s="59" t="str">
        <f>IFERROR(Inv_SY!N169/Inv_SY!$Z169-1,"")</f>
        <v/>
      </c>
      <c r="AA167" s="59" t="str">
        <f>IFERROR(Inv_SY!O169/Inv_SY!$Z169-1,"")</f>
        <v/>
      </c>
      <c r="AB167" s="59" t="str">
        <f>IFERROR(Inv_SY!P169/Inv_SY!$Z169-1,"")</f>
        <v/>
      </c>
      <c r="AC167" s="59" t="str">
        <f>IFERROR(Inv_SY!Q169/Inv_SY!$Z169-1,"")</f>
        <v/>
      </c>
      <c r="AD167" s="59" t="str">
        <f>IFERROR(Inv_SY!R169/Inv_SY!$Z169-1,"")</f>
        <v/>
      </c>
      <c r="AE167" s="59" t="str">
        <f>IFERROR(Inv_SY!S169/Inv_SY!$Z169-1,"")</f>
        <v/>
      </c>
      <c r="AF167" s="59" t="str">
        <f>IFERROR(Inv_SY!T169/Inv_SY!$Z169-1,"")</f>
        <v/>
      </c>
      <c r="AG167" s="59" t="str">
        <f>IFERROR(Inv_SY!U169/Inv_SY!$Z169-1,"")</f>
        <v/>
      </c>
      <c r="AH167" s="59" t="str">
        <f>IFERROR(Inv_SY!V169/Inv_SY!$Y169-1,"")</f>
        <v/>
      </c>
      <c r="AI167" s="59" t="str">
        <f>IFERROR(Inv_SY!W169/Inv_SY!$Y169-1,"")</f>
        <v/>
      </c>
      <c r="AJ167" s="59" t="str">
        <f>IFERROR(Inv_SY!X169/Inv_SY!$Y169-1,"")</f>
        <v/>
      </c>
      <c r="AK167" s="59" t="str">
        <f>IFERROR(Inv_SY!V169/Inv_SY!$Z169-1,"")</f>
        <v/>
      </c>
      <c r="AL167" s="59" t="str">
        <f>IFERROR(Inv_SY!W169/Inv_SY!$Z169-1,"")</f>
        <v/>
      </c>
      <c r="AM167" s="59" t="str">
        <f>IFERROR(Inv_SY!X169/Inv_SY!$Z169-1,"")</f>
        <v/>
      </c>
    </row>
    <row r="168" spans="1:39" x14ac:dyDescent="0.3">
      <c r="A168" s="55">
        <f>YEAR(Table5[[#This Row],[Date]])+IF(MONTH(Table5[[#This Row],[Date]])&gt;=4,1,0)</f>
        <v>2026</v>
      </c>
      <c r="B168" s="55">
        <v>128</v>
      </c>
      <c r="C168" s="124">
        <f>YEAR(Table5[[#This Row],[Date]])</f>
        <v>2025</v>
      </c>
      <c r="D168" s="55" t="s">
        <v>329</v>
      </c>
      <c r="E168" s="55" t="s">
        <v>329</v>
      </c>
      <c r="F168" s="126" t="str">
        <f>TEXT(Table5[[#This Row],[Date]],"mmm-yy")</f>
        <v>Sep-25</v>
      </c>
      <c r="G168" s="124">
        <f t="shared" si="7"/>
        <v>30</v>
      </c>
      <c r="H168" s="125">
        <f t="shared" si="8"/>
        <v>45911</v>
      </c>
      <c r="I168" s="55">
        <v>8.02</v>
      </c>
      <c r="J168" s="59" t="str">
        <f>IFERROR(Inv_SY!J170/Inv_SY!$Y170-1,"")</f>
        <v/>
      </c>
      <c r="K168" s="59" t="str">
        <f>IFERROR(Inv_SY!K170/Inv_SY!$Y170-1,"")</f>
        <v/>
      </c>
      <c r="L168" s="59" t="str">
        <f>IFERROR(Inv_SY!L170/Inv_SY!$Y170-1,"")</f>
        <v/>
      </c>
      <c r="M168" s="59" t="str">
        <f>IFERROR(Inv_SY!M170/Inv_SY!$Y170-1,"")</f>
        <v/>
      </c>
      <c r="N168" s="59" t="str">
        <f>IFERROR(Inv_SY!N170/Inv_SY!$Y170-1,"")</f>
        <v/>
      </c>
      <c r="O168" s="59" t="str">
        <f>IFERROR(Inv_SY!O170/Inv_SY!$Y170-1,"")</f>
        <v/>
      </c>
      <c r="P168" s="59" t="str">
        <f>IFERROR(Inv_SY!P170/Inv_SY!$Y170-1,"")</f>
        <v/>
      </c>
      <c r="Q168" s="59" t="str">
        <f>IFERROR(Inv_SY!Q170/Inv_SY!$Y170-1,"")</f>
        <v/>
      </c>
      <c r="R168" s="59" t="str">
        <f>IFERROR(Inv_SY!R170/Inv_SY!$Y170-1,"")</f>
        <v/>
      </c>
      <c r="S168" s="59" t="str">
        <f>IFERROR(Inv_SY!S170/Inv_SY!$Y170-1,"")</f>
        <v/>
      </c>
      <c r="T168" s="59" t="str">
        <f>IFERROR(Inv_SY!T170/Inv_SY!$Y170-1,"")</f>
        <v/>
      </c>
      <c r="U168" s="59" t="str">
        <f>IFERROR(Inv_SY!U170/Inv_SY!$Y170-1,"")</f>
        <v/>
      </c>
      <c r="V168" s="59" t="str">
        <f>IFERROR(Inv_SY!J170/Inv_SY!$Z170-1,"")</f>
        <v/>
      </c>
      <c r="W168" s="59" t="str">
        <f>IFERROR(Inv_SY!K170/Inv_SY!$Z170-1,"")</f>
        <v/>
      </c>
      <c r="X168" s="59" t="str">
        <f>IFERROR(Inv_SY!L170/Inv_SY!$Z170-1,"")</f>
        <v/>
      </c>
      <c r="Y168" s="59" t="str">
        <f>IFERROR(Inv_SY!M170/Inv_SY!$Z170-1,"")</f>
        <v/>
      </c>
      <c r="Z168" s="59" t="str">
        <f>IFERROR(Inv_SY!N170/Inv_SY!$Z170-1,"")</f>
        <v/>
      </c>
      <c r="AA168" s="59" t="str">
        <f>IFERROR(Inv_SY!O170/Inv_SY!$Z170-1,"")</f>
        <v/>
      </c>
      <c r="AB168" s="59" t="str">
        <f>IFERROR(Inv_SY!P170/Inv_SY!$Z170-1,"")</f>
        <v/>
      </c>
      <c r="AC168" s="59" t="str">
        <f>IFERROR(Inv_SY!Q170/Inv_SY!$Z170-1,"")</f>
        <v/>
      </c>
      <c r="AD168" s="59" t="str">
        <f>IFERROR(Inv_SY!R170/Inv_SY!$Z170-1,"")</f>
        <v/>
      </c>
      <c r="AE168" s="59" t="str">
        <f>IFERROR(Inv_SY!S170/Inv_SY!$Z170-1,"")</f>
        <v/>
      </c>
      <c r="AF168" s="59" t="str">
        <f>IFERROR(Inv_SY!T170/Inv_SY!$Z170-1,"")</f>
        <v/>
      </c>
      <c r="AG168" s="59" t="str">
        <f>IFERROR(Inv_SY!U170/Inv_SY!$Z170-1,"")</f>
        <v/>
      </c>
      <c r="AH168" s="59" t="str">
        <f>IFERROR(Inv_SY!V170/Inv_SY!$Y170-1,"")</f>
        <v/>
      </c>
      <c r="AI168" s="59" t="str">
        <f>IFERROR(Inv_SY!W170/Inv_SY!$Y170-1,"")</f>
        <v/>
      </c>
      <c r="AJ168" s="59" t="str">
        <f>IFERROR(Inv_SY!X170/Inv_SY!$Y170-1,"")</f>
        <v/>
      </c>
      <c r="AK168" s="59" t="str">
        <f>IFERROR(Inv_SY!V170/Inv_SY!$Z170-1,"")</f>
        <v/>
      </c>
      <c r="AL168" s="59" t="str">
        <f>IFERROR(Inv_SY!W170/Inv_SY!$Z170-1,"")</f>
        <v/>
      </c>
      <c r="AM168" s="59" t="str">
        <f>IFERROR(Inv_SY!X170/Inv_SY!$Z170-1,"")</f>
        <v/>
      </c>
    </row>
    <row r="169" spans="1:39" x14ac:dyDescent="0.3">
      <c r="A169" s="55">
        <f>YEAR(Table5[[#This Row],[Date]])+IF(MONTH(Table5[[#This Row],[Date]])&gt;=4,1,0)</f>
        <v>2026</v>
      </c>
      <c r="B169" s="55">
        <v>129</v>
      </c>
      <c r="C169" s="124">
        <f>YEAR(Table5[[#This Row],[Date]])</f>
        <v>2025</v>
      </c>
      <c r="D169" s="55" t="s">
        <v>329</v>
      </c>
      <c r="E169" s="55" t="s">
        <v>329</v>
      </c>
      <c r="F169" s="126" t="str">
        <f>TEXT(Table5[[#This Row],[Date]],"mmm-yy")</f>
        <v>Sep-25</v>
      </c>
      <c r="G169" s="124">
        <f t="shared" si="7"/>
        <v>30</v>
      </c>
      <c r="H169" s="125">
        <f t="shared" si="8"/>
        <v>45912</v>
      </c>
      <c r="I169" s="55">
        <v>8.02</v>
      </c>
      <c r="J169" s="59" t="str">
        <f>IFERROR(Inv_SY!J171/Inv_SY!$Y171-1,"")</f>
        <v/>
      </c>
      <c r="K169" s="59" t="str">
        <f>IFERROR(Inv_SY!K171/Inv_SY!$Y171-1,"")</f>
        <v/>
      </c>
      <c r="L169" s="59" t="str">
        <f>IFERROR(Inv_SY!L171/Inv_SY!$Y171-1,"")</f>
        <v/>
      </c>
      <c r="M169" s="59" t="str">
        <f>IFERROR(Inv_SY!M171/Inv_SY!$Y171-1,"")</f>
        <v/>
      </c>
      <c r="N169" s="59" t="str">
        <f>IFERROR(Inv_SY!N171/Inv_SY!$Y171-1,"")</f>
        <v/>
      </c>
      <c r="O169" s="59" t="str">
        <f>IFERROR(Inv_SY!O171/Inv_SY!$Y171-1,"")</f>
        <v/>
      </c>
      <c r="P169" s="59" t="str">
        <f>IFERROR(Inv_SY!P171/Inv_SY!$Y171-1,"")</f>
        <v/>
      </c>
      <c r="Q169" s="59" t="str">
        <f>IFERROR(Inv_SY!Q171/Inv_SY!$Y171-1,"")</f>
        <v/>
      </c>
      <c r="R169" s="59" t="str">
        <f>IFERROR(Inv_SY!R171/Inv_SY!$Y171-1,"")</f>
        <v/>
      </c>
      <c r="S169" s="59" t="str">
        <f>IFERROR(Inv_SY!S171/Inv_SY!$Y171-1,"")</f>
        <v/>
      </c>
      <c r="T169" s="59" t="str">
        <f>IFERROR(Inv_SY!T171/Inv_SY!$Y171-1,"")</f>
        <v/>
      </c>
      <c r="U169" s="59" t="str">
        <f>IFERROR(Inv_SY!U171/Inv_SY!$Y171-1,"")</f>
        <v/>
      </c>
      <c r="V169" s="59" t="str">
        <f>IFERROR(Inv_SY!J171/Inv_SY!$Z171-1,"")</f>
        <v/>
      </c>
      <c r="W169" s="59" t="str">
        <f>IFERROR(Inv_SY!K171/Inv_SY!$Z171-1,"")</f>
        <v/>
      </c>
      <c r="X169" s="59" t="str">
        <f>IFERROR(Inv_SY!L171/Inv_SY!$Z171-1,"")</f>
        <v/>
      </c>
      <c r="Y169" s="59" t="str">
        <f>IFERROR(Inv_SY!M171/Inv_SY!$Z171-1,"")</f>
        <v/>
      </c>
      <c r="Z169" s="59" t="str">
        <f>IFERROR(Inv_SY!N171/Inv_SY!$Z171-1,"")</f>
        <v/>
      </c>
      <c r="AA169" s="59" t="str">
        <f>IFERROR(Inv_SY!O171/Inv_SY!$Z171-1,"")</f>
        <v/>
      </c>
      <c r="AB169" s="59" t="str">
        <f>IFERROR(Inv_SY!P171/Inv_SY!$Z171-1,"")</f>
        <v/>
      </c>
      <c r="AC169" s="59" t="str">
        <f>IFERROR(Inv_SY!Q171/Inv_SY!$Z171-1,"")</f>
        <v/>
      </c>
      <c r="AD169" s="59" t="str">
        <f>IFERROR(Inv_SY!R171/Inv_SY!$Z171-1,"")</f>
        <v/>
      </c>
      <c r="AE169" s="59" t="str">
        <f>IFERROR(Inv_SY!S171/Inv_SY!$Z171-1,"")</f>
        <v/>
      </c>
      <c r="AF169" s="59" t="str">
        <f>IFERROR(Inv_SY!T171/Inv_SY!$Z171-1,"")</f>
        <v/>
      </c>
      <c r="AG169" s="59" t="str">
        <f>IFERROR(Inv_SY!U171/Inv_SY!$Z171-1,"")</f>
        <v/>
      </c>
      <c r="AH169" s="59" t="str">
        <f>IFERROR(Inv_SY!V171/Inv_SY!$Y171-1,"")</f>
        <v/>
      </c>
      <c r="AI169" s="59" t="str">
        <f>IFERROR(Inv_SY!W171/Inv_SY!$Y171-1,"")</f>
        <v/>
      </c>
      <c r="AJ169" s="59" t="str">
        <f>IFERROR(Inv_SY!X171/Inv_SY!$Y171-1,"")</f>
        <v/>
      </c>
      <c r="AK169" s="59" t="str">
        <f>IFERROR(Inv_SY!V171/Inv_SY!$Z171-1,"")</f>
        <v/>
      </c>
      <c r="AL169" s="59" t="str">
        <f>IFERROR(Inv_SY!W171/Inv_SY!$Z171-1,"")</f>
        <v/>
      </c>
      <c r="AM169" s="59" t="str">
        <f>IFERROR(Inv_SY!X171/Inv_SY!$Z171-1,"")</f>
        <v/>
      </c>
    </row>
    <row r="170" spans="1:39" x14ac:dyDescent="0.3">
      <c r="A170" s="55">
        <f>YEAR(Table5[[#This Row],[Date]])+IF(MONTH(Table5[[#This Row],[Date]])&gt;=4,1,0)</f>
        <v>2026</v>
      </c>
      <c r="B170" s="55">
        <v>130</v>
      </c>
      <c r="C170" s="124">
        <f>YEAR(Table5[[#This Row],[Date]])</f>
        <v>2025</v>
      </c>
      <c r="D170" s="55" t="s">
        <v>329</v>
      </c>
      <c r="E170" s="55" t="s">
        <v>329</v>
      </c>
      <c r="F170" s="126" t="str">
        <f>TEXT(Table5[[#This Row],[Date]],"mmm-yy")</f>
        <v>Sep-25</v>
      </c>
      <c r="G170" s="124">
        <f t="shared" si="7"/>
        <v>30</v>
      </c>
      <c r="H170" s="125">
        <f t="shared" si="8"/>
        <v>45913</v>
      </c>
      <c r="I170" s="55">
        <v>8.02</v>
      </c>
      <c r="J170" s="59" t="str">
        <f>IFERROR(Inv_SY!J172/Inv_SY!$Y172-1,"")</f>
        <v/>
      </c>
      <c r="K170" s="59" t="str">
        <f>IFERROR(Inv_SY!K172/Inv_SY!$Y172-1,"")</f>
        <v/>
      </c>
      <c r="L170" s="59" t="str">
        <f>IFERROR(Inv_SY!L172/Inv_SY!$Y172-1,"")</f>
        <v/>
      </c>
      <c r="M170" s="59" t="str">
        <f>IFERROR(Inv_SY!M172/Inv_SY!$Y172-1,"")</f>
        <v/>
      </c>
      <c r="N170" s="59" t="str">
        <f>IFERROR(Inv_SY!N172/Inv_SY!$Y172-1,"")</f>
        <v/>
      </c>
      <c r="O170" s="59" t="str">
        <f>IFERROR(Inv_SY!O172/Inv_SY!$Y172-1,"")</f>
        <v/>
      </c>
      <c r="P170" s="59" t="str">
        <f>IFERROR(Inv_SY!P172/Inv_SY!$Y172-1,"")</f>
        <v/>
      </c>
      <c r="Q170" s="59" t="str">
        <f>IFERROR(Inv_SY!Q172/Inv_SY!$Y172-1,"")</f>
        <v/>
      </c>
      <c r="R170" s="59" t="str">
        <f>IFERROR(Inv_SY!R172/Inv_SY!$Y172-1,"")</f>
        <v/>
      </c>
      <c r="S170" s="59" t="str">
        <f>IFERROR(Inv_SY!S172/Inv_SY!$Y172-1,"")</f>
        <v/>
      </c>
      <c r="T170" s="59" t="str">
        <f>IFERROR(Inv_SY!T172/Inv_SY!$Y172-1,"")</f>
        <v/>
      </c>
      <c r="U170" s="59" t="str">
        <f>IFERROR(Inv_SY!U172/Inv_SY!$Y172-1,"")</f>
        <v/>
      </c>
      <c r="V170" s="59" t="str">
        <f>IFERROR(Inv_SY!J172/Inv_SY!$Z172-1,"")</f>
        <v/>
      </c>
      <c r="W170" s="59" t="str">
        <f>IFERROR(Inv_SY!K172/Inv_SY!$Z172-1,"")</f>
        <v/>
      </c>
      <c r="X170" s="59" t="str">
        <f>IFERROR(Inv_SY!L172/Inv_SY!$Z172-1,"")</f>
        <v/>
      </c>
      <c r="Y170" s="59" t="str">
        <f>IFERROR(Inv_SY!M172/Inv_SY!$Z172-1,"")</f>
        <v/>
      </c>
      <c r="Z170" s="59" t="str">
        <f>IFERROR(Inv_SY!N172/Inv_SY!$Z172-1,"")</f>
        <v/>
      </c>
      <c r="AA170" s="59" t="str">
        <f>IFERROR(Inv_SY!O172/Inv_SY!$Z172-1,"")</f>
        <v/>
      </c>
      <c r="AB170" s="59" t="str">
        <f>IFERROR(Inv_SY!P172/Inv_SY!$Z172-1,"")</f>
        <v/>
      </c>
      <c r="AC170" s="59" t="str">
        <f>IFERROR(Inv_SY!Q172/Inv_SY!$Z172-1,"")</f>
        <v/>
      </c>
      <c r="AD170" s="59" t="str">
        <f>IFERROR(Inv_SY!R172/Inv_SY!$Z172-1,"")</f>
        <v/>
      </c>
      <c r="AE170" s="59" t="str">
        <f>IFERROR(Inv_SY!S172/Inv_SY!$Z172-1,"")</f>
        <v/>
      </c>
      <c r="AF170" s="59" t="str">
        <f>IFERROR(Inv_SY!T172/Inv_SY!$Z172-1,"")</f>
        <v/>
      </c>
      <c r="AG170" s="59" t="str">
        <f>IFERROR(Inv_SY!U172/Inv_SY!$Z172-1,"")</f>
        <v/>
      </c>
      <c r="AH170" s="59" t="str">
        <f>IFERROR(Inv_SY!V172/Inv_SY!$Y172-1,"")</f>
        <v/>
      </c>
      <c r="AI170" s="59" t="str">
        <f>IFERROR(Inv_SY!W172/Inv_SY!$Y172-1,"")</f>
        <v/>
      </c>
      <c r="AJ170" s="59" t="str">
        <f>IFERROR(Inv_SY!X172/Inv_SY!$Y172-1,"")</f>
        <v/>
      </c>
      <c r="AK170" s="59" t="str">
        <f>IFERROR(Inv_SY!V172/Inv_SY!$Z172-1,"")</f>
        <v/>
      </c>
      <c r="AL170" s="59" t="str">
        <f>IFERROR(Inv_SY!W172/Inv_SY!$Z172-1,"")</f>
        <v/>
      </c>
      <c r="AM170" s="59" t="str">
        <f>IFERROR(Inv_SY!X172/Inv_SY!$Z172-1,"")</f>
        <v/>
      </c>
    </row>
    <row r="171" spans="1:39" x14ac:dyDescent="0.3">
      <c r="A171" s="55">
        <f>YEAR(Table5[[#This Row],[Date]])+IF(MONTH(Table5[[#This Row],[Date]])&gt;=4,1,0)</f>
        <v>2026</v>
      </c>
      <c r="B171" s="55">
        <v>131</v>
      </c>
      <c r="C171" s="124">
        <f>YEAR(Table5[[#This Row],[Date]])</f>
        <v>2025</v>
      </c>
      <c r="D171" s="55" t="s">
        <v>329</v>
      </c>
      <c r="E171" s="55" t="s">
        <v>329</v>
      </c>
      <c r="F171" s="126" t="str">
        <f>TEXT(Table5[[#This Row],[Date]],"mmm-yy")</f>
        <v>Sep-25</v>
      </c>
      <c r="G171" s="124">
        <f t="shared" si="7"/>
        <v>30</v>
      </c>
      <c r="H171" s="125">
        <f t="shared" si="8"/>
        <v>45914</v>
      </c>
      <c r="I171" s="55">
        <v>8.02</v>
      </c>
      <c r="J171" s="59" t="str">
        <f>IFERROR(Inv_SY!J173/Inv_SY!$Y173-1,"")</f>
        <v/>
      </c>
      <c r="K171" s="59" t="str">
        <f>IFERROR(Inv_SY!K173/Inv_SY!$Y173-1,"")</f>
        <v/>
      </c>
      <c r="L171" s="59" t="str">
        <f>IFERROR(Inv_SY!L173/Inv_SY!$Y173-1,"")</f>
        <v/>
      </c>
      <c r="M171" s="59" t="str">
        <f>IFERROR(Inv_SY!M173/Inv_SY!$Y173-1,"")</f>
        <v/>
      </c>
      <c r="N171" s="59" t="str">
        <f>IFERROR(Inv_SY!N173/Inv_SY!$Y173-1,"")</f>
        <v/>
      </c>
      <c r="O171" s="59" t="str">
        <f>IFERROR(Inv_SY!O173/Inv_SY!$Y173-1,"")</f>
        <v/>
      </c>
      <c r="P171" s="59" t="str">
        <f>IFERROR(Inv_SY!P173/Inv_SY!$Y173-1,"")</f>
        <v/>
      </c>
      <c r="Q171" s="59" t="str">
        <f>IFERROR(Inv_SY!Q173/Inv_SY!$Y173-1,"")</f>
        <v/>
      </c>
      <c r="R171" s="59" t="str">
        <f>IFERROR(Inv_SY!R173/Inv_SY!$Y173-1,"")</f>
        <v/>
      </c>
      <c r="S171" s="59" t="str">
        <f>IFERROR(Inv_SY!S173/Inv_SY!$Y173-1,"")</f>
        <v/>
      </c>
      <c r="T171" s="59" t="str">
        <f>IFERROR(Inv_SY!T173/Inv_SY!$Y173-1,"")</f>
        <v/>
      </c>
      <c r="U171" s="59" t="str">
        <f>IFERROR(Inv_SY!U173/Inv_SY!$Y173-1,"")</f>
        <v/>
      </c>
      <c r="V171" s="59" t="str">
        <f>IFERROR(Inv_SY!J173/Inv_SY!$Z173-1,"")</f>
        <v/>
      </c>
      <c r="W171" s="59" t="str">
        <f>IFERROR(Inv_SY!K173/Inv_SY!$Z173-1,"")</f>
        <v/>
      </c>
      <c r="X171" s="59" t="str">
        <f>IFERROR(Inv_SY!L173/Inv_SY!$Z173-1,"")</f>
        <v/>
      </c>
      <c r="Y171" s="59" t="str">
        <f>IFERROR(Inv_SY!M173/Inv_SY!$Z173-1,"")</f>
        <v/>
      </c>
      <c r="Z171" s="59" t="str">
        <f>IFERROR(Inv_SY!N173/Inv_SY!$Z173-1,"")</f>
        <v/>
      </c>
      <c r="AA171" s="59" t="str">
        <f>IFERROR(Inv_SY!O173/Inv_SY!$Z173-1,"")</f>
        <v/>
      </c>
      <c r="AB171" s="59" t="str">
        <f>IFERROR(Inv_SY!P173/Inv_SY!$Z173-1,"")</f>
        <v/>
      </c>
      <c r="AC171" s="59" t="str">
        <f>IFERROR(Inv_SY!Q173/Inv_SY!$Z173-1,"")</f>
        <v/>
      </c>
      <c r="AD171" s="59" t="str">
        <f>IFERROR(Inv_SY!R173/Inv_SY!$Z173-1,"")</f>
        <v/>
      </c>
      <c r="AE171" s="59" t="str">
        <f>IFERROR(Inv_SY!S173/Inv_SY!$Z173-1,"")</f>
        <v/>
      </c>
      <c r="AF171" s="59" t="str">
        <f>IFERROR(Inv_SY!T173/Inv_SY!$Z173-1,"")</f>
        <v/>
      </c>
      <c r="AG171" s="59" t="str">
        <f>IFERROR(Inv_SY!U173/Inv_SY!$Z173-1,"")</f>
        <v/>
      </c>
      <c r="AH171" s="59" t="str">
        <f>IFERROR(Inv_SY!V173/Inv_SY!$Y173-1,"")</f>
        <v/>
      </c>
      <c r="AI171" s="59" t="str">
        <f>IFERROR(Inv_SY!W173/Inv_SY!$Y173-1,"")</f>
        <v/>
      </c>
      <c r="AJ171" s="59" t="str">
        <f>IFERROR(Inv_SY!X173/Inv_SY!$Y173-1,"")</f>
        <v/>
      </c>
      <c r="AK171" s="59" t="str">
        <f>IFERROR(Inv_SY!V173/Inv_SY!$Z173-1,"")</f>
        <v/>
      </c>
      <c r="AL171" s="59" t="str">
        <f>IFERROR(Inv_SY!W173/Inv_SY!$Z173-1,"")</f>
        <v/>
      </c>
      <c r="AM171" s="59" t="str">
        <f>IFERROR(Inv_SY!X173/Inv_SY!$Z173-1,"")</f>
        <v/>
      </c>
    </row>
    <row r="172" spans="1:39" x14ac:dyDescent="0.3">
      <c r="A172" s="55">
        <f>YEAR(Table5[[#This Row],[Date]])+IF(MONTH(Table5[[#This Row],[Date]])&gt;=4,1,0)</f>
        <v>2026</v>
      </c>
      <c r="B172" s="55">
        <v>132</v>
      </c>
      <c r="C172" s="124">
        <f>YEAR(Table5[[#This Row],[Date]])</f>
        <v>2025</v>
      </c>
      <c r="D172" s="55" t="s">
        <v>329</v>
      </c>
      <c r="E172" s="55" t="s">
        <v>329</v>
      </c>
      <c r="F172" s="126" t="str">
        <f>TEXT(Table5[[#This Row],[Date]],"mmm-yy")</f>
        <v>Sep-25</v>
      </c>
      <c r="G172" s="124">
        <f t="shared" si="7"/>
        <v>30</v>
      </c>
      <c r="H172" s="125">
        <f t="shared" si="8"/>
        <v>45915</v>
      </c>
      <c r="I172" s="55">
        <v>8.02</v>
      </c>
      <c r="J172" s="59" t="str">
        <f>IFERROR(Inv_SY!J174/Inv_SY!$Y174-1,"")</f>
        <v/>
      </c>
      <c r="K172" s="59" t="str">
        <f>IFERROR(Inv_SY!K174/Inv_SY!$Y174-1,"")</f>
        <v/>
      </c>
      <c r="L172" s="59" t="str">
        <f>IFERROR(Inv_SY!L174/Inv_SY!$Y174-1,"")</f>
        <v/>
      </c>
      <c r="M172" s="59" t="str">
        <f>IFERROR(Inv_SY!M174/Inv_SY!$Y174-1,"")</f>
        <v/>
      </c>
      <c r="N172" s="59" t="str">
        <f>IFERROR(Inv_SY!N174/Inv_SY!$Y174-1,"")</f>
        <v/>
      </c>
      <c r="O172" s="59" t="str">
        <f>IFERROR(Inv_SY!O174/Inv_SY!$Y174-1,"")</f>
        <v/>
      </c>
      <c r="P172" s="59" t="str">
        <f>IFERROR(Inv_SY!P174/Inv_SY!$Y174-1,"")</f>
        <v/>
      </c>
      <c r="Q172" s="59" t="str">
        <f>IFERROR(Inv_SY!Q174/Inv_SY!$Y174-1,"")</f>
        <v/>
      </c>
      <c r="R172" s="59" t="str">
        <f>IFERROR(Inv_SY!R174/Inv_SY!$Y174-1,"")</f>
        <v/>
      </c>
      <c r="S172" s="59" t="str">
        <f>IFERROR(Inv_SY!S174/Inv_SY!$Y174-1,"")</f>
        <v/>
      </c>
      <c r="T172" s="59" t="str">
        <f>IFERROR(Inv_SY!T174/Inv_SY!$Y174-1,"")</f>
        <v/>
      </c>
      <c r="U172" s="59" t="str">
        <f>IFERROR(Inv_SY!U174/Inv_SY!$Y174-1,"")</f>
        <v/>
      </c>
      <c r="V172" s="59" t="str">
        <f>IFERROR(Inv_SY!J174/Inv_SY!$Z174-1,"")</f>
        <v/>
      </c>
      <c r="W172" s="59" t="str">
        <f>IFERROR(Inv_SY!K174/Inv_SY!$Z174-1,"")</f>
        <v/>
      </c>
      <c r="X172" s="59" t="str">
        <f>IFERROR(Inv_SY!L174/Inv_SY!$Z174-1,"")</f>
        <v/>
      </c>
      <c r="Y172" s="59" t="str">
        <f>IFERROR(Inv_SY!M174/Inv_SY!$Z174-1,"")</f>
        <v/>
      </c>
      <c r="Z172" s="59" t="str">
        <f>IFERROR(Inv_SY!N174/Inv_SY!$Z174-1,"")</f>
        <v/>
      </c>
      <c r="AA172" s="59" t="str">
        <f>IFERROR(Inv_SY!O174/Inv_SY!$Z174-1,"")</f>
        <v/>
      </c>
      <c r="AB172" s="59" t="str">
        <f>IFERROR(Inv_SY!P174/Inv_SY!$Z174-1,"")</f>
        <v/>
      </c>
      <c r="AC172" s="59" t="str">
        <f>IFERROR(Inv_SY!Q174/Inv_SY!$Z174-1,"")</f>
        <v/>
      </c>
      <c r="AD172" s="59" t="str">
        <f>IFERROR(Inv_SY!R174/Inv_SY!$Z174-1,"")</f>
        <v/>
      </c>
      <c r="AE172" s="59" t="str">
        <f>IFERROR(Inv_SY!S174/Inv_SY!$Z174-1,"")</f>
        <v/>
      </c>
      <c r="AF172" s="59" t="str">
        <f>IFERROR(Inv_SY!T174/Inv_SY!$Z174-1,"")</f>
        <v/>
      </c>
      <c r="AG172" s="59" t="str">
        <f>IFERROR(Inv_SY!U174/Inv_SY!$Z174-1,"")</f>
        <v/>
      </c>
      <c r="AH172" s="59" t="str">
        <f>IFERROR(Inv_SY!V174/Inv_SY!$Y174-1,"")</f>
        <v/>
      </c>
      <c r="AI172" s="59" t="str">
        <f>IFERROR(Inv_SY!W174/Inv_SY!$Y174-1,"")</f>
        <v/>
      </c>
      <c r="AJ172" s="59" t="str">
        <f>IFERROR(Inv_SY!X174/Inv_SY!$Y174-1,"")</f>
        <v/>
      </c>
      <c r="AK172" s="59" t="str">
        <f>IFERROR(Inv_SY!V174/Inv_SY!$Z174-1,"")</f>
        <v/>
      </c>
      <c r="AL172" s="59" t="str">
        <f>IFERROR(Inv_SY!W174/Inv_SY!$Z174-1,"")</f>
        <v/>
      </c>
      <c r="AM172" s="59" t="str">
        <f>IFERROR(Inv_SY!X174/Inv_SY!$Z174-1,"")</f>
        <v/>
      </c>
    </row>
    <row r="173" spans="1:39" x14ac:dyDescent="0.3">
      <c r="A173" s="55">
        <f>YEAR(Table5[[#This Row],[Date]])+IF(MONTH(Table5[[#This Row],[Date]])&gt;=4,1,0)</f>
        <v>2026</v>
      </c>
      <c r="B173" s="55">
        <v>133</v>
      </c>
      <c r="C173" s="124">
        <f>YEAR(Table5[[#This Row],[Date]])</f>
        <v>2025</v>
      </c>
      <c r="D173" s="55" t="s">
        <v>329</v>
      </c>
      <c r="E173" s="55" t="s">
        <v>329</v>
      </c>
      <c r="F173" s="126" t="str">
        <f>TEXT(Table5[[#This Row],[Date]],"mmm-yy")</f>
        <v>Sep-25</v>
      </c>
      <c r="G173" s="124">
        <f t="shared" ref="G173:G236" si="9">DAY(EOMONTH(F173,0))</f>
        <v>30</v>
      </c>
      <c r="H173" s="125">
        <f t="shared" si="8"/>
        <v>45916</v>
      </c>
      <c r="I173" s="55">
        <v>8.02</v>
      </c>
      <c r="J173" s="59" t="str">
        <f>IFERROR(Inv_SY!J175/Inv_SY!$Y175-1,"")</f>
        <v/>
      </c>
      <c r="K173" s="59" t="str">
        <f>IFERROR(Inv_SY!K175/Inv_SY!$Y175-1,"")</f>
        <v/>
      </c>
      <c r="L173" s="59" t="str">
        <f>IFERROR(Inv_SY!L175/Inv_SY!$Y175-1,"")</f>
        <v/>
      </c>
      <c r="M173" s="59" t="str">
        <f>IFERROR(Inv_SY!M175/Inv_SY!$Y175-1,"")</f>
        <v/>
      </c>
      <c r="N173" s="59" t="str">
        <f>IFERROR(Inv_SY!N175/Inv_SY!$Y175-1,"")</f>
        <v/>
      </c>
      <c r="O173" s="59" t="str">
        <f>IFERROR(Inv_SY!O175/Inv_SY!$Y175-1,"")</f>
        <v/>
      </c>
      <c r="P173" s="59" t="str">
        <f>IFERROR(Inv_SY!P175/Inv_SY!$Y175-1,"")</f>
        <v/>
      </c>
      <c r="Q173" s="59" t="str">
        <f>IFERROR(Inv_SY!Q175/Inv_SY!$Y175-1,"")</f>
        <v/>
      </c>
      <c r="R173" s="59" t="str">
        <f>IFERROR(Inv_SY!R175/Inv_SY!$Y175-1,"")</f>
        <v/>
      </c>
      <c r="S173" s="59" t="str">
        <f>IFERROR(Inv_SY!S175/Inv_SY!$Y175-1,"")</f>
        <v/>
      </c>
      <c r="T173" s="59" t="str">
        <f>IFERROR(Inv_SY!T175/Inv_SY!$Y175-1,"")</f>
        <v/>
      </c>
      <c r="U173" s="59" t="str">
        <f>IFERROR(Inv_SY!U175/Inv_SY!$Y175-1,"")</f>
        <v/>
      </c>
      <c r="V173" s="59" t="str">
        <f>IFERROR(Inv_SY!J175/Inv_SY!$Z175-1,"")</f>
        <v/>
      </c>
      <c r="W173" s="59" t="str">
        <f>IFERROR(Inv_SY!K175/Inv_SY!$Z175-1,"")</f>
        <v/>
      </c>
      <c r="X173" s="59" t="str">
        <f>IFERROR(Inv_SY!L175/Inv_SY!$Z175-1,"")</f>
        <v/>
      </c>
      <c r="Y173" s="59" t="str">
        <f>IFERROR(Inv_SY!M175/Inv_SY!$Z175-1,"")</f>
        <v/>
      </c>
      <c r="Z173" s="59" t="str">
        <f>IFERROR(Inv_SY!N175/Inv_SY!$Z175-1,"")</f>
        <v/>
      </c>
      <c r="AA173" s="59" t="str">
        <f>IFERROR(Inv_SY!O175/Inv_SY!$Z175-1,"")</f>
        <v/>
      </c>
      <c r="AB173" s="59" t="str">
        <f>IFERROR(Inv_SY!P175/Inv_SY!$Z175-1,"")</f>
        <v/>
      </c>
      <c r="AC173" s="59" t="str">
        <f>IFERROR(Inv_SY!Q175/Inv_SY!$Z175-1,"")</f>
        <v/>
      </c>
      <c r="AD173" s="59" t="str">
        <f>IFERROR(Inv_SY!R175/Inv_SY!$Z175-1,"")</f>
        <v/>
      </c>
      <c r="AE173" s="59" t="str">
        <f>IFERROR(Inv_SY!S175/Inv_SY!$Z175-1,"")</f>
        <v/>
      </c>
      <c r="AF173" s="59" t="str">
        <f>IFERROR(Inv_SY!T175/Inv_SY!$Z175-1,"")</f>
        <v/>
      </c>
      <c r="AG173" s="59" t="str">
        <f>IFERROR(Inv_SY!U175/Inv_SY!$Z175-1,"")</f>
        <v/>
      </c>
      <c r="AH173" s="59" t="str">
        <f>IFERROR(Inv_SY!V175/Inv_SY!$Y175-1,"")</f>
        <v/>
      </c>
      <c r="AI173" s="59" t="str">
        <f>IFERROR(Inv_SY!W175/Inv_SY!$Y175-1,"")</f>
        <v/>
      </c>
      <c r="AJ173" s="59" t="str">
        <f>IFERROR(Inv_SY!X175/Inv_SY!$Y175-1,"")</f>
        <v/>
      </c>
      <c r="AK173" s="59" t="str">
        <f>IFERROR(Inv_SY!V175/Inv_SY!$Z175-1,"")</f>
        <v/>
      </c>
      <c r="AL173" s="59" t="str">
        <f>IFERROR(Inv_SY!W175/Inv_SY!$Z175-1,"")</f>
        <v/>
      </c>
      <c r="AM173" s="59" t="str">
        <f>IFERROR(Inv_SY!X175/Inv_SY!$Z175-1,"")</f>
        <v/>
      </c>
    </row>
    <row r="174" spans="1:39" x14ac:dyDescent="0.3">
      <c r="A174" s="55">
        <f>YEAR(Table5[[#This Row],[Date]])+IF(MONTH(Table5[[#This Row],[Date]])&gt;=4,1,0)</f>
        <v>2026</v>
      </c>
      <c r="B174" s="55">
        <v>134</v>
      </c>
      <c r="C174" s="124">
        <f>YEAR(Table5[[#This Row],[Date]])</f>
        <v>2025</v>
      </c>
      <c r="D174" s="55" t="s">
        <v>329</v>
      </c>
      <c r="E174" s="55" t="s">
        <v>329</v>
      </c>
      <c r="F174" s="126" t="str">
        <f>TEXT(Table5[[#This Row],[Date]],"mmm-yy")</f>
        <v>Sep-25</v>
      </c>
      <c r="G174" s="124">
        <f t="shared" si="9"/>
        <v>30</v>
      </c>
      <c r="H174" s="125">
        <f t="shared" si="8"/>
        <v>45917</v>
      </c>
      <c r="I174" s="55">
        <v>8.02</v>
      </c>
      <c r="J174" s="59" t="str">
        <f>IFERROR(Inv_SY!J176/Inv_SY!$Y176-1,"")</f>
        <v/>
      </c>
      <c r="K174" s="59" t="str">
        <f>IFERROR(Inv_SY!K176/Inv_SY!$Y176-1,"")</f>
        <v/>
      </c>
      <c r="L174" s="59" t="str">
        <f>IFERROR(Inv_SY!L176/Inv_SY!$Y176-1,"")</f>
        <v/>
      </c>
      <c r="M174" s="59" t="str">
        <f>IFERROR(Inv_SY!M176/Inv_SY!$Y176-1,"")</f>
        <v/>
      </c>
      <c r="N174" s="59" t="str">
        <f>IFERROR(Inv_SY!N176/Inv_SY!$Y176-1,"")</f>
        <v/>
      </c>
      <c r="O174" s="59" t="str">
        <f>IFERROR(Inv_SY!O176/Inv_SY!$Y176-1,"")</f>
        <v/>
      </c>
      <c r="P174" s="59" t="str">
        <f>IFERROR(Inv_SY!P176/Inv_SY!$Y176-1,"")</f>
        <v/>
      </c>
      <c r="Q174" s="59" t="str">
        <f>IFERROR(Inv_SY!Q176/Inv_SY!$Y176-1,"")</f>
        <v/>
      </c>
      <c r="R174" s="59" t="str">
        <f>IFERROR(Inv_SY!R176/Inv_SY!$Y176-1,"")</f>
        <v/>
      </c>
      <c r="S174" s="59" t="str">
        <f>IFERROR(Inv_SY!S176/Inv_SY!$Y176-1,"")</f>
        <v/>
      </c>
      <c r="T174" s="59" t="str">
        <f>IFERROR(Inv_SY!T176/Inv_SY!$Y176-1,"")</f>
        <v/>
      </c>
      <c r="U174" s="59" t="str">
        <f>IFERROR(Inv_SY!U176/Inv_SY!$Y176-1,"")</f>
        <v/>
      </c>
      <c r="V174" s="59" t="str">
        <f>IFERROR(Inv_SY!J176/Inv_SY!$Z176-1,"")</f>
        <v/>
      </c>
      <c r="W174" s="59" t="str">
        <f>IFERROR(Inv_SY!K176/Inv_SY!$Z176-1,"")</f>
        <v/>
      </c>
      <c r="X174" s="59" t="str">
        <f>IFERROR(Inv_SY!L176/Inv_SY!$Z176-1,"")</f>
        <v/>
      </c>
      <c r="Y174" s="59" t="str">
        <f>IFERROR(Inv_SY!M176/Inv_SY!$Z176-1,"")</f>
        <v/>
      </c>
      <c r="Z174" s="59" t="str">
        <f>IFERROR(Inv_SY!N176/Inv_SY!$Z176-1,"")</f>
        <v/>
      </c>
      <c r="AA174" s="59" t="str">
        <f>IFERROR(Inv_SY!O176/Inv_SY!$Z176-1,"")</f>
        <v/>
      </c>
      <c r="AB174" s="59" t="str">
        <f>IFERROR(Inv_SY!P176/Inv_SY!$Z176-1,"")</f>
        <v/>
      </c>
      <c r="AC174" s="59" t="str">
        <f>IFERROR(Inv_SY!Q176/Inv_SY!$Z176-1,"")</f>
        <v/>
      </c>
      <c r="AD174" s="59" t="str">
        <f>IFERROR(Inv_SY!R176/Inv_SY!$Z176-1,"")</f>
        <v/>
      </c>
      <c r="AE174" s="59" t="str">
        <f>IFERROR(Inv_SY!S176/Inv_SY!$Z176-1,"")</f>
        <v/>
      </c>
      <c r="AF174" s="59" t="str">
        <f>IFERROR(Inv_SY!T176/Inv_SY!$Z176-1,"")</f>
        <v/>
      </c>
      <c r="AG174" s="59" t="str">
        <f>IFERROR(Inv_SY!U176/Inv_SY!$Z176-1,"")</f>
        <v/>
      </c>
      <c r="AH174" s="59" t="str">
        <f>IFERROR(Inv_SY!V176/Inv_SY!$Y176-1,"")</f>
        <v/>
      </c>
      <c r="AI174" s="59" t="str">
        <f>IFERROR(Inv_SY!W176/Inv_SY!$Y176-1,"")</f>
        <v/>
      </c>
      <c r="AJ174" s="59" t="str">
        <f>IFERROR(Inv_SY!X176/Inv_SY!$Y176-1,"")</f>
        <v/>
      </c>
      <c r="AK174" s="59" t="str">
        <f>IFERROR(Inv_SY!V176/Inv_SY!$Z176-1,"")</f>
        <v/>
      </c>
      <c r="AL174" s="59" t="str">
        <f>IFERROR(Inv_SY!W176/Inv_SY!$Z176-1,"")</f>
        <v/>
      </c>
      <c r="AM174" s="59" t="str">
        <f>IFERROR(Inv_SY!X176/Inv_SY!$Z176-1,"")</f>
        <v/>
      </c>
    </row>
    <row r="175" spans="1:39" x14ac:dyDescent="0.3">
      <c r="A175" s="55">
        <f>YEAR(Table5[[#This Row],[Date]])+IF(MONTH(Table5[[#This Row],[Date]])&gt;=4,1,0)</f>
        <v>2026</v>
      </c>
      <c r="B175" s="55">
        <v>135</v>
      </c>
      <c r="C175" s="124">
        <f>YEAR(Table5[[#This Row],[Date]])</f>
        <v>2025</v>
      </c>
      <c r="D175" s="55" t="s">
        <v>329</v>
      </c>
      <c r="E175" s="55" t="s">
        <v>329</v>
      </c>
      <c r="F175" s="126" t="str">
        <f>TEXT(Table5[[#This Row],[Date]],"mmm-yy")</f>
        <v>Sep-25</v>
      </c>
      <c r="G175" s="124">
        <f t="shared" si="9"/>
        <v>30</v>
      </c>
      <c r="H175" s="125">
        <f t="shared" si="8"/>
        <v>45918</v>
      </c>
      <c r="I175" s="55">
        <v>8.02</v>
      </c>
      <c r="J175" s="59" t="str">
        <f>IFERROR(Inv_SY!J177/Inv_SY!$Y177-1,"")</f>
        <v/>
      </c>
      <c r="K175" s="59" t="str">
        <f>IFERROR(Inv_SY!K177/Inv_SY!$Y177-1,"")</f>
        <v/>
      </c>
      <c r="L175" s="59" t="str">
        <f>IFERROR(Inv_SY!L177/Inv_SY!$Y177-1,"")</f>
        <v/>
      </c>
      <c r="M175" s="59" t="str">
        <f>IFERROR(Inv_SY!M177/Inv_SY!$Y177-1,"")</f>
        <v/>
      </c>
      <c r="N175" s="59" t="str">
        <f>IFERROR(Inv_SY!N177/Inv_SY!$Y177-1,"")</f>
        <v/>
      </c>
      <c r="O175" s="59" t="str">
        <f>IFERROR(Inv_SY!O177/Inv_SY!$Y177-1,"")</f>
        <v/>
      </c>
      <c r="P175" s="59" t="str">
        <f>IFERROR(Inv_SY!P177/Inv_SY!$Y177-1,"")</f>
        <v/>
      </c>
      <c r="Q175" s="59" t="str">
        <f>IFERROR(Inv_SY!Q177/Inv_SY!$Y177-1,"")</f>
        <v/>
      </c>
      <c r="R175" s="59" t="str">
        <f>IFERROR(Inv_SY!R177/Inv_SY!$Y177-1,"")</f>
        <v/>
      </c>
      <c r="S175" s="59" t="str">
        <f>IFERROR(Inv_SY!S177/Inv_SY!$Y177-1,"")</f>
        <v/>
      </c>
      <c r="T175" s="59" t="str">
        <f>IFERROR(Inv_SY!T177/Inv_SY!$Y177-1,"")</f>
        <v/>
      </c>
      <c r="U175" s="59" t="str">
        <f>IFERROR(Inv_SY!U177/Inv_SY!$Y177-1,"")</f>
        <v/>
      </c>
      <c r="V175" s="59" t="str">
        <f>IFERROR(Inv_SY!J177/Inv_SY!$Z177-1,"")</f>
        <v/>
      </c>
      <c r="W175" s="59" t="str">
        <f>IFERROR(Inv_SY!K177/Inv_SY!$Z177-1,"")</f>
        <v/>
      </c>
      <c r="X175" s="59" t="str">
        <f>IFERROR(Inv_SY!L177/Inv_SY!$Z177-1,"")</f>
        <v/>
      </c>
      <c r="Y175" s="59" t="str">
        <f>IFERROR(Inv_SY!M177/Inv_SY!$Z177-1,"")</f>
        <v/>
      </c>
      <c r="Z175" s="59" t="str">
        <f>IFERROR(Inv_SY!N177/Inv_SY!$Z177-1,"")</f>
        <v/>
      </c>
      <c r="AA175" s="59" t="str">
        <f>IFERROR(Inv_SY!O177/Inv_SY!$Z177-1,"")</f>
        <v/>
      </c>
      <c r="AB175" s="59" t="str">
        <f>IFERROR(Inv_SY!P177/Inv_SY!$Z177-1,"")</f>
        <v/>
      </c>
      <c r="AC175" s="59" t="str">
        <f>IFERROR(Inv_SY!Q177/Inv_SY!$Z177-1,"")</f>
        <v/>
      </c>
      <c r="AD175" s="59" t="str">
        <f>IFERROR(Inv_SY!R177/Inv_SY!$Z177-1,"")</f>
        <v/>
      </c>
      <c r="AE175" s="59" t="str">
        <f>IFERROR(Inv_SY!S177/Inv_SY!$Z177-1,"")</f>
        <v/>
      </c>
      <c r="AF175" s="59" t="str">
        <f>IFERROR(Inv_SY!T177/Inv_SY!$Z177-1,"")</f>
        <v/>
      </c>
      <c r="AG175" s="59" t="str">
        <f>IFERROR(Inv_SY!U177/Inv_SY!$Z177-1,"")</f>
        <v/>
      </c>
      <c r="AH175" s="59" t="str">
        <f>IFERROR(Inv_SY!V177/Inv_SY!$Y177-1,"")</f>
        <v/>
      </c>
      <c r="AI175" s="59" t="str">
        <f>IFERROR(Inv_SY!W177/Inv_SY!$Y177-1,"")</f>
        <v/>
      </c>
      <c r="AJ175" s="59" t="str">
        <f>IFERROR(Inv_SY!X177/Inv_SY!$Y177-1,"")</f>
        <v/>
      </c>
      <c r="AK175" s="59" t="str">
        <f>IFERROR(Inv_SY!V177/Inv_SY!$Z177-1,"")</f>
        <v/>
      </c>
      <c r="AL175" s="59" t="str">
        <f>IFERROR(Inv_SY!W177/Inv_SY!$Z177-1,"")</f>
        <v/>
      </c>
      <c r="AM175" s="59" t="str">
        <f>IFERROR(Inv_SY!X177/Inv_SY!$Z177-1,"")</f>
        <v/>
      </c>
    </row>
    <row r="176" spans="1:39" x14ac:dyDescent="0.3">
      <c r="A176" s="55">
        <f>YEAR(Table5[[#This Row],[Date]])+IF(MONTH(Table5[[#This Row],[Date]])&gt;=4,1,0)</f>
        <v>2026</v>
      </c>
      <c r="B176" s="55">
        <v>136</v>
      </c>
      <c r="C176" s="124">
        <f>YEAR(Table5[[#This Row],[Date]])</f>
        <v>2025</v>
      </c>
      <c r="D176" s="55" t="s">
        <v>329</v>
      </c>
      <c r="E176" s="55" t="s">
        <v>329</v>
      </c>
      <c r="F176" s="126" t="str">
        <f>TEXT(Table5[[#This Row],[Date]],"mmm-yy")</f>
        <v>Sep-25</v>
      </c>
      <c r="G176" s="124">
        <f t="shared" si="9"/>
        <v>30</v>
      </c>
      <c r="H176" s="125">
        <f t="shared" si="8"/>
        <v>45919</v>
      </c>
      <c r="I176" s="55">
        <v>8.02</v>
      </c>
      <c r="J176" s="59" t="str">
        <f>IFERROR(Inv_SY!J178/Inv_SY!$Y178-1,"")</f>
        <v/>
      </c>
      <c r="K176" s="59" t="str">
        <f>IFERROR(Inv_SY!K178/Inv_SY!$Y178-1,"")</f>
        <v/>
      </c>
      <c r="L176" s="59" t="str">
        <f>IFERROR(Inv_SY!L178/Inv_SY!$Y178-1,"")</f>
        <v/>
      </c>
      <c r="M176" s="59" t="str">
        <f>IFERROR(Inv_SY!M178/Inv_SY!$Y178-1,"")</f>
        <v/>
      </c>
      <c r="N176" s="59" t="str">
        <f>IFERROR(Inv_SY!N178/Inv_SY!$Y178-1,"")</f>
        <v/>
      </c>
      <c r="O176" s="59" t="str">
        <f>IFERROR(Inv_SY!O178/Inv_SY!$Y178-1,"")</f>
        <v/>
      </c>
      <c r="P176" s="59" t="str">
        <f>IFERROR(Inv_SY!P178/Inv_SY!$Y178-1,"")</f>
        <v/>
      </c>
      <c r="Q176" s="59" t="str">
        <f>IFERROR(Inv_SY!Q178/Inv_SY!$Y178-1,"")</f>
        <v/>
      </c>
      <c r="R176" s="59" t="str">
        <f>IFERROR(Inv_SY!R178/Inv_SY!$Y178-1,"")</f>
        <v/>
      </c>
      <c r="S176" s="59" t="str">
        <f>IFERROR(Inv_SY!S178/Inv_SY!$Y178-1,"")</f>
        <v/>
      </c>
      <c r="T176" s="59" t="str">
        <f>IFERROR(Inv_SY!T178/Inv_SY!$Y178-1,"")</f>
        <v/>
      </c>
      <c r="U176" s="59" t="str">
        <f>IFERROR(Inv_SY!U178/Inv_SY!$Y178-1,"")</f>
        <v/>
      </c>
      <c r="V176" s="59" t="str">
        <f>IFERROR(Inv_SY!J178/Inv_SY!$Z178-1,"")</f>
        <v/>
      </c>
      <c r="W176" s="59" t="str">
        <f>IFERROR(Inv_SY!K178/Inv_SY!$Z178-1,"")</f>
        <v/>
      </c>
      <c r="X176" s="59" t="str">
        <f>IFERROR(Inv_SY!L178/Inv_SY!$Z178-1,"")</f>
        <v/>
      </c>
      <c r="Y176" s="59" t="str">
        <f>IFERROR(Inv_SY!M178/Inv_SY!$Z178-1,"")</f>
        <v/>
      </c>
      <c r="Z176" s="59" t="str">
        <f>IFERROR(Inv_SY!N178/Inv_SY!$Z178-1,"")</f>
        <v/>
      </c>
      <c r="AA176" s="59" t="str">
        <f>IFERROR(Inv_SY!O178/Inv_SY!$Z178-1,"")</f>
        <v/>
      </c>
      <c r="AB176" s="59" t="str">
        <f>IFERROR(Inv_SY!P178/Inv_SY!$Z178-1,"")</f>
        <v/>
      </c>
      <c r="AC176" s="59" t="str">
        <f>IFERROR(Inv_SY!Q178/Inv_SY!$Z178-1,"")</f>
        <v/>
      </c>
      <c r="AD176" s="59" t="str">
        <f>IFERROR(Inv_SY!R178/Inv_SY!$Z178-1,"")</f>
        <v/>
      </c>
      <c r="AE176" s="59" t="str">
        <f>IFERROR(Inv_SY!S178/Inv_SY!$Z178-1,"")</f>
        <v/>
      </c>
      <c r="AF176" s="59" t="str">
        <f>IFERROR(Inv_SY!T178/Inv_SY!$Z178-1,"")</f>
        <v/>
      </c>
      <c r="AG176" s="59" t="str">
        <f>IFERROR(Inv_SY!U178/Inv_SY!$Z178-1,"")</f>
        <v/>
      </c>
      <c r="AH176" s="59" t="str">
        <f>IFERROR(Inv_SY!V178/Inv_SY!$Y178-1,"")</f>
        <v/>
      </c>
      <c r="AI176" s="59" t="str">
        <f>IFERROR(Inv_SY!W178/Inv_SY!$Y178-1,"")</f>
        <v/>
      </c>
      <c r="AJ176" s="59" t="str">
        <f>IFERROR(Inv_SY!X178/Inv_SY!$Y178-1,"")</f>
        <v/>
      </c>
      <c r="AK176" s="59" t="str">
        <f>IFERROR(Inv_SY!V178/Inv_SY!$Z178-1,"")</f>
        <v/>
      </c>
      <c r="AL176" s="59" t="str">
        <f>IFERROR(Inv_SY!W178/Inv_SY!$Z178-1,"")</f>
        <v/>
      </c>
      <c r="AM176" s="59" t="str">
        <f>IFERROR(Inv_SY!X178/Inv_SY!$Z178-1,"")</f>
        <v/>
      </c>
    </row>
    <row r="177" spans="1:39" x14ac:dyDescent="0.3">
      <c r="A177" s="55">
        <f>YEAR(Table5[[#This Row],[Date]])+IF(MONTH(Table5[[#This Row],[Date]])&gt;=4,1,0)</f>
        <v>2026</v>
      </c>
      <c r="B177" s="55">
        <v>137</v>
      </c>
      <c r="C177" s="124">
        <f>YEAR(Table5[[#This Row],[Date]])</f>
        <v>2025</v>
      </c>
      <c r="D177" s="55" t="s">
        <v>329</v>
      </c>
      <c r="E177" s="55" t="s">
        <v>329</v>
      </c>
      <c r="F177" s="126" t="str">
        <f>TEXT(Table5[[#This Row],[Date]],"mmm-yy")</f>
        <v>Sep-25</v>
      </c>
      <c r="G177" s="124">
        <f t="shared" si="9"/>
        <v>30</v>
      </c>
      <c r="H177" s="125">
        <f t="shared" si="8"/>
        <v>45920</v>
      </c>
      <c r="I177" s="55">
        <v>8.02</v>
      </c>
      <c r="J177" s="59" t="str">
        <f>IFERROR(Inv_SY!J179/Inv_SY!$Y179-1,"")</f>
        <v/>
      </c>
      <c r="K177" s="59" t="str">
        <f>IFERROR(Inv_SY!K179/Inv_SY!$Y179-1,"")</f>
        <v/>
      </c>
      <c r="L177" s="59" t="str">
        <f>IFERROR(Inv_SY!L179/Inv_SY!$Y179-1,"")</f>
        <v/>
      </c>
      <c r="M177" s="59" t="str">
        <f>IFERROR(Inv_SY!M179/Inv_SY!$Y179-1,"")</f>
        <v/>
      </c>
      <c r="N177" s="59" t="str">
        <f>IFERROR(Inv_SY!N179/Inv_SY!$Y179-1,"")</f>
        <v/>
      </c>
      <c r="O177" s="59" t="str">
        <f>IFERROR(Inv_SY!O179/Inv_SY!$Y179-1,"")</f>
        <v/>
      </c>
      <c r="P177" s="59" t="str">
        <f>IFERROR(Inv_SY!P179/Inv_SY!$Y179-1,"")</f>
        <v/>
      </c>
      <c r="Q177" s="59" t="str">
        <f>IFERROR(Inv_SY!Q179/Inv_SY!$Y179-1,"")</f>
        <v/>
      </c>
      <c r="R177" s="59" t="str">
        <f>IFERROR(Inv_SY!R179/Inv_SY!$Y179-1,"")</f>
        <v/>
      </c>
      <c r="S177" s="59" t="str">
        <f>IFERROR(Inv_SY!S179/Inv_SY!$Y179-1,"")</f>
        <v/>
      </c>
      <c r="T177" s="59" t="str">
        <f>IFERROR(Inv_SY!T179/Inv_SY!$Y179-1,"")</f>
        <v/>
      </c>
      <c r="U177" s="59" t="str">
        <f>IFERROR(Inv_SY!U179/Inv_SY!$Y179-1,"")</f>
        <v/>
      </c>
      <c r="V177" s="59" t="str">
        <f>IFERROR(Inv_SY!J179/Inv_SY!$Z179-1,"")</f>
        <v/>
      </c>
      <c r="W177" s="59" t="str">
        <f>IFERROR(Inv_SY!K179/Inv_SY!$Z179-1,"")</f>
        <v/>
      </c>
      <c r="X177" s="59" t="str">
        <f>IFERROR(Inv_SY!L179/Inv_SY!$Z179-1,"")</f>
        <v/>
      </c>
      <c r="Y177" s="59" t="str">
        <f>IFERROR(Inv_SY!M179/Inv_SY!$Z179-1,"")</f>
        <v/>
      </c>
      <c r="Z177" s="59" t="str">
        <f>IFERROR(Inv_SY!N179/Inv_SY!$Z179-1,"")</f>
        <v/>
      </c>
      <c r="AA177" s="59" t="str">
        <f>IFERROR(Inv_SY!O179/Inv_SY!$Z179-1,"")</f>
        <v/>
      </c>
      <c r="AB177" s="59" t="str">
        <f>IFERROR(Inv_SY!P179/Inv_SY!$Z179-1,"")</f>
        <v/>
      </c>
      <c r="AC177" s="59" t="str">
        <f>IFERROR(Inv_SY!Q179/Inv_SY!$Z179-1,"")</f>
        <v/>
      </c>
      <c r="AD177" s="59" t="str">
        <f>IFERROR(Inv_SY!R179/Inv_SY!$Z179-1,"")</f>
        <v/>
      </c>
      <c r="AE177" s="59" t="str">
        <f>IFERROR(Inv_SY!S179/Inv_SY!$Z179-1,"")</f>
        <v/>
      </c>
      <c r="AF177" s="59" t="str">
        <f>IFERROR(Inv_SY!T179/Inv_SY!$Z179-1,"")</f>
        <v/>
      </c>
      <c r="AG177" s="59" t="str">
        <f>IFERROR(Inv_SY!U179/Inv_SY!$Z179-1,"")</f>
        <v/>
      </c>
      <c r="AH177" s="59" t="str">
        <f>IFERROR(Inv_SY!V179/Inv_SY!$Y179-1,"")</f>
        <v/>
      </c>
      <c r="AI177" s="59" t="str">
        <f>IFERROR(Inv_SY!W179/Inv_SY!$Y179-1,"")</f>
        <v/>
      </c>
      <c r="AJ177" s="59" t="str">
        <f>IFERROR(Inv_SY!X179/Inv_SY!$Y179-1,"")</f>
        <v/>
      </c>
      <c r="AK177" s="59" t="str">
        <f>IFERROR(Inv_SY!V179/Inv_SY!$Z179-1,"")</f>
        <v/>
      </c>
      <c r="AL177" s="59" t="str">
        <f>IFERROR(Inv_SY!W179/Inv_SY!$Z179-1,"")</f>
        <v/>
      </c>
      <c r="AM177" s="59" t="str">
        <f>IFERROR(Inv_SY!X179/Inv_SY!$Z179-1,"")</f>
        <v/>
      </c>
    </row>
    <row r="178" spans="1:39" x14ac:dyDescent="0.3">
      <c r="A178" s="55">
        <f>YEAR(Table5[[#This Row],[Date]])+IF(MONTH(Table5[[#This Row],[Date]])&gt;=4,1,0)</f>
        <v>2026</v>
      </c>
      <c r="B178" s="55">
        <v>138</v>
      </c>
      <c r="C178" s="124">
        <f>YEAR(Table5[[#This Row],[Date]])</f>
        <v>2025</v>
      </c>
      <c r="D178" s="55" t="s">
        <v>329</v>
      </c>
      <c r="E178" s="55" t="s">
        <v>329</v>
      </c>
      <c r="F178" s="126" t="str">
        <f>TEXT(Table5[[#This Row],[Date]],"mmm-yy")</f>
        <v>Sep-25</v>
      </c>
      <c r="G178" s="124">
        <f t="shared" si="9"/>
        <v>30</v>
      </c>
      <c r="H178" s="125">
        <f t="shared" si="8"/>
        <v>45921</v>
      </c>
      <c r="I178" s="55">
        <v>8.02</v>
      </c>
      <c r="J178" s="59" t="str">
        <f>IFERROR(Inv_SY!J180/Inv_SY!$Y180-1,"")</f>
        <v/>
      </c>
      <c r="K178" s="59" t="str">
        <f>IFERROR(Inv_SY!K180/Inv_SY!$Y180-1,"")</f>
        <v/>
      </c>
      <c r="L178" s="59" t="str">
        <f>IFERROR(Inv_SY!L180/Inv_SY!$Y180-1,"")</f>
        <v/>
      </c>
      <c r="M178" s="59" t="str">
        <f>IFERROR(Inv_SY!M180/Inv_SY!$Y180-1,"")</f>
        <v/>
      </c>
      <c r="N178" s="59" t="str">
        <f>IFERROR(Inv_SY!N180/Inv_SY!$Y180-1,"")</f>
        <v/>
      </c>
      <c r="O178" s="59" t="str">
        <f>IFERROR(Inv_SY!O180/Inv_SY!$Y180-1,"")</f>
        <v/>
      </c>
      <c r="P178" s="59" t="str">
        <f>IFERROR(Inv_SY!P180/Inv_SY!$Y180-1,"")</f>
        <v/>
      </c>
      <c r="Q178" s="59" t="str">
        <f>IFERROR(Inv_SY!Q180/Inv_SY!$Y180-1,"")</f>
        <v/>
      </c>
      <c r="R178" s="59" t="str">
        <f>IFERROR(Inv_SY!R180/Inv_SY!$Y180-1,"")</f>
        <v/>
      </c>
      <c r="S178" s="59" t="str">
        <f>IFERROR(Inv_SY!S180/Inv_SY!$Y180-1,"")</f>
        <v/>
      </c>
      <c r="T178" s="59" t="str">
        <f>IFERROR(Inv_SY!T180/Inv_SY!$Y180-1,"")</f>
        <v/>
      </c>
      <c r="U178" s="59" t="str">
        <f>IFERROR(Inv_SY!U180/Inv_SY!$Y180-1,"")</f>
        <v/>
      </c>
      <c r="V178" s="59" t="str">
        <f>IFERROR(Inv_SY!J180/Inv_SY!$Z180-1,"")</f>
        <v/>
      </c>
      <c r="W178" s="59" t="str">
        <f>IFERROR(Inv_SY!K180/Inv_SY!$Z180-1,"")</f>
        <v/>
      </c>
      <c r="X178" s="59" t="str">
        <f>IFERROR(Inv_SY!L180/Inv_SY!$Z180-1,"")</f>
        <v/>
      </c>
      <c r="Y178" s="59" t="str">
        <f>IFERROR(Inv_SY!M180/Inv_SY!$Z180-1,"")</f>
        <v/>
      </c>
      <c r="Z178" s="59" t="str">
        <f>IFERROR(Inv_SY!N180/Inv_SY!$Z180-1,"")</f>
        <v/>
      </c>
      <c r="AA178" s="59" t="str">
        <f>IFERROR(Inv_SY!O180/Inv_SY!$Z180-1,"")</f>
        <v/>
      </c>
      <c r="AB178" s="59" t="str">
        <f>IFERROR(Inv_SY!P180/Inv_SY!$Z180-1,"")</f>
        <v/>
      </c>
      <c r="AC178" s="59" t="str">
        <f>IFERROR(Inv_SY!Q180/Inv_SY!$Z180-1,"")</f>
        <v/>
      </c>
      <c r="AD178" s="59" t="str">
        <f>IFERROR(Inv_SY!R180/Inv_SY!$Z180-1,"")</f>
        <v/>
      </c>
      <c r="AE178" s="59" t="str">
        <f>IFERROR(Inv_SY!S180/Inv_SY!$Z180-1,"")</f>
        <v/>
      </c>
      <c r="AF178" s="59" t="str">
        <f>IFERROR(Inv_SY!T180/Inv_SY!$Z180-1,"")</f>
        <v/>
      </c>
      <c r="AG178" s="59" t="str">
        <f>IFERROR(Inv_SY!U180/Inv_SY!$Z180-1,"")</f>
        <v/>
      </c>
      <c r="AH178" s="59" t="str">
        <f>IFERROR(Inv_SY!V180/Inv_SY!$Y180-1,"")</f>
        <v/>
      </c>
      <c r="AI178" s="59" t="str">
        <f>IFERROR(Inv_SY!W180/Inv_SY!$Y180-1,"")</f>
        <v/>
      </c>
      <c r="AJ178" s="59" t="str">
        <f>IFERROR(Inv_SY!X180/Inv_SY!$Y180-1,"")</f>
        <v/>
      </c>
      <c r="AK178" s="59" t="str">
        <f>IFERROR(Inv_SY!V180/Inv_SY!$Z180-1,"")</f>
        <v/>
      </c>
      <c r="AL178" s="59" t="str">
        <f>IFERROR(Inv_SY!W180/Inv_SY!$Z180-1,"")</f>
        <v/>
      </c>
      <c r="AM178" s="59" t="str">
        <f>IFERROR(Inv_SY!X180/Inv_SY!$Z180-1,"")</f>
        <v/>
      </c>
    </row>
    <row r="179" spans="1:39" x14ac:dyDescent="0.3">
      <c r="A179" s="55">
        <f>YEAR(Table5[[#This Row],[Date]])+IF(MONTH(Table5[[#This Row],[Date]])&gt;=4,1,0)</f>
        <v>2026</v>
      </c>
      <c r="B179" s="55">
        <v>139</v>
      </c>
      <c r="C179" s="124">
        <f>YEAR(Table5[[#This Row],[Date]])</f>
        <v>2025</v>
      </c>
      <c r="D179" s="55" t="s">
        <v>329</v>
      </c>
      <c r="E179" s="55" t="s">
        <v>329</v>
      </c>
      <c r="F179" s="126" t="str">
        <f>TEXT(Table5[[#This Row],[Date]],"mmm-yy")</f>
        <v>Sep-25</v>
      </c>
      <c r="G179" s="124">
        <f t="shared" si="9"/>
        <v>30</v>
      </c>
      <c r="H179" s="125">
        <f t="shared" si="8"/>
        <v>45922</v>
      </c>
      <c r="I179" s="55">
        <v>8.02</v>
      </c>
      <c r="J179" s="59" t="str">
        <f>IFERROR(Inv_SY!J181/Inv_SY!$Y181-1,"")</f>
        <v/>
      </c>
      <c r="K179" s="59" t="str">
        <f>IFERROR(Inv_SY!K181/Inv_SY!$Y181-1,"")</f>
        <v/>
      </c>
      <c r="L179" s="59" t="str">
        <f>IFERROR(Inv_SY!L181/Inv_SY!$Y181-1,"")</f>
        <v/>
      </c>
      <c r="M179" s="59" t="str">
        <f>IFERROR(Inv_SY!M181/Inv_SY!$Y181-1,"")</f>
        <v/>
      </c>
      <c r="N179" s="59" t="str">
        <f>IFERROR(Inv_SY!N181/Inv_SY!$Y181-1,"")</f>
        <v/>
      </c>
      <c r="O179" s="59" t="str">
        <f>IFERROR(Inv_SY!O181/Inv_SY!$Y181-1,"")</f>
        <v/>
      </c>
      <c r="P179" s="59" t="str">
        <f>IFERROR(Inv_SY!P181/Inv_SY!$Y181-1,"")</f>
        <v/>
      </c>
      <c r="Q179" s="59" t="str">
        <f>IFERROR(Inv_SY!Q181/Inv_SY!$Y181-1,"")</f>
        <v/>
      </c>
      <c r="R179" s="59" t="str">
        <f>IFERROR(Inv_SY!R181/Inv_SY!$Y181-1,"")</f>
        <v/>
      </c>
      <c r="S179" s="59" t="str">
        <f>IFERROR(Inv_SY!S181/Inv_SY!$Y181-1,"")</f>
        <v/>
      </c>
      <c r="T179" s="59" t="str">
        <f>IFERROR(Inv_SY!T181/Inv_SY!$Y181-1,"")</f>
        <v/>
      </c>
      <c r="U179" s="59" t="str">
        <f>IFERROR(Inv_SY!U181/Inv_SY!$Y181-1,"")</f>
        <v/>
      </c>
      <c r="V179" s="59" t="str">
        <f>IFERROR(Inv_SY!J181/Inv_SY!$Z181-1,"")</f>
        <v/>
      </c>
      <c r="W179" s="59" t="str">
        <f>IFERROR(Inv_SY!K181/Inv_SY!$Z181-1,"")</f>
        <v/>
      </c>
      <c r="X179" s="59" t="str">
        <f>IFERROR(Inv_SY!L181/Inv_SY!$Z181-1,"")</f>
        <v/>
      </c>
      <c r="Y179" s="59" t="str">
        <f>IFERROR(Inv_SY!M181/Inv_SY!$Z181-1,"")</f>
        <v/>
      </c>
      <c r="Z179" s="59" t="str">
        <f>IFERROR(Inv_SY!N181/Inv_SY!$Z181-1,"")</f>
        <v/>
      </c>
      <c r="AA179" s="59" t="str">
        <f>IFERROR(Inv_SY!O181/Inv_SY!$Z181-1,"")</f>
        <v/>
      </c>
      <c r="AB179" s="59" t="str">
        <f>IFERROR(Inv_SY!P181/Inv_SY!$Z181-1,"")</f>
        <v/>
      </c>
      <c r="AC179" s="59" t="str">
        <f>IFERROR(Inv_SY!Q181/Inv_SY!$Z181-1,"")</f>
        <v/>
      </c>
      <c r="AD179" s="59" t="str">
        <f>IFERROR(Inv_SY!R181/Inv_SY!$Z181-1,"")</f>
        <v/>
      </c>
      <c r="AE179" s="59" t="str">
        <f>IFERROR(Inv_SY!S181/Inv_SY!$Z181-1,"")</f>
        <v/>
      </c>
      <c r="AF179" s="59" t="str">
        <f>IFERROR(Inv_SY!T181/Inv_SY!$Z181-1,"")</f>
        <v/>
      </c>
      <c r="AG179" s="59" t="str">
        <f>IFERROR(Inv_SY!U181/Inv_SY!$Z181-1,"")</f>
        <v/>
      </c>
      <c r="AH179" s="59" t="str">
        <f>IFERROR(Inv_SY!V181/Inv_SY!$Y181-1,"")</f>
        <v/>
      </c>
      <c r="AI179" s="59" t="str">
        <f>IFERROR(Inv_SY!W181/Inv_SY!$Y181-1,"")</f>
        <v/>
      </c>
      <c r="AJ179" s="59" t="str">
        <f>IFERROR(Inv_SY!X181/Inv_SY!$Y181-1,"")</f>
        <v/>
      </c>
      <c r="AK179" s="59" t="str">
        <f>IFERROR(Inv_SY!V181/Inv_SY!$Z181-1,"")</f>
        <v/>
      </c>
      <c r="AL179" s="59" t="str">
        <f>IFERROR(Inv_SY!W181/Inv_SY!$Z181-1,"")</f>
        <v/>
      </c>
      <c r="AM179" s="59" t="str">
        <f>IFERROR(Inv_SY!X181/Inv_SY!$Z181-1,"")</f>
        <v/>
      </c>
    </row>
    <row r="180" spans="1:39" x14ac:dyDescent="0.3">
      <c r="A180" s="55">
        <f>YEAR(Table5[[#This Row],[Date]])+IF(MONTH(Table5[[#This Row],[Date]])&gt;=4,1,0)</f>
        <v>2026</v>
      </c>
      <c r="B180" s="55">
        <v>140</v>
      </c>
      <c r="C180" s="124">
        <f>YEAR(Table5[[#This Row],[Date]])</f>
        <v>2025</v>
      </c>
      <c r="D180" s="55" t="s">
        <v>329</v>
      </c>
      <c r="E180" s="55" t="s">
        <v>329</v>
      </c>
      <c r="F180" s="126" t="str">
        <f>TEXT(Table5[[#This Row],[Date]],"mmm-yy")</f>
        <v>Sep-25</v>
      </c>
      <c r="G180" s="124">
        <f t="shared" si="9"/>
        <v>30</v>
      </c>
      <c r="H180" s="125">
        <f t="shared" si="8"/>
        <v>45923</v>
      </c>
      <c r="I180" s="55">
        <v>8.02</v>
      </c>
      <c r="J180" s="59" t="str">
        <f>IFERROR(Inv_SY!J182/Inv_SY!$Y182-1,"")</f>
        <v/>
      </c>
      <c r="K180" s="59" t="str">
        <f>IFERROR(Inv_SY!K182/Inv_SY!$Y182-1,"")</f>
        <v/>
      </c>
      <c r="L180" s="59" t="str">
        <f>IFERROR(Inv_SY!L182/Inv_SY!$Y182-1,"")</f>
        <v/>
      </c>
      <c r="M180" s="59" t="str">
        <f>IFERROR(Inv_SY!M182/Inv_SY!$Y182-1,"")</f>
        <v/>
      </c>
      <c r="N180" s="59" t="str">
        <f>IFERROR(Inv_SY!N182/Inv_SY!$Y182-1,"")</f>
        <v/>
      </c>
      <c r="O180" s="59" t="str">
        <f>IFERROR(Inv_SY!O182/Inv_SY!$Y182-1,"")</f>
        <v/>
      </c>
      <c r="P180" s="59" t="str">
        <f>IFERROR(Inv_SY!P182/Inv_SY!$Y182-1,"")</f>
        <v/>
      </c>
      <c r="Q180" s="59" t="str">
        <f>IFERROR(Inv_SY!Q182/Inv_SY!$Y182-1,"")</f>
        <v/>
      </c>
      <c r="R180" s="59" t="str">
        <f>IFERROR(Inv_SY!R182/Inv_SY!$Y182-1,"")</f>
        <v/>
      </c>
      <c r="S180" s="59" t="str">
        <f>IFERROR(Inv_SY!S182/Inv_SY!$Y182-1,"")</f>
        <v/>
      </c>
      <c r="T180" s="59" t="str">
        <f>IFERROR(Inv_SY!T182/Inv_SY!$Y182-1,"")</f>
        <v/>
      </c>
      <c r="U180" s="59" t="str">
        <f>IFERROR(Inv_SY!U182/Inv_SY!$Y182-1,"")</f>
        <v/>
      </c>
      <c r="V180" s="59" t="str">
        <f>IFERROR(Inv_SY!J182/Inv_SY!$Z182-1,"")</f>
        <v/>
      </c>
      <c r="W180" s="59" t="str">
        <f>IFERROR(Inv_SY!K182/Inv_SY!$Z182-1,"")</f>
        <v/>
      </c>
      <c r="X180" s="59" t="str">
        <f>IFERROR(Inv_SY!L182/Inv_SY!$Z182-1,"")</f>
        <v/>
      </c>
      <c r="Y180" s="59" t="str">
        <f>IFERROR(Inv_SY!M182/Inv_SY!$Z182-1,"")</f>
        <v/>
      </c>
      <c r="Z180" s="59" t="str">
        <f>IFERROR(Inv_SY!N182/Inv_SY!$Z182-1,"")</f>
        <v/>
      </c>
      <c r="AA180" s="59" t="str">
        <f>IFERROR(Inv_SY!O182/Inv_SY!$Z182-1,"")</f>
        <v/>
      </c>
      <c r="AB180" s="59" t="str">
        <f>IFERROR(Inv_SY!P182/Inv_SY!$Z182-1,"")</f>
        <v/>
      </c>
      <c r="AC180" s="59" t="str">
        <f>IFERROR(Inv_SY!Q182/Inv_SY!$Z182-1,"")</f>
        <v/>
      </c>
      <c r="AD180" s="59" t="str">
        <f>IFERROR(Inv_SY!R182/Inv_SY!$Z182-1,"")</f>
        <v/>
      </c>
      <c r="AE180" s="59" t="str">
        <f>IFERROR(Inv_SY!S182/Inv_SY!$Z182-1,"")</f>
        <v/>
      </c>
      <c r="AF180" s="59" t="str">
        <f>IFERROR(Inv_SY!T182/Inv_SY!$Z182-1,"")</f>
        <v/>
      </c>
      <c r="AG180" s="59" t="str">
        <f>IFERROR(Inv_SY!U182/Inv_SY!$Z182-1,"")</f>
        <v/>
      </c>
      <c r="AH180" s="59" t="str">
        <f>IFERROR(Inv_SY!V182/Inv_SY!$Y182-1,"")</f>
        <v/>
      </c>
      <c r="AI180" s="59" t="str">
        <f>IFERROR(Inv_SY!W182/Inv_SY!$Y182-1,"")</f>
        <v/>
      </c>
      <c r="AJ180" s="59" t="str">
        <f>IFERROR(Inv_SY!X182/Inv_SY!$Y182-1,"")</f>
        <v/>
      </c>
      <c r="AK180" s="59" t="str">
        <f>IFERROR(Inv_SY!V182/Inv_SY!$Z182-1,"")</f>
        <v/>
      </c>
      <c r="AL180" s="59" t="str">
        <f>IFERROR(Inv_SY!W182/Inv_SY!$Z182-1,"")</f>
        <v/>
      </c>
      <c r="AM180" s="59" t="str">
        <f>IFERROR(Inv_SY!X182/Inv_SY!$Z182-1,"")</f>
        <v/>
      </c>
    </row>
    <row r="181" spans="1:39" x14ac:dyDescent="0.3">
      <c r="A181" s="55">
        <f>YEAR(Table5[[#This Row],[Date]])+IF(MONTH(Table5[[#This Row],[Date]])&gt;=4,1,0)</f>
        <v>2026</v>
      </c>
      <c r="B181" s="55">
        <v>141</v>
      </c>
      <c r="C181" s="124">
        <f>YEAR(Table5[[#This Row],[Date]])</f>
        <v>2025</v>
      </c>
      <c r="D181" s="55" t="s">
        <v>329</v>
      </c>
      <c r="E181" s="55" t="s">
        <v>329</v>
      </c>
      <c r="F181" s="126" t="str">
        <f>TEXT(Table5[[#This Row],[Date]],"mmm-yy")</f>
        <v>Sep-25</v>
      </c>
      <c r="G181" s="124">
        <f t="shared" si="9"/>
        <v>30</v>
      </c>
      <c r="H181" s="125">
        <f t="shared" si="8"/>
        <v>45924</v>
      </c>
      <c r="I181" s="55">
        <v>8.02</v>
      </c>
      <c r="J181" s="59" t="str">
        <f>IFERROR(Inv_SY!J183/Inv_SY!$Y183-1,"")</f>
        <v/>
      </c>
      <c r="K181" s="59" t="str">
        <f>IFERROR(Inv_SY!K183/Inv_SY!$Y183-1,"")</f>
        <v/>
      </c>
      <c r="L181" s="59" t="str">
        <f>IFERROR(Inv_SY!L183/Inv_SY!$Y183-1,"")</f>
        <v/>
      </c>
      <c r="M181" s="59" t="str">
        <f>IFERROR(Inv_SY!M183/Inv_SY!$Y183-1,"")</f>
        <v/>
      </c>
      <c r="N181" s="59" t="str">
        <f>IFERROR(Inv_SY!N183/Inv_SY!$Y183-1,"")</f>
        <v/>
      </c>
      <c r="O181" s="59" t="str">
        <f>IFERROR(Inv_SY!O183/Inv_SY!$Y183-1,"")</f>
        <v/>
      </c>
      <c r="P181" s="59" t="str">
        <f>IFERROR(Inv_SY!P183/Inv_SY!$Y183-1,"")</f>
        <v/>
      </c>
      <c r="Q181" s="59" t="str">
        <f>IFERROR(Inv_SY!Q183/Inv_SY!$Y183-1,"")</f>
        <v/>
      </c>
      <c r="R181" s="59" t="str">
        <f>IFERROR(Inv_SY!R183/Inv_SY!$Y183-1,"")</f>
        <v/>
      </c>
      <c r="S181" s="59" t="str">
        <f>IFERROR(Inv_SY!S183/Inv_SY!$Y183-1,"")</f>
        <v/>
      </c>
      <c r="T181" s="59" t="str">
        <f>IFERROR(Inv_SY!T183/Inv_SY!$Y183-1,"")</f>
        <v/>
      </c>
      <c r="U181" s="59" t="str">
        <f>IFERROR(Inv_SY!U183/Inv_SY!$Y183-1,"")</f>
        <v/>
      </c>
      <c r="V181" s="59" t="str">
        <f>IFERROR(Inv_SY!J183/Inv_SY!$Z183-1,"")</f>
        <v/>
      </c>
      <c r="W181" s="59" t="str">
        <f>IFERROR(Inv_SY!K183/Inv_SY!$Z183-1,"")</f>
        <v/>
      </c>
      <c r="X181" s="59" t="str">
        <f>IFERROR(Inv_SY!L183/Inv_SY!$Z183-1,"")</f>
        <v/>
      </c>
      <c r="Y181" s="59" t="str">
        <f>IFERROR(Inv_SY!M183/Inv_SY!$Z183-1,"")</f>
        <v/>
      </c>
      <c r="Z181" s="59" t="str">
        <f>IFERROR(Inv_SY!N183/Inv_SY!$Z183-1,"")</f>
        <v/>
      </c>
      <c r="AA181" s="59" t="str">
        <f>IFERROR(Inv_SY!O183/Inv_SY!$Z183-1,"")</f>
        <v/>
      </c>
      <c r="AB181" s="59" t="str">
        <f>IFERROR(Inv_SY!P183/Inv_SY!$Z183-1,"")</f>
        <v/>
      </c>
      <c r="AC181" s="59" t="str">
        <f>IFERROR(Inv_SY!Q183/Inv_SY!$Z183-1,"")</f>
        <v/>
      </c>
      <c r="AD181" s="59" t="str">
        <f>IFERROR(Inv_SY!R183/Inv_SY!$Z183-1,"")</f>
        <v/>
      </c>
      <c r="AE181" s="59" t="str">
        <f>IFERROR(Inv_SY!S183/Inv_SY!$Z183-1,"")</f>
        <v/>
      </c>
      <c r="AF181" s="59" t="str">
        <f>IFERROR(Inv_SY!T183/Inv_SY!$Z183-1,"")</f>
        <v/>
      </c>
      <c r="AG181" s="59" t="str">
        <f>IFERROR(Inv_SY!U183/Inv_SY!$Z183-1,"")</f>
        <v/>
      </c>
      <c r="AH181" s="59" t="str">
        <f>IFERROR(Inv_SY!V183/Inv_SY!$Y183-1,"")</f>
        <v/>
      </c>
      <c r="AI181" s="59" t="str">
        <f>IFERROR(Inv_SY!W183/Inv_SY!$Y183-1,"")</f>
        <v/>
      </c>
      <c r="AJ181" s="59" t="str">
        <f>IFERROR(Inv_SY!X183/Inv_SY!$Y183-1,"")</f>
        <v/>
      </c>
      <c r="AK181" s="59" t="str">
        <f>IFERROR(Inv_SY!V183/Inv_SY!$Z183-1,"")</f>
        <v/>
      </c>
      <c r="AL181" s="59" t="str">
        <f>IFERROR(Inv_SY!W183/Inv_SY!$Z183-1,"")</f>
        <v/>
      </c>
      <c r="AM181" s="59" t="str">
        <f>IFERROR(Inv_SY!X183/Inv_SY!$Z183-1,"")</f>
        <v/>
      </c>
    </row>
    <row r="182" spans="1:39" x14ac:dyDescent="0.3">
      <c r="A182" s="55">
        <f>YEAR(Table5[[#This Row],[Date]])+IF(MONTH(Table5[[#This Row],[Date]])&gt;=4,1,0)</f>
        <v>2026</v>
      </c>
      <c r="B182" s="55">
        <v>142</v>
      </c>
      <c r="C182" s="124">
        <f>YEAR(Table5[[#This Row],[Date]])</f>
        <v>2025</v>
      </c>
      <c r="D182" s="55" t="s">
        <v>329</v>
      </c>
      <c r="E182" s="55" t="s">
        <v>329</v>
      </c>
      <c r="F182" s="126" t="str">
        <f>TEXT(Table5[[#This Row],[Date]],"mmm-yy")</f>
        <v>Sep-25</v>
      </c>
      <c r="G182" s="124">
        <f t="shared" si="9"/>
        <v>30</v>
      </c>
      <c r="H182" s="125">
        <f t="shared" si="8"/>
        <v>45925</v>
      </c>
      <c r="I182" s="55">
        <v>8.02</v>
      </c>
      <c r="J182" s="59" t="str">
        <f>IFERROR(Inv_SY!J184/Inv_SY!$Y184-1,"")</f>
        <v/>
      </c>
      <c r="K182" s="59" t="str">
        <f>IFERROR(Inv_SY!K184/Inv_SY!$Y184-1,"")</f>
        <v/>
      </c>
      <c r="L182" s="59" t="str">
        <f>IFERROR(Inv_SY!L184/Inv_SY!$Y184-1,"")</f>
        <v/>
      </c>
      <c r="M182" s="59" t="str">
        <f>IFERROR(Inv_SY!M184/Inv_SY!$Y184-1,"")</f>
        <v/>
      </c>
      <c r="N182" s="59" t="str">
        <f>IFERROR(Inv_SY!N184/Inv_SY!$Y184-1,"")</f>
        <v/>
      </c>
      <c r="O182" s="59" t="str">
        <f>IFERROR(Inv_SY!O184/Inv_SY!$Y184-1,"")</f>
        <v/>
      </c>
      <c r="P182" s="59" t="str">
        <f>IFERROR(Inv_SY!P184/Inv_SY!$Y184-1,"")</f>
        <v/>
      </c>
      <c r="Q182" s="59" t="str">
        <f>IFERROR(Inv_SY!Q184/Inv_SY!$Y184-1,"")</f>
        <v/>
      </c>
      <c r="R182" s="59" t="str">
        <f>IFERROR(Inv_SY!R184/Inv_SY!$Y184-1,"")</f>
        <v/>
      </c>
      <c r="S182" s="59" t="str">
        <f>IFERROR(Inv_SY!S184/Inv_SY!$Y184-1,"")</f>
        <v/>
      </c>
      <c r="T182" s="59" t="str">
        <f>IFERROR(Inv_SY!T184/Inv_SY!$Y184-1,"")</f>
        <v/>
      </c>
      <c r="U182" s="59" t="str">
        <f>IFERROR(Inv_SY!U184/Inv_SY!$Y184-1,"")</f>
        <v/>
      </c>
      <c r="V182" s="59" t="str">
        <f>IFERROR(Inv_SY!J184/Inv_SY!$Z184-1,"")</f>
        <v/>
      </c>
      <c r="W182" s="59" t="str">
        <f>IFERROR(Inv_SY!K184/Inv_SY!$Z184-1,"")</f>
        <v/>
      </c>
      <c r="X182" s="59" t="str">
        <f>IFERROR(Inv_SY!L184/Inv_SY!$Z184-1,"")</f>
        <v/>
      </c>
      <c r="Y182" s="59" t="str">
        <f>IFERROR(Inv_SY!M184/Inv_SY!$Z184-1,"")</f>
        <v/>
      </c>
      <c r="Z182" s="59" t="str">
        <f>IFERROR(Inv_SY!N184/Inv_SY!$Z184-1,"")</f>
        <v/>
      </c>
      <c r="AA182" s="59" t="str">
        <f>IFERROR(Inv_SY!O184/Inv_SY!$Z184-1,"")</f>
        <v/>
      </c>
      <c r="AB182" s="59" t="str">
        <f>IFERROR(Inv_SY!P184/Inv_SY!$Z184-1,"")</f>
        <v/>
      </c>
      <c r="AC182" s="59" t="str">
        <f>IFERROR(Inv_SY!Q184/Inv_SY!$Z184-1,"")</f>
        <v/>
      </c>
      <c r="AD182" s="59" t="str">
        <f>IFERROR(Inv_SY!R184/Inv_SY!$Z184-1,"")</f>
        <v/>
      </c>
      <c r="AE182" s="59" t="str">
        <f>IFERROR(Inv_SY!S184/Inv_SY!$Z184-1,"")</f>
        <v/>
      </c>
      <c r="AF182" s="59" t="str">
        <f>IFERROR(Inv_SY!T184/Inv_SY!$Z184-1,"")</f>
        <v/>
      </c>
      <c r="AG182" s="59" t="str">
        <f>IFERROR(Inv_SY!U184/Inv_SY!$Z184-1,"")</f>
        <v/>
      </c>
      <c r="AH182" s="59" t="str">
        <f>IFERROR(Inv_SY!V184/Inv_SY!$Y184-1,"")</f>
        <v/>
      </c>
      <c r="AI182" s="59" t="str">
        <f>IFERROR(Inv_SY!W184/Inv_SY!$Y184-1,"")</f>
        <v/>
      </c>
      <c r="AJ182" s="59" t="str">
        <f>IFERROR(Inv_SY!X184/Inv_SY!$Y184-1,"")</f>
        <v/>
      </c>
      <c r="AK182" s="59" t="str">
        <f>IFERROR(Inv_SY!V184/Inv_SY!$Z184-1,"")</f>
        <v/>
      </c>
      <c r="AL182" s="59" t="str">
        <f>IFERROR(Inv_SY!W184/Inv_SY!$Z184-1,"")</f>
        <v/>
      </c>
      <c r="AM182" s="59" t="str">
        <f>IFERROR(Inv_SY!X184/Inv_SY!$Z184-1,"")</f>
        <v/>
      </c>
    </row>
    <row r="183" spans="1:39" x14ac:dyDescent="0.3">
      <c r="A183" s="55">
        <f>YEAR(Table5[[#This Row],[Date]])+IF(MONTH(Table5[[#This Row],[Date]])&gt;=4,1,0)</f>
        <v>2026</v>
      </c>
      <c r="B183" s="55">
        <v>143</v>
      </c>
      <c r="C183" s="124">
        <f>YEAR(Table5[[#This Row],[Date]])</f>
        <v>2025</v>
      </c>
      <c r="D183" s="55" t="s">
        <v>329</v>
      </c>
      <c r="E183" s="55" t="s">
        <v>329</v>
      </c>
      <c r="F183" s="126" t="str">
        <f>TEXT(Table5[[#This Row],[Date]],"mmm-yy")</f>
        <v>Sep-25</v>
      </c>
      <c r="G183" s="124">
        <f t="shared" si="9"/>
        <v>30</v>
      </c>
      <c r="H183" s="125">
        <f t="shared" si="8"/>
        <v>45926</v>
      </c>
      <c r="I183" s="55">
        <v>8.02</v>
      </c>
      <c r="J183" s="59" t="str">
        <f>IFERROR(Inv_SY!J185/Inv_SY!$Y185-1,"")</f>
        <v/>
      </c>
      <c r="K183" s="59" t="str">
        <f>IFERROR(Inv_SY!K185/Inv_SY!$Y185-1,"")</f>
        <v/>
      </c>
      <c r="L183" s="59" t="str">
        <f>IFERROR(Inv_SY!L185/Inv_SY!$Y185-1,"")</f>
        <v/>
      </c>
      <c r="M183" s="59" t="str">
        <f>IFERROR(Inv_SY!M185/Inv_SY!$Y185-1,"")</f>
        <v/>
      </c>
      <c r="N183" s="59" t="str">
        <f>IFERROR(Inv_SY!N185/Inv_SY!$Y185-1,"")</f>
        <v/>
      </c>
      <c r="O183" s="59" t="str">
        <f>IFERROR(Inv_SY!O185/Inv_SY!$Y185-1,"")</f>
        <v/>
      </c>
      <c r="P183" s="59" t="str">
        <f>IFERROR(Inv_SY!P185/Inv_SY!$Y185-1,"")</f>
        <v/>
      </c>
      <c r="Q183" s="59" t="str">
        <f>IFERROR(Inv_SY!Q185/Inv_SY!$Y185-1,"")</f>
        <v/>
      </c>
      <c r="R183" s="59" t="str">
        <f>IFERROR(Inv_SY!R185/Inv_SY!$Y185-1,"")</f>
        <v/>
      </c>
      <c r="S183" s="59" t="str">
        <f>IFERROR(Inv_SY!S185/Inv_SY!$Y185-1,"")</f>
        <v/>
      </c>
      <c r="T183" s="59" t="str">
        <f>IFERROR(Inv_SY!T185/Inv_SY!$Y185-1,"")</f>
        <v/>
      </c>
      <c r="U183" s="59" t="str">
        <f>IFERROR(Inv_SY!U185/Inv_SY!$Y185-1,"")</f>
        <v/>
      </c>
      <c r="V183" s="59" t="str">
        <f>IFERROR(Inv_SY!J185/Inv_SY!$Z185-1,"")</f>
        <v/>
      </c>
      <c r="W183" s="59" t="str">
        <f>IFERROR(Inv_SY!K185/Inv_SY!$Z185-1,"")</f>
        <v/>
      </c>
      <c r="X183" s="59" t="str">
        <f>IFERROR(Inv_SY!L185/Inv_SY!$Z185-1,"")</f>
        <v/>
      </c>
      <c r="Y183" s="59" t="str">
        <f>IFERROR(Inv_SY!M185/Inv_SY!$Z185-1,"")</f>
        <v/>
      </c>
      <c r="Z183" s="59" t="str">
        <f>IFERROR(Inv_SY!N185/Inv_SY!$Z185-1,"")</f>
        <v/>
      </c>
      <c r="AA183" s="59" t="str">
        <f>IFERROR(Inv_SY!O185/Inv_SY!$Z185-1,"")</f>
        <v/>
      </c>
      <c r="AB183" s="59" t="str">
        <f>IFERROR(Inv_SY!P185/Inv_SY!$Z185-1,"")</f>
        <v/>
      </c>
      <c r="AC183" s="59" t="str">
        <f>IFERROR(Inv_SY!Q185/Inv_SY!$Z185-1,"")</f>
        <v/>
      </c>
      <c r="AD183" s="59" t="str">
        <f>IFERROR(Inv_SY!R185/Inv_SY!$Z185-1,"")</f>
        <v/>
      </c>
      <c r="AE183" s="59" t="str">
        <f>IFERROR(Inv_SY!S185/Inv_SY!$Z185-1,"")</f>
        <v/>
      </c>
      <c r="AF183" s="59" t="str">
        <f>IFERROR(Inv_SY!T185/Inv_SY!$Z185-1,"")</f>
        <v/>
      </c>
      <c r="AG183" s="59" t="str">
        <f>IFERROR(Inv_SY!U185/Inv_SY!$Z185-1,"")</f>
        <v/>
      </c>
      <c r="AH183" s="59" t="str">
        <f>IFERROR(Inv_SY!V185/Inv_SY!$Y185-1,"")</f>
        <v/>
      </c>
      <c r="AI183" s="59" t="str">
        <f>IFERROR(Inv_SY!W185/Inv_SY!$Y185-1,"")</f>
        <v/>
      </c>
      <c r="AJ183" s="59" t="str">
        <f>IFERROR(Inv_SY!X185/Inv_SY!$Y185-1,"")</f>
        <v/>
      </c>
      <c r="AK183" s="59" t="str">
        <f>IFERROR(Inv_SY!V185/Inv_SY!$Z185-1,"")</f>
        <v/>
      </c>
      <c r="AL183" s="59" t="str">
        <f>IFERROR(Inv_SY!W185/Inv_SY!$Z185-1,"")</f>
        <v/>
      </c>
      <c r="AM183" s="59" t="str">
        <f>IFERROR(Inv_SY!X185/Inv_SY!$Z185-1,"")</f>
        <v/>
      </c>
    </row>
    <row r="184" spans="1:39" x14ac:dyDescent="0.3">
      <c r="A184" s="55">
        <f>YEAR(Table5[[#This Row],[Date]])+IF(MONTH(Table5[[#This Row],[Date]])&gt;=4,1,0)</f>
        <v>2026</v>
      </c>
      <c r="B184" s="55">
        <v>144</v>
      </c>
      <c r="C184" s="124">
        <f>YEAR(Table5[[#This Row],[Date]])</f>
        <v>2025</v>
      </c>
      <c r="D184" s="55" t="s">
        <v>329</v>
      </c>
      <c r="E184" s="55" t="s">
        <v>329</v>
      </c>
      <c r="F184" s="126" t="str">
        <f>TEXT(Table5[[#This Row],[Date]],"mmm-yy")</f>
        <v>Sep-25</v>
      </c>
      <c r="G184" s="124">
        <f t="shared" si="9"/>
        <v>30</v>
      </c>
      <c r="H184" s="125">
        <f t="shared" si="8"/>
        <v>45927</v>
      </c>
      <c r="I184" s="55">
        <v>8.02</v>
      </c>
      <c r="J184" s="59" t="str">
        <f>IFERROR(Inv_SY!J186/Inv_SY!$Y186-1,"")</f>
        <v/>
      </c>
      <c r="K184" s="59" t="str">
        <f>IFERROR(Inv_SY!K186/Inv_SY!$Y186-1,"")</f>
        <v/>
      </c>
      <c r="L184" s="59" t="str">
        <f>IFERROR(Inv_SY!L186/Inv_SY!$Y186-1,"")</f>
        <v/>
      </c>
      <c r="M184" s="59" t="str">
        <f>IFERROR(Inv_SY!M186/Inv_SY!$Y186-1,"")</f>
        <v/>
      </c>
      <c r="N184" s="59" t="str">
        <f>IFERROR(Inv_SY!N186/Inv_SY!$Y186-1,"")</f>
        <v/>
      </c>
      <c r="O184" s="59" t="str">
        <f>IFERROR(Inv_SY!O186/Inv_SY!$Y186-1,"")</f>
        <v/>
      </c>
      <c r="P184" s="59" t="str">
        <f>IFERROR(Inv_SY!P186/Inv_SY!$Y186-1,"")</f>
        <v/>
      </c>
      <c r="Q184" s="59" t="str">
        <f>IFERROR(Inv_SY!Q186/Inv_SY!$Y186-1,"")</f>
        <v/>
      </c>
      <c r="R184" s="59" t="str">
        <f>IFERROR(Inv_SY!R186/Inv_SY!$Y186-1,"")</f>
        <v/>
      </c>
      <c r="S184" s="59" t="str">
        <f>IFERROR(Inv_SY!S186/Inv_SY!$Y186-1,"")</f>
        <v/>
      </c>
      <c r="T184" s="59" t="str">
        <f>IFERROR(Inv_SY!T186/Inv_SY!$Y186-1,"")</f>
        <v/>
      </c>
      <c r="U184" s="59" t="str">
        <f>IFERROR(Inv_SY!U186/Inv_SY!$Y186-1,"")</f>
        <v/>
      </c>
      <c r="V184" s="59" t="str">
        <f>IFERROR(Inv_SY!J186/Inv_SY!$Z186-1,"")</f>
        <v/>
      </c>
      <c r="W184" s="59" t="str">
        <f>IFERROR(Inv_SY!K186/Inv_SY!$Z186-1,"")</f>
        <v/>
      </c>
      <c r="X184" s="59" t="str">
        <f>IFERROR(Inv_SY!L186/Inv_SY!$Z186-1,"")</f>
        <v/>
      </c>
      <c r="Y184" s="59" t="str">
        <f>IFERROR(Inv_SY!M186/Inv_SY!$Z186-1,"")</f>
        <v/>
      </c>
      <c r="Z184" s="59" t="str">
        <f>IFERROR(Inv_SY!N186/Inv_SY!$Z186-1,"")</f>
        <v/>
      </c>
      <c r="AA184" s="59" t="str">
        <f>IFERROR(Inv_SY!O186/Inv_SY!$Z186-1,"")</f>
        <v/>
      </c>
      <c r="AB184" s="59" t="str">
        <f>IFERROR(Inv_SY!P186/Inv_SY!$Z186-1,"")</f>
        <v/>
      </c>
      <c r="AC184" s="59" t="str">
        <f>IFERROR(Inv_SY!Q186/Inv_SY!$Z186-1,"")</f>
        <v/>
      </c>
      <c r="AD184" s="59" t="str">
        <f>IFERROR(Inv_SY!R186/Inv_SY!$Z186-1,"")</f>
        <v/>
      </c>
      <c r="AE184" s="59" t="str">
        <f>IFERROR(Inv_SY!S186/Inv_SY!$Z186-1,"")</f>
        <v/>
      </c>
      <c r="AF184" s="59" t="str">
        <f>IFERROR(Inv_SY!T186/Inv_SY!$Z186-1,"")</f>
        <v/>
      </c>
      <c r="AG184" s="59" t="str">
        <f>IFERROR(Inv_SY!U186/Inv_SY!$Z186-1,"")</f>
        <v/>
      </c>
      <c r="AH184" s="59" t="str">
        <f>IFERROR(Inv_SY!V186/Inv_SY!$Y186-1,"")</f>
        <v/>
      </c>
      <c r="AI184" s="59" t="str">
        <f>IFERROR(Inv_SY!W186/Inv_SY!$Y186-1,"")</f>
        <v/>
      </c>
      <c r="AJ184" s="59" t="str">
        <f>IFERROR(Inv_SY!X186/Inv_SY!$Y186-1,"")</f>
        <v/>
      </c>
      <c r="AK184" s="59" t="str">
        <f>IFERROR(Inv_SY!V186/Inv_SY!$Z186-1,"")</f>
        <v/>
      </c>
      <c r="AL184" s="59" t="str">
        <f>IFERROR(Inv_SY!W186/Inv_SY!$Z186-1,"")</f>
        <v/>
      </c>
      <c r="AM184" s="59" t="str">
        <f>IFERROR(Inv_SY!X186/Inv_SY!$Z186-1,"")</f>
        <v/>
      </c>
    </row>
    <row r="185" spans="1:39" x14ac:dyDescent="0.3">
      <c r="A185" s="55">
        <f>YEAR(Table5[[#This Row],[Date]])+IF(MONTH(Table5[[#This Row],[Date]])&gt;=4,1,0)</f>
        <v>2026</v>
      </c>
      <c r="B185" s="55">
        <v>145</v>
      </c>
      <c r="C185" s="124">
        <f>YEAR(Table5[[#This Row],[Date]])</f>
        <v>2025</v>
      </c>
      <c r="D185" s="55" t="s">
        <v>329</v>
      </c>
      <c r="E185" s="55" t="s">
        <v>329</v>
      </c>
      <c r="F185" s="126" t="str">
        <f>TEXT(Table5[[#This Row],[Date]],"mmm-yy")</f>
        <v>Sep-25</v>
      </c>
      <c r="G185" s="124">
        <f t="shared" si="9"/>
        <v>30</v>
      </c>
      <c r="H185" s="125">
        <f t="shared" si="8"/>
        <v>45928</v>
      </c>
      <c r="I185" s="55">
        <v>8.02</v>
      </c>
      <c r="J185" s="59" t="str">
        <f>IFERROR(Inv_SY!J187/Inv_SY!$Y187-1,"")</f>
        <v/>
      </c>
      <c r="K185" s="59" t="str">
        <f>IFERROR(Inv_SY!K187/Inv_SY!$Y187-1,"")</f>
        <v/>
      </c>
      <c r="L185" s="59" t="str">
        <f>IFERROR(Inv_SY!L187/Inv_SY!$Y187-1,"")</f>
        <v/>
      </c>
      <c r="M185" s="59" t="str">
        <f>IFERROR(Inv_SY!M187/Inv_SY!$Y187-1,"")</f>
        <v/>
      </c>
      <c r="N185" s="59" t="str">
        <f>IFERROR(Inv_SY!N187/Inv_SY!$Y187-1,"")</f>
        <v/>
      </c>
      <c r="O185" s="59" t="str">
        <f>IFERROR(Inv_SY!O187/Inv_SY!$Y187-1,"")</f>
        <v/>
      </c>
      <c r="P185" s="59" t="str">
        <f>IFERROR(Inv_SY!P187/Inv_SY!$Y187-1,"")</f>
        <v/>
      </c>
      <c r="Q185" s="59" t="str">
        <f>IFERROR(Inv_SY!Q187/Inv_SY!$Y187-1,"")</f>
        <v/>
      </c>
      <c r="R185" s="59" t="str">
        <f>IFERROR(Inv_SY!R187/Inv_SY!$Y187-1,"")</f>
        <v/>
      </c>
      <c r="S185" s="59" t="str">
        <f>IFERROR(Inv_SY!S187/Inv_SY!$Y187-1,"")</f>
        <v/>
      </c>
      <c r="T185" s="59" t="str">
        <f>IFERROR(Inv_SY!T187/Inv_SY!$Y187-1,"")</f>
        <v/>
      </c>
      <c r="U185" s="59" t="str">
        <f>IFERROR(Inv_SY!U187/Inv_SY!$Y187-1,"")</f>
        <v/>
      </c>
      <c r="V185" s="59" t="str">
        <f>IFERROR(Inv_SY!J187/Inv_SY!$Z187-1,"")</f>
        <v/>
      </c>
      <c r="W185" s="59" t="str">
        <f>IFERROR(Inv_SY!K187/Inv_SY!$Z187-1,"")</f>
        <v/>
      </c>
      <c r="X185" s="59" t="str">
        <f>IFERROR(Inv_SY!L187/Inv_SY!$Z187-1,"")</f>
        <v/>
      </c>
      <c r="Y185" s="59" t="str">
        <f>IFERROR(Inv_SY!M187/Inv_SY!$Z187-1,"")</f>
        <v/>
      </c>
      <c r="Z185" s="59" t="str">
        <f>IFERROR(Inv_SY!N187/Inv_SY!$Z187-1,"")</f>
        <v/>
      </c>
      <c r="AA185" s="59" t="str">
        <f>IFERROR(Inv_SY!O187/Inv_SY!$Z187-1,"")</f>
        <v/>
      </c>
      <c r="AB185" s="59" t="str">
        <f>IFERROR(Inv_SY!P187/Inv_SY!$Z187-1,"")</f>
        <v/>
      </c>
      <c r="AC185" s="59" t="str">
        <f>IFERROR(Inv_SY!Q187/Inv_SY!$Z187-1,"")</f>
        <v/>
      </c>
      <c r="AD185" s="59" t="str">
        <f>IFERROR(Inv_SY!R187/Inv_SY!$Z187-1,"")</f>
        <v/>
      </c>
      <c r="AE185" s="59" t="str">
        <f>IFERROR(Inv_SY!S187/Inv_SY!$Z187-1,"")</f>
        <v/>
      </c>
      <c r="AF185" s="59" t="str">
        <f>IFERROR(Inv_SY!T187/Inv_SY!$Z187-1,"")</f>
        <v/>
      </c>
      <c r="AG185" s="59" t="str">
        <f>IFERROR(Inv_SY!U187/Inv_SY!$Z187-1,"")</f>
        <v/>
      </c>
      <c r="AH185" s="59" t="str">
        <f>IFERROR(Inv_SY!V187/Inv_SY!$Y187-1,"")</f>
        <v/>
      </c>
      <c r="AI185" s="59" t="str">
        <f>IFERROR(Inv_SY!W187/Inv_SY!$Y187-1,"")</f>
        <v/>
      </c>
      <c r="AJ185" s="59" t="str">
        <f>IFERROR(Inv_SY!X187/Inv_SY!$Y187-1,"")</f>
        <v/>
      </c>
      <c r="AK185" s="59" t="str">
        <f>IFERROR(Inv_SY!V187/Inv_SY!$Z187-1,"")</f>
        <v/>
      </c>
      <c r="AL185" s="59" t="str">
        <f>IFERROR(Inv_SY!W187/Inv_SY!$Z187-1,"")</f>
        <v/>
      </c>
      <c r="AM185" s="59" t="str">
        <f>IFERROR(Inv_SY!X187/Inv_SY!$Z187-1,"")</f>
        <v/>
      </c>
    </row>
    <row r="186" spans="1:39" x14ac:dyDescent="0.3">
      <c r="A186" s="55">
        <f>YEAR(Table5[[#This Row],[Date]])+IF(MONTH(Table5[[#This Row],[Date]])&gt;=4,1,0)</f>
        <v>2026</v>
      </c>
      <c r="B186" s="55">
        <v>146</v>
      </c>
      <c r="C186" s="124">
        <f>YEAR(Table5[[#This Row],[Date]])</f>
        <v>2025</v>
      </c>
      <c r="D186" s="55" t="s">
        <v>329</v>
      </c>
      <c r="E186" s="55" t="s">
        <v>329</v>
      </c>
      <c r="F186" s="126" t="str">
        <f>TEXT(Table5[[#This Row],[Date]],"mmm-yy")</f>
        <v>Sep-25</v>
      </c>
      <c r="G186" s="124">
        <f t="shared" si="9"/>
        <v>30</v>
      </c>
      <c r="H186" s="125">
        <f t="shared" si="8"/>
        <v>45929</v>
      </c>
      <c r="I186" s="55">
        <v>8.02</v>
      </c>
      <c r="J186" s="59" t="str">
        <f>IFERROR(Inv_SY!J188/Inv_SY!$Y188-1,"")</f>
        <v/>
      </c>
      <c r="K186" s="59" t="str">
        <f>IFERROR(Inv_SY!K188/Inv_SY!$Y188-1,"")</f>
        <v/>
      </c>
      <c r="L186" s="59" t="str">
        <f>IFERROR(Inv_SY!L188/Inv_SY!$Y188-1,"")</f>
        <v/>
      </c>
      <c r="M186" s="59" t="str">
        <f>IFERROR(Inv_SY!M188/Inv_SY!$Y188-1,"")</f>
        <v/>
      </c>
      <c r="N186" s="59" t="str">
        <f>IFERROR(Inv_SY!N188/Inv_SY!$Y188-1,"")</f>
        <v/>
      </c>
      <c r="O186" s="59" t="str">
        <f>IFERROR(Inv_SY!O188/Inv_SY!$Y188-1,"")</f>
        <v/>
      </c>
      <c r="P186" s="59" t="str">
        <f>IFERROR(Inv_SY!P188/Inv_SY!$Y188-1,"")</f>
        <v/>
      </c>
      <c r="Q186" s="59" t="str">
        <f>IFERROR(Inv_SY!Q188/Inv_SY!$Y188-1,"")</f>
        <v/>
      </c>
      <c r="R186" s="59" t="str">
        <f>IFERROR(Inv_SY!R188/Inv_SY!$Y188-1,"")</f>
        <v/>
      </c>
      <c r="S186" s="59" t="str">
        <f>IFERROR(Inv_SY!S188/Inv_SY!$Y188-1,"")</f>
        <v/>
      </c>
      <c r="T186" s="59" t="str">
        <f>IFERROR(Inv_SY!T188/Inv_SY!$Y188-1,"")</f>
        <v/>
      </c>
      <c r="U186" s="59" t="str">
        <f>IFERROR(Inv_SY!U188/Inv_SY!$Y188-1,"")</f>
        <v/>
      </c>
      <c r="V186" s="59" t="str">
        <f>IFERROR(Inv_SY!J188/Inv_SY!$Z188-1,"")</f>
        <v/>
      </c>
      <c r="W186" s="59" t="str">
        <f>IFERROR(Inv_SY!K188/Inv_SY!$Z188-1,"")</f>
        <v/>
      </c>
      <c r="X186" s="59" t="str">
        <f>IFERROR(Inv_SY!L188/Inv_SY!$Z188-1,"")</f>
        <v/>
      </c>
      <c r="Y186" s="59" t="str">
        <f>IFERROR(Inv_SY!M188/Inv_SY!$Z188-1,"")</f>
        <v/>
      </c>
      <c r="Z186" s="59" t="str">
        <f>IFERROR(Inv_SY!N188/Inv_SY!$Z188-1,"")</f>
        <v/>
      </c>
      <c r="AA186" s="59" t="str">
        <f>IFERROR(Inv_SY!O188/Inv_SY!$Z188-1,"")</f>
        <v/>
      </c>
      <c r="AB186" s="59" t="str">
        <f>IFERROR(Inv_SY!P188/Inv_SY!$Z188-1,"")</f>
        <v/>
      </c>
      <c r="AC186" s="59" t="str">
        <f>IFERROR(Inv_SY!Q188/Inv_SY!$Z188-1,"")</f>
        <v/>
      </c>
      <c r="AD186" s="59" t="str">
        <f>IFERROR(Inv_SY!R188/Inv_SY!$Z188-1,"")</f>
        <v/>
      </c>
      <c r="AE186" s="59" t="str">
        <f>IFERROR(Inv_SY!S188/Inv_SY!$Z188-1,"")</f>
        <v/>
      </c>
      <c r="AF186" s="59" t="str">
        <f>IFERROR(Inv_SY!T188/Inv_SY!$Z188-1,"")</f>
        <v/>
      </c>
      <c r="AG186" s="59" t="str">
        <f>IFERROR(Inv_SY!U188/Inv_SY!$Z188-1,"")</f>
        <v/>
      </c>
      <c r="AH186" s="59" t="str">
        <f>IFERROR(Inv_SY!V188/Inv_SY!$Y188-1,"")</f>
        <v/>
      </c>
      <c r="AI186" s="59" t="str">
        <f>IFERROR(Inv_SY!W188/Inv_SY!$Y188-1,"")</f>
        <v/>
      </c>
      <c r="AJ186" s="59" t="str">
        <f>IFERROR(Inv_SY!X188/Inv_SY!$Y188-1,"")</f>
        <v/>
      </c>
      <c r="AK186" s="59" t="str">
        <f>IFERROR(Inv_SY!V188/Inv_SY!$Z188-1,"")</f>
        <v/>
      </c>
      <c r="AL186" s="59" t="str">
        <f>IFERROR(Inv_SY!W188/Inv_SY!$Z188-1,"")</f>
        <v/>
      </c>
      <c r="AM186" s="59" t="str">
        <f>IFERROR(Inv_SY!X188/Inv_SY!$Z188-1,"")</f>
        <v/>
      </c>
    </row>
    <row r="187" spans="1:39" x14ac:dyDescent="0.3">
      <c r="A187" s="55">
        <f>YEAR(Table5[[#This Row],[Date]])+IF(MONTH(Table5[[#This Row],[Date]])&gt;=4,1,0)</f>
        <v>2026</v>
      </c>
      <c r="B187" s="55">
        <v>147</v>
      </c>
      <c r="C187" s="124">
        <f>YEAR(Table5[[#This Row],[Date]])</f>
        <v>2025</v>
      </c>
      <c r="D187" s="55" t="s">
        <v>329</v>
      </c>
      <c r="E187" s="55" t="s">
        <v>329</v>
      </c>
      <c r="F187" s="126" t="str">
        <f>TEXT(Table5[[#This Row],[Date]],"mmm-yy")</f>
        <v>Sep-25</v>
      </c>
      <c r="G187" s="124">
        <f t="shared" si="9"/>
        <v>30</v>
      </c>
      <c r="H187" s="125">
        <f t="shared" si="8"/>
        <v>45930</v>
      </c>
      <c r="I187" s="55">
        <v>8.02</v>
      </c>
      <c r="J187" s="59" t="str">
        <f>IFERROR(Inv_SY!J189/Inv_SY!$Y189-1,"")</f>
        <v/>
      </c>
      <c r="K187" s="59" t="str">
        <f>IFERROR(Inv_SY!K189/Inv_SY!$Y189-1,"")</f>
        <v/>
      </c>
      <c r="L187" s="59" t="str">
        <f>IFERROR(Inv_SY!L189/Inv_SY!$Y189-1,"")</f>
        <v/>
      </c>
      <c r="M187" s="59" t="str">
        <f>IFERROR(Inv_SY!M189/Inv_SY!$Y189-1,"")</f>
        <v/>
      </c>
      <c r="N187" s="59" t="str">
        <f>IFERROR(Inv_SY!N189/Inv_SY!$Y189-1,"")</f>
        <v/>
      </c>
      <c r="O187" s="59" t="str">
        <f>IFERROR(Inv_SY!O189/Inv_SY!$Y189-1,"")</f>
        <v/>
      </c>
      <c r="P187" s="59" t="str">
        <f>IFERROR(Inv_SY!P189/Inv_SY!$Y189-1,"")</f>
        <v/>
      </c>
      <c r="Q187" s="59" t="str">
        <f>IFERROR(Inv_SY!Q189/Inv_SY!$Y189-1,"")</f>
        <v/>
      </c>
      <c r="R187" s="59" t="str">
        <f>IFERROR(Inv_SY!R189/Inv_SY!$Y189-1,"")</f>
        <v/>
      </c>
      <c r="S187" s="59" t="str">
        <f>IFERROR(Inv_SY!S189/Inv_SY!$Y189-1,"")</f>
        <v/>
      </c>
      <c r="T187" s="59" t="str">
        <f>IFERROR(Inv_SY!T189/Inv_SY!$Y189-1,"")</f>
        <v/>
      </c>
      <c r="U187" s="59" t="str">
        <f>IFERROR(Inv_SY!U189/Inv_SY!$Y189-1,"")</f>
        <v/>
      </c>
      <c r="V187" s="59" t="str">
        <f>IFERROR(Inv_SY!J189/Inv_SY!$Z189-1,"")</f>
        <v/>
      </c>
      <c r="W187" s="59" t="str">
        <f>IFERROR(Inv_SY!K189/Inv_SY!$Z189-1,"")</f>
        <v/>
      </c>
      <c r="X187" s="59" t="str">
        <f>IFERROR(Inv_SY!L189/Inv_SY!$Z189-1,"")</f>
        <v/>
      </c>
      <c r="Y187" s="59" t="str">
        <f>IFERROR(Inv_SY!M189/Inv_SY!$Z189-1,"")</f>
        <v/>
      </c>
      <c r="Z187" s="59" t="str">
        <f>IFERROR(Inv_SY!N189/Inv_SY!$Z189-1,"")</f>
        <v/>
      </c>
      <c r="AA187" s="59" t="str">
        <f>IFERROR(Inv_SY!O189/Inv_SY!$Z189-1,"")</f>
        <v/>
      </c>
      <c r="AB187" s="59" t="str">
        <f>IFERROR(Inv_SY!P189/Inv_SY!$Z189-1,"")</f>
        <v/>
      </c>
      <c r="AC187" s="59" t="str">
        <f>IFERROR(Inv_SY!Q189/Inv_SY!$Z189-1,"")</f>
        <v/>
      </c>
      <c r="AD187" s="59" t="str">
        <f>IFERROR(Inv_SY!R189/Inv_SY!$Z189-1,"")</f>
        <v/>
      </c>
      <c r="AE187" s="59" t="str">
        <f>IFERROR(Inv_SY!S189/Inv_SY!$Z189-1,"")</f>
        <v/>
      </c>
      <c r="AF187" s="59" t="str">
        <f>IFERROR(Inv_SY!T189/Inv_SY!$Z189-1,"")</f>
        <v/>
      </c>
      <c r="AG187" s="59" t="str">
        <f>IFERROR(Inv_SY!U189/Inv_SY!$Z189-1,"")</f>
        <v/>
      </c>
      <c r="AH187" s="59" t="str">
        <f>IFERROR(Inv_SY!V189/Inv_SY!$Y189-1,"")</f>
        <v/>
      </c>
      <c r="AI187" s="59" t="str">
        <f>IFERROR(Inv_SY!W189/Inv_SY!$Y189-1,"")</f>
        <v/>
      </c>
      <c r="AJ187" s="59" t="str">
        <f>IFERROR(Inv_SY!X189/Inv_SY!$Y189-1,"")</f>
        <v/>
      </c>
      <c r="AK187" s="59" t="str">
        <f>IFERROR(Inv_SY!V189/Inv_SY!$Z189-1,"")</f>
        <v/>
      </c>
      <c r="AL187" s="59" t="str">
        <f>IFERROR(Inv_SY!W189/Inv_SY!$Z189-1,"")</f>
        <v/>
      </c>
      <c r="AM187" s="59" t="str">
        <f>IFERROR(Inv_SY!X189/Inv_SY!$Z189-1,"")</f>
        <v/>
      </c>
    </row>
    <row r="188" spans="1:39" x14ac:dyDescent="0.3">
      <c r="A188" s="55">
        <f>YEAR(Table5[[#This Row],[Date]])+IF(MONTH(Table5[[#This Row],[Date]])&gt;=4,1,0)</f>
        <v>2026</v>
      </c>
      <c r="B188" s="55">
        <v>148</v>
      </c>
      <c r="C188" s="124">
        <f>YEAR(Table5[[#This Row],[Date]])</f>
        <v>2025</v>
      </c>
      <c r="D188" s="55" t="s">
        <v>329</v>
      </c>
      <c r="E188" s="55" t="s">
        <v>329</v>
      </c>
      <c r="F188" s="126" t="str">
        <f>TEXT(Table5[[#This Row],[Date]],"mmm-yy")</f>
        <v>Oct-25</v>
      </c>
      <c r="G188" s="124">
        <f t="shared" si="9"/>
        <v>31</v>
      </c>
      <c r="H188" s="125">
        <f t="shared" si="8"/>
        <v>45931</v>
      </c>
      <c r="I188" s="55">
        <v>8.02</v>
      </c>
      <c r="J188" s="59" t="str">
        <f>IFERROR(Inv_SY!J190/Inv_SY!$Y190-1,"")</f>
        <v/>
      </c>
      <c r="K188" s="59" t="str">
        <f>IFERROR(Inv_SY!K190/Inv_SY!$Y190-1,"")</f>
        <v/>
      </c>
      <c r="L188" s="59" t="str">
        <f>IFERROR(Inv_SY!L190/Inv_SY!$Y190-1,"")</f>
        <v/>
      </c>
      <c r="M188" s="59" t="str">
        <f>IFERROR(Inv_SY!M190/Inv_SY!$Y190-1,"")</f>
        <v/>
      </c>
      <c r="N188" s="59" t="str">
        <f>IFERROR(Inv_SY!N190/Inv_SY!$Y190-1,"")</f>
        <v/>
      </c>
      <c r="O188" s="59" t="str">
        <f>IFERROR(Inv_SY!O190/Inv_SY!$Y190-1,"")</f>
        <v/>
      </c>
      <c r="P188" s="59" t="str">
        <f>IFERROR(Inv_SY!P190/Inv_SY!$Y190-1,"")</f>
        <v/>
      </c>
      <c r="Q188" s="59" t="str">
        <f>IFERROR(Inv_SY!Q190/Inv_SY!$Y190-1,"")</f>
        <v/>
      </c>
      <c r="R188" s="59" t="str">
        <f>IFERROR(Inv_SY!R190/Inv_SY!$Y190-1,"")</f>
        <v/>
      </c>
      <c r="S188" s="59" t="str">
        <f>IFERROR(Inv_SY!S190/Inv_SY!$Y190-1,"")</f>
        <v/>
      </c>
      <c r="T188" s="59" t="str">
        <f>IFERROR(Inv_SY!T190/Inv_SY!$Y190-1,"")</f>
        <v/>
      </c>
      <c r="U188" s="59" t="str">
        <f>IFERROR(Inv_SY!U190/Inv_SY!$Y190-1,"")</f>
        <v/>
      </c>
      <c r="V188" s="59" t="str">
        <f>IFERROR(Inv_SY!J190/Inv_SY!$Z190-1,"")</f>
        <v/>
      </c>
      <c r="W188" s="59" t="str">
        <f>IFERROR(Inv_SY!K190/Inv_SY!$Z190-1,"")</f>
        <v/>
      </c>
      <c r="X188" s="59" t="str">
        <f>IFERROR(Inv_SY!L190/Inv_SY!$Z190-1,"")</f>
        <v/>
      </c>
      <c r="Y188" s="59" t="str">
        <f>IFERROR(Inv_SY!M190/Inv_SY!$Z190-1,"")</f>
        <v/>
      </c>
      <c r="Z188" s="59" t="str">
        <f>IFERROR(Inv_SY!N190/Inv_SY!$Z190-1,"")</f>
        <v/>
      </c>
      <c r="AA188" s="59" t="str">
        <f>IFERROR(Inv_SY!O190/Inv_SY!$Z190-1,"")</f>
        <v/>
      </c>
      <c r="AB188" s="59" t="str">
        <f>IFERROR(Inv_SY!P190/Inv_SY!$Z190-1,"")</f>
        <v/>
      </c>
      <c r="AC188" s="59" t="str">
        <f>IFERROR(Inv_SY!Q190/Inv_SY!$Z190-1,"")</f>
        <v/>
      </c>
      <c r="AD188" s="59" t="str">
        <f>IFERROR(Inv_SY!R190/Inv_SY!$Z190-1,"")</f>
        <v/>
      </c>
      <c r="AE188" s="59" t="str">
        <f>IFERROR(Inv_SY!S190/Inv_SY!$Z190-1,"")</f>
        <v/>
      </c>
      <c r="AF188" s="59" t="str">
        <f>IFERROR(Inv_SY!T190/Inv_SY!$Z190-1,"")</f>
        <v/>
      </c>
      <c r="AG188" s="59" t="str">
        <f>IFERROR(Inv_SY!U190/Inv_SY!$Z190-1,"")</f>
        <v/>
      </c>
      <c r="AH188" s="59" t="str">
        <f>IFERROR(Inv_SY!V190/Inv_SY!$Y190-1,"")</f>
        <v/>
      </c>
      <c r="AI188" s="59" t="str">
        <f>IFERROR(Inv_SY!W190/Inv_SY!$Y190-1,"")</f>
        <v/>
      </c>
      <c r="AJ188" s="59" t="str">
        <f>IFERROR(Inv_SY!X190/Inv_SY!$Y190-1,"")</f>
        <v/>
      </c>
      <c r="AK188" s="59" t="str">
        <f>IFERROR(Inv_SY!V190/Inv_SY!$Z190-1,"")</f>
        <v/>
      </c>
      <c r="AL188" s="59" t="str">
        <f>IFERROR(Inv_SY!W190/Inv_SY!$Z190-1,"")</f>
        <v/>
      </c>
      <c r="AM188" s="59" t="str">
        <f>IFERROR(Inv_SY!X190/Inv_SY!$Z190-1,"")</f>
        <v/>
      </c>
    </row>
    <row r="189" spans="1:39" x14ac:dyDescent="0.3">
      <c r="A189" s="55">
        <f>YEAR(Table5[[#This Row],[Date]])+IF(MONTH(Table5[[#This Row],[Date]])&gt;=4,1,0)</f>
        <v>2026</v>
      </c>
      <c r="B189" s="55">
        <v>149</v>
      </c>
      <c r="C189" s="124">
        <f>YEAR(Table5[[#This Row],[Date]])</f>
        <v>2025</v>
      </c>
      <c r="D189" s="55" t="s">
        <v>329</v>
      </c>
      <c r="E189" s="55" t="s">
        <v>329</v>
      </c>
      <c r="F189" s="126" t="str">
        <f>TEXT(Table5[[#This Row],[Date]],"mmm-yy")</f>
        <v>Oct-25</v>
      </c>
      <c r="G189" s="124">
        <f t="shared" si="9"/>
        <v>31</v>
      </c>
      <c r="H189" s="125">
        <f t="shared" si="8"/>
        <v>45932</v>
      </c>
      <c r="I189" s="55">
        <v>8.02</v>
      </c>
      <c r="J189" s="59" t="str">
        <f>IFERROR(Inv_SY!J191/Inv_SY!$Y191-1,"")</f>
        <v/>
      </c>
      <c r="K189" s="59" t="str">
        <f>IFERROR(Inv_SY!K191/Inv_SY!$Y191-1,"")</f>
        <v/>
      </c>
      <c r="L189" s="59" t="str">
        <f>IFERROR(Inv_SY!L191/Inv_SY!$Y191-1,"")</f>
        <v/>
      </c>
      <c r="M189" s="59" t="str">
        <f>IFERROR(Inv_SY!M191/Inv_SY!$Y191-1,"")</f>
        <v/>
      </c>
      <c r="N189" s="59" t="str">
        <f>IFERROR(Inv_SY!N191/Inv_SY!$Y191-1,"")</f>
        <v/>
      </c>
      <c r="O189" s="59" t="str">
        <f>IFERROR(Inv_SY!O191/Inv_SY!$Y191-1,"")</f>
        <v/>
      </c>
      <c r="P189" s="59" t="str">
        <f>IFERROR(Inv_SY!P191/Inv_SY!$Y191-1,"")</f>
        <v/>
      </c>
      <c r="Q189" s="59" t="str">
        <f>IFERROR(Inv_SY!Q191/Inv_SY!$Y191-1,"")</f>
        <v/>
      </c>
      <c r="R189" s="59" t="str">
        <f>IFERROR(Inv_SY!R191/Inv_SY!$Y191-1,"")</f>
        <v/>
      </c>
      <c r="S189" s="59" t="str">
        <f>IFERROR(Inv_SY!S191/Inv_SY!$Y191-1,"")</f>
        <v/>
      </c>
      <c r="T189" s="59" t="str">
        <f>IFERROR(Inv_SY!T191/Inv_SY!$Y191-1,"")</f>
        <v/>
      </c>
      <c r="U189" s="59" t="str">
        <f>IFERROR(Inv_SY!U191/Inv_SY!$Y191-1,"")</f>
        <v/>
      </c>
      <c r="V189" s="59" t="str">
        <f>IFERROR(Inv_SY!J191/Inv_SY!$Z191-1,"")</f>
        <v/>
      </c>
      <c r="W189" s="59" t="str">
        <f>IFERROR(Inv_SY!K191/Inv_SY!$Z191-1,"")</f>
        <v/>
      </c>
      <c r="X189" s="59" t="str">
        <f>IFERROR(Inv_SY!L191/Inv_SY!$Z191-1,"")</f>
        <v/>
      </c>
      <c r="Y189" s="59" t="str">
        <f>IFERROR(Inv_SY!M191/Inv_SY!$Z191-1,"")</f>
        <v/>
      </c>
      <c r="Z189" s="59" t="str">
        <f>IFERROR(Inv_SY!N191/Inv_SY!$Z191-1,"")</f>
        <v/>
      </c>
      <c r="AA189" s="59" t="str">
        <f>IFERROR(Inv_SY!O191/Inv_SY!$Z191-1,"")</f>
        <v/>
      </c>
      <c r="AB189" s="59" t="str">
        <f>IFERROR(Inv_SY!P191/Inv_SY!$Z191-1,"")</f>
        <v/>
      </c>
      <c r="AC189" s="59" t="str">
        <f>IFERROR(Inv_SY!Q191/Inv_SY!$Z191-1,"")</f>
        <v/>
      </c>
      <c r="AD189" s="59" t="str">
        <f>IFERROR(Inv_SY!R191/Inv_SY!$Z191-1,"")</f>
        <v/>
      </c>
      <c r="AE189" s="59" t="str">
        <f>IFERROR(Inv_SY!S191/Inv_SY!$Z191-1,"")</f>
        <v/>
      </c>
      <c r="AF189" s="59" t="str">
        <f>IFERROR(Inv_SY!T191/Inv_SY!$Z191-1,"")</f>
        <v/>
      </c>
      <c r="AG189" s="59" t="str">
        <f>IFERROR(Inv_SY!U191/Inv_SY!$Z191-1,"")</f>
        <v/>
      </c>
      <c r="AH189" s="59" t="str">
        <f>IFERROR(Inv_SY!V191/Inv_SY!$Y191-1,"")</f>
        <v/>
      </c>
      <c r="AI189" s="59" t="str">
        <f>IFERROR(Inv_SY!W191/Inv_SY!$Y191-1,"")</f>
        <v/>
      </c>
      <c r="AJ189" s="59" t="str">
        <f>IFERROR(Inv_SY!X191/Inv_SY!$Y191-1,"")</f>
        <v/>
      </c>
      <c r="AK189" s="59" t="str">
        <f>IFERROR(Inv_SY!V191/Inv_SY!$Z191-1,"")</f>
        <v/>
      </c>
      <c r="AL189" s="59" t="str">
        <f>IFERROR(Inv_SY!W191/Inv_SY!$Z191-1,"")</f>
        <v/>
      </c>
      <c r="AM189" s="59" t="str">
        <f>IFERROR(Inv_SY!X191/Inv_SY!$Z191-1,"")</f>
        <v/>
      </c>
    </row>
    <row r="190" spans="1:39" x14ac:dyDescent="0.3">
      <c r="A190" s="55">
        <f>YEAR(Table5[[#This Row],[Date]])+IF(MONTH(Table5[[#This Row],[Date]])&gt;=4,1,0)</f>
        <v>2026</v>
      </c>
      <c r="B190" s="55">
        <v>150</v>
      </c>
      <c r="C190" s="124">
        <f>YEAR(Table5[[#This Row],[Date]])</f>
        <v>2025</v>
      </c>
      <c r="D190" s="55" t="s">
        <v>329</v>
      </c>
      <c r="E190" s="55" t="s">
        <v>329</v>
      </c>
      <c r="F190" s="126" t="str">
        <f>TEXT(Table5[[#This Row],[Date]],"mmm-yy")</f>
        <v>Oct-25</v>
      </c>
      <c r="G190" s="124">
        <f t="shared" si="9"/>
        <v>31</v>
      </c>
      <c r="H190" s="125">
        <f t="shared" si="8"/>
        <v>45933</v>
      </c>
      <c r="I190" s="55">
        <v>8.02</v>
      </c>
      <c r="J190" s="59" t="str">
        <f>IFERROR(Inv_SY!J192/Inv_SY!$Y192-1,"")</f>
        <v/>
      </c>
      <c r="K190" s="59" t="str">
        <f>IFERROR(Inv_SY!K192/Inv_SY!$Y192-1,"")</f>
        <v/>
      </c>
      <c r="L190" s="59" t="str">
        <f>IFERROR(Inv_SY!L192/Inv_SY!$Y192-1,"")</f>
        <v/>
      </c>
      <c r="M190" s="59" t="str">
        <f>IFERROR(Inv_SY!M192/Inv_SY!$Y192-1,"")</f>
        <v/>
      </c>
      <c r="N190" s="59" t="str">
        <f>IFERROR(Inv_SY!N192/Inv_SY!$Y192-1,"")</f>
        <v/>
      </c>
      <c r="O190" s="59" t="str">
        <f>IFERROR(Inv_SY!O192/Inv_SY!$Y192-1,"")</f>
        <v/>
      </c>
      <c r="P190" s="59" t="str">
        <f>IFERROR(Inv_SY!P192/Inv_SY!$Y192-1,"")</f>
        <v/>
      </c>
      <c r="Q190" s="59" t="str">
        <f>IFERROR(Inv_SY!Q192/Inv_SY!$Y192-1,"")</f>
        <v/>
      </c>
      <c r="R190" s="59" t="str">
        <f>IFERROR(Inv_SY!R192/Inv_SY!$Y192-1,"")</f>
        <v/>
      </c>
      <c r="S190" s="59" t="str">
        <f>IFERROR(Inv_SY!S192/Inv_SY!$Y192-1,"")</f>
        <v/>
      </c>
      <c r="T190" s="59" t="str">
        <f>IFERROR(Inv_SY!T192/Inv_SY!$Y192-1,"")</f>
        <v/>
      </c>
      <c r="U190" s="59" t="str">
        <f>IFERROR(Inv_SY!U192/Inv_SY!$Y192-1,"")</f>
        <v/>
      </c>
      <c r="V190" s="59" t="str">
        <f>IFERROR(Inv_SY!J192/Inv_SY!$Z192-1,"")</f>
        <v/>
      </c>
      <c r="W190" s="59" t="str">
        <f>IFERROR(Inv_SY!K192/Inv_SY!$Z192-1,"")</f>
        <v/>
      </c>
      <c r="X190" s="59" t="str">
        <f>IFERROR(Inv_SY!L192/Inv_SY!$Z192-1,"")</f>
        <v/>
      </c>
      <c r="Y190" s="59" t="str">
        <f>IFERROR(Inv_SY!M192/Inv_SY!$Z192-1,"")</f>
        <v/>
      </c>
      <c r="Z190" s="59" t="str">
        <f>IFERROR(Inv_SY!N192/Inv_SY!$Z192-1,"")</f>
        <v/>
      </c>
      <c r="AA190" s="59" t="str">
        <f>IFERROR(Inv_SY!O192/Inv_SY!$Z192-1,"")</f>
        <v/>
      </c>
      <c r="AB190" s="59" t="str">
        <f>IFERROR(Inv_SY!P192/Inv_SY!$Z192-1,"")</f>
        <v/>
      </c>
      <c r="AC190" s="59" t="str">
        <f>IFERROR(Inv_SY!Q192/Inv_SY!$Z192-1,"")</f>
        <v/>
      </c>
      <c r="AD190" s="59" t="str">
        <f>IFERROR(Inv_SY!R192/Inv_SY!$Z192-1,"")</f>
        <v/>
      </c>
      <c r="AE190" s="59" t="str">
        <f>IFERROR(Inv_SY!S192/Inv_SY!$Z192-1,"")</f>
        <v/>
      </c>
      <c r="AF190" s="59" t="str">
        <f>IFERROR(Inv_SY!T192/Inv_SY!$Z192-1,"")</f>
        <v/>
      </c>
      <c r="AG190" s="59" t="str">
        <f>IFERROR(Inv_SY!U192/Inv_SY!$Z192-1,"")</f>
        <v/>
      </c>
      <c r="AH190" s="59" t="str">
        <f>IFERROR(Inv_SY!V192/Inv_SY!$Y192-1,"")</f>
        <v/>
      </c>
      <c r="AI190" s="59" t="str">
        <f>IFERROR(Inv_SY!W192/Inv_SY!$Y192-1,"")</f>
        <v/>
      </c>
      <c r="AJ190" s="59" t="str">
        <f>IFERROR(Inv_SY!X192/Inv_SY!$Y192-1,"")</f>
        <v/>
      </c>
      <c r="AK190" s="59" t="str">
        <f>IFERROR(Inv_SY!V192/Inv_SY!$Z192-1,"")</f>
        <v/>
      </c>
      <c r="AL190" s="59" t="str">
        <f>IFERROR(Inv_SY!W192/Inv_SY!$Z192-1,"")</f>
        <v/>
      </c>
      <c r="AM190" s="59" t="str">
        <f>IFERROR(Inv_SY!X192/Inv_SY!$Z192-1,"")</f>
        <v/>
      </c>
    </row>
    <row r="191" spans="1:39" x14ac:dyDescent="0.3">
      <c r="A191" s="55">
        <f>YEAR(Table5[[#This Row],[Date]])+IF(MONTH(Table5[[#This Row],[Date]])&gt;=4,1,0)</f>
        <v>2026</v>
      </c>
      <c r="B191" s="55">
        <v>151</v>
      </c>
      <c r="C191" s="124">
        <f>YEAR(Table5[[#This Row],[Date]])</f>
        <v>2025</v>
      </c>
      <c r="D191" s="55" t="s">
        <v>329</v>
      </c>
      <c r="E191" s="55" t="s">
        <v>329</v>
      </c>
      <c r="F191" s="126" t="str">
        <f>TEXT(Table5[[#This Row],[Date]],"mmm-yy")</f>
        <v>Oct-25</v>
      </c>
      <c r="G191" s="124">
        <f t="shared" si="9"/>
        <v>31</v>
      </c>
      <c r="H191" s="125">
        <f t="shared" si="8"/>
        <v>45934</v>
      </c>
      <c r="I191" s="55">
        <v>8.02</v>
      </c>
      <c r="J191" s="59" t="str">
        <f>IFERROR(Inv_SY!J193/Inv_SY!$Y193-1,"")</f>
        <v/>
      </c>
      <c r="K191" s="59" t="str">
        <f>IFERROR(Inv_SY!K193/Inv_SY!$Y193-1,"")</f>
        <v/>
      </c>
      <c r="L191" s="59" t="str">
        <f>IFERROR(Inv_SY!L193/Inv_SY!$Y193-1,"")</f>
        <v/>
      </c>
      <c r="M191" s="59" t="str">
        <f>IFERROR(Inv_SY!M193/Inv_SY!$Y193-1,"")</f>
        <v/>
      </c>
      <c r="N191" s="59" t="str">
        <f>IFERROR(Inv_SY!N193/Inv_SY!$Y193-1,"")</f>
        <v/>
      </c>
      <c r="O191" s="59" t="str">
        <f>IFERROR(Inv_SY!O193/Inv_SY!$Y193-1,"")</f>
        <v/>
      </c>
      <c r="P191" s="59" t="str">
        <f>IFERROR(Inv_SY!P193/Inv_SY!$Y193-1,"")</f>
        <v/>
      </c>
      <c r="Q191" s="59" t="str">
        <f>IFERROR(Inv_SY!Q193/Inv_SY!$Y193-1,"")</f>
        <v/>
      </c>
      <c r="R191" s="59" t="str">
        <f>IFERROR(Inv_SY!R193/Inv_SY!$Y193-1,"")</f>
        <v/>
      </c>
      <c r="S191" s="59" t="str">
        <f>IFERROR(Inv_SY!S193/Inv_SY!$Y193-1,"")</f>
        <v/>
      </c>
      <c r="T191" s="59" t="str">
        <f>IFERROR(Inv_SY!T193/Inv_SY!$Y193-1,"")</f>
        <v/>
      </c>
      <c r="U191" s="59" t="str">
        <f>IFERROR(Inv_SY!U193/Inv_SY!$Y193-1,"")</f>
        <v/>
      </c>
      <c r="V191" s="59" t="str">
        <f>IFERROR(Inv_SY!J193/Inv_SY!$Z193-1,"")</f>
        <v/>
      </c>
      <c r="W191" s="59" t="str">
        <f>IFERROR(Inv_SY!K193/Inv_SY!$Z193-1,"")</f>
        <v/>
      </c>
      <c r="X191" s="59" t="str">
        <f>IFERROR(Inv_SY!L193/Inv_SY!$Z193-1,"")</f>
        <v/>
      </c>
      <c r="Y191" s="59" t="str">
        <f>IFERROR(Inv_SY!M193/Inv_SY!$Z193-1,"")</f>
        <v/>
      </c>
      <c r="Z191" s="59" t="str">
        <f>IFERROR(Inv_SY!N193/Inv_SY!$Z193-1,"")</f>
        <v/>
      </c>
      <c r="AA191" s="59" t="str">
        <f>IFERROR(Inv_SY!O193/Inv_SY!$Z193-1,"")</f>
        <v/>
      </c>
      <c r="AB191" s="59" t="str">
        <f>IFERROR(Inv_SY!P193/Inv_SY!$Z193-1,"")</f>
        <v/>
      </c>
      <c r="AC191" s="59" t="str">
        <f>IFERROR(Inv_SY!Q193/Inv_SY!$Z193-1,"")</f>
        <v/>
      </c>
      <c r="AD191" s="59" t="str">
        <f>IFERROR(Inv_SY!R193/Inv_SY!$Z193-1,"")</f>
        <v/>
      </c>
      <c r="AE191" s="59" t="str">
        <f>IFERROR(Inv_SY!S193/Inv_SY!$Z193-1,"")</f>
        <v/>
      </c>
      <c r="AF191" s="59" t="str">
        <f>IFERROR(Inv_SY!T193/Inv_SY!$Z193-1,"")</f>
        <v/>
      </c>
      <c r="AG191" s="59" t="str">
        <f>IFERROR(Inv_SY!U193/Inv_SY!$Z193-1,"")</f>
        <v/>
      </c>
      <c r="AH191" s="59" t="str">
        <f>IFERROR(Inv_SY!V193/Inv_SY!$Y193-1,"")</f>
        <v/>
      </c>
      <c r="AI191" s="59" t="str">
        <f>IFERROR(Inv_SY!W193/Inv_SY!$Y193-1,"")</f>
        <v/>
      </c>
      <c r="AJ191" s="59" t="str">
        <f>IFERROR(Inv_SY!X193/Inv_SY!$Y193-1,"")</f>
        <v/>
      </c>
      <c r="AK191" s="59" t="str">
        <f>IFERROR(Inv_SY!V193/Inv_SY!$Z193-1,"")</f>
        <v/>
      </c>
      <c r="AL191" s="59" t="str">
        <f>IFERROR(Inv_SY!W193/Inv_SY!$Z193-1,"")</f>
        <v/>
      </c>
      <c r="AM191" s="59" t="str">
        <f>IFERROR(Inv_SY!X193/Inv_SY!$Z193-1,"")</f>
        <v/>
      </c>
    </row>
    <row r="192" spans="1:39" x14ac:dyDescent="0.3">
      <c r="A192" s="55">
        <f>YEAR(Table5[[#This Row],[Date]])+IF(MONTH(Table5[[#This Row],[Date]])&gt;=4,1,0)</f>
        <v>2026</v>
      </c>
      <c r="B192" s="55">
        <v>152</v>
      </c>
      <c r="C192" s="124">
        <f>YEAR(Table5[[#This Row],[Date]])</f>
        <v>2025</v>
      </c>
      <c r="D192" s="55" t="s">
        <v>329</v>
      </c>
      <c r="E192" s="55" t="s">
        <v>329</v>
      </c>
      <c r="F192" s="126" t="str">
        <f>TEXT(Table5[[#This Row],[Date]],"mmm-yy")</f>
        <v>Oct-25</v>
      </c>
      <c r="G192" s="124">
        <f t="shared" si="9"/>
        <v>31</v>
      </c>
      <c r="H192" s="125">
        <f t="shared" si="8"/>
        <v>45935</v>
      </c>
      <c r="I192" s="55">
        <v>8.02</v>
      </c>
      <c r="J192" s="59" t="str">
        <f>IFERROR(Inv_SY!J194/Inv_SY!$Y194-1,"")</f>
        <v/>
      </c>
      <c r="K192" s="59" t="str">
        <f>IFERROR(Inv_SY!K194/Inv_SY!$Y194-1,"")</f>
        <v/>
      </c>
      <c r="L192" s="59" t="str">
        <f>IFERROR(Inv_SY!L194/Inv_SY!$Y194-1,"")</f>
        <v/>
      </c>
      <c r="M192" s="59" t="str">
        <f>IFERROR(Inv_SY!M194/Inv_SY!$Y194-1,"")</f>
        <v/>
      </c>
      <c r="N192" s="59" t="str">
        <f>IFERROR(Inv_SY!N194/Inv_SY!$Y194-1,"")</f>
        <v/>
      </c>
      <c r="O192" s="59" t="str">
        <f>IFERROR(Inv_SY!O194/Inv_SY!$Y194-1,"")</f>
        <v/>
      </c>
      <c r="P192" s="59" t="str">
        <f>IFERROR(Inv_SY!P194/Inv_SY!$Y194-1,"")</f>
        <v/>
      </c>
      <c r="Q192" s="59" t="str">
        <f>IFERROR(Inv_SY!Q194/Inv_SY!$Y194-1,"")</f>
        <v/>
      </c>
      <c r="R192" s="59" t="str">
        <f>IFERROR(Inv_SY!R194/Inv_SY!$Y194-1,"")</f>
        <v/>
      </c>
      <c r="S192" s="59" t="str">
        <f>IFERROR(Inv_SY!S194/Inv_SY!$Y194-1,"")</f>
        <v/>
      </c>
      <c r="T192" s="59" t="str">
        <f>IFERROR(Inv_SY!T194/Inv_SY!$Y194-1,"")</f>
        <v/>
      </c>
      <c r="U192" s="59" t="str">
        <f>IFERROR(Inv_SY!U194/Inv_SY!$Y194-1,"")</f>
        <v/>
      </c>
      <c r="V192" s="59" t="str">
        <f>IFERROR(Inv_SY!J194/Inv_SY!$Z194-1,"")</f>
        <v/>
      </c>
      <c r="W192" s="59" t="str">
        <f>IFERROR(Inv_SY!K194/Inv_SY!$Z194-1,"")</f>
        <v/>
      </c>
      <c r="X192" s="59" t="str">
        <f>IFERROR(Inv_SY!L194/Inv_SY!$Z194-1,"")</f>
        <v/>
      </c>
      <c r="Y192" s="59" t="str">
        <f>IFERROR(Inv_SY!M194/Inv_SY!$Z194-1,"")</f>
        <v/>
      </c>
      <c r="Z192" s="59" t="str">
        <f>IFERROR(Inv_SY!N194/Inv_SY!$Z194-1,"")</f>
        <v/>
      </c>
      <c r="AA192" s="59" t="str">
        <f>IFERROR(Inv_SY!O194/Inv_SY!$Z194-1,"")</f>
        <v/>
      </c>
      <c r="AB192" s="59" t="str">
        <f>IFERROR(Inv_SY!P194/Inv_SY!$Z194-1,"")</f>
        <v/>
      </c>
      <c r="AC192" s="59" t="str">
        <f>IFERROR(Inv_SY!Q194/Inv_SY!$Z194-1,"")</f>
        <v/>
      </c>
      <c r="AD192" s="59" t="str">
        <f>IFERROR(Inv_SY!R194/Inv_SY!$Z194-1,"")</f>
        <v/>
      </c>
      <c r="AE192" s="59" t="str">
        <f>IFERROR(Inv_SY!S194/Inv_SY!$Z194-1,"")</f>
        <v/>
      </c>
      <c r="AF192" s="59" t="str">
        <f>IFERROR(Inv_SY!T194/Inv_SY!$Z194-1,"")</f>
        <v/>
      </c>
      <c r="AG192" s="59" t="str">
        <f>IFERROR(Inv_SY!U194/Inv_SY!$Z194-1,"")</f>
        <v/>
      </c>
      <c r="AH192" s="59" t="str">
        <f>IFERROR(Inv_SY!V194/Inv_SY!$Y194-1,"")</f>
        <v/>
      </c>
      <c r="AI192" s="59" t="str">
        <f>IFERROR(Inv_SY!W194/Inv_SY!$Y194-1,"")</f>
        <v/>
      </c>
      <c r="AJ192" s="59" t="str">
        <f>IFERROR(Inv_SY!X194/Inv_SY!$Y194-1,"")</f>
        <v/>
      </c>
      <c r="AK192" s="59" t="str">
        <f>IFERROR(Inv_SY!V194/Inv_SY!$Z194-1,"")</f>
        <v/>
      </c>
      <c r="AL192" s="59" t="str">
        <f>IFERROR(Inv_SY!W194/Inv_SY!$Z194-1,"")</f>
        <v/>
      </c>
      <c r="AM192" s="59" t="str">
        <f>IFERROR(Inv_SY!X194/Inv_SY!$Z194-1,"")</f>
        <v/>
      </c>
    </row>
    <row r="193" spans="1:39" x14ac:dyDescent="0.3">
      <c r="A193" s="55">
        <f>YEAR(Table5[[#This Row],[Date]])+IF(MONTH(Table5[[#This Row],[Date]])&gt;=4,1,0)</f>
        <v>2026</v>
      </c>
      <c r="B193" s="55">
        <v>153</v>
      </c>
      <c r="C193" s="124">
        <f>YEAR(Table5[[#This Row],[Date]])</f>
        <v>2025</v>
      </c>
      <c r="D193" s="55" t="s">
        <v>329</v>
      </c>
      <c r="E193" s="55" t="s">
        <v>329</v>
      </c>
      <c r="F193" s="126" t="str">
        <f>TEXT(Table5[[#This Row],[Date]],"mmm-yy")</f>
        <v>Oct-25</v>
      </c>
      <c r="G193" s="124">
        <f t="shared" si="9"/>
        <v>31</v>
      </c>
      <c r="H193" s="125">
        <f t="shared" si="8"/>
        <v>45936</v>
      </c>
      <c r="I193" s="55">
        <v>8.02</v>
      </c>
      <c r="J193" s="59" t="str">
        <f>IFERROR(Inv_SY!J195/Inv_SY!$Y195-1,"")</f>
        <v/>
      </c>
      <c r="K193" s="59" t="str">
        <f>IFERROR(Inv_SY!K195/Inv_SY!$Y195-1,"")</f>
        <v/>
      </c>
      <c r="L193" s="59" t="str">
        <f>IFERROR(Inv_SY!L195/Inv_SY!$Y195-1,"")</f>
        <v/>
      </c>
      <c r="M193" s="59" t="str">
        <f>IFERROR(Inv_SY!M195/Inv_SY!$Y195-1,"")</f>
        <v/>
      </c>
      <c r="N193" s="59" t="str">
        <f>IFERROR(Inv_SY!N195/Inv_SY!$Y195-1,"")</f>
        <v/>
      </c>
      <c r="O193" s="59" t="str">
        <f>IFERROR(Inv_SY!O195/Inv_SY!$Y195-1,"")</f>
        <v/>
      </c>
      <c r="P193" s="59" t="str">
        <f>IFERROR(Inv_SY!P195/Inv_SY!$Y195-1,"")</f>
        <v/>
      </c>
      <c r="Q193" s="59" t="str">
        <f>IFERROR(Inv_SY!Q195/Inv_SY!$Y195-1,"")</f>
        <v/>
      </c>
      <c r="R193" s="59" t="str">
        <f>IFERROR(Inv_SY!R195/Inv_SY!$Y195-1,"")</f>
        <v/>
      </c>
      <c r="S193" s="59" t="str">
        <f>IFERROR(Inv_SY!S195/Inv_SY!$Y195-1,"")</f>
        <v/>
      </c>
      <c r="T193" s="59" t="str">
        <f>IFERROR(Inv_SY!T195/Inv_SY!$Y195-1,"")</f>
        <v/>
      </c>
      <c r="U193" s="59" t="str">
        <f>IFERROR(Inv_SY!U195/Inv_SY!$Y195-1,"")</f>
        <v/>
      </c>
      <c r="V193" s="59" t="str">
        <f>IFERROR(Inv_SY!J195/Inv_SY!$Z195-1,"")</f>
        <v/>
      </c>
      <c r="W193" s="59" t="str">
        <f>IFERROR(Inv_SY!K195/Inv_SY!$Z195-1,"")</f>
        <v/>
      </c>
      <c r="X193" s="59" t="str">
        <f>IFERROR(Inv_SY!L195/Inv_SY!$Z195-1,"")</f>
        <v/>
      </c>
      <c r="Y193" s="59" t="str">
        <f>IFERROR(Inv_SY!M195/Inv_SY!$Z195-1,"")</f>
        <v/>
      </c>
      <c r="Z193" s="59" t="str">
        <f>IFERROR(Inv_SY!N195/Inv_SY!$Z195-1,"")</f>
        <v/>
      </c>
      <c r="AA193" s="59" t="str">
        <f>IFERROR(Inv_SY!O195/Inv_SY!$Z195-1,"")</f>
        <v/>
      </c>
      <c r="AB193" s="59" t="str">
        <f>IFERROR(Inv_SY!P195/Inv_SY!$Z195-1,"")</f>
        <v/>
      </c>
      <c r="AC193" s="59" t="str">
        <f>IFERROR(Inv_SY!Q195/Inv_SY!$Z195-1,"")</f>
        <v/>
      </c>
      <c r="AD193" s="59" t="str">
        <f>IFERROR(Inv_SY!R195/Inv_SY!$Z195-1,"")</f>
        <v/>
      </c>
      <c r="AE193" s="59" t="str">
        <f>IFERROR(Inv_SY!S195/Inv_SY!$Z195-1,"")</f>
        <v/>
      </c>
      <c r="AF193" s="59" t="str">
        <f>IFERROR(Inv_SY!T195/Inv_SY!$Z195-1,"")</f>
        <v/>
      </c>
      <c r="AG193" s="59" t="str">
        <f>IFERROR(Inv_SY!U195/Inv_SY!$Z195-1,"")</f>
        <v/>
      </c>
      <c r="AH193" s="59" t="str">
        <f>IFERROR(Inv_SY!V195/Inv_SY!$Y195-1,"")</f>
        <v/>
      </c>
      <c r="AI193" s="59" t="str">
        <f>IFERROR(Inv_SY!W195/Inv_SY!$Y195-1,"")</f>
        <v/>
      </c>
      <c r="AJ193" s="59" t="str">
        <f>IFERROR(Inv_SY!X195/Inv_SY!$Y195-1,"")</f>
        <v/>
      </c>
      <c r="AK193" s="59" t="str">
        <f>IFERROR(Inv_SY!V195/Inv_SY!$Z195-1,"")</f>
        <v/>
      </c>
      <c r="AL193" s="59" t="str">
        <f>IFERROR(Inv_SY!W195/Inv_SY!$Z195-1,"")</f>
        <v/>
      </c>
      <c r="AM193" s="59" t="str">
        <f>IFERROR(Inv_SY!X195/Inv_SY!$Z195-1,"")</f>
        <v/>
      </c>
    </row>
    <row r="194" spans="1:39" x14ac:dyDescent="0.3">
      <c r="A194" s="55">
        <f>YEAR(Table5[[#This Row],[Date]])+IF(MONTH(Table5[[#This Row],[Date]])&gt;=4,1,0)</f>
        <v>2026</v>
      </c>
      <c r="B194" s="55">
        <v>154</v>
      </c>
      <c r="C194" s="124">
        <f>YEAR(Table5[[#This Row],[Date]])</f>
        <v>2025</v>
      </c>
      <c r="D194" s="55" t="s">
        <v>329</v>
      </c>
      <c r="E194" s="55" t="s">
        <v>329</v>
      </c>
      <c r="F194" s="126" t="str">
        <f>TEXT(Table5[[#This Row],[Date]],"mmm-yy")</f>
        <v>Oct-25</v>
      </c>
      <c r="G194" s="124">
        <f t="shared" si="9"/>
        <v>31</v>
      </c>
      <c r="H194" s="125">
        <f t="shared" si="8"/>
        <v>45937</v>
      </c>
      <c r="I194" s="55">
        <v>8.02</v>
      </c>
      <c r="J194" s="59" t="str">
        <f>IFERROR(Inv_SY!J196/Inv_SY!$Y196-1,"")</f>
        <v/>
      </c>
      <c r="K194" s="59" t="str">
        <f>IFERROR(Inv_SY!K196/Inv_SY!$Y196-1,"")</f>
        <v/>
      </c>
      <c r="L194" s="59" t="str">
        <f>IFERROR(Inv_SY!L196/Inv_SY!$Y196-1,"")</f>
        <v/>
      </c>
      <c r="M194" s="59" t="str">
        <f>IFERROR(Inv_SY!M196/Inv_SY!$Y196-1,"")</f>
        <v/>
      </c>
      <c r="N194" s="59" t="str">
        <f>IFERROR(Inv_SY!N196/Inv_SY!$Y196-1,"")</f>
        <v/>
      </c>
      <c r="O194" s="59" t="str">
        <f>IFERROR(Inv_SY!O196/Inv_SY!$Y196-1,"")</f>
        <v/>
      </c>
      <c r="P194" s="59" t="str">
        <f>IFERROR(Inv_SY!P196/Inv_SY!$Y196-1,"")</f>
        <v/>
      </c>
      <c r="Q194" s="59" t="str">
        <f>IFERROR(Inv_SY!Q196/Inv_SY!$Y196-1,"")</f>
        <v/>
      </c>
      <c r="R194" s="59" t="str">
        <f>IFERROR(Inv_SY!R196/Inv_SY!$Y196-1,"")</f>
        <v/>
      </c>
      <c r="S194" s="59" t="str">
        <f>IFERROR(Inv_SY!S196/Inv_SY!$Y196-1,"")</f>
        <v/>
      </c>
      <c r="T194" s="59" t="str">
        <f>IFERROR(Inv_SY!T196/Inv_SY!$Y196-1,"")</f>
        <v/>
      </c>
      <c r="U194" s="59" t="str">
        <f>IFERROR(Inv_SY!U196/Inv_SY!$Y196-1,"")</f>
        <v/>
      </c>
      <c r="V194" s="59" t="str">
        <f>IFERROR(Inv_SY!J196/Inv_SY!$Z196-1,"")</f>
        <v/>
      </c>
      <c r="W194" s="59" t="str">
        <f>IFERROR(Inv_SY!K196/Inv_SY!$Z196-1,"")</f>
        <v/>
      </c>
      <c r="X194" s="59" t="str">
        <f>IFERROR(Inv_SY!L196/Inv_SY!$Z196-1,"")</f>
        <v/>
      </c>
      <c r="Y194" s="59" t="str">
        <f>IFERROR(Inv_SY!M196/Inv_SY!$Z196-1,"")</f>
        <v/>
      </c>
      <c r="Z194" s="59" t="str">
        <f>IFERROR(Inv_SY!N196/Inv_SY!$Z196-1,"")</f>
        <v/>
      </c>
      <c r="AA194" s="59" t="str">
        <f>IFERROR(Inv_SY!O196/Inv_SY!$Z196-1,"")</f>
        <v/>
      </c>
      <c r="AB194" s="59" t="str">
        <f>IFERROR(Inv_SY!P196/Inv_SY!$Z196-1,"")</f>
        <v/>
      </c>
      <c r="AC194" s="59" t="str">
        <f>IFERROR(Inv_SY!Q196/Inv_SY!$Z196-1,"")</f>
        <v/>
      </c>
      <c r="AD194" s="59" t="str">
        <f>IFERROR(Inv_SY!R196/Inv_SY!$Z196-1,"")</f>
        <v/>
      </c>
      <c r="AE194" s="59" t="str">
        <f>IFERROR(Inv_SY!S196/Inv_SY!$Z196-1,"")</f>
        <v/>
      </c>
      <c r="AF194" s="59" t="str">
        <f>IFERROR(Inv_SY!T196/Inv_SY!$Z196-1,"")</f>
        <v/>
      </c>
      <c r="AG194" s="59" t="str">
        <f>IFERROR(Inv_SY!U196/Inv_SY!$Z196-1,"")</f>
        <v/>
      </c>
      <c r="AH194" s="59" t="str">
        <f>IFERROR(Inv_SY!V196/Inv_SY!$Y196-1,"")</f>
        <v/>
      </c>
      <c r="AI194" s="59" t="str">
        <f>IFERROR(Inv_SY!W196/Inv_SY!$Y196-1,"")</f>
        <v/>
      </c>
      <c r="AJ194" s="59" t="str">
        <f>IFERROR(Inv_SY!X196/Inv_SY!$Y196-1,"")</f>
        <v/>
      </c>
      <c r="AK194" s="59" t="str">
        <f>IFERROR(Inv_SY!V196/Inv_SY!$Z196-1,"")</f>
        <v/>
      </c>
      <c r="AL194" s="59" t="str">
        <f>IFERROR(Inv_SY!W196/Inv_SY!$Z196-1,"")</f>
        <v/>
      </c>
      <c r="AM194" s="59" t="str">
        <f>IFERROR(Inv_SY!X196/Inv_SY!$Z196-1,"")</f>
        <v/>
      </c>
    </row>
    <row r="195" spans="1:39" x14ac:dyDescent="0.3">
      <c r="A195" s="55">
        <f>YEAR(Table5[[#This Row],[Date]])+IF(MONTH(Table5[[#This Row],[Date]])&gt;=4,1,0)</f>
        <v>2026</v>
      </c>
      <c r="B195" s="55">
        <v>155</v>
      </c>
      <c r="C195" s="124">
        <f>YEAR(Table5[[#This Row],[Date]])</f>
        <v>2025</v>
      </c>
      <c r="D195" s="55" t="s">
        <v>329</v>
      </c>
      <c r="E195" s="55" t="s">
        <v>329</v>
      </c>
      <c r="F195" s="126" t="str">
        <f>TEXT(Table5[[#This Row],[Date]],"mmm-yy")</f>
        <v>Oct-25</v>
      </c>
      <c r="G195" s="124">
        <f t="shared" si="9"/>
        <v>31</v>
      </c>
      <c r="H195" s="125">
        <f t="shared" si="8"/>
        <v>45938</v>
      </c>
      <c r="I195" s="55">
        <v>8.02</v>
      </c>
      <c r="J195" s="59" t="str">
        <f>IFERROR(Inv_SY!J197/Inv_SY!$Y197-1,"")</f>
        <v/>
      </c>
      <c r="K195" s="59" t="str">
        <f>IFERROR(Inv_SY!K197/Inv_SY!$Y197-1,"")</f>
        <v/>
      </c>
      <c r="L195" s="59" t="str">
        <f>IFERROR(Inv_SY!L197/Inv_SY!$Y197-1,"")</f>
        <v/>
      </c>
      <c r="M195" s="59" t="str">
        <f>IFERROR(Inv_SY!M197/Inv_SY!$Y197-1,"")</f>
        <v/>
      </c>
      <c r="N195" s="59" t="str">
        <f>IFERROR(Inv_SY!N197/Inv_SY!$Y197-1,"")</f>
        <v/>
      </c>
      <c r="O195" s="59" t="str">
        <f>IFERROR(Inv_SY!O197/Inv_SY!$Y197-1,"")</f>
        <v/>
      </c>
      <c r="P195" s="59" t="str">
        <f>IFERROR(Inv_SY!P197/Inv_SY!$Y197-1,"")</f>
        <v/>
      </c>
      <c r="Q195" s="59" t="str">
        <f>IFERROR(Inv_SY!Q197/Inv_SY!$Y197-1,"")</f>
        <v/>
      </c>
      <c r="R195" s="59" t="str">
        <f>IFERROR(Inv_SY!R197/Inv_SY!$Y197-1,"")</f>
        <v/>
      </c>
      <c r="S195" s="59" t="str">
        <f>IFERROR(Inv_SY!S197/Inv_SY!$Y197-1,"")</f>
        <v/>
      </c>
      <c r="T195" s="59" t="str">
        <f>IFERROR(Inv_SY!T197/Inv_SY!$Y197-1,"")</f>
        <v/>
      </c>
      <c r="U195" s="59" t="str">
        <f>IFERROR(Inv_SY!U197/Inv_SY!$Y197-1,"")</f>
        <v/>
      </c>
      <c r="V195" s="59" t="str">
        <f>IFERROR(Inv_SY!J197/Inv_SY!$Z197-1,"")</f>
        <v/>
      </c>
      <c r="W195" s="59" t="str">
        <f>IFERROR(Inv_SY!K197/Inv_SY!$Z197-1,"")</f>
        <v/>
      </c>
      <c r="X195" s="59" t="str">
        <f>IFERROR(Inv_SY!L197/Inv_SY!$Z197-1,"")</f>
        <v/>
      </c>
      <c r="Y195" s="59" t="str">
        <f>IFERROR(Inv_SY!M197/Inv_SY!$Z197-1,"")</f>
        <v/>
      </c>
      <c r="Z195" s="59" t="str">
        <f>IFERROR(Inv_SY!N197/Inv_SY!$Z197-1,"")</f>
        <v/>
      </c>
      <c r="AA195" s="59" t="str">
        <f>IFERROR(Inv_SY!O197/Inv_SY!$Z197-1,"")</f>
        <v/>
      </c>
      <c r="AB195" s="59" t="str">
        <f>IFERROR(Inv_SY!P197/Inv_SY!$Z197-1,"")</f>
        <v/>
      </c>
      <c r="AC195" s="59" t="str">
        <f>IFERROR(Inv_SY!Q197/Inv_SY!$Z197-1,"")</f>
        <v/>
      </c>
      <c r="AD195" s="59" t="str">
        <f>IFERROR(Inv_SY!R197/Inv_SY!$Z197-1,"")</f>
        <v/>
      </c>
      <c r="AE195" s="59" t="str">
        <f>IFERROR(Inv_SY!S197/Inv_SY!$Z197-1,"")</f>
        <v/>
      </c>
      <c r="AF195" s="59" t="str">
        <f>IFERROR(Inv_SY!T197/Inv_SY!$Z197-1,"")</f>
        <v/>
      </c>
      <c r="AG195" s="59" t="str">
        <f>IFERROR(Inv_SY!U197/Inv_SY!$Z197-1,"")</f>
        <v/>
      </c>
      <c r="AH195" s="59" t="str">
        <f>IFERROR(Inv_SY!V197/Inv_SY!$Y197-1,"")</f>
        <v/>
      </c>
      <c r="AI195" s="59" t="str">
        <f>IFERROR(Inv_SY!W197/Inv_SY!$Y197-1,"")</f>
        <v/>
      </c>
      <c r="AJ195" s="59" t="str">
        <f>IFERROR(Inv_SY!X197/Inv_SY!$Y197-1,"")</f>
        <v/>
      </c>
      <c r="AK195" s="59" t="str">
        <f>IFERROR(Inv_SY!V197/Inv_SY!$Z197-1,"")</f>
        <v/>
      </c>
      <c r="AL195" s="59" t="str">
        <f>IFERROR(Inv_SY!W197/Inv_SY!$Z197-1,"")</f>
        <v/>
      </c>
      <c r="AM195" s="59" t="str">
        <f>IFERROR(Inv_SY!X197/Inv_SY!$Z197-1,"")</f>
        <v/>
      </c>
    </row>
    <row r="196" spans="1:39" x14ac:dyDescent="0.3">
      <c r="A196" s="55">
        <f>YEAR(Table5[[#This Row],[Date]])+IF(MONTH(Table5[[#This Row],[Date]])&gt;=4,1,0)</f>
        <v>2026</v>
      </c>
      <c r="B196" s="55">
        <v>156</v>
      </c>
      <c r="C196" s="124">
        <f>YEAR(Table5[[#This Row],[Date]])</f>
        <v>2025</v>
      </c>
      <c r="D196" s="55" t="s">
        <v>329</v>
      </c>
      <c r="E196" s="55" t="s">
        <v>329</v>
      </c>
      <c r="F196" s="126" t="str">
        <f>TEXT(Table5[[#This Row],[Date]],"mmm-yy")</f>
        <v>Oct-25</v>
      </c>
      <c r="G196" s="124">
        <f t="shared" si="9"/>
        <v>31</v>
      </c>
      <c r="H196" s="125">
        <f t="shared" si="8"/>
        <v>45939</v>
      </c>
      <c r="I196" s="55">
        <v>8.02</v>
      </c>
      <c r="J196" s="59" t="str">
        <f>IFERROR(Inv_SY!J198/Inv_SY!$Y198-1,"")</f>
        <v/>
      </c>
      <c r="K196" s="59" t="str">
        <f>IFERROR(Inv_SY!K198/Inv_SY!$Y198-1,"")</f>
        <v/>
      </c>
      <c r="L196" s="59" t="str">
        <f>IFERROR(Inv_SY!L198/Inv_SY!$Y198-1,"")</f>
        <v/>
      </c>
      <c r="M196" s="59" t="str">
        <f>IFERROR(Inv_SY!M198/Inv_SY!$Y198-1,"")</f>
        <v/>
      </c>
      <c r="N196" s="59" t="str">
        <f>IFERROR(Inv_SY!N198/Inv_SY!$Y198-1,"")</f>
        <v/>
      </c>
      <c r="O196" s="59" t="str">
        <f>IFERROR(Inv_SY!O198/Inv_SY!$Y198-1,"")</f>
        <v/>
      </c>
      <c r="P196" s="59" t="str">
        <f>IFERROR(Inv_SY!P198/Inv_SY!$Y198-1,"")</f>
        <v/>
      </c>
      <c r="Q196" s="59" t="str">
        <f>IFERROR(Inv_SY!Q198/Inv_SY!$Y198-1,"")</f>
        <v/>
      </c>
      <c r="R196" s="59" t="str">
        <f>IFERROR(Inv_SY!R198/Inv_SY!$Y198-1,"")</f>
        <v/>
      </c>
      <c r="S196" s="59" t="str">
        <f>IFERROR(Inv_SY!S198/Inv_SY!$Y198-1,"")</f>
        <v/>
      </c>
      <c r="T196" s="59" t="str">
        <f>IFERROR(Inv_SY!T198/Inv_SY!$Y198-1,"")</f>
        <v/>
      </c>
      <c r="U196" s="59" t="str">
        <f>IFERROR(Inv_SY!U198/Inv_SY!$Y198-1,"")</f>
        <v/>
      </c>
      <c r="V196" s="59" t="str">
        <f>IFERROR(Inv_SY!J198/Inv_SY!$Z198-1,"")</f>
        <v/>
      </c>
      <c r="W196" s="59" t="str">
        <f>IFERROR(Inv_SY!K198/Inv_SY!$Z198-1,"")</f>
        <v/>
      </c>
      <c r="X196" s="59" t="str">
        <f>IFERROR(Inv_SY!L198/Inv_SY!$Z198-1,"")</f>
        <v/>
      </c>
      <c r="Y196" s="59" t="str">
        <f>IFERROR(Inv_SY!M198/Inv_SY!$Z198-1,"")</f>
        <v/>
      </c>
      <c r="Z196" s="59" t="str">
        <f>IFERROR(Inv_SY!N198/Inv_SY!$Z198-1,"")</f>
        <v/>
      </c>
      <c r="AA196" s="59" t="str">
        <f>IFERROR(Inv_SY!O198/Inv_SY!$Z198-1,"")</f>
        <v/>
      </c>
      <c r="AB196" s="59" t="str">
        <f>IFERROR(Inv_SY!P198/Inv_SY!$Z198-1,"")</f>
        <v/>
      </c>
      <c r="AC196" s="59" t="str">
        <f>IFERROR(Inv_SY!Q198/Inv_SY!$Z198-1,"")</f>
        <v/>
      </c>
      <c r="AD196" s="59" t="str">
        <f>IFERROR(Inv_SY!R198/Inv_SY!$Z198-1,"")</f>
        <v/>
      </c>
      <c r="AE196" s="59" t="str">
        <f>IFERROR(Inv_SY!S198/Inv_SY!$Z198-1,"")</f>
        <v/>
      </c>
      <c r="AF196" s="59" t="str">
        <f>IFERROR(Inv_SY!T198/Inv_SY!$Z198-1,"")</f>
        <v/>
      </c>
      <c r="AG196" s="59" t="str">
        <f>IFERROR(Inv_SY!U198/Inv_SY!$Z198-1,"")</f>
        <v/>
      </c>
      <c r="AH196" s="59" t="str">
        <f>IFERROR(Inv_SY!V198/Inv_SY!$Y198-1,"")</f>
        <v/>
      </c>
      <c r="AI196" s="59" t="str">
        <f>IFERROR(Inv_SY!W198/Inv_SY!$Y198-1,"")</f>
        <v/>
      </c>
      <c r="AJ196" s="59" t="str">
        <f>IFERROR(Inv_SY!X198/Inv_SY!$Y198-1,"")</f>
        <v/>
      </c>
      <c r="AK196" s="59" t="str">
        <f>IFERROR(Inv_SY!V198/Inv_SY!$Z198-1,"")</f>
        <v/>
      </c>
      <c r="AL196" s="59" t="str">
        <f>IFERROR(Inv_SY!W198/Inv_SY!$Z198-1,"")</f>
        <v/>
      </c>
      <c r="AM196" s="59" t="str">
        <f>IFERROR(Inv_SY!X198/Inv_SY!$Z198-1,"")</f>
        <v/>
      </c>
    </row>
    <row r="197" spans="1:39" x14ac:dyDescent="0.3">
      <c r="A197" s="55">
        <f>YEAR(Table5[[#This Row],[Date]])+IF(MONTH(Table5[[#This Row],[Date]])&gt;=4,1,0)</f>
        <v>2026</v>
      </c>
      <c r="B197" s="55">
        <v>157</v>
      </c>
      <c r="C197" s="124">
        <f>YEAR(Table5[[#This Row],[Date]])</f>
        <v>2025</v>
      </c>
      <c r="D197" s="55" t="s">
        <v>329</v>
      </c>
      <c r="E197" s="55" t="s">
        <v>329</v>
      </c>
      <c r="F197" s="126" t="str">
        <f>TEXT(Table5[[#This Row],[Date]],"mmm-yy")</f>
        <v>Oct-25</v>
      </c>
      <c r="G197" s="124">
        <f t="shared" si="9"/>
        <v>31</v>
      </c>
      <c r="H197" s="125">
        <f t="shared" ref="H197:H260" si="10">H196+1</f>
        <v>45940</v>
      </c>
      <c r="I197" s="55">
        <v>8.02</v>
      </c>
      <c r="J197" s="59" t="str">
        <f>IFERROR(Inv_SY!J199/Inv_SY!$Y199-1,"")</f>
        <v/>
      </c>
      <c r="K197" s="59" t="str">
        <f>IFERROR(Inv_SY!K199/Inv_SY!$Y199-1,"")</f>
        <v/>
      </c>
      <c r="L197" s="59" t="str">
        <f>IFERROR(Inv_SY!L199/Inv_SY!$Y199-1,"")</f>
        <v/>
      </c>
      <c r="M197" s="59" t="str">
        <f>IFERROR(Inv_SY!M199/Inv_SY!$Y199-1,"")</f>
        <v/>
      </c>
      <c r="N197" s="59" t="str">
        <f>IFERROR(Inv_SY!N199/Inv_SY!$Y199-1,"")</f>
        <v/>
      </c>
      <c r="O197" s="59" t="str">
        <f>IFERROR(Inv_SY!O199/Inv_SY!$Y199-1,"")</f>
        <v/>
      </c>
      <c r="P197" s="59" t="str">
        <f>IFERROR(Inv_SY!P199/Inv_SY!$Y199-1,"")</f>
        <v/>
      </c>
      <c r="Q197" s="59" t="str">
        <f>IFERROR(Inv_SY!Q199/Inv_SY!$Y199-1,"")</f>
        <v/>
      </c>
      <c r="R197" s="59" t="str">
        <f>IFERROR(Inv_SY!R199/Inv_SY!$Y199-1,"")</f>
        <v/>
      </c>
      <c r="S197" s="59" t="str">
        <f>IFERROR(Inv_SY!S199/Inv_SY!$Y199-1,"")</f>
        <v/>
      </c>
      <c r="T197" s="59" t="str">
        <f>IFERROR(Inv_SY!T199/Inv_SY!$Y199-1,"")</f>
        <v/>
      </c>
      <c r="U197" s="59" t="str">
        <f>IFERROR(Inv_SY!U199/Inv_SY!$Y199-1,"")</f>
        <v/>
      </c>
      <c r="V197" s="59" t="str">
        <f>IFERROR(Inv_SY!J199/Inv_SY!$Z199-1,"")</f>
        <v/>
      </c>
      <c r="W197" s="59" t="str">
        <f>IFERROR(Inv_SY!K199/Inv_SY!$Z199-1,"")</f>
        <v/>
      </c>
      <c r="X197" s="59" t="str">
        <f>IFERROR(Inv_SY!L199/Inv_SY!$Z199-1,"")</f>
        <v/>
      </c>
      <c r="Y197" s="59" t="str">
        <f>IFERROR(Inv_SY!M199/Inv_SY!$Z199-1,"")</f>
        <v/>
      </c>
      <c r="Z197" s="59" t="str">
        <f>IFERROR(Inv_SY!N199/Inv_SY!$Z199-1,"")</f>
        <v/>
      </c>
      <c r="AA197" s="59" t="str">
        <f>IFERROR(Inv_SY!O199/Inv_SY!$Z199-1,"")</f>
        <v/>
      </c>
      <c r="AB197" s="59" t="str">
        <f>IFERROR(Inv_SY!P199/Inv_SY!$Z199-1,"")</f>
        <v/>
      </c>
      <c r="AC197" s="59" t="str">
        <f>IFERROR(Inv_SY!Q199/Inv_SY!$Z199-1,"")</f>
        <v/>
      </c>
      <c r="AD197" s="59" t="str">
        <f>IFERROR(Inv_SY!R199/Inv_SY!$Z199-1,"")</f>
        <v/>
      </c>
      <c r="AE197" s="59" t="str">
        <f>IFERROR(Inv_SY!S199/Inv_SY!$Z199-1,"")</f>
        <v/>
      </c>
      <c r="AF197" s="59" t="str">
        <f>IFERROR(Inv_SY!T199/Inv_SY!$Z199-1,"")</f>
        <v/>
      </c>
      <c r="AG197" s="59" t="str">
        <f>IFERROR(Inv_SY!U199/Inv_SY!$Z199-1,"")</f>
        <v/>
      </c>
      <c r="AH197" s="59" t="str">
        <f>IFERROR(Inv_SY!V199/Inv_SY!$Y199-1,"")</f>
        <v/>
      </c>
      <c r="AI197" s="59" t="str">
        <f>IFERROR(Inv_SY!W199/Inv_SY!$Y199-1,"")</f>
        <v/>
      </c>
      <c r="AJ197" s="59" t="str">
        <f>IFERROR(Inv_SY!X199/Inv_SY!$Y199-1,"")</f>
        <v/>
      </c>
      <c r="AK197" s="59" t="str">
        <f>IFERROR(Inv_SY!V199/Inv_SY!$Z199-1,"")</f>
        <v/>
      </c>
      <c r="AL197" s="59" t="str">
        <f>IFERROR(Inv_SY!W199/Inv_SY!$Z199-1,"")</f>
        <v/>
      </c>
      <c r="AM197" s="59" t="str">
        <f>IFERROR(Inv_SY!X199/Inv_SY!$Z199-1,"")</f>
        <v/>
      </c>
    </row>
    <row r="198" spans="1:39" x14ac:dyDescent="0.3">
      <c r="A198" s="55">
        <f>YEAR(Table5[[#This Row],[Date]])+IF(MONTH(Table5[[#This Row],[Date]])&gt;=4,1,0)</f>
        <v>2026</v>
      </c>
      <c r="B198" s="55">
        <v>158</v>
      </c>
      <c r="C198" s="124">
        <f>YEAR(Table5[[#This Row],[Date]])</f>
        <v>2025</v>
      </c>
      <c r="D198" s="55" t="s">
        <v>329</v>
      </c>
      <c r="E198" s="55" t="s">
        <v>329</v>
      </c>
      <c r="F198" s="126" t="str">
        <f>TEXT(Table5[[#This Row],[Date]],"mmm-yy")</f>
        <v>Oct-25</v>
      </c>
      <c r="G198" s="124">
        <f t="shared" si="9"/>
        <v>31</v>
      </c>
      <c r="H198" s="125">
        <f t="shared" si="10"/>
        <v>45941</v>
      </c>
      <c r="I198" s="55">
        <v>8.02</v>
      </c>
      <c r="J198" s="59" t="str">
        <f>IFERROR(Inv_SY!J200/Inv_SY!$Y200-1,"")</f>
        <v/>
      </c>
      <c r="K198" s="59" t="str">
        <f>IFERROR(Inv_SY!K200/Inv_SY!$Y200-1,"")</f>
        <v/>
      </c>
      <c r="L198" s="59" t="str">
        <f>IFERROR(Inv_SY!L200/Inv_SY!$Y200-1,"")</f>
        <v/>
      </c>
      <c r="M198" s="59" t="str">
        <f>IFERROR(Inv_SY!M200/Inv_SY!$Y200-1,"")</f>
        <v/>
      </c>
      <c r="N198" s="59" t="str">
        <f>IFERROR(Inv_SY!N200/Inv_SY!$Y200-1,"")</f>
        <v/>
      </c>
      <c r="O198" s="59" t="str">
        <f>IFERROR(Inv_SY!O200/Inv_SY!$Y200-1,"")</f>
        <v/>
      </c>
      <c r="P198" s="59" t="str">
        <f>IFERROR(Inv_SY!P200/Inv_SY!$Y200-1,"")</f>
        <v/>
      </c>
      <c r="Q198" s="59" t="str">
        <f>IFERROR(Inv_SY!Q200/Inv_SY!$Y200-1,"")</f>
        <v/>
      </c>
      <c r="R198" s="59" t="str">
        <f>IFERROR(Inv_SY!R200/Inv_SY!$Y200-1,"")</f>
        <v/>
      </c>
      <c r="S198" s="59" t="str">
        <f>IFERROR(Inv_SY!S200/Inv_SY!$Y200-1,"")</f>
        <v/>
      </c>
      <c r="T198" s="59" t="str">
        <f>IFERROR(Inv_SY!T200/Inv_SY!$Y200-1,"")</f>
        <v/>
      </c>
      <c r="U198" s="59" t="str">
        <f>IFERROR(Inv_SY!U200/Inv_SY!$Y200-1,"")</f>
        <v/>
      </c>
      <c r="V198" s="59" t="str">
        <f>IFERROR(Inv_SY!J200/Inv_SY!$Z200-1,"")</f>
        <v/>
      </c>
      <c r="W198" s="59" t="str">
        <f>IFERROR(Inv_SY!K200/Inv_SY!$Z200-1,"")</f>
        <v/>
      </c>
      <c r="X198" s="59" t="str">
        <f>IFERROR(Inv_SY!L200/Inv_SY!$Z200-1,"")</f>
        <v/>
      </c>
      <c r="Y198" s="59" t="str">
        <f>IFERROR(Inv_SY!M200/Inv_SY!$Z200-1,"")</f>
        <v/>
      </c>
      <c r="Z198" s="59" t="str">
        <f>IFERROR(Inv_SY!N200/Inv_SY!$Z200-1,"")</f>
        <v/>
      </c>
      <c r="AA198" s="59" t="str">
        <f>IFERROR(Inv_SY!O200/Inv_SY!$Z200-1,"")</f>
        <v/>
      </c>
      <c r="AB198" s="59" t="str">
        <f>IFERROR(Inv_SY!P200/Inv_SY!$Z200-1,"")</f>
        <v/>
      </c>
      <c r="AC198" s="59" t="str">
        <f>IFERROR(Inv_SY!Q200/Inv_SY!$Z200-1,"")</f>
        <v/>
      </c>
      <c r="AD198" s="59" t="str">
        <f>IFERROR(Inv_SY!R200/Inv_SY!$Z200-1,"")</f>
        <v/>
      </c>
      <c r="AE198" s="59" t="str">
        <f>IFERROR(Inv_SY!S200/Inv_SY!$Z200-1,"")</f>
        <v/>
      </c>
      <c r="AF198" s="59" t="str">
        <f>IFERROR(Inv_SY!T200/Inv_SY!$Z200-1,"")</f>
        <v/>
      </c>
      <c r="AG198" s="59" t="str">
        <f>IFERROR(Inv_SY!U200/Inv_SY!$Z200-1,"")</f>
        <v/>
      </c>
      <c r="AH198" s="59" t="str">
        <f>IFERROR(Inv_SY!V200/Inv_SY!$Y200-1,"")</f>
        <v/>
      </c>
      <c r="AI198" s="59" t="str">
        <f>IFERROR(Inv_SY!W200/Inv_SY!$Y200-1,"")</f>
        <v/>
      </c>
      <c r="AJ198" s="59" t="str">
        <f>IFERROR(Inv_SY!X200/Inv_SY!$Y200-1,"")</f>
        <v/>
      </c>
      <c r="AK198" s="59" t="str">
        <f>IFERROR(Inv_SY!V200/Inv_SY!$Z200-1,"")</f>
        <v/>
      </c>
      <c r="AL198" s="59" t="str">
        <f>IFERROR(Inv_SY!W200/Inv_SY!$Z200-1,"")</f>
        <v/>
      </c>
      <c r="AM198" s="59" t="str">
        <f>IFERROR(Inv_SY!X200/Inv_SY!$Z200-1,"")</f>
        <v/>
      </c>
    </row>
    <row r="199" spans="1:39" x14ac:dyDescent="0.3">
      <c r="A199" s="55">
        <f>YEAR(Table5[[#This Row],[Date]])+IF(MONTH(Table5[[#This Row],[Date]])&gt;=4,1,0)</f>
        <v>2026</v>
      </c>
      <c r="B199" s="55">
        <v>159</v>
      </c>
      <c r="C199" s="124">
        <f>YEAR(Table5[[#This Row],[Date]])</f>
        <v>2025</v>
      </c>
      <c r="D199" s="55" t="s">
        <v>329</v>
      </c>
      <c r="E199" s="55" t="s">
        <v>329</v>
      </c>
      <c r="F199" s="126" t="str">
        <f>TEXT(Table5[[#This Row],[Date]],"mmm-yy")</f>
        <v>Oct-25</v>
      </c>
      <c r="G199" s="124">
        <f t="shared" si="9"/>
        <v>31</v>
      </c>
      <c r="H199" s="125">
        <f t="shared" si="10"/>
        <v>45942</v>
      </c>
      <c r="I199" s="55">
        <v>8.02</v>
      </c>
      <c r="J199" s="59" t="str">
        <f>IFERROR(Inv_SY!J201/Inv_SY!$Y201-1,"")</f>
        <v/>
      </c>
      <c r="K199" s="59" t="str">
        <f>IFERROR(Inv_SY!K201/Inv_SY!$Y201-1,"")</f>
        <v/>
      </c>
      <c r="L199" s="59" t="str">
        <f>IFERROR(Inv_SY!L201/Inv_SY!$Y201-1,"")</f>
        <v/>
      </c>
      <c r="M199" s="59" t="str">
        <f>IFERROR(Inv_SY!M201/Inv_SY!$Y201-1,"")</f>
        <v/>
      </c>
      <c r="N199" s="59" t="str">
        <f>IFERROR(Inv_SY!N201/Inv_SY!$Y201-1,"")</f>
        <v/>
      </c>
      <c r="O199" s="59" t="str">
        <f>IFERROR(Inv_SY!O201/Inv_SY!$Y201-1,"")</f>
        <v/>
      </c>
      <c r="P199" s="59" t="str">
        <f>IFERROR(Inv_SY!P201/Inv_SY!$Y201-1,"")</f>
        <v/>
      </c>
      <c r="Q199" s="59" t="str">
        <f>IFERROR(Inv_SY!Q201/Inv_SY!$Y201-1,"")</f>
        <v/>
      </c>
      <c r="R199" s="59" t="str">
        <f>IFERROR(Inv_SY!R201/Inv_SY!$Y201-1,"")</f>
        <v/>
      </c>
      <c r="S199" s="59" t="str">
        <f>IFERROR(Inv_SY!S201/Inv_SY!$Y201-1,"")</f>
        <v/>
      </c>
      <c r="T199" s="59" t="str">
        <f>IFERROR(Inv_SY!T201/Inv_SY!$Y201-1,"")</f>
        <v/>
      </c>
      <c r="U199" s="59" t="str">
        <f>IFERROR(Inv_SY!U201/Inv_SY!$Y201-1,"")</f>
        <v/>
      </c>
      <c r="V199" s="59" t="str">
        <f>IFERROR(Inv_SY!J201/Inv_SY!$Z201-1,"")</f>
        <v/>
      </c>
      <c r="W199" s="59" t="str">
        <f>IFERROR(Inv_SY!K201/Inv_SY!$Z201-1,"")</f>
        <v/>
      </c>
      <c r="X199" s="59" t="str">
        <f>IFERROR(Inv_SY!L201/Inv_SY!$Z201-1,"")</f>
        <v/>
      </c>
      <c r="Y199" s="59" t="str">
        <f>IFERROR(Inv_SY!M201/Inv_SY!$Z201-1,"")</f>
        <v/>
      </c>
      <c r="Z199" s="59" t="str">
        <f>IFERROR(Inv_SY!N201/Inv_SY!$Z201-1,"")</f>
        <v/>
      </c>
      <c r="AA199" s="59" t="str">
        <f>IFERROR(Inv_SY!O201/Inv_SY!$Z201-1,"")</f>
        <v/>
      </c>
      <c r="AB199" s="59" t="str">
        <f>IFERROR(Inv_SY!P201/Inv_SY!$Z201-1,"")</f>
        <v/>
      </c>
      <c r="AC199" s="59" t="str">
        <f>IFERROR(Inv_SY!Q201/Inv_SY!$Z201-1,"")</f>
        <v/>
      </c>
      <c r="AD199" s="59" t="str">
        <f>IFERROR(Inv_SY!R201/Inv_SY!$Z201-1,"")</f>
        <v/>
      </c>
      <c r="AE199" s="59" t="str">
        <f>IFERROR(Inv_SY!S201/Inv_SY!$Z201-1,"")</f>
        <v/>
      </c>
      <c r="AF199" s="59" t="str">
        <f>IFERROR(Inv_SY!T201/Inv_SY!$Z201-1,"")</f>
        <v/>
      </c>
      <c r="AG199" s="59" t="str">
        <f>IFERROR(Inv_SY!U201/Inv_SY!$Z201-1,"")</f>
        <v/>
      </c>
      <c r="AH199" s="59" t="str">
        <f>IFERROR(Inv_SY!V201/Inv_SY!$Y201-1,"")</f>
        <v/>
      </c>
      <c r="AI199" s="59" t="str">
        <f>IFERROR(Inv_SY!W201/Inv_SY!$Y201-1,"")</f>
        <v/>
      </c>
      <c r="AJ199" s="59" t="str">
        <f>IFERROR(Inv_SY!X201/Inv_SY!$Y201-1,"")</f>
        <v/>
      </c>
      <c r="AK199" s="59" t="str">
        <f>IFERROR(Inv_SY!V201/Inv_SY!$Z201-1,"")</f>
        <v/>
      </c>
      <c r="AL199" s="59" t="str">
        <f>IFERROR(Inv_SY!W201/Inv_SY!$Z201-1,"")</f>
        <v/>
      </c>
      <c r="AM199" s="59" t="str">
        <f>IFERROR(Inv_SY!X201/Inv_SY!$Z201-1,"")</f>
        <v/>
      </c>
    </row>
    <row r="200" spans="1:39" x14ac:dyDescent="0.3">
      <c r="A200" s="55">
        <f>YEAR(Table5[[#This Row],[Date]])+IF(MONTH(Table5[[#This Row],[Date]])&gt;=4,1,0)</f>
        <v>2026</v>
      </c>
      <c r="B200" s="55">
        <v>160</v>
      </c>
      <c r="C200" s="124">
        <f>YEAR(Table5[[#This Row],[Date]])</f>
        <v>2025</v>
      </c>
      <c r="D200" s="55" t="s">
        <v>329</v>
      </c>
      <c r="E200" s="55" t="s">
        <v>329</v>
      </c>
      <c r="F200" s="126" t="str">
        <f>TEXT(Table5[[#This Row],[Date]],"mmm-yy")</f>
        <v>Oct-25</v>
      </c>
      <c r="G200" s="124">
        <f t="shared" si="9"/>
        <v>31</v>
      </c>
      <c r="H200" s="125">
        <f t="shared" si="10"/>
        <v>45943</v>
      </c>
      <c r="I200" s="55">
        <v>8.02</v>
      </c>
      <c r="J200" s="59" t="str">
        <f>IFERROR(Inv_SY!J202/Inv_SY!$Y202-1,"")</f>
        <v/>
      </c>
      <c r="K200" s="59" t="str">
        <f>IFERROR(Inv_SY!K202/Inv_SY!$Y202-1,"")</f>
        <v/>
      </c>
      <c r="L200" s="59" t="str">
        <f>IFERROR(Inv_SY!L202/Inv_SY!$Y202-1,"")</f>
        <v/>
      </c>
      <c r="M200" s="59" t="str">
        <f>IFERROR(Inv_SY!M202/Inv_SY!$Y202-1,"")</f>
        <v/>
      </c>
      <c r="N200" s="59" t="str">
        <f>IFERROR(Inv_SY!N202/Inv_SY!$Y202-1,"")</f>
        <v/>
      </c>
      <c r="O200" s="59" t="str">
        <f>IFERROR(Inv_SY!O202/Inv_SY!$Y202-1,"")</f>
        <v/>
      </c>
      <c r="P200" s="59" t="str">
        <f>IFERROR(Inv_SY!P202/Inv_SY!$Y202-1,"")</f>
        <v/>
      </c>
      <c r="Q200" s="59" t="str">
        <f>IFERROR(Inv_SY!Q202/Inv_SY!$Y202-1,"")</f>
        <v/>
      </c>
      <c r="R200" s="59" t="str">
        <f>IFERROR(Inv_SY!R202/Inv_SY!$Y202-1,"")</f>
        <v/>
      </c>
      <c r="S200" s="59" t="str">
        <f>IFERROR(Inv_SY!S202/Inv_SY!$Y202-1,"")</f>
        <v/>
      </c>
      <c r="T200" s="59" t="str">
        <f>IFERROR(Inv_SY!T202/Inv_SY!$Y202-1,"")</f>
        <v/>
      </c>
      <c r="U200" s="59" t="str">
        <f>IFERROR(Inv_SY!U202/Inv_SY!$Y202-1,"")</f>
        <v/>
      </c>
      <c r="V200" s="59" t="str">
        <f>IFERROR(Inv_SY!J202/Inv_SY!$Z202-1,"")</f>
        <v/>
      </c>
      <c r="W200" s="59" t="str">
        <f>IFERROR(Inv_SY!K202/Inv_SY!$Z202-1,"")</f>
        <v/>
      </c>
      <c r="X200" s="59" t="str">
        <f>IFERROR(Inv_SY!L202/Inv_SY!$Z202-1,"")</f>
        <v/>
      </c>
      <c r="Y200" s="59" t="str">
        <f>IFERROR(Inv_SY!M202/Inv_SY!$Z202-1,"")</f>
        <v/>
      </c>
      <c r="Z200" s="59" t="str">
        <f>IFERROR(Inv_SY!N202/Inv_SY!$Z202-1,"")</f>
        <v/>
      </c>
      <c r="AA200" s="59" t="str">
        <f>IFERROR(Inv_SY!O202/Inv_SY!$Z202-1,"")</f>
        <v/>
      </c>
      <c r="AB200" s="59" t="str">
        <f>IFERROR(Inv_SY!P202/Inv_SY!$Z202-1,"")</f>
        <v/>
      </c>
      <c r="AC200" s="59" t="str">
        <f>IFERROR(Inv_SY!Q202/Inv_SY!$Z202-1,"")</f>
        <v/>
      </c>
      <c r="AD200" s="59" t="str">
        <f>IFERROR(Inv_SY!R202/Inv_SY!$Z202-1,"")</f>
        <v/>
      </c>
      <c r="AE200" s="59" t="str">
        <f>IFERROR(Inv_SY!S202/Inv_SY!$Z202-1,"")</f>
        <v/>
      </c>
      <c r="AF200" s="59" t="str">
        <f>IFERROR(Inv_SY!T202/Inv_SY!$Z202-1,"")</f>
        <v/>
      </c>
      <c r="AG200" s="59" t="str">
        <f>IFERROR(Inv_SY!U202/Inv_SY!$Z202-1,"")</f>
        <v/>
      </c>
      <c r="AH200" s="59" t="str">
        <f>IFERROR(Inv_SY!V202/Inv_SY!$Y202-1,"")</f>
        <v/>
      </c>
      <c r="AI200" s="59" t="str">
        <f>IFERROR(Inv_SY!W202/Inv_SY!$Y202-1,"")</f>
        <v/>
      </c>
      <c r="AJ200" s="59" t="str">
        <f>IFERROR(Inv_SY!X202/Inv_SY!$Y202-1,"")</f>
        <v/>
      </c>
      <c r="AK200" s="59" t="str">
        <f>IFERROR(Inv_SY!V202/Inv_SY!$Z202-1,"")</f>
        <v/>
      </c>
      <c r="AL200" s="59" t="str">
        <f>IFERROR(Inv_SY!W202/Inv_SY!$Z202-1,"")</f>
        <v/>
      </c>
      <c r="AM200" s="59" t="str">
        <f>IFERROR(Inv_SY!X202/Inv_SY!$Z202-1,"")</f>
        <v/>
      </c>
    </row>
    <row r="201" spans="1:39" x14ac:dyDescent="0.3">
      <c r="A201" s="55">
        <f>YEAR(Table5[[#This Row],[Date]])+IF(MONTH(Table5[[#This Row],[Date]])&gt;=4,1,0)</f>
        <v>2026</v>
      </c>
      <c r="B201" s="55">
        <v>161</v>
      </c>
      <c r="C201" s="124">
        <f>YEAR(Table5[[#This Row],[Date]])</f>
        <v>2025</v>
      </c>
      <c r="D201" s="55" t="s">
        <v>329</v>
      </c>
      <c r="E201" s="55" t="s">
        <v>329</v>
      </c>
      <c r="F201" s="126" t="str">
        <f>TEXT(Table5[[#This Row],[Date]],"mmm-yy")</f>
        <v>Oct-25</v>
      </c>
      <c r="G201" s="124">
        <f t="shared" si="9"/>
        <v>31</v>
      </c>
      <c r="H201" s="125">
        <f t="shared" si="10"/>
        <v>45944</v>
      </c>
      <c r="I201" s="55">
        <v>8.02</v>
      </c>
      <c r="J201" s="59" t="str">
        <f>IFERROR(Inv_SY!J203/Inv_SY!$Y203-1,"")</f>
        <v/>
      </c>
      <c r="K201" s="59" t="str">
        <f>IFERROR(Inv_SY!K203/Inv_SY!$Y203-1,"")</f>
        <v/>
      </c>
      <c r="L201" s="59" t="str">
        <f>IFERROR(Inv_SY!L203/Inv_SY!$Y203-1,"")</f>
        <v/>
      </c>
      <c r="M201" s="59" t="str">
        <f>IFERROR(Inv_SY!M203/Inv_SY!$Y203-1,"")</f>
        <v/>
      </c>
      <c r="N201" s="59" t="str">
        <f>IFERROR(Inv_SY!N203/Inv_SY!$Y203-1,"")</f>
        <v/>
      </c>
      <c r="O201" s="59" t="str">
        <f>IFERROR(Inv_SY!O203/Inv_SY!$Y203-1,"")</f>
        <v/>
      </c>
      <c r="P201" s="59" t="str">
        <f>IFERROR(Inv_SY!P203/Inv_SY!$Y203-1,"")</f>
        <v/>
      </c>
      <c r="Q201" s="59" t="str">
        <f>IFERROR(Inv_SY!Q203/Inv_SY!$Y203-1,"")</f>
        <v/>
      </c>
      <c r="R201" s="59" t="str">
        <f>IFERROR(Inv_SY!R203/Inv_SY!$Y203-1,"")</f>
        <v/>
      </c>
      <c r="S201" s="59" t="str">
        <f>IFERROR(Inv_SY!S203/Inv_SY!$Y203-1,"")</f>
        <v/>
      </c>
      <c r="T201" s="59" t="str">
        <f>IFERROR(Inv_SY!T203/Inv_SY!$Y203-1,"")</f>
        <v/>
      </c>
      <c r="U201" s="59" t="str">
        <f>IFERROR(Inv_SY!U203/Inv_SY!$Y203-1,"")</f>
        <v/>
      </c>
      <c r="V201" s="59" t="str">
        <f>IFERROR(Inv_SY!J203/Inv_SY!$Z203-1,"")</f>
        <v/>
      </c>
      <c r="W201" s="59" t="str">
        <f>IFERROR(Inv_SY!K203/Inv_SY!$Z203-1,"")</f>
        <v/>
      </c>
      <c r="X201" s="59" t="str">
        <f>IFERROR(Inv_SY!L203/Inv_SY!$Z203-1,"")</f>
        <v/>
      </c>
      <c r="Y201" s="59" t="str">
        <f>IFERROR(Inv_SY!M203/Inv_SY!$Z203-1,"")</f>
        <v/>
      </c>
      <c r="Z201" s="59" t="str">
        <f>IFERROR(Inv_SY!N203/Inv_SY!$Z203-1,"")</f>
        <v/>
      </c>
      <c r="AA201" s="59" t="str">
        <f>IFERROR(Inv_SY!O203/Inv_SY!$Z203-1,"")</f>
        <v/>
      </c>
      <c r="AB201" s="59" t="str">
        <f>IFERROR(Inv_SY!P203/Inv_SY!$Z203-1,"")</f>
        <v/>
      </c>
      <c r="AC201" s="59" t="str">
        <f>IFERROR(Inv_SY!Q203/Inv_SY!$Z203-1,"")</f>
        <v/>
      </c>
      <c r="AD201" s="59" t="str">
        <f>IFERROR(Inv_SY!R203/Inv_SY!$Z203-1,"")</f>
        <v/>
      </c>
      <c r="AE201" s="59" t="str">
        <f>IFERROR(Inv_SY!S203/Inv_SY!$Z203-1,"")</f>
        <v/>
      </c>
      <c r="AF201" s="59" t="str">
        <f>IFERROR(Inv_SY!T203/Inv_SY!$Z203-1,"")</f>
        <v/>
      </c>
      <c r="AG201" s="59" t="str">
        <f>IFERROR(Inv_SY!U203/Inv_SY!$Z203-1,"")</f>
        <v/>
      </c>
      <c r="AH201" s="59" t="str">
        <f>IFERROR(Inv_SY!V203/Inv_SY!$Y203-1,"")</f>
        <v/>
      </c>
      <c r="AI201" s="59" t="str">
        <f>IFERROR(Inv_SY!W203/Inv_SY!$Y203-1,"")</f>
        <v/>
      </c>
      <c r="AJ201" s="59" t="str">
        <f>IFERROR(Inv_SY!X203/Inv_SY!$Y203-1,"")</f>
        <v/>
      </c>
      <c r="AK201" s="59" t="str">
        <f>IFERROR(Inv_SY!V203/Inv_SY!$Z203-1,"")</f>
        <v/>
      </c>
      <c r="AL201" s="59" t="str">
        <f>IFERROR(Inv_SY!W203/Inv_SY!$Z203-1,"")</f>
        <v/>
      </c>
      <c r="AM201" s="59" t="str">
        <f>IFERROR(Inv_SY!X203/Inv_SY!$Z203-1,"")</f>
        <v/>
      </c>
    </row>
    <row r="202" spans="1:39" x14ac:dyDescent="0.3">
      <c r="A202" s="55">
        <f>YEAR(Table5[[#This Row],[Date]])+IF(MONTH(Table5[[#This Row],[Date]])&gt;=4,1,0)</f>
        <v>2026</v>
      </c>
      <c r="B202" s="55">
        <v>162</v>
      </c>
      <c r="C202" s="124">
        <f>YEAR(Table5[[#This Row],[Date]])</f>
        <v>2025</v>
      </c>
      <c r="D202" s="55" t="s">
        <v>329</v>
      </c>
      <c r="E202" s="55" t="s">
        <v>329</v>
      </c>
      <c r="F202" s="126" t="str">
        <f>TEXT(Table5[[#This Row],[Date]],"mmm-yy")</f>
        <v>Oct-25</v>
      </c>
      <c r="G202" s="124">
        <f t="shared" si="9"/>
        <v>31</v>
      </c>
      <c r="H202" s="125">
        <f t="shared" si="10"/>
        <v>45945</v>
      </c>
      <c r="I202" s="55">
        <v>8.02</v>
      </c>
      <c r="J202" s="59" t="str">
        <f>IFERROR(Inv_SY!J204/Inv_SY!$Y204-1,"")</f>
        <v/>
      </c>
      <c r="K202" s="59" t="str">
        <f>IFERROR(Inv_SY!K204/Inv_SY!$Y204-1,"")</f>
        <v/>
      </c>
      <c r="L202" s="59" t="str">
        <f>IFERROR(Inv_SY!L204/Inv_SY!$Y204-1,"")</f>
        <v/>
      </c>
      <c r="M202" s="59" t="str">
        <f>IFERROR(Inv_SY!M204/Inv_SY!$Y204-1,"")</f>
        <v/>
      </c>
      <c r="N202" s="59" t="str">
        <f>IFERROR(Inv_SY!N204/Inv_SY!$Y204-1,"")</f>
        <v/>
      </c>
      <c r="O202" s="59" t="str">
        <f>IFERROR(Inv_SY!O204/Inv_SY!$Y204-1,"")</f>
        <v/>
      </c>
      <c r="P202" s="59" t="str">
        <f>IFERROR(Inv_SY!P204/Inv_SY!$Y204-1,"")</f>
        <v/>
      </c>
      <c r="Q202" s="59" t="str">
        <f>IFERROR(Inv_SY!Q204/Inv_SY!$Y204-1,"")</f>
        <v/>
      </c>
      <c r="R202" s="59" t="str">
        <f>IFERROR(Inv_SY!R204/Inv_SY!$Y204-1,"")</f>
        <v/>
      </c>
      <c r="S202" s="59" t="str">
        <f>IFERROR(Inv_SY!S204/Inv_SY!$Y204-1,"")</f>
        <v/>
      </c>
      <c r="T202" s="59" t="str">
        <f>IFERROR(Inv_SY!T204/Inv_SY!$Y204-1,"")</f>
        <v/>
      </c>
      <c r="U202" s="59" t="str">
        <f>IFERROR(Inv_SY!U204/Inv_SY!$Y204-1,"")</f>
        <v/>
      </c>
      <c r="V202" s="59" t="str">
        <f>IFERROR(Inv_SY!J204/Inv_SY!$Z204-1,"")</f>
        <v/>
      </c>
      <c r="W202" s="59" t="str">
        <f>IFERROR(Inv_SY!K204/Inv_SY!$Z204-1,"")</f>
        <v/>
      </c>
      <c r="X202" s="59" t="str">
        <f>IFERROR(Inv_SY!L204/Inv_SY!$Z204-1,"")</f>
        <v/>
      </c>
      <c r="Y202" s="59" t="str">
        <f>IFERROR(Inv_SY!M204/Inv_SY!$Z204-1,"")</f>
        <v/>
      </c>
      <c r="Z202" s="59" t="str">
        <f>IFERROR(Inv_SY!N204/Inv_SY!$Z204-1,"")</f>
        <v/>
      </c>
      <c r="AA202" s="59" t="str">
        <f>IFERROR(Inv_SY!O204/Inv_SY!$Z204-1,"")</f>
        <v/>
      </c>
      <c r="AB202" s="59" t="str">
        <f>IFERROR(Inv_SY!P204/Inv_SY!$Z204-1,"")</f>
        <v/>
      </c>
      <c r="AC202" s="59" t="str">
        <f>IFERROR(Inv_SY!Q204/Inv_SY!$Z204-1,"")</f>
        <v/>
      </c>
      <c r="AD202" s="59" t="str">
        <f>IFERROR(Inv_SY!R204/Inv_SY!$Z204-1,"")</f>
        <v/>
      </c>
      <c r="AE202" s="59" t="str">
        <f>IFERROR(Inv_SY!S204/Inv_SY!$Z204-1,"")</f>
        <v/>
      </c>
      <c r="AF202" s="59" t="str">
        <f>IFERROR(Inv_SY!T204/Inv_SY!$Z204-1,"")</f>
        <v/>
      </c>
      <c r="AG202" s="59" t="str">
        <f>IFERROR(Inv_SY!U204/Inv_SY!$Z204-1,"")</f>
        <v/>
      </c>
      <c r="AH202" s="59" t="str">
        <f>IFERROR(Inv_SY!V204/Inv_SY!$Y204-1,"")</f>
        <v/>
      </c>
      <c r="AI202" s="59" t="str">
        <f>IFERROR(Inv_SY!W204/Inv_SY!$Y204-1,"")</f>
        <v/>
      </c>
      <c r="AJ202" s="59" t="str">
        <f>IFERROR(Inv_SY!X204/Inv_SY!$Y204-1,"")</f>
        <v/>
      </c>
      <c r="AK202" s="59" t="str">
        <f>IFERROR(Inv_SY!V204/Inv_SY!$Z204-1,"")</f>
        <v/>
      </c>
      <c r="AL202" s="59" t="str">
        <f>IFERROR(Inv_SY!W204/Inv_SY!$Z204-1,"")</f>
        <v/>
      </c>
      <c r="AM202" s="59" t="str">
        <f>IFERROR(Inv_SY!X204/Inv_SY!$Z204-1,"")</f>
        <v/>
      </c>
    </row>
    <row r="203" spans="1:39" x14ac:dyDescent="0.3">
      <c r="A203" s="55">
        <f>YEAR(Table5[[#This Row],[Date]])+IF(MONTH(Table5[[#This Row],[Date]])&gt;=4,1,0)</f>
        <v>2026</v>
      </c>
      <c r="B203" s="55">
        <v>163</v>
      </c>
      <c r="C203" s="124">
        <f>YEAR(Table5[[#This Row],[Date]])</f>
        <v>2025</v>
      </c>
      <c r="D203" s="55" t="s">
        <v>329</v>
      </c>
      <c r="E203" s="55" t="s">
        <v>329</v>
      </c>
      <c r="F203" s="126" t="str">
        <f>TEXT(Table5[[#This Row],[Date]],"mmm-yy")</f>
        <v>Oct-25</v>
      </c>
      <c r="G203" s="124">
        <f t="shared" si="9"/>
        <v>31</v>
      </c>
      <c r="H203" s="125">
        <f t="shared" si="10"/>
        <v>45946</v>
      </c>
      <c r="I203" s="55">
        <v>8.02</v>
      </c>
      <c r="J203" s="59" t="str">
        <f>IFERROR(Inv_SY!J205/Inv_SY!$Y205-1,"")</f>
        <v/>
      </c>
      <c r="K203" s="59" t="str">
        <f>IFERROR(Inv_SY!K205/Inv_SY!$Y205-1,"")</f>
        <v/>
      </c>
      <c r="L203" s="59" t="str">
        <f>IFERROR(Inv_SY!L205/Inv_SY!$Y205-1,"")</f>
        <v/>
      </c>
      <c r="M203" s="59" t="str">
        <f>IFERROR(Inv_SY!M205/Inv_SY!$Y205-1,"")</f>
        <v/>
      </c>
      <c r="N203" s="59" t="str">
        <f>IFERROR(Inv_SY!N205/Inv_SY!$Y205-1,"")</f>
        <v/>
      </c>
      <c r="O203" s="59" t="str">
        <f>IFERROR(Inv_SY!O205/Inv_SY!$Y205-1,"")</f>
        <v/>
      </c>
      <c r="P203" s="59" t="str">
        <f>IFERROR(Inv_SY!P205/Inv_SY!$Y205-1,"")</f>
        <v/>
      </c>
      <c r="Q203" s="59" t="str">
        <f>IFERROR(Inv_SY!Q205/Inv_SY!$Y205-1,"")</f>
        <v/>
      </c>
      <c r="R203" s="59" t="str">
        <f>IFERROR(Inv_SY!R205/Inv_SY!$Y205-1,"")</f>
        <v/>
      </c>
      <c r="S203" s="59" t="str">
        <f>IFERROR(Inv_SY!S205/Inv_SY!$Y205-1,"")</f>
        <v/>
      </c>
      <c r="T203" s="59" t="str">
        <f>IFERROR(Inv_SY!T205/Inv_SY!$Y205-1,"")</f>
        <v/>
      </c>
      <c r="U203" s="59" t="str">
        <f>IFERROR(Inv_SY!U205/Inv_SY!$Y205-1,"")</f>
        <v/>
      </c>
      <c r="V203" s="59" t="str">
        <f>IFERROR(Inv_SY!J205/Inv_SY!$Z205-1,"")</f>
        <v/>
      </c>
      <c r="W203" s="59" t="str">
        <f>IFERROR(Inv_SY!K205/Inv_SY!$Z205-1,"")</f>
        <v/>
      </c>
      <c r="X203" s="59" t="str">
        <f>IFERROR(Inv_SY!L205/Inv_SY!$Z205-1,"")</f>
        <v/>
      </c>
      <c r="Y203" s="59" t="str">
        <f>IFERROR(Inv_SY!M205/Inv_SY!$Z205-1,"")</f>
        <v/>
      </c>
      <c r="Z203" s="59" t="str">
        <f>IFERROR(Inv_SY!N205/Inv_SY!$Z205-1,"")</f>
        <v/>
      </c>
      <c r="AA203" s="59" t="str">
        <f>IFERROR(Inv_SY!O205/Inv_SY!$Z205-1,"")</f>
        <v/>
      </c>
      <c r="AB203" s="59" t="str">
        <f>IFERROR(Inv_SY!P205/Inv_SY!$Z205-1,"")</f>
        <v/>
      </c>
      <c r="AC203" s="59" t="str">
        <f>IFERROR(Inv_SY!Q205/Inv_SY!$Z205-1,"")</f>
        <v/>
      </c>
      <c r="AD203" s="59" t="str">
        <f>IFERROR(Inv_SY!R205/Inv_SY!$Z205-1,"")</f>
        <v/>
      </c>
      <c r="AE203" s="59" t="str">
        <f>IFERROR(Inv_SY!S205/Inv_SY!$Z205-1,"")</f>
        <v/>
      </c>
      <c r="AF203" s="59" t="str">
        <f>IFERROR(Inv_SY!T205/Inv_SY!$Z205-1,"")</f>
        <v/>
      </c>
      <c r="AG203" s="59" t="str">
        <f>IFERROR(Inv_SY!U205/Inv_SY!$Z205-1,"")</f>
        <v/>
      </c>
      <c r="AH203" s="59" t="str">
        <f>IFERROR(Inv_SY!V205/Inv_SY!$Y205-1,"")</f>
        <v/>
      </c>
      <c r="AI203" s="59" t="str">
        <f>IFERROR(Inv_SY!W205/Inv_SY!$Y205-1,"")</f>
        <v/>
      </c>
      <c r="AJ203" s="59" t="str">
        <f>IFERROR(Inv_SY!X205/Inv_SY!$Y205-1,"")</f>
        <v/>
      </c>
      <c r="AK203" s="59" t="str">
        <f>IFERROR(Inv_SY!V205/Inv_SY!$Z205-1,"")</f>
        <v/>
      </c>
      <c r="AL203" s="59" t="str">
        <f>IFERROR(Inv_SY!W205/Inv_SY!$Z205-1,"")</f>
        <v/>
      </c>
      <c r="AM203" s="59" t="str">
        <f>IFERROR(Inv_SY!X205/Inv_SY!$Z205-1,"")</f>
        <v/>
      </c>
    </row>
    <row r="204" spans="1:39" x14ac:dyDescent="0.3">
      <c r="A204" s="55">
        <f>YEAR(Table5[[#This Row],[Date]])+IF(MONTH(Table5[[#This Row],[Date]])&gt;=4,1,0)</f>
        <v>2026</v>
      </c>
      <c r="B204" s="55">
        <v>164</v>
      </c>
      <c r="C204" s="124">
        <f>YEAR(Table5[[#This Row],[Date]])</f>
        <v>2025</v>
      </c>
      <c r="D204" s="55" t="s">
        <v>329</v>
      </c>
      <c r="E204" s="55" t="s">
        <v>329</v>
      </c>
      <c r="F204" s="126" t="str">
        <f>TEXT(Table5[[#This Row],[Date]],"mmm-yy")</f>
        <v>Oct-25</v>
      </c>
      <c r="G204" s="124">
        <f t="shared" si="9"/>
        <v>31</v>
      </c>
      <c r="H204" s="125">
        <f t="shared" si="10"/>
        <v>45947</v>
      </c>
      <c r="I204" s="55">
        <v>8.02</v>
      </c>
      <c r="J204" s="59" t="str">
        <f>IFERROR(Inv_SY!J206/Inv_SY!$Y206-1,"")</f>
        <v/>
      </c>
      <c r="K204" s="59" t="str">
        <f>IFERROR(Inv_SY!K206/Inv_SY!$Y206-1,"")</f>
        <v/>
      </c>
      <c r="L204" s="59" t="str">
        <f>IFERROR(Inv_SY!L206/Inv_SY!$Y206-1,"")</f>
        <v/>
      </c>
      <c r="M204" s="59" t="str">
        <f>IFERROR(Inv_SY!M206/Inv_SY!$Y206-1,"")</f>
        <v/>
      </c>
      <c r="N204" s="59" t="str">
        <f>IFERROR(Inv_SY!N206/Inv_SY!$Y206-1,"")</f>
        <v/>
      </c>
      <c r="O204" s="59" t="str">
        <f>IFERROR(Inv_SY!O206/Inv_SY!$Y206-1,"")</f>
        <v/>
      </c>
      <c r="P204" s="59" t="str">
        <f>IFERROR(Inv_SY!P206/Inv_SY!$Y206-1,"")</f>
        <v/>
      </c>
      <c r="Q204" s="59" t="str">
        <f>IFERROR(Inv_SY!Q206/Inv_SY!$Y206-1,"")</f>
        <v/>
      </c>
      <c r="R204" s="59" t="str">
        <f>IFERROR(Inv_SY!R206/Inv_SY!$Y206-1,"")</f>
        <v/>
      </c>
      <c r="S204" s="59" t="str">
        <f>IFERROR(Inv_SY!S206/Inv_SY!$Y206-1,"")</f>
        <v/>
      </c>
      <c r="T204" s="59" t="str">
        <f>IFERROR(Inv_SY!T206/Inv_SY!$Y206-1,"")</f>
        <v/>
      </c>
      <c r="U204" s="59" t="str">
        <f>IFERROR(Inv_SY!U206/Inv_SY!$Y206-1,"")</f>
        <v/>
      </c>
      <c r="V204" s="59" t="str">
        <f>IFERROR(Inv_SY!J206/Inv_SY!$Z206-1,"")</f>
        <v/>
      </c>
      <c r="W204" s="59" t="str">
        <f>IFERROR(Inv_SY!K206/Inv_SY!$Z206-1,"")</f>
        <v/>
      </c>
      <c r="X204" s="59" t="str">
        <f>IFERROR(Inv_SY!L206/Inv_SY!$Z206-1,"")</f>
        <v/>
      </c>
      <c r="Y204" s="59" t="str">
        <f>IFERROR(Inv_SY!M206/Inv_SY!$Z206-1,"")</f>
        <v/>
      </c>
      <c r="Z204" s="59" t="str">
        <f>IFERROR(Inv_SY!N206/Inv_SY!$Z206-1,"")</f>
        <v/>
      </c>
      <c r="AA204" s="59" t="str">
        <f>IFERROR(Inv_SY!O206/Inv_SY!$Z206-1,"")</f>
        <v/>
      </c>
      <c r="AB204" s="59" t="str">
        <f>IFERROR(Inv_SY!P206/Inv_SY!$Z206-1,"")</f>
        <v/>
      </c>
      <c r="AC204" s="59" t="str">
        <f>IFERROR(Inv_SY!Q206/Inv_SY!$Z206-1,"")</f>
        <v/>
      </c>
      <c r="AD204" s="59" t="str">
        <f>IFERROR(Inv_SY!R206/Inv_SY!$Z206-1,"")</f>
        <v/>
      </c>
      <c r="AE204" s="59" t="str">
        <f>IFERROR(Inv_SY!S206/Inv_SY!$Z206-1,"")</f>
        <v/>
      </c>
      <c r="AF204" s="59" t="str">
        <f>IFERROR(Inv_SY!T206/Inv_SY!$Z206-1,"")</f>
        <v/>
      </c>
      <c r="AG204" s="59" t="str">
        <f>IFERROR(Inv_SY!U206/Inv_SY!$Z206-1,"")</f>
        <v/>
      </c>
      <c r="AH204" s="59" t="str">
        <f>IFERROR(Inv_SY!V206/Inv_SY!$Y206-1,"")</f>
        <v/>
      </c>
      <c r="AI204" s="59" t="str">
        <f>IFERROR(Inv_SY!W206/Inv_SY!$Y206-1,"")</f>
        <v/>
      </c>
      <c r="AJ204" s="59" t="str">
        <f>IFERROR(Inv_SY!X206/Inv_SY!$Y206-1,"")</f>
        <v/>
      </c>
      <c r="AK204" s="59" t="str">
        <f>IFERROR(Inv_SY!V206/Inv_SY!$Z206-1,"")</f>
        <v/>
      </c>
      <c r="AL204" s="59" t="str">
        <f>IFERROR(Inv_SY!W206/Inv_SY!$Z206-1,"")</f>
        <v/>
      </c>
      <c r="AM204" s="59" t="str">
        <f>IFERROR(Inv_SY!X206/Inv_SY!$Z206-1,"")</f>
        <v/>
      </c>
    </row>
    <row r="205" spans="1:39" x14ac:dyDescent="0.3">
      <c r="A205" s="55">
        <f>YEAR(Table5[[#This Row],[Date]])+IF(MONTH(Table5[[#This Row],[Date]])&gt;=4,1,0)</f>
        <v>2026</v>
      </c>
      <c r="B205" s="55">
        <v>165</v>
      </c>
      <c r="C205" s="124">
        <f>YEAR(Table5[[#This Row],[Date]])</f>
        <v>2025</v>
      </c>
      <c r="D205" s="55" t="s">
        <v>329</v>
      </c>
      <c r="E205" s="55" t="s">
        <v>329</v>
      </c>
      <c r="F205" s="126" t="str">
        <f>TEXT(Table5[[#This Row],[Date]],"mmm-yy")</f>
        <v>Oct-25</v>
      </c>
      <c r="G205" s="124">
        <f t="shared" si="9"/>
        <v>31</v>
      </c>
      <c r="H205" s="125">
        <f t="shared" si="10"/>
        <v>45948</v>
      </c>
      <c r="I205" s="55">
        <v>8.02</v>
      </c>
      <c r="J205" s="59" t="str">
        <f>IFERROR(Inv_SY!J207/Inv_SY!$Y207-1,"")</f>
        <v/>
      </c>
      <c r="K205" s="59" t="str">
        <f>IFERROR(Inv_SY!K207/Inv_SY!$Y207-1,"")</f>
        <v/>
      </c>
      <c r="L205" s="59" t="str">
        <f>IFERROR(Inv_SY!L207/Inv_SY!$Y207-1,"")</f>
        <v/>
      </c>
      <c r="M205" s="59" t="str">
        <f>IFERROR(Inv_SY!M207/Inv_SY!$Y207-1,"")</f>
        <v/>
      </c>
      <c r="N205" s="59" t="str">
        <f>IFERROR(Inv_SY!N207/Inv_SY!$Y207-1,"")</f>
        <v/>
      </c>
      <c r="O205" s="59" t="str">
        <f>IFERROR(Inv_SY!O207/Inv_SY!$Y207-1,"")</f>
        <v/>
      </c>
      <c r="P205" s="59" t="str">
        <f>IFERROR(Inv_SY!P207/Inv_SY!$Y207-1,"")</f>
        <v/>
      </c>
      <c r="Q205" s="59" t="str">
        <f>IFERROR(Inv_SY!Q207/Inv_SY!$Y207-1,"")</f>
        <v/>
      </c>
      <c r="R205" s="59" t="str">
        <f>IFERROR(Inv_SY!R207/Inv_SY!$Y207-1,"")</f>
        <v/>
      </c>
      <c r="S205" s="59" t="str">
        <f>IFERROR(Inv_SY!S207/Inv_SY!$Y207-1,"")</f>
        <v/>
      </c>
      <c r="T205" s="59" t="str">
        <f>IFERROR(Inv_SY!T207/Inv_SY!$Y207-1,"")</f>
        <v/>
      </c>
      <c r="U205" s="59" t="str">
        <f>IFERROR(Inv_SY!U207/Inv_SY!$Y207-1,"")</f>
        <v/>
      </c>
      <c r="V205" s="59" t="str">
        <f>IFERROR(Inv_SY!J207/Inv_SY!$Z207-1,"")</f>
        <v/>
      </c>
      <c r="W205" s="59" t="str">
        <f>IFERROR(Inv_SY!K207/Inv_SY!$Z207-1,"")</f>
        <v/>
      </c>
      <c r="X205" s="59" t="str">
        <f>IFERROR(Inv_SY!L207/Inv_SY!$Z207-1,"")</f>
        <v/>
      </c>
      <c r="Y205" s="59" t="str">
        <f>IFERROR(Inv_SY!M207/Inv_SY!$Z207-1,"")</f>
        <v/>
      </c>
      <c r="Z205" s="59" t="str">
        <f>IFERROR(Inv_SY!N207/Inv_SY!$Z207-1,"")</f>
        <v/>
      </c>
      <c r="AA205" s="59" t="str">
        <f>IFERROR(Inv_SY!O207/Inv_SY!$Z207-1,"")</f>
        <v/>
      </c>
      <c r="AB205" s="59" t="str">
        <f>IFERROR(Inv_SY!P207/Inv_SY!$Z207-1,"")</f>
        <v/>
      </c>
      <c r="AC205" s="59" t="str">
        <f>IFERROR(Inv_SY!Q207/Inv_SY!$Z207-1,"")</f>
        <v/>
      </c>
      <c r="AD205" s="59" t="str">
        <f>IFERROR(Inv_SY!R207/Inv_SY!$Z207-1,"")</f>
        <v/>
      </c>
      <c r="AE205" s="59" t="str">
        <f>IFERROR(Inv_SY!S207/Inv_SY!$Z207-1,"")</f>
        <v/>
      </c>
      <c r="AF205" s="59" t="str">
        <f>IFERROR(Inv_SY!T207/Inv_SY!$Z207-1,"")</f>
        <v/>
      </c>
      <c r="AG205" s="59" t="str">
        <f>IFERROR(Inv_SY!U207/Inv_SY!$Z207-1,"")</f>
        <v/>
      </c>
      <c r="AH205" s="59" t="str">
        <f>IFERROR(Inv_SY!V207/Inv_SY!$Y207-1,"")</f>
        <v/>
      </c>
      <c r="AI205" s="59" t="str">
        <f>IFERROR(Inv_SY!W207/Inv_SY!$Y207-1,"")</f>
        <v/>
      </c>
      <c r="AJ205" s="59" t="str">
        <f>IFERROR(Inv_SY!X207/Inv_SY!$Y207-1,"")</f>
        <v/>
      </c>
      <c r="AK205" s="59" t="str">
        <f>IFERROR(Inv_SY!V207/Inv_SY!$Z207-1,"")</f>
        <v/>
      </c>
      <c r="AL205" s="59" t="str">
        <f>IFERROR(Inv_SY!W207/Inv_SY!$Z207-1,"")</f>
        <v/>
      </c>
      <c r="AM205" s="59" t="str">
        <f>IFERROR(Inv_SY!X207/Inv_SY!$Z207-1,"")</f>
        <v/>
      </c>
    </row>
    <row r="206" spans="1:39" x14ac:dyDescent="0.3">
      <c r="A206" s="55">
        <f>YEAR(Table5[[#This Row],[Date]])+IF(MONTH(Table5[[#This Row],[Date]])&gt;=4,1,0)</f>
        <v>2026</v>
      </c>
      <c r="B206" s="55">
        <v>166</v>
      </c>
      <c r="C206" s="124">
        <f>YEAR(Table5[[#This Row],[Date]])</f>
        <v>2025</v>
      </c>
      <c r="D206" s="55" t="s">
        <v>329</v>
      </c>
      <c r="E206" s="55" t="s">
        <v>329</v>
      </c>
      <c r="F206" s="126" t="str">
        <f>TEXT(Table5[[#This Row],[Date]],"mmm-yy")</f>
        <v>Oct-25</v>
      </c>
      <c r="G206" s="124">
        <f t="shared" si="9"/>
        <v>31</v>
      </c>
      <c r="H206" s="125">
        <f t="shared" si="10"/>
        <v>45949</v>
      </c>
      <c r="I206" s="55">
        <v>8.02</v>
      </c>
      <c r="J206" s="59" t="str">
        <f>IFERROR(Inv_SY!J208/Inv_SY!$Y208-1,"")</f>
        <v/>
      </c>
      <c r="K206" s="59" t="str">
        <f>IFERROR(Inv_SY!K208/Inv_SY!$Y208-1,"")</f>
        <v/>
      </c>
      <c r="L206" s="59" t="str">
        <f>IFERROR(Inv_SY!L208/Inv_SY!$Y208-1,"")</f>
        <v/>
      </c>
      <c r="M206" s="59" t="str">
        <f>IFERROR(Inv_SY!M208/Inv_SY!$Y208-1,"")</f>
        <v/>
      </c>
      <c r="N206" s="59" t="str">
        <f>IFERROR(Inv_SY!N208/Inv_SY!$Y208-1,"")</f>
        <v/>
      </c>
      <c r="O206" s="59" t="str">
        <f>IFERROR(Inv_SY!O208/Inv_SY!$Y208-1,"")</f>
        <v/>
      </c>
      <c r="P206" s="59" t="str">
        <f>IFERROR(Inv_SY!P208/Inv_SY!$Y208-1,"")</f>
        <v/>
      </c>
      <c r="Q206" s="59" t="str">
        <f>IFERROR(Inv_SY!Q208/Inv_SY!$Y208-1,"")</f>
        <v/>
      </c>
      <c r="R206" s="59" t="str">
        <f>IFERROR(Inv_SY!R208/Inv_SY!$Y208-1,"")</f>
        <v/>
      </c>
      <c r="S206" s="59" t="str">
        <f>IFERROR(Inv_SY!S208/Inv_SY!$Y208-1,"")</f>
        <v/>
      </c>
      <c r="T206" s="59" t="str">
        <f>IFERROR(Inv_SY!T208/Inv_SY!$Y208-1,"")</f>
        <v/>
      </c>
      <c r="U206" s="59" t="str">
        <f>IFERROR(Inv_SY!U208/Inv_SY!$Y208-1,"")</f>
        <v/>
      </c>
      <c r="V206" s="59" t="str">
        <f>IFERROR(Inv_SY!J208/Inv_SY!$Z208-1,"")</f>
        <v/>
      </c>
      <c r="W206" s="59" t="str">
        <f>IFERROR(Inv_SY!K208/Inv_SY!$Z208-1,"")</f>
        <v/>
      </c>
      <c r="X206" s="59" t="str">
        <f>IFERROR(Inv_SY!L208/Inv_SY!$Z208-1,"")</f>
        <v/>
      </c>
      <c r="Y206" s="59" t="str">
        <f>IFERROR(Inv_SY!M208/Inv_SY!$Z208-1,"")</f>
        <v/>
      </c>
      <c r="Z206" s="59" t="str">
        <f>IFERROR(Inv_SY!N208/Inv_SY!$Z208-1,"")</f>
        <v/>
      </c>
      <c r="AA206" s="59" t="str">
        <f>IFERROR(Inv_SY!O208/Inv_SY!$Z208-1,"")</f>
        <v/>
      </c>
      <c r="AB206" s="59" t="str">
        <f>IFERROR(Inv_SY!P208/Inv_SY!$Z208-1,"")</f>
        <v/>
      </c>
      <c r="AC206" s="59" t="str">
        <f>IFERROR(Inv_SY!Q208/Inv_SY!$Z208-1,"")</f>
        <v/>
      </c>
      <c r="AD206" s="59" t="str">
        <f>IFERROR(Inv_SY!R208/Inv_SY!$Z208-1,"")</f>
        <v/>
      </c>
      <c r="AE206" s="59" t="str">
        <f>IFERROR(Inv_SY!S208/Inv_SY!$Z208-1,"")</f>
        <v/>
      </c>
      <c r="AF206" s="59" t="str">
        <f>IFERROR(Inv_SY!T208/Inv_SY!$Z208-1,"")</f>
        <v/>
      </c>
      <c r="AG206" s="59" t="str">
        <f>IFERROR(Inv_SY!U208/Inv_SY!$Z208-1,"")</f>
        <v/>
      </c>
      <c r="AH206" s="59" t="str">
        <f>IFERROR(Inv_SY!V208/Inv_SY!$Y208-1,"")</f>
        <v/>
      </c>
      <c r="AI206" s="59" t="str">
        <f>IFERROR(Inv_SY!W208/Inv_SY!$Y208-1,"")</f>
        <v/>
      </c>
      <c r="AJ206" s="59" t="str">
        <f>IFERROR(Inv_SY!X208/Inv_SY!$Y208-1,"")</f>
        <v/>
      </c>
      <c r="AK206" s="59" t="str">
        <f>IFERROR(Inv_SY!V208/Inv_SY!$Z208-1,"")</f>
        <v/>
      </c>
      <c r="AL206" s="59" t="str">
        <f>IFERROR(Inv_SY!W208/Inv_SY!$Z208-1,"")</f>
        <v/>
      </c>
      <c r="AM206" s="59" t="str">
        <f>IFERROR(Inv_SY!X208/Inv_SY!$Z208-1,"")</f>
        <v/>
      </c>
    </row>
    <row r="207" spans="1:39" x14ac:dyDescent="0.3">
      <c r="A207" s="55">
        <f>YEAR(Table5[[#This Row],[Date]])+IF(MONTH(Table5[[#This Row],[Date]])&gt;=4,1,0)</f>
        <v>2026</v>
      </c>
      <c r="B207" s="55">
        <v>167</v>
      </c>
      <c r="C207" s="124">
        <f>YEAR(Table5[[#This Row],[Date]])</f>
        <v>2025</v>
      </c>
      <c r="D207" s="55" t="s">
        <v>329</v>
      </c>
      <c r="E207" s="55" t="s">
        <v>329</v>
      </c>
      <c r="F207" s="126" t="str">
        <f>TEXT(Table5[[#This Row],[Date]],"mmm-yy")</f>
        <v>Oct-25</v>
      </c>
      <c r="G207" s="124">
        <f t="shared" si="9"/>
        <v>31</v>
      </c>
      <c r="H207" s="125">
        <f t="shared" si="10"/>
        <v>45950</v>
      </c>
      <c r="I207" s="55">
        <v>8.02</v>
      </c>
      <c r="J207" s="59" t="str">
        <f>IFERROR(Inv_SY!J209/Inv_SY!$Y209-1,"")</f>
        <v/>
      </c>
      <c r="K207" s="59" t="str">
        <f>IFERROR(Inv_SY!K209/Inv_SY!$Y209-1,"")</f>
        <v/>
      </c>
      <c r="L207" s="59" t="str">
        <f>IFERROR(Inv_SY!L209/Inv_SY!$Y209-1,"")</f>
        <v/>
      </c>
      <c r="M207" s="59" t="str">
        <f>IFERROR(Inv_SY!M209/Inv_SY!$Y209-1,"")</f>
        <v/>
      </c>
      <c r="N207" s="59" t="str">
        <f>IFERROR(Inv_SY!N209/Inv_SY!$Y209-1,"")</f>
        <v/>
      </c>
      <c r="O207" s="59" t="str">
        <f>IFERROR(Inv_SY!O209/Inv_SY!$Y209-1,"")</f>
        <v/>
      </c>
      <c r="P207" s="59" t="str">
        <f>IFERROR(Inv_SY!P209/Inv_SY!$Y209-1,"")</f>
        <v/>
      </c>
      <c r="Q207" s="59" t="str">
        <f>IFERROR(Inv_SY!Q209/Inv_SY!$Y209-1,"")</f>
        <v/>
      </c>
      <c r="R207" s="59" t="str">
        <f>IFERROR(Inv_SY!R209/Inv_SY!$Y209-1,"")</f>
        <v/>
      </c>
      <c r="S207" s="59" t="str">
        <f>IFERROR(Inv_SY!S209/Inv_SY!$Y209-1,"")</f>
        <v/>
      </c>
      <c r="T207" s="59" t="str">
        <f>IFERROR(Inv_SY!T209/Inv_SY!$Y209-1,"")</f>
        <v/>
      </c>
      <c r="U207" s="59" t="str">
        <f>IFERROR(Inv_SY!U209/Inv_SY!$Y209-1,"")</f>
        <v/>
      </c>
      <c r="V207" s="59" t="str">
        <f>IFERROR(Inv_SY!J209/Inv_SY!$Z209-1,"")</f>
        <v/>
      </c>
      <c r="W207" s="59" t="str">
        <f>IFERROR(Inv_SY!K209/Inv_SY!$Z209-1,"")</f>
        <v/>
      </c>
      <c r="X207" s="59" t="str">
        <f>IFERROR(Inv_SY!L209/Inv_SY!$Z209-1,"")</f>
        <v/>
      </c>
      <c r="Y207" s="59" t="str">
        <f>IFERROR(Inv_SY!M209/Inv_SY!$Z209-1,"")</f>
        <v/>
      </c>
      <c r="Z207" s="59" t="str">
        <f>IFERROR(Inv_SY!N209/Inv_SY!$Z209-1,"")</f>
        <v/>
      </c>
      <c r="AA207" s="59" t="str">
        <f>IFERROR(Inv_SY!O209/Inv_SY!$Z209-1,"")</f>
        <v/>
      </c>
      <c r="AB207" s="59" t="str">
        <f>IFERROR(Inv_SY!P209/Inv_SY!$Z209-1,"")</f>
        <v/>
      </c>
      <c r="AC207" s="59" t="str">
        <f>IFERROR(Inv_SY!Q209/Inv_SY!$Z209-1,"")</f>
        <v/>
      </c>
      <c r="AD207" s="59" t="str">
        <f>IFERROR(Inv_SY!R209/Inv_SY!$Z209-1,"")</f>
        <v/>
      </c>
      <c r="AE207" s="59" t="str">
        <f>IFERROR(Inv_SY!S209/Inv_SY!$Z209-1,"")</f>
        <v/>
      </c>
      <c r="AF207" s="59" t="str">
        <f>IFERROR(Inv_SY!T209/Inv_SY!$Z209-1,"")</f>
        <v/>
      </c>
      <c r="AG207" s="59" t="str">
        <f>IFERROR(Inv_SY!U209/Inv_SY!$Z209-1,"")</f>
        <v/>
      </c>
      <c r="AH207" s="59" t="str">
        <f>IFERROR(Inv_SY!V209/Inv_SY!$Y209-1,"")</f>
        <v/>
      </c>
      <c r="AI207" s="59" t="str">
        <f>IFERROR(Inv_SY!W209/Inv_SY!$Y209-1,"")</f>
        <v/>
      </c>
      <c r="AJ207" s="59" t="str">
        <f>IFERROR(Inv_SY!X209/Inv_SY!$Y209-1,"")</f>
        <v/>
      </c>
      <c r="AK207" s="59" t="str">
        <f>IFERROR(Inv_SY!V209/Inv_SY!$Z209-1,"")</f>
        <v/>
      </c>
      <c r="AL207" s="59" t="str">
        <f>IFERROR(Inv_SY!W209/Inv_SY!$Z209-1,"")</f>
        <v/>
      </c>
      <c r="AM207" s="59" t="str">
        <f>IFERROR(Inv_SY!X209/Inv_SY!$Z209-1,"")</f>
        <v/>
      </c>
    </row>
    <row r="208" spans="1:39" x14ac:dyDescent="0.3">
      <c r="A208" s="55">
        <f>YEAR(Table5[[#This Row],[Date]])+IF(MONTH(Table5[[#This Row],[Date]])&gt;=4,1,0)</f>
        <v>2026</v>
      </c>
      <c r="B208" s="55">
        <v>168</v>
      </c>
      <c r="C208" s="124">
        <f>YEAR(Table5[[#This Row],[Date]])</f>
        <v>2025</v>
      </c>
      <c r="D208" s="55" t="s">
        <v>329</v>
      </c>
      <c r="E208" s="55" t="s">
        <v>329</v>
      </c>
      <c r="F208" s="126" t="str">
        <f>TEXT(Table5[[#This Row],[Date]],"mmm-yy")</f>
        <v>Oct-25</v>
      </c>
      <c r="G208" s="124">
        <f t="shared" si="9"/>
        <v>31</v>
      </c>
      <c r="H208" s="125">
        <f t="shared" si="10"/>
        <v>45951</v>
      </c>
      <c r="I208" s="55">
        <v>8.02</v>
      </c>
      <c r="J208" s="59" t="str">
        <f>IFERROR(Inv_SY!J210/Inv_SY!$Y210-1,"")</f>
        <v/>
      </c>
      <c r="K208" s="59" t="str">
        <f>IFERROR(Inv_SY!K210/Inv_SY!$Y210-1,"")</f>
        <v/>
      </c>
      <c r="L208" s="59" t="str">
        <f>IFERROR(Inv_SY!L210/Inv_SY!$Y210-1,"")</f>
        <v/>
      </c>
      <c r="M208" s="59" t="str">
        <f>IFERROR(Inv_SY!M210/Inv_SY!$Y210-1,"")</f>
        <v/>
      </c>
      <c r="N208" s="59" t="str">
        <f>IFERROR(Inv_SY!N210/Inv_SY!$Y210-1,"")</f>
        <v/>
      </c>
      <c r="O208" s="59" t="str">
        <f>IFERROR(Inv_SY!O210/Inv_SY!$Y210-1,"")</f>
        <v/>
      </c>
      <c r="P208" s="59" t="str">
        <f>IFERROR(Inv_SY!P210/Inv_SY!$Y210-1,"")</f>
        <v/>
      </c>
      <c r="Q208" s="59" t="str">
        <f>IFERROR(Inv_SY!Q210/Inv_SY!$Y210-1,"")</f>
        <v/>
      </c>
      <c r="R208" s="59" t="str">
        <f>IFERROR(Inv_SY!R210/Inv_SY!$Y210-1,"")</f>
        <v/>
      </c>
      <c r="S208" s="59" t="str">
        <f>IFERROR(Inv_SY!S210/Inv_SY!$Y210-1,"")</f>
        <v/>
      </c>
      <c r="T208" s="59" t="str">
        <f>IFERROR(Inv_SY!T210/Inv_SY!$Y210-1,"")</f>
        <v/>
      </c>
      <c r="U208" s="59" t="str">
        <f>IFERROR(Inv_SY!U210/Inv_SY!$Y210-1,"")</f>
        <v/>
      </c>
      <c r="V208" s="59" t="str">
        <f>IFERROR(Inv_SY!J210/Inv_SY!$Z210-1,"")</f>
        <v/>
      </c>
      <c r="W208" s="59" t="str">
        <f>IFERROR(Inv_SY!K210/Inv_SY!$Z210-1,"")</f>
        <v/>
      </c>
      <c r="X208" s="59" t="str">
        <f>IFERROR(Inv_SY!L210/Inv_SY!$Z210-1,"")</f>
        <v/>
      </c>
      <c r="Y208" s="59" t="str">
        <f>IFERROR(Inv_SY!M210/Inv_SY!$Z210-1,"")</f>
        <v/>
      </c>
      <c r="Z208" s="59" t="str">
        <f>IFERROR(Inv_SY!N210/Inv_SY!$Z210-1,"")</f>
        <v/>
      </c>
      <c r="AA208" s="59" t="str">
        <f>IFERROR(Inv_SY!O210/Inv_SY!$Z210-1,"")</f>
        <v/>
      </c>
      <c r="AB208" s="59" t="str">
        <f>IFERROR(Inv_SY!P210/Inv_SY!$Z210-1,"")</f>
        <v/>
      </c>
      <c r="AC208" s="59" t="str">
        <f>IFERROR(Inv_SY!Q210/Inv_SY!$Z210-1,"")</f>
        <v/>
      </c>
      <c r="AD208" s="59" t="str">
        <f>IFERROR(Inv_SY!R210/Inv_SY!$Z210-1,"")</f>
        <v/>
      </c>
      <c r="AE208" s="59" t="str">
        <f>IFERROR(Inv_SY!S210/Inv_SY!$Z210-1,"")</f>
        <v/>
      </c>
      <c r="AF208" s="59" t="str">
        <f>IFERROR(Inv_SY!T210/Inv_SY!$Z210-1,"")</f>
        <v/>
      </c>
      <c r="AG208" s="59" t="str">
        <f>IFERROR(Inv_SY!U210/Inv_SY!$Z210-1,"")</f>
        <v/>
      </c>
      <c r="AH208" s="59" t="str">
        <f>IFERROR(Inv_SY!V210/Inv_SY!$Y210-1,"")</f>
        <v/>
      </c>
      <c r="AI208" s="59" t="str">
        <f>IFERROR(Inv_SY!W210/Inv_SY!$Y210-1,"")</f>
        <v/>
      </c>
      <c r="AJ208" s="59" t="str">
        <f>IFERROR(Inv_SY!X210/Inv_SY!$Y210-1,"")</f>
        <v/>
      </c>
      <c r="AK208" s="59" t="str">
        <f>IFERROR(Inv_SY!V210/Inv_SY!$Z210-1,"")</f>
        <v/>
      </c>
      <c r="AL208" s="59" t="str">
        <f>IFERROR(Inv_SY!W210/Inv_SY!$Z210-1,"")</f>
        <v/>
      </c>
      <c r="AM208" s="59" t="str">
        <f>IFERROR(Inv_SY!X210/Inv_SY!$Z210-1,"")</f>
        <v/>
      </c>
    </row>
    <row r="209" spans="1:39" x14ac:dyDescent="0.3">
      <c r="A209" s="55">
        <f>YEAR(Table5[[#This Row],[Date]])+IF(MONTH(Table5[[#This Row],[Date]])&gt;=4,1,0)</f>
        <v>2026</v>
      </c>
      <c r="B209" s="55">
        <v>169</v>
      </c>
      <c r="C209" s="124">
        <f>YEAR(Table5[[#This Row],[Date]])</f>
        <v>2025</v>
      </c>
      <c r="D209" s="55" t="s">
        <v>329</v>
      </c>
      <c r="E209" s="55" t="s">
        <v>329</v>
      </c>
      <c r="F209" s="126" t="str">
        <f>TEXT(Table5[[#This Row],[Date]],"mmm-yy")</f>
        <v>Oct-25</v>
      </c>
      <c r="G209" s="124">
        <f t="shared" si="9"/>
        <v>31</v>
      </c>
      <c r="H209" s="125">
        <f t="shared" si="10"/>
        <v>45952</v>
      </c>
      <c r="I209" s="55">
        <v>8.02</v>
      </c>
      <c r="J209" s="59" t="str">
        <f>IFERROR(Inv_SY!J211/Inv_SY!$Y211-1,"")</f>
        <v/>
      </c>
      <c r="K209" s="59" t="str">
        <f>IFERROR(Inv_SY!K211/Inv_SY!$Y211-1,"")</f>
        <v/>
      </c>
      <c r="L209" s="59" t="str">
        <f>IFERROR(Inv_SY!L211/Inv_SY!$Y211-1,"")</f>
        <v/>
      </c>
      <c r="M209" s="59" t="str">
        <f>IFERROR(Inv_SY!M211/Inv_SY!$Y211-1,"")</f>
        <v/>
      </c>
      <c r="N209" s="59" t="str">
        <f>IFERROR(Inv_SY!N211/Inv_SY!$Y211-1,"")</f>
        <v/>
      </c>
      <c r="O209" s="59" t="str">
        <f>IFERROR(Inv_SY!O211/Inv_SY!$Y211-1,"")</f>
        <v/>
      </c>
      <c r="P209" s="59" t="str">
        <f>IFERROR(Inv_SY!P211/Inv_SY!$Y211-1,"")</f>
        <v/>
      </c>
      <c r="Q209" s="59" t="str">
        <f>IFERROR(Inv_SY!Q211/Inv_SY!$Y211-1,"")</f>
        <v/>
      </c>
      <c r="R209" s="59" t="str">
        <f>IFERROR(Inv_SY!R211/Inv_SY!$Y211-1,"")</f>
        <v/>
      </c>
      <c r="S209" s="59" t="str">
        <f>IFERROR(Inv_SY!S211/Inv_SY!$Y211-1,"")</f>
        <v/>
      </c>
      <c r="T209" s="59" t="str">
        <f>IFERROR(Inv_SY!T211/Inv_SY!$Y211-1,"")</f>
        <v/>
      </c>
      <c r="U209" s="59" t="str">
        <f>IFERROR(Inv_SY!U211/Inv_SY!$Y211-1,"")</f>
        <v/>
      </c>
      <c r="V209" s="59" t="str">
        <f>IFERROR(Inv_SY!J211/Inv_SY!$Z211-1,"")</f>
        <v/>
      </c>
      <c r="W209" s="59" t="str">
        <f>IFERROR(Inv_SY!K211/Inv_SY!$Z211-1,"")</f>
        <v/>
      </c>
      <c r="X209" s="59" t="str">
        <f>IFERROR(Inv_SY!L211/Inv_SY!$Z211-1,"")</f>
        <v/>
      </c>
      <c r="Y209" s="59" t="str">
        <f>IFERROR(Inv_SY!M211/Inv_SY!$Z211-1,"")</f>
        <v/>
      </c>
      <c r="Z209" s="59" t="str">
        <f>IFERROR(Inv_SY!N211/Inv_SY!$Z211-1,"")</f>
        <v/>
      </c>
      <c r="AA209" s="59" t="str">
        <f>IFERROR(Inv_SY!O211/Inv_SY!$Z211-1,"")</f>
        <v/>
      </c>
      <c r="AB209" s="59" t="str">
        <f>IFERROR(Inv_SY!P211/Inv_SY!$Z211-1,"")</f>
        <v/>
      </c>
      <c r="AC209" s="59" t="str">
        <f>IFERROR(Inv_SY!Q211/Inv_SY!$Z211-1,"")</f>
        <v/>
      </c>
      <c r="AD209" s="59" t="str">
        <f>IFERROR(Inv_SY!R211/Inv_SY!$Z211-1,"")</f>
        <v/>
      </c>
      <c r="AE209" s="59" t="str">
        <f>IFERROR(Inv_SY!S211/Inv_SY!$Z211-1,"")</f>
        <v/>
      </c>
      <c r="AF209" s="59" t="str">
        <f>IFERROR(Inv_SY!T211/Inv_SY!$Z211-1,"")</f>
        <v/>
      </c>
      <c r="AG209" s="59" t="str">
        <f>IFERROR(Inv_SY!U211/Inv_SY!$Z211-1,"")</f>
        <v/>
      </c>
      <c r="AH209" s="59" t="str">
        <f>IFERROR(Inv_SY!V211/Inv_SY!$Y211-1,"")</f>
        <v/>
      </c>
      <c r="AI209" s="59" t="str">
        <f>IFERROR(Inv_SY!W211/Inv_SY!$Y211-1,"")</f>
        <v/>
      </c>
      <c r="AJ209" s="59" t="str">
        <f>IFERROR(Inv_SY!X211/Inv_SY!$Y211-1,"")</f>
        <v/>
      </c>
      <c r="AK209" s="59" t="str">
        <f>IFERROR(Inv_SY!V211/Inv_SY!$Z211-1,"")</f>
        <v/>
      </c>
      <c r="AL209" s="59" t="str">
        <f>IFERROR(Inv_SY!W211/Inv_SY!$Z211-1,"")</f>
        <v/>
      </c>
      <c r="AM209" s="59" t="str">
        <f>IFERROR(Inv_SY!X211/Inv_SY!$Z211-1,"")</f>
        <v/>
      </c>
    </row>
    <row r="210" spans="1:39" x14ac:dyDescent="0.3">
      <c r="A210" s="55">
        <f>YEAR(Table5[[#This Row],[Date]])+IF(MONTH(Table5[[#This Row],[Date]])&gt;=4,1,0)</f>
        <v>2026</v>
      </c>
      <c r="B210" s="55">
        <v>170</v>
      </c>
      <c r="C210" s="124">
        <f>YEAR(Table5[[#This Row],[Date]])</f>
        <v>2025</v>
      </c>
      <c r="D210" s="55" t="s">
        <v>329</v>
      </c>
      <c r="E210" s="55" t="s">
        <v>329</v>
      </c>
      <c r="F210" s="126" t="str">
        <f>TEXT(Table5[[#This Row],[Date]],"mmm-yy")</f>
        <v>Oct-25</v>
      </c>
      <c r="G210" s="124">
        <f t="shared" si="9"/>
        <v>31</v>
      </c>
      <c r="H210" s="125">
        <f t="shared" si="10"/>
        <v>45953</v>
      </c>
      <c r="I210" s="55">
        <v>8.02</v>
      </c>
      <c r="J210" s="59" t="str">
        <f>IFERROR(Inv_SY!J212/Inv_SY!$Y212-1,"")</f>
        <v/>
      </c>
      <c r="K210" s="59" t="str">
        <f>IFERROR(Inv_SY!K212/Inv_SY!$Y212-1,"")</f>
        <v/>
      </c>
      <c r="L210" s="59" t="str">
        <f>IFERROR(Inv_SY!L212/Inv_SY!$Y212-1,"")</f>
        <v/>
      </c>
      <c r="M210" s="59" t="str">
        <f>IFERROR(Inv_SY!M212/Inv_SY!$Y212-1,"")</f>
        <v/>
      </c>
      <c r="N210" s="59" t="str">
        <f>IFERROR(Inv_SY!N212/Inv_SY!$Y212-1,"")</f>
        <v/>
      </c>
      <c r="O210" s="59" t="str">
        <f>IFERROR(Inv_SY!O212/Inv_SY!$Y212-1,"")</f>
        <v/>
      </c>
      <c r="P210" s="59" t="str">
        <f>IFERROR(Inv_SY!P212/Inv_SY!$Y212-1,"")</f>
        <v/>
      </c>
      <c r="Q210" s="59" t="str">
        <f>IFERROR(Inv_SY!Q212/Inv_SY!$Y212-1,"")</f>
        <v/>
      </c>
      <c r="R210" s="59" t="str">
        <f>IFERROR(Inv_SY!R212/Inv_SY!$Y212-1,"")</f>
        <v/>
      </c>
      <c r="S210" s="59" t="str">
        <f>IFERROR(Inv_SY!S212/Inv_SY!$Y212-1,"")</f>
        <v/>
      </c>
      <c r="T210" s="59" t="str">
        <f>IFERROR(Inv_SY!T212/Inv_SY!$Y212-1,"")</f>
        <v/>
      </c>
      <c r="U210" s="59" t="str">
        <f>IFERROR(Inv_SY!U212/Inv_SY!$Y212-1,"")</f>
        <v/>
      </c>
      <c r="V210" s="59" t="str">
        <f>IFERROR(Inv_SY!J212/Inv_SY!$Z212-1,"")</f>
        <v/>
      </c>
      <c r="W210" s="59" t="str">
        <f>IFERROR(Inv_SY!K212/Inv_SY!$Z212-1,"")</f>
        <v/>
      </c>
      <c r="X210" s="59" t="str">
        <f>IFERROR(Inv_SY!L212/Inv_SY!$Z212-1,"")</f>
        <v/>
      </c>
      <c r="Y210" s="59" t="str">
        <f>IFERROR(Inv_SY!M212/Inv_SY!$Z212-1,"")</f>
        <v/>
      </c>
      <c r="Z210" s="59" t="str">
        <f>IFERROR(Inv_SY!N212/Inv_SY!$Z212-1,"")</f>
        <v/>
      </c>
      <c r="AA210" s="59" t="str">
        <f>IFERROR(Inv_SY!O212/Inv_SY!$Z212-1,"")</f>
        <v/>
      </c>
      <c r="AB210" s="59" t="str">
        <f>IFERROR(Inv_SY!P212/Inv_SY!$Z212-1,"")</f>
        <v/>
      </c>
      <c r="AC210" s="59" t="str">
        <f>IFERROR(Inv_SY!Q212/Inv_SY!$Z212-1,"")</f>
        <v/>
      </c>
      <c r="AD210" s="59" t="str">
        <f>IFERROR(Inv_SY!R212/Inv_SY!$Z212-1,"")</f>
        <v/>
      </c>
      <c r="AE210" s="59" t="str">
        <f>IFERROR(Inv_SY!S212/Inv_SY!$Z212-1,"")</f>
        <v/>
      </c>
      <c r="AF210" s="59" t="str">
        <f>IFERROR(Inv_SY!T212/Inv_SY!$Z212-1,"")</f>
        <v/>
      </c>
      <c r="AG210" s="59" t="str">
        <f>IFERROR(Inv_SY!U212/Inv_SY!$Z212-1,"")</f>
        <v/>
      </c>
      <c r="AH210" s="59" t="str">
        <f>IFERROR(Inv_SY!V212/Inv_SY!$Y212-1,"")</f>
        <v/>
      </c>
      <c r="AI210" s="59" t="str">
        <f>IFERROR(Inv_SY!W212/Inv_SY!$Y212-1,"")</f>
        <v/>
      </c>
      <c r="AJ210" s="59" t="str">
        <f>IFERROR(Inv_SY!X212/Inv_SY!$Y212-1,"")</f>
        <v/>
      </c>
      <c r="AK210" s="59" t="str">
        <f>IFERROR(Inv_SY!V212/Inv_SY!$Z212-1,"")</f>
        <v/>
      </c>
      <c r="AL210" s="59" t="str">
        <f>IFERROR(Inv_SY!W212/Inv_SY!$Z212-1,"")</f>
        <v/>
      </c>
      <c r="AM210" s="59" t="str">
        <f>IFERROR(Inv_SY!X212/Inv_SY!$Z212-1,"")</f>
        <v/>
      </c>
    </row>
    <row r="211" spans="1:39" x14ac:dyDescent="0.3">
      <c r="A211" s="55">
        <f>YEAR(Table5[[#This Row],[Date]])+IF(MONTH(Table5[[#This Row],[Date]])&gt;=4,1,0)</f>
        <v>2026</v>
      </c>
      <c r="B211" s="55">
        <v>171</v>
      </c>
      <c r="C211" s="124">
        <f>YEAR(Table5[[#This Row],[Date]])</f>
        <v>2025</v>
      </c>
      <c r="D211" s="55" t="s">
        <v>329</v>
      </c>
      <c r="E211" s="55" t="s">
        <v>329</v>
      </c>
      <c r="F211" s="126" t="str">
        <f>TEXT(Table5[[#This Row],[Date]],"mmm-yy")</f>
        <v>Oct-25</v>
      </c>
      <c r="G211" s="124">
        <f t="shared" si="9"/>
        <v>31</v>
      </c>
      <c r="H211" s="125">
        <f t="shared" si="10"/>
        <v>45954</v>
      </c>
      <c r="I211" s="55">
        <v>8.02</v>
      </c>
      <c r="J211" s="59" t="str">
        <f>IFERROR(Inv_SY!J213/Inv_SY!$Y213-1,"")</f>
        <v/>
      </c>
      <c r="K211" s="59" t="str">
        <f>IFERROR(Inv_SY!K213/Inv_SY!$Y213-1,"")</f>
        <v/>
      </c>
      <c r="L211" s="59" t="str">
        <f>IFERROR(Inv_SY!L213/Inv_SY!$Y213-1,"")</f>
        <v/>
      </c>
      <c r="M211" s="59" t="str">
        <f>IFERROR(Inv_SY!M213/Inv_SY!$Y213-1,"")</f>
        <v/>
      </c>
      <c r="N211" s="59" t="str">
        <f>IFERROR(Inv_SY!N213/Inv_SY!$Y213-1,"")</f>
        <v/>
      </c>
      <c r="O211" s="59" t="str">
        <f>IFERROR(Inv_SY!O213/Inv_SY!$Y213-1,"")</f>
        <v/>
      </c>
      <c r="P211" s="59" t="str">
        <f>IFERROR(Inv_SY!P213/Inv_SY!$Y213-1,"")</f>
        <v/>
      </c>
      <c r="Q211" s="59" t="str">
        <f>IFERROR(Inv_SY!Q213/Inv_SY!$Y213-1,"")</f>
        <v/>
      </c>
      <c r="R211" s="59" t="str">
        <f>IFERROR(Inv_SY!R213/Inv_SY!$Y213-1,"")</f>
        <v/>
      </c>
      <c r="S211" s="59" t="str">
        <f>IFERROR(Inv_SY!S213/Inv_SY!$Y213-1,"")</f>
        <v/>
      </c>
      <c r="T211" s="59" t="str">
        <f>IFERROR(Inv_SY!T213/Inv_SY!$Y213-1,"")</f>
        <v/>
      </c>
      <c r="U211" s="59" t="str">
        <f>IFERROR(Inv_SY!U213/Inv_SY!$Y213-1,"")</f>
        <v/>
      </c>
      <c r="V211" s="59" t="str">
        <f>IFERROR(Inv_SY!J213/Inv_SY!$Z213-1,"")</f>
        <v/>
      </c>
      <c r="W211" s="59" t="str">
        <f>IFERROR(Inv_SY!K213/Inv_SY!$Z213-1,"")</f>
        <v/>
      </c>
      <c r="X211" s="59" t="str">
        <f>IFERROR(Inv_SY!L213/Inv_SY!$Z213-1,"")</f>
        <v/>
      </c>
      <c r="Y211" s="59" t="str">
        <f>IFERROR(Inv_SY!M213/Inv_SY!$Z213-1,"")</f>
        <v/>
      </c>
      <c r="Z211" s="59" t="str">
        <f>IFERROR(Inv_SY!N213/Inv_SY!$Z213-1,"")</f>
        <v/>
      </c>
      <c r="AA211" s="59" t="str">
        <f>IFERROR(Inv_SY!O213/Inv_SY!$Z213-1,"")</f>
        <v/>
      </c>
      <c r="AB211" s="59" t="str">
        <f>IFERROR(Inv_SY!P213/Inv_SY!$Z213-1,"")</f>
        <v/>
      </c>
      <c r="AC211" s="59" t="str">
        <f>IFERROR(Inv_SY!Q213/Inv_SY!$Z213-1,"")</f>
        <v/>
      </c>
      <c r="AD211" s="59" t="str">
        <f>IFERROR(Inv_SY!R213/Inv_SY!$Z213-1,"")</f>
        <v/>
      </c>
      <c r="AE211" s="59" t="str">
        <f>IFERROR(Inv_SY!S213/Inv_SY!$Z213-1,"")</f>
        <v/>
      </c>
      <c r="AF211" s="59" t="str">
        <f>IFERROR(Inv_SY!T213/Inv_SY!$Z213-1,"")</f>
        <v/>
      </c>
      <c r="AG211" s="59" t="str">
        <f>IFERROR(Inv_SY!U213/Inv_SY!$Z213-1,"")</f>
        <v/>
      </c>
      <c r="AH211" s="59" t="str">
        <f>IFERROR(Inv_SY!V213/Inv_SY!$Y213-1,"")</f>
        <v/>
      </c>
      <c r="AI211" s="59" t="str">
        <f>IFERROR(Inv_SY!W213/Inv_SY!$Y213-1,"")</f>
        <v/>
      </c>
      <c r="AJ211" s="59" t="str">
        <f>IFERROR(Inv_SY!X213/Inv_SY!$Y213-1,"")</f>
        <v/>
      </c>
      <c r="AK211" s="59" t="str">
        <f>IFERROR(Inv_SY!V213/Inv_SY!$Z213-1,"")</f>
        <v/>
      </c>
      <c r="AL211" s="59" t="str">
        <f>IFERROR(Inv_SY!W213/Inv_SY!$Z213-1,"")</f>
        <v/>
      </c>
      <c r="AM211" s="59" t="str">
        <f>IFERROR(Inv_SY!X213/Inv_SY!$Z213-1,"")</f>
        <v/>
      </c>
    </row>
    <row r="212" spans="1:39" x14ac:dyDescent="0.3">
      <c r="A212" s="55">
        <f>YEAR(Table5[[#This Row],[Date]])+IF(MONTH(Table5[[#This Row],[Date]])&gt;=4,1,0)</f>
        <v>2026</v>
      </c>
      <c r="B212" s="55">
        <v>172</v>
      </c>
      <c r="C212" s="124">
        <f>YEAR(Table5[[#This Row],[Date]])</f>
        <v>2025</v>
      </c>
      <c r="D212" s="55" t="s">
        <v>329</v>
      </c>
      <c r="E212" s="55" t="s">
        <v>329</v>
      </c>
      <c r="F212" s="126" t="str">
        <f>TEXT(Table5[[#This Row],[Date]],"mmm-yy")</f>
        <v>Oct-25</v>
      </c>
      <c r="G212" s="124">
        <f t="shared" si="9"/>
        <v>31</v>
      </c>
      <c r="H212" s="125">
        <f t="shared" si="10"/>
        <v>45955</v>
      </c>
      <c r="I212" s="55">
        <v>8.02</v>
      </c>
      <c r="J212" s="59" t="str">
        <f>IFERROR(Inv_SY!J214/Inv_SY!$Y214-1,"")</f>
        <v/>
      </c>
      <c r="K212" s="59" t="str">
        <f>IFERROR(Inv_SY!K214/Inv_SY!$Y214-1,"")</f>
        <v/>
      </c>
      <c r="L212" s="59" t="str">
        <f>IFERROR(Inv_SY!L214/Inv_SY!$Y214-1,"")</f>
        <v/>
      </c>
      <c r="M212" s="59" t="str">
        <f>IFERROR(Inv_SY!M214/Inv_SY!$Y214-1,"")</f>
        <v/>
      </c>
      <c r="N212" s="59" t="str">
        <f>IFERROR(Inv_SY!N214/Inv_SY!$Y214-1,"")</f>
        <v/>
      </c>
      <c r="O212" s="59" t="str">
        <f>IFERROR(Inv_SY!O214/Inv_SY!$Y214-1,"")</f>
        <v/>
      </c>
      <c r="P212" s="59" t="str">
        <f>IFERROR(Inv_SY!P214/Inv_SY!$Y214-1,"")</f>
        <v/>
      </c>
      <c r="Q212" s="59" t="str">
        <f>IFERROR(Inv_SY!Q214/Inv_SY!$Y214-1,"")</f>
        <v/>
      </c>
      <c r="R212" s="59" t="str">
        <f>IFERROR(Inv_SY!R214/Inv_SY!$Y214-1,"")</f>
        <v/>
      </c>
      <c r="S212" s="59" t="str">
        <f>IFERROR(Inv_SY!S214/Inv_SY!$Y214-1,"")</f>
        <v/>
      </c>
      <c r="T212" s="59" t="str">
        <f>IFERROR(Inv_SY!T214/Inv_SY!$Y214-1,"")</f>
        <v/>
      </c>
      <c r="U212" s="59" t="str">
        <f>IFERROR(Inv_SY!U214/Inv_SY!$Y214-1,"")</f>
        <v/>
      </c>
      <c r="V212" s="59" t="str">
        <f>IFERROR(Inv_SY!J214/Inv_SY!$Z214-1,"")</f>
        <v/>
      </c>
      <c r="W212" s="59" t="str">
        <f>IFERROR(Inv_SY!K214/Inv_SY!$Z214-1,"")</f>
        <v/>
      </c>
      <c r="X212" s="59" t="str">
        <f>IFERROR(Inv_SY!L214/Inv_SY!$Z214-1,"")</f>
        <v/>
      </c>
      <c r="Y212" s="59" t="str">
        <f>IFERROR(Inv_SY!M214/Inv_SY!$Z214-1,"")</f>
        <v/>
      </c>
      <c r="Z212" s="59" t="str">
        <f>IFERROR(Inv_SY!N214/Inv_SY!$Z214-1,"")</f>
        <v/>
      </c>
      <c r="AA212" s="59" t="str">
        <f>IFERROR(Inv_SY!O214/Inv_SY!$Z214-1,"")</f>
        <v/>
      </c>
      <c r="AB212" s="59" t="str">
        <f>IFERROR(Inv_SY!P214/Inv_SY!$Z214-1,"")</f>
        <v/>
      </c>
      <c r="AC212" s="59" t="str">
        <f>IFERROR(Inv_SY!Q214/Inv_SY!$Z214-1,"")</f>
        <v/>
      </c>
      <c r="AD212" s="59" t="str">
        <f>IFERROR(Inv_SY!R214/Inv_SY!$Z214-1,"")</f>
        <v/>
      </c>
      <c r="AE212" s="59" t="str">
        <f>IFERROR(Inv_SY!S214/Inv_SY!$Z214-1,"")</f>
        <v/>
      </c>
      <c r="AF212" s="59" t="str">
        <f>IFERROR(Inv_SY!T214/Inv_SY!$Z214-1,"")</f>
        <v/>
      </c>
      <c r="AG212" s="59" t="str">
        <f>IFERROR(Inv_SY!U214/Inv_SY!$Z214-1,"")</f>
        <v/>
      </c>
      <c r="AH212" s="59" t="str">
        <f>IFERROR(Inv_SY!V214/Inv_SY!$Y214-1,"")</f>
        <v/>
      </c>
      <c r="AI212" s="59" t="str">
        <f>IFERROR(Inv_SY!W214/Inv_SY!$Y214-1,"")</f>
        <v/>
      </c>
      <c r="AJ212" s="59" t="str">
        <f>IFERROR(Inv_SY!X214/Inv_SY!$Y214-1,"")</f>
        <v/>
      </c>
      <c r="AK212" s="59" t="str">
        <f>IFERROR(Inv_SY!V214/Inv_SY!$Z214-1,"")</f>
        <v/>
      </c>
      <c r="AL212" s="59" t="str">
        <f>IFERROR(Inv_SY!W214/Inv_SY!$Z214-1,"")</f>
        <v/>
      </c>
      <c r="AM212" s="59" t="str">
        <f>IFERROR(Inv_SY!X214/Inv_SY!$Z214-1,"")</f>
        <v/>
      </c>
    </row>
    <row r="213" spans="1:39" x14ac:dyDescent="0.3">
      <c r="A213" s="55">
        <f>YEAR(Table5[[#This Row],[Date]])+IF(MONTH(Table5[[#This Row],[Date]])&gt;=4,1,0)</f>
        <v>2026</v>
      </c>
      <c r="B213" s="55">
        <v>173</v>
      </c>
      <c r="C213" s="124">
        <f>YEAR(Table5[[#This Row],[Date]])</f>
        <v>2025</v>
      </c>
      <c r="D213" s="55" t="s">
        <v>329</v>
      </c>
      <c r="E213" s="55" t="s">
        <v>329</v>
      </c>
      <c r="F213" s="126" t="str">
        <f>TEXT(Table5[[#This Row],[Date]],"mmm-yy")</f>
        <v>Oct-25</v>
      </c>
      <c r="G213" s="124">
        <f t="shared" si="9"/>
        <v>31</v>
      </c>
      <c r="H213" s="125">
        <f t="shared" si="10"/>
        <v>45956</v>
      </c>
      <c r="I213" s="55">
        <v>8.02</v>
      </c>
      <c r="J213" s="59" t="str">
        <f>IFERROR(Inv_SY!J215/Inv_SY!$Y215-1,"")</f>
        <v/>
      </c>
      <c r="K213" s="59" t="str">
        <f>IFERROR(Inv_SY!K215/Inv_SY!$Y215-1,"")</f>
        <v/>
      </c>
      <c r="L213" s="59" t="str">
        <f>IFERROR(Inv_SY!L215/Inv_SY!$Y215-1,"")</f>
        <v/>
      </c>
      <c r="M213" s="59" t="str">
        <f>IFERROR(Inv_SY!M215/Inv_SY!$Y215-1,"")</f>
        <v/>
      </c>
      <c r="N213" s="59" t="str">
        <f>IFERROR(Inv_SY!N215/Inv_SY!$Y215-1,"")</f>
        <v/>
      </c>
      <c r="O213" s="59" t="str">
        <f>IFERROR(Inv_SY!O215/Inv_SY!$Y215-1,"")</f>
        <v/>
      </c>
      <c r="P213" s="59" t="str">
        <f>IFERROR(Inv_SY!P215/Inv_SY!$Y215-1,"")</f>
        <v/>
      </c>
      <c r="Q213" s="59" t="str">
        <f>IFERROR(Inv_SY!Q215/Inv_SY!$Y215-1,"")</f>
        <v/>
      </c>
      <c r="R213" s="59" t="str">
        <f>IFERROR(Inv_SY!R215/Inv_SY!$Y215-1,"")</f>
        <v/>
      </c>
      <c r="S213" s="59" t="str">
        <f>IFERROR(Inv_SY!S215/Inv_SY!$Y215-1,"")</f>
        <v/>
      </c>
      <c r="T213" s="59" t="str">
        <f>IFERROR(Inv_SY!T215/Inv_SY!$Y215-1,"")</f>
        <v/>
      </c>
      <c r="U213" s="59" t="str">
        <f>IFERROR(Inv_SY!U215/Inv_SY!$Y215-1,"")</f>
        <v/>
      </c>
      <c r="V213" s="59" t="str">
        <f>IFERROR(Inv_SY!J215/Inv_SY!$Z215-1,"")</f>
        <v/>
      </c>
      <c r="W213" s="59" t="str">
        <f>IFERROR(Inv_SY!K215/Inv_SY!$Z215-1,"")</f>
        <v/>
      </c>
      <c r="X213" s="59" t="str">
        <f>IFERROR(Inv_SY!L215/Inv_SY!$Z215-1,"")</f>
        <v/>
      </c>
      <c r="Y213" s="59" t="str">
        <f>IFERROR(Inv_SY!M215/Inv_SY!$Z215-1,"")</f>
        <v/>
      </c>
      <c r="Z213" s="59" t="str">
        <f>IFERROR(Inv_SY!N215/Inv_SY!$Z215-1,"")</f>
        <v/>
      </c>
      <c r="AA213" s="59" t="str">
        <f>IFERROR(Inv_SY!O215/Inv_SY!$Z215-1,"")</f>
        <v/>
      </c>
      <c r="AB213" s="59" t="str">
        <f>IFERROR(Inv_SY!P215/Inv_SY!$Z215-1,"")</f>
        <v/>
      </c>
      <c r="AC213" s="59" t="str">
        <f>IFERROR(Inv_SY!Q215/Inv_SY!$Z215-1,"")</f>
        <v/>
      </c>
      <c r="AD213" s="59" t="str">
        <f>IFERROR(Inv_SY!R215/Inv_SY!$Z215-1,"")</f>
        <v/>
      </c>
      <c r="AE213" s="59" t="str">
        <f>IFERROR(Inv_SY!S215/Inv_SY!$Z215-1,"")</f>
        <v/>
      </c>
      <c r="AF213" s="59" t="str">
        <f>IFERROR(Inv_SY!T215/Inv_SY!$Z215-1,"")</f>
        <v/>
      </c>
      <c r="AG213" s="59" t="str">
        <f>IFERROR(Inv_SY!U215/Inv_SY!$Z215-1,"")</f>
        <v/>
      </c>
      <c r="AH213" s="59" t="str">
        <f>IFERROR(Inv_SY!V215/Inv_SY!$Y215-1,"")</f>
        <v/>
      </c>
      <c r="AI213" s="59" t="str">
        <f>IFERROR(Inv_SY!W215/Inv_SY!$Y215-1,"")</f>
        <v/>
      </c>
      <c r="AJ213" s="59" t="str">
        <f>IFERROR(Inv_SY!X215/Inv_SY!$Y215-1,"")</f>
        <v/>
      </c>
      <c r="AK213" s="59" t="str">
        <f>IFERROR(Inv_SY!V215/Inv_SY!$Z215-1,"")</f>
        <v/>
      </c>
      <c r="AL213" s="59" t="str">
        <f>IFERROR(Inv_SY!W215/Inv_SY!$Z215-1,"")</f>
        <v/>
      </c>
      <c r="AM213" s="59" t="str">
        <f>IFERROR(Inv_SY!X215/Inv_SY!$Z215-1,"")</f>
        <v/>
      </c>
    </row>
    <row r="214" spans="1:39" x14ac:dyDescent="0.3">
      <c r="A214" s="55">
        <f>YEAR(Table5[[#This Row],[Date]])+IF(MONTH(Table5[[#This Row],[Date]])&gt;=4,1,0)</f>
        <v>2026</v>
      </c>
      <c r="B214" s="55">
        <v>174</v>
      </c>
      <c r="C214" s="124">
        <f>YEAR(Table5[[#This Row],[Date]])</f>
        <v>2025</v>
      </c>
      <c r="D214" s="55" t="s">
        <v>329</v>
      </c>
      <c r="E214" s="55" t="s">
        <v>329</v>
      </c>
      <c r="F214" s="126" t="str">
        <f>TEXT(Table5[[#This Row],[Date]],"mmm-yy")</f>
        <v>Oct-25</v>
      </c>
      <c r="G214" s="124">
        <f t="shared" si="9"/>
        <v>31</v>
      </c>
      <c r="H214" s="125">
        <f t="shared" si="10"/>
        <v>45957</v>
      </c>
      <c r="I214" s="55">
        <v>8.02</v>
      </c>
      <c r="J214" s="59" t="str">
        <f>IFERROR(Inv_SY!J216/Inv_SY!$Y216-1,"")</f>
        <v/>
      </c>
      <c r="K214" s="59" t="str">
        <f>IFERROR(Inv_SY!K216/Inv_SY!$Y216-1,"")</f>
        <v/>
      </c>
      <c r="L214" s="59" t="str">
        <f>IFERROR(Inv_SY!L216/Inv_SY!$Y216-1,"")</f>
        <v/>
      </c>
      <c r="M214" s="59" t="str">
        <f>IFERROR(Inv_SY!M216/Inv_SY!$Y216-1,"")</f>
        <v/>
      </c>
      <c r="N214" s="59" t="str">
        <f>IFERROR(Inv_SY!N216/Inv_SY!$Y216-1,"")</f>
        <v/>
      </c>
      <c r="O214" s="59" t="str">
        <f>IFERROR(Inv_SY!O216/Inv_SY!$Y216-1,"")</f>
        <v/>
      </c>
      <c r="P214" s="59" t="str">
        <f>IFERROR(Inv_SY!P216/Inv_SY!$Y216-1,"")</f>
        <v/>
      </c>
      <c r="Q214" s="59" t="str">
        <f>IFERROR(Inv_SY!Q216/Inv_SY!$Y216-1,"")</f>
        <v/>
      </c>
      <c r="R214" s="59" t="str">
        <f>IFERROR(Inv_SY!R216/Inv_SY!$Y216-1,"")</f>
        <v/>
      </c>
      <c r="S214" s="59" t="str">
        <f>IFERROR(Inv_SY!S216/Inv_SY!$Y216-1,"")</f>
        <v/>
      </c>
      <c r="T214" s="59" t="str">
        <f>IFERROR(Inv_SY!T216/Inv_SY!$Y216-1,"")</f>
        <v/>
      </c>
      <c r="U214" s="59" t="str">
        <f>IFERROR(Inv_SY!U216/Inv_SY!$Y216-1,"")</f>
        <v/>
      </c>
      <c r="V214" s="59" t="str">
        <f>IFERROR(Inv_SY!J216/Inv_SY!$Z216-1,"")</f>
        <v/>
      </c>
      <c r="W214" s="59" t="str">
        <f>IFERROR(Inv_SY!K216/Inv_SY!$Z216-1,"")</f>
        <v/>
      </c>
      <c r="X214" s="59" t="str">
        <f>IFERROR(Inv_SY!L216/Inv_SY!$Z216-1,"")</f>
        <v/>
      </c>
      <c r="Y214" s="59" t="str">
        <f>IFERROR(Inv_SY!M216/Inv_SY!$Z216-1,"")</f>
        <v/>
      </c>
      <c r="Z214" s="59" t="str">
        <f>IFERROR(Inv_SY!N216/Inv_SY!$Z216-1,"")</f>
        <v/>
      </c>
      <c r="AA214" s="59" t="str">
        <f>IFERROR(Inv_SY!O216/Inv_SY!$Z216-1,"")</f>
        <v/>
      </c>
      <c r="AB214" s="59" t="str">
        <f>IFERROR(Inv_SY!P216/Inv_SY!$Z216-1,"")</f>
        <v/>
      </c>
      <c r="AC214" s="59" t="str">
        <f>IFERROR(Inv_SY!Q216/Inv_SY!$Z216-1,"")</f>
        <v/>
      </c>
      <c r="AD214" s="59" t="str">
        <f>IFERROR(Inv_SY!R216/Inv_SY!$Z216-1,"")</f>
        <v/>
      </c>
      <c r="AE214" s="59" t="str">
        <f>IFERROR(Inv_SY!S216/Inv_SY!$Z216-1,"")</f>
        <v/>
      </c>
      <c r="AF214" s="59" t="str">
        <f>IFERROR(Inv_SY!T216/Inv_SY!$Z216-1,"")</f>
        <v/>
      </c>
      <c r="AG214" s="59" t="str">
        <f>IFERROR(Inv_SY!U216/Inv_SY!$Z216-1,"")</f>
        <v/>
      </c>
      <c r="AH214" s="59" t="str">
        <f>IFERROR(Inv_SY!V216/Inv_SY!$Y216-1,"")</f>
        <v/>
      </c>
      <c r="AI214" s="59" t="str">
        <f>IFERROR(Inv_SY!W216/Inv_SY!$Y216-1,"")</f>
        <v/>
      </c>
      <c r="AJ214" s="59" t="str">
        <f>IFERROR(Inv_SY!X216/Inv_SY!$Y216-1,"")</f>
        <v/>
      </c>
      <c r="AK214" s="59" t="str">
        <f>IFERROR(Inv_SY!V216/Inv_SY!$Z216-1,"")</f>
        <v/>
      </c>
      <c r="AL214" s="59" t="str">
        <f>IFERROR(Inv_SY!W216/Inv_SY!$Z216-1,"")</f>
        <v/>
      </c>
      <c r="AM214" s="59" t="str">
        <f>IFERROR(Inv_SY!X216/Inv_SY!$Z216-1,"")</f>
        <v/>
      </c>
    </row>
    <row r="215" spans="1:39" x14ac:dyDescent="0.3">
      <c r="A215" s="55">
        <f>YEAR(Table5[[#This Row],[Date]])+IF(MONTH(Table5[[#This Row],[Date]])&gt;=4,1,0)</f>
        <v>2026</v>
      </c>
      <c r="B215" s="55">
        <v>175</v>
      </c>
      <c r="C215" s="124">
        <f>YEAR(Table5[[#This Row],[Date]])</f>
        <v>2025</v>
      </c>
      <c r="D215" s="55" t="s">
        <v>329</v>
      </c>
      <c r="E215" s="55" t="s">
        <v>329</v>
      </c>
      <c r="F215" s="126" t="str">
        <f>TEXT(Table5[[#This Row],[Date]],"mmm-yy")</f>
        <v>Oct-25</v>
      </c>
      <c r="G215" s="124">
        <f t="shared" si="9"/>
        <v>31</v>
      </c>
      <c r="H215" s="125">
        <f t="shared" si="10"/>
        <v>45958</v>
      </c>
      <c r="I215" s="55">
        <v>8.02</v>
      </c>
      <c r="J215" s="59" t="str">
        <f>IFERROR(Inv_SY!J217/Inv_SY!$Y217-1,"")</f>
        <v/>
      </c>
      <c r="K215" s="59" t="str">
        <f>IFERROR(Inv_SY!K217/Inv_SY!$Y217-1,"")</f>
        <v/>
      </c>
      <c r="L215" s="59" t="str">
        <f>IFERROR(Inv_SY!L217/Inv_SY!$Y217-1,"")</f>
        <v/>
      </c>
      <c r="M215" s="59" t="str">
        <f>IFERROR(Inv_SY!M217/Inv_SY!$Y217-1,"")</f>
        <v/>
      </c>
      <c r="N215" s="59" t="str">
        <f>IFERROR(Inv_SY!N217/Inv_SY!$Y217-1,"")</f>
        <v/>
      </c>
      <c r="O215" s="59" t="str">
        <f>IFERROR(Inv_SY!O217/Inv_SY!$Y217-1,"")</f>
        <v/>
      </c>
      <c r="P215" s="59" t="str">
        <f>IFERROR(Inv_SY!P217/Inv_SY!$Y217-1,"")</f>
        <v/>
      </c>
      <c r="Q215" s="59" t="str">
        <f>IFERROR(Inv_SY!Q217/Inv_SY!$Y217-1,"")</f>
        <v/>
      </c>
      <c r="R215" s="59" t="str">
        <f>IFERROR(Inv_SY!R217/Inv_SY!$Y217-1,"")</f>
        <v/>
      </c>
      <c r="S215" s="59" t="str">
        <f>IFERROR(Inv_SY!S217/Inv_SY!$Y217-1,"")</f>
        <v/>
      </c>
      <c r="T215" s="59" t="str">
        <f>IFERROR(Inv_SY!T217/Inv_SY!$Y217-1,"")</f>
        <v/>
      </c>
      <c r="U215" s="59" t="str">
        <f>IFERROR(Inv_SY!U217/Inv_SY!$Y217-1,"")</f>
        <v/>
      </c>
      <c r="V215" s="59" t="str">
        <f>IFERROR(Inv_SY!J217/Inv_SY!$Z217-1,"")</f>
        <v/>
      </c>
      <c r="W215" s="59" t="str">
        <f>IFERROR(Inv_SY!K217/Inv_SY!$Z217-1,"")</f>
        <v/>
      </c>
      <c r="X215" s="59" t="str">
        <f>IFERROR(Inv_SY!L217/Inv_SY!$Z217-1,"")</f>
        <v/>
      </c>
      <c r="Y215" s="59" t="str">
        <f>IFERROR(Inv_SY!M217/Inv_SY!$Z217-1,"")</f>
        <v/>
      </c>
      <c r="Z215" s="59" t="str">
        <f>IFERROR(Inv_SY!N217/Inv_SY!$Z217-1,"")</f>
        <v/>
      </c>
      <c r="AA215" s="59" t="str">
        <f>IFERROR(Inv_SY!O217/Inv_SY!$Z217-1,"")</f>
        <v/>
      </c>
      <c r="AB215" s="59" t="str">
        <f>IFERROR(Inv_SY!P217/Inv_SY!$Z217-1,"")</f>
        <v/>
      </c>
      <c r="AC215" s="59" t="str">
        <f>IFERROR(Inv_SY!Q217/Inv_SY!$Z217-1,"")</f>
        <v/>
      </c>
      <c r="AD215" s="59" t="str">
        <f>IFERROR(Inv_SY!R217/Inv_SY!$Z217-1,"")</f>
        <v/>
      </c>
      <c r="AE215" s="59" t="str">
        <f>IFERROR(Inv_SY!S217/Inv_SY!$Z217-1,"")</f>
        <v/>
      </c>
      <c r="AF215" s="59" t="str">
        <f>IFERROR(Inv_SY!T217/Inv_SY!$Z217-1,"")</f>
        <v/>
      </c>
      <c r="AG215" s="59" t="str">
        <f>IFERROR(Inv_SY!U217/Inv_SY!$Z217-1,"")</f>
        <v/>
      </c>
      <c r="AH215" s="59" t="str">
        <f>IFERROR(Inv_SY!V217/Inv_SY!$Y217-1,"")</f>
        <v/>
      </c>
      <c r="AI215" s="59" t="str">
        <f>IFERROR(Inv_SY!W217/Inv_SY!$Y217-1,"")</f>
        <v/>
      </c>
      <c r="AJ215" s="59" t="str">
        <f>IFERROR(Inv_SY!X217/Inv_SY!$Y217-1,"")</f>
        <v/>
      </c>
      <c r="AK215" s="59" t="str">
        <f>IFERROR(Inv_SY!V217/Inv_SY!$Z217-1,"")</f>
        <v/>
      </c>
      <c r="AL215" s="59" t="str">
        <f>IFERROR(Inv_SY!W217/Inv_SY!$Z217-1,"")</f>
        <v/>
      </c>
      <c r="AM215" s="59" t="str">
        <f>IFERROR(Inv_SY!X217/Inv_SY!$Z217-1,"")</f>
        <v/>
      </c>
    </row>
    <row r="216" spans="1:39" x14ac:dyDescent="0.3">
      <c r="A216" s="55">
        <f>YEAR(Table5[[#This Row],[Date]])+IF(MONTH(Table5[[#This Row],[Date]])&gt;=4,1,0)</f>
        <v>2026</v>
      </c>
      <c r="B216" s="55">
        <v>176</v>
      </c>
      <c r="C216" s="124">
        <f>YEAR(Table5[[#This Row],[Date]])</f>
        <v>2025</v>
      </c>
      <c r="D216" s="55" t="s">
        <v>329</v>
      </c>
      <c r="E216" s="55" t="s">
        <v>329</v>
      </c>
      <c r="F216" s="126" t="str">
        <f>TEXT(Table5[[#This Row],[Date]],"mmm-yy")</f>
        <v>Oct-25</v>
      </c>
      <c r="G216" s="124">
        <f t="shared" si="9"/>
        <v>31</v>
      </c>
      <c r="H216" s="125">
        <f t="shared" si="10"/>
        <v>45959</v>
      </c>
      <c r="I216" s="55">
        <v>8.02</v>
      </c>
      <c r="J216" s="59" t="str">
        <f>IFERROR(Inv_SY!J218/Inv_SY!$Y218-1,"")</f>
        <v/>
      </c>
      <c r="K216" s="59" t="str">
        <f>IFERROR(Inv_SY!K218/Inv_SY!$Y218-1,"")</f>
        <v/>
      </c>
      <c r="L216" s="59" t="str">
        <f>IFERROR(Inv_SY!L218/Inv_SY!$Y218-1,"")</f>
        <v/>
      </c>
      <c r="M216" s="59" t="str">
        <f>IFERROR(Inv_SY!M218/Inv_SY!$Y218-1,"")</f>
        <v/>
      </c>
      <c r="N216" s="59" t="str">
        <f>IFERROR(Inv_SY!N218/Inv_SY!$Y218-1,"")</f>
        <v/>
      </c>
      <c r="O216" s="59" t="str">
        <f>IFERROR(Inv_SY!O218/Inv_SY!$Y218-1,"")</f>
        <v/>
      </c>
      <c r="P216" s="59" t="str">
        <f>IFERROR(Inv_SY!P218/Inv_SY!$Y218-1,"")</f>
        <v/>
      </c>
      <c r="Q216" s="59" t="str">
        <f>IFERROR(Inv_SY!Q218/Inv_SY!$Y218-1,"")</f>
        <v/>
      </c>
      <c r="R216" s="59" t="str">
        <f>IFERROR(Inv_SY!R218/Inv_SY!$Y218-1,"")</f>
        <v/>
      </c>
      <c r="S216" s="59" t="str">
        <f>IFERROR(Inv_SY!S218/Inv_SY!$Y218-1,"")</f>
        <v/>
      </c>
      <c r="T216" s="59" t="str">
        <f>IFERROR(Inv_SY!T218/Inv_SY!$Y218-1,"")</f>
        <v/>
      </c>
      <c r="U216" s="59" t="str">
        <f>IFERROR(Inv_SY!U218/Inv_SY!$Y218-1,"")</f>
        <v/>
      </c>
      <c r="V216" s="59" t="str">
        <f>IFERROR(Inv_SY!J218/Inv_SY!$Z218-1,"")</f>
        <v/>
      </c>
      <c r="W216" s="59" t="str">
        <f>IFERROR(Inv_SY!K218/Inv_SY!$Z218-1,"")</f>
        <v/>
      </c>
      <c r="X216" s="59" t="str">
        <f>IFERROR(Inv_SY!L218/Inv_SY!$Z218-1,"")</f>
        <v/>
      </c>
      <c r="Y216" s="59" t="str">
        <f>IFERROR(Inv_SY!M218/Inv_SY!$Z218-1,"")</f>
        <v/>
      </c>
      <c r="Z216" s="59" t="str">
        <f>IFERROR(Inv_SY!N218/Inv_SY!$Z218-1,"")</f>
        <v/>
      </c>
      <c r="AA216" s="59" t="str">
        <f>IFERROR(Inv_SY!O218/Inv_SY!$Z218-1,"")</f>
        <v/>
      </c>
      <c r="AB216" s="59" t="str">
        <f>IFERROR(Inv_SY!P218/Inv_SY!$Z218-1,"")</f>
        <v/>
      </c>
      <c r="AC216" s="59" t="str">
        <f>IFERROR(Inv_SY!Q218/Inv_SY!$Z218-1,"")</f>
        <v/>
      </c>
      <c r="AD216" s="59" t="str">
        <f>IFERROR(Inv_SY!R218/Inv_SY!$Z218-1,"")</f>
        <v/>
      </c>
      <c r="AE216" s="59" t="str">
        <f>IFERROR(Inv_SY!S218/Inv_SY!$Z218-1,"")</f>
        <v/>
      </c>
      <c r="AF216" s="59" t="str">
        <f>IFERROR(Inv_SY!T218/Inv_SY!$Z218-1,"")</f>
        <v/>
      </c>
      <c r="AG216" s="59" t="str">
        <f>IFERROR(Inv_SY!U218/Inv_SY!$Z218-1,"")</f>
        <v/>
      </c>
      <c r="AH216" s="59" t="str">
        <f>IFERROR(Inv_SY!V218/Inv_SY!$Y218-1,"")</f>
        <v/>
      </c>
      <c r="AI216" s="59" t="str">
        <f>IFERROR(Inv_SY!W218/Inv_SY!$Y218-1,"")</f>
        <v/>
      </c>
      <c r="AJ216" s="59" t="str">
        <f>IFERROR(Inv_SY!X218/Inv_SY!$Y218-1,"")</f>
        <v/>
      </c>
      <c r="AK216" s="59" t="str">
        <f>IFERROR(Inv_SY!V218/Inv_SY!$Z218-1,"")</f>
        <v/>
      </c>
      <c r="AL216" s="59" t="str">
        <f>IFERROR(Inv_SY!W218/Inv_SY!$Z218-1,"")</f>
        <v/>
      </c>
      <c r="AM216" s="59" t="str">
        <f>IFERROR(Inv_SY!X218/Inv_SY!$Z218-1,"")</f>
        <v/>
      </c>
    </row>
    <row r="217" spans="1:39" x14ac:dyDescent="0.3">
      <c r="A217" s="55">
        <f>YEAR(Table5[[#This Row],[Date]])+IF(MONTH(Table5[[#This Row],[Date]])&gt;=4,1,0)</f>
        <v>2026</v>
      </c>
      <c r="B217" s="55">
        <v>177</v>
      </c>
      <c r="C217" s="124">
        <f>YEAR(Table5[[#This Row],[Date]])</f>
        <v>2025</v>
      </c>
      <c r="D217" s="55" t="s">
        <v>329</v>
      </c>
      <c r="E217" s="55" t="s">
        <v>329</v>
      </c>
      <c r="F217" s="126" t="str">
        <f>TEXT(Table5[[#This Row],[Date]],"mmm-yy")</f>
        <v>Oct-25</v>
      </c>
      <c r="G217" s="124">
        <f t="shared" si="9"/>
        <v>31</v>
      </c>
      <c r="H217" s="125">
        <f t="shared" si="10"/>
        <v>45960</v>
      </c>
      <c r="I217" s="55">
        <v>8.02</v>
      </c>
      <c r="J217" s="59" t="str">
        <f>IFERROR(Inv_SY!J219/Inv_SY!$Y219-1,"")</f>
        <v/>
      </c>
      <c r="K217" s="59" t="str">
        <f>IFERROR(Inv_SY!K219/Inv_SY!$Y219-1,"")</f>
        <v/>
      </c>
      <c r="L217" s="59" t="str">
        <f>IFERROR(Inv_SY!L219/Inv_SY!$Y219-1,"")</f>
        <v/>
      </c>
      <c r="M217" s="59" t="str">
        <f>IFERROR(Inv_SY!M219/Inv_SY!$Y219-1,"")</f>
        <v/>
      </c>
      <c r="N217" s="59" t="str">
        <f>IFERROR(Inv_SY!N219/Inv_SY!$Y219-1,"")</f>
        <v/>
      </c>
      <c r="O217" s="59" t="str">
        <f>IFERROR(Inv_SY!O219/Inv_SY!$Y219-1,"")</f>
        <v/>
      </c>
      <c r="P217" s="59" t="str">
        <f>IFERROR(Inv_SY!P219/Inv_SY!$Y219-1,"")</f>
        <v/>
      </c>
      <c r="Q217" s="59" t="str">
        <f>IFERROR(Inv_SY!Q219/Inv_SY!$Y219-1,"")</f>
        <v/>
      </c>
      <c r="R217" s="59" t="str">
        <f>IFERROR(Inv_SY!R219/Inv_SY!$Y219-1,"")</f>
        <v/>
      </c>
      <c r="S217" s="59" t="str">
        <f>IFERROR(Inv_SY!S219/Inv_SY!$Y219-1,"")</f>
        <v/>
      </c>
      <c r="T217" s="59" t="str">
        <f>IFERROR(Inv_SY!T219/Inv_SY!$Y219-1,"")</f>
        <v/>
      </c>
      <c r="U217" s="59" t="str">
        <f>IFERROR(Inv_SY!U219/Inv_SY!$Y219-1,"")</f>
        <v/>
      </c>
      <c r="V217" s="59" t="str">
        <f>IFERROR(Inv_SY!J219/Inv_SY!$Z219-1,"")</f>
        <v/>
      </c>
      <c r="W217" s="59" t="str">
        <f>IFERROR(Inv_SY!K219/Inv_SY!$Z219-1,"")</f>
        <v/>
      </c>
      <c r="X217" s="59" t="str">
        <f>IFERROR(Inv_SY!L219/Inv_SY!$Z219-1,"")</f>
        <v/>
      </c>
      <c r="Y217" s="59" t="str">
        <f>IFERROR(Inv_SY!M219/Inv_SY!$Z219-1,"")</f>
        <v/>
      </c>
      <c r="Z217" s="59" t="str">
        <f>IFERROR(Inv_SY!N219/Inv_SY!$Z219-1,"")</f>
        <v/>
      </c>
      <c r="AA217" s="59" t="str">
        <f>IFERROR(Inv_SY!O219/Inv_SY!$Z219-1,"")</f>
        <v/>
      </c>
      <c r="AB217" s="59" t="str">
        <f>IFERROR(Inv_SY!P219/Inv_SY!$Z219-1,"")</f>
        <v/>
      </c>
      <c r="AC217" s="59" t="str">
        <f>IFERROR(Inv_SY!Q219/Inv_SY!$Z219-1,"")</f>
        <v/>
      </c>
      <c r="AD217" s="59" t="str">
        <f>IFERROR(Inv_SY!R219/Inv_SY!$Z219-1,"")</f>
        <v/>
      </c>
      <c r="AE217" s="59" t="str">
        <f>IFERROR(Inv_SY!S219/Inv_SY!$Z219-1,"")</f>
        <v/>
      </c>
      <c r="AF217" s="59" t="str">
        <f>IFERROR(Inv_SY!T219/Inv_SY!$Z219-1,"")</f>
        <v/>
      </c>
      <c r="AG217" s="59" t="str">
        <f>IFERROR(Inv_SY!U219/Inv_SY!$Z219-1,"")</f>
        <v/>
      </c>
      <c r="AH217" s="59" t="str">
        <f>IFERROR(Inv_SY!V219/Inv_SY!$Y219-1,"")</f>
        <v/>
      </c>
      <c r="AI217" s="59" t="str">
        <f>IFERROR(Inv_SY!W219/Inv_SY!$Y219-1,"")</f>
        <v/>
      </c>
      <c r="AJ217" s="59" t="str">
        <f>IFERROR(Inv_SY!X219/Inv_SY!$Y219-1,"")</f>
        <v/>
      </c>
      <c r="AK217" s="59" t="str">
        <f>IFERROR(Inv_SY!V219/Inv_SY!$Z219-1,"")</f>
        <v/>
      </c>
      <c r="AL217" s="59" t="str">
        <f>IFERROR(Inv_SY!W219/Inv_SY!$Z219-1,"")</f>
        <v/>
      </c>
      <c r="AM217" s="59" t="str">
        <f>IFERROR(Inv_SY!X219/Inv_SY!$Z219-1,"")</f>
        <v/>
      </c>
    </row>
    <row r="218" spans="1:39" x14ac:dyDescent="0.3">
      <c r="A218" s="55">
        <f>YEAR(Table5[[#This Row],[Date]])+IF(MONTH(Table5[[#This Row],[Date]])&gt;=4,1,0)</f>
        <v>2026</v>
      </c>
      <c r="B218" s="55">
        <v>178</v>
      </c>
      <c r="C218" s="124">
        <f>YEAR(Table5[[#This Row],[Date]])</f>
        <v>2025</v>
      </c>
      <c r="D218" s="55" t="s">
        <v>329</v>
      </c>
      <c r="E218" s="55" t="s">
        <v>329</v>
      </c>
      <c r="F218" s="126" t="str">
        <f>TEXT(Table5[[#This Row],[Date]],"mmm-yy")</f>
        <v>Oct-25</v>
      </c>
      <c r="G218" s="124">
        <f t="shared" si="9"/>
        <v>31</v>
      </c>
      <c r="H218" s="125">
        <f t="shared" si="10"/>
        <v>45961</v>
      </c>
      <c r="I218" s="55">
        <v>8.02</v>
      </c>
      <c r="J218" s="59" t="str">
        <f>IFERROR(Inv_SY!J220/Inv_SY!$Y220-1,"")</f>
        <v/>
      </c>
      <c r="K218" s="59" t="str">
        <f>IFERROR(Inv_SY!K220/Inv_SY!$Y220-1,"")</f>
        <v/>
      </c>
      <c r="L218" s="59" t="str">
        <f>IFERROR(Inv_SY!L220/Inv_SY!$Y220-1,"")</f>
        <v/>
      </c>
      <c r="M218" s="59" t="str">
        <f>IFERROR(Inv_SY!M220/Inv_SY!$Y220-1,"")</f>
        <v/>
      </c>
      <c r="N218" s="59" t="str">
        <f>IFERROR(Inv_SY!N220/Inv_SY!$Y220-1,"")</f>
        <v/>
      </c>
      <c r="O218" s="59" t="str">
        <f>IFERROR(Inv_SY!O220/Inv_SY!$Y220-1,"")</f>
        <v/>
      </c>
      <c r="P218" s="59" t="str">
        <f>IFERROR(Inv_SY!P220/Inv_SY!$Y220-1,"")</f>
        <v/>
      </c>
      <c r="Q218" s="59" t="str">
        <f>IFERROR(Inv_SY!Q220/Inv_SY!$Y220-1,"")</f>
        <v/>
      </c>
      <c r="R218" s="59" t="str">
        <f>IFERROR(Inv_SY!R220/Inv_SY!$Y220-1,"")</f>
        <v/>
      </c>
      <c r="S218" s="59" t="str">
        <f>IFERROR(Inv_SY!S220/Inv_SY!$Y220-1,"")</f>
        <v/>
      </c>
      <c r="T218" s="59" t="str">
        <f>IFERROR(Inv_SY!T220/Inv_SY!$Y220-1,"")</f>
        <v/>
      </c>
      <c r="U218" s="59" t="str">
        <f>IFERROR(Inv_SY!U220/Inv_SY!$Y220-1,"")</f>
        <v/>
      </c>
      <c r="V218" s="59" t="str">
        <f>IFERROR(Inv_SY!J220/Inv_SY!$Z220-1,"")</f>
        <v/>
      </c>
      <c r="W218" s="59" t="str">
        <f>IFERROR(Inv_SY!K220/Inv_SY!$Z220-1,"")</f>
        <v/>
      </c>
      <c r="X218" s="59" t="str">
        <f>IFERROR(Inv_SY!L220/Inv_SY!$Z220-1,"")</f>
        <v/>
      </c>
      <c r="Y218" s="59" t="str">
        <f>IFERROR(Inv_SY!M220/Inv_SY!$Z220-1,"")</f>
        <v/>
      </c>
      <c r="Z218" s="59" t="str">
        <f>IFERROR(Inv_SY!N220/Inv_SY!$Z220-1,"")</f>
        <v/>
      </c>
      <c r="AA218" s="59" t="str">
        <f>IFERROR(Inv_SY!O220/Inv_SY!$Z220-1,"")</f>
        <v/>
      </c>
      <c r="AB218" s="59" t="str">
        <f>IFERROR(Inv_SY!P220/Inv_SY!$Z220-1,"")</f>
        <v/>
      </c>
      <c r="AC218" s="59" t="str">
        <f>IFERROR(Inv_SY!Q220/Inv_SY!$Z220-1,"")</f>
        <v/>
      </c>
      <c r="AD218" s="59" t="str">
        <f>IFERROR(Inv_SY!R220/Inv_SY!$Z220-1,"")</f>
        <v/>
      </c>
      <c r="AE218" s="59" t="str">
        <f>IFERROR(Inv_SY!S220/Inv_SY!$Z220-1,"")</f>
        <v/>
      </c>
      <c r="AF218" s="59" t="str">
        <f>IFERROR(Inv_SY!T220/Inv_SY!$Z220-1,"")</f>
        <v/>
      </c>
      <c r="AG218" s="59" t="str">
        <f>IFERROR(Inv_SY!U220/Inv_SY!$Z220-1,"")</f>
        <v/>
      </c>
      <c r="AH218" s="59" t="str">
        <f>IFERROR(Inv_SY!V220/Inv_SY!$Y220-1,"")</f>
        <v/>
      </c>
      <c r="AI218" s="59" t="str">
        <f>IFERROR(Inv_SY!W220/Inv_SY!$Y220-1,"")</f>
        <v/>
      </c>
      <c r="AJ218" s="59" t="str">
        <f>IFERROR(Inv_SY!X220/Inv_SY!$Y220-1,"")</f>
        <v/>
      </c>
      <c r="AK218" s="59" t="str">
        <f>IFERROR(Inv_SY!V220/Inv_SY!$Z220-1,"")</f>
        <v/>
      </c>
      <c r="AL218" s="59" t="str">
        <f>IFERROR(Inv_SY!W220/Inv_SY!$Z220-1,"")</f>
        <v/>
      </c>
      <c r="AM218" s="59" t="str">
        <f>IFERROR(Inv_SY!X220/Inv_SY!$Z220-1,"")</f>
        <v/>
      </c>
    </row>
    <row r="219" spans="1:39" x14ac:dyDescent="0.3">
      <c r="A219" s="55">
        <f>YEAR(Table5[[#This Row],[Date]])+IF(MONTH(Table5[[#This Row],[Date]])&gt;=4,1,0)</f>
        <v>2026</v>
      </c>
      <c r="B219" s="55">
        <v>179</v>
      </c>
      <c r="C219" s="124">
        <f>YEAR(Table5[[#This Row],[Date]])</f>
        <v>2025</v>
      </c>
      <c r="D219" s="55" t="s">
        <v>329</v>
      </c>
      <c r="E219" s="55" t="s">
        <v>329</v>
      </c>
      <c r="F219" s="126" t="str">
        <f>TEXT(Table5[[#This Row],[Date]],"mmm-yy")</f>
        <v>Nov-25</v>
      </c>
      <c r="G219" s="124">
        <f t="shared" si="9"/>
        <v>30</v>
      </c>
      <c r="H219" s="125">
        <f t="shared" si="10"/>
        <v>45962</v>
      </c>
      <c r="I219" s="55">
        <v>8.02</v>
      </c>
      <c r="J219" s="59" t="str">
        <f>IFERROR(Inv_SY!J221/Inv_SY!$Y221-1,"")</f>
        <v/>
      </c>
      <c r="K219" s="59" t="str">
        <f>IFERROR(Inv_SY!K221/Inv_SY!$Y221-1,"")</f>
        <v/>
      </c>
      <c r="L219" s="59" t="str">
        <f>IFERROR(Inv_SY!L221/Inv_SY!$Y221-1,"")</f>
        <v/>
      </c>
      <c r="M219" s="59" t="str">
        <f>IFERROR(Inv_SY!M221/Inv_SY!$Y221-1,"")</f>
        <v/>
      </c>
      <c r="N219" s="59" t="str">
        <f>IFERROR(Inv_SY!N221/Inv_SY!$Y221-1,"")</f>
        <v/>
      </c>
      <c r="O219" s="59" t="str">
        <f>IFERROR(Inv_SY!O221/Inv_SY!$Y221-1,"")</f>
        <v/>
      </c>
      <c r="P219" s="59" t="str">
        <f>IFERROR(Inv_SY!P221/Inv_SY!$Y221-1,"")</f>
        <v/>
      </c>
      <c r="Q219" s="59" t="str">
        <f>IFERROR(Inv_SY!Q221/Inv_SY!$Y221-1,"")</f>
        <v/>
      </c>
      <c r="R219" s="59" t="str">
        <f>IFERROR(Inv_SY!R221/Inv_SY!$Y221-1,"")</f>
        <v/>
      </c>
      <c r="S219" s="59" t="str">
        <f>IFERROR(Inv_SY!S221/Inv_SY!$Y221-1,"")</f>
        <v/>
      </c>
      <c r="T219" s="59" t="str">
        <f>IFERROR(Inv_SY!T221/Inv_SY!$Y221-1,"")</f>
        <v/>
      </c>
      <c r="U219" s="59" t="str">
        <f>IFERROR(Inv_SY!U221/Inv_SY!$Y221-1,"")</f>
        <v/>
      </c>
      <c r="V219" s="59" t="str">
        <f>IFERROR(Inv_SY!J221/Inv_SY!$Z221-1,"")</f>
        <v/>
      </c>
      <c r="W219" s="59" t="str">
        <f>IFERROR(Inv_SY!K221/Inv_SY!$Z221-1,"")</f>
        <v/>
      </c>
      <c r="X219" s="59" t="str">
        <f>IFERROR(Inv_SY!L221/Inv_SY!$Z221-1,"")</f>
        <v/>
      </c>
      <c r="Y219" s="59" t="str">
        <f>IFERROR(Inv_SY!M221/Inv_SY!$Z221-1,"")</f>
        <v/>
      </c>
      <c r="Z219" s="59" t="str">
        <f>IFERROR(Inv_SY!N221/Inv_SY!$Z221-1,"")</f>
        <v/>
      </c>
      <c r="AA219" s="59" t="str">
        <f>IFERROR(Inv_SY!O221/Inv_SY!$Z221-1,"")</f>
        <v/>
      </c>
      <c r="AB219" s="59" t="str">
        <f>IFERROR(Inv_SY!P221/Inv_SY!$Z221-1,"")</f>
        <v/>
      </c>
      <c r="AC219" s="59" t="str">
        <f>IFERROR(Inv_SY!Q221/Inv_SY!$Z221-1,"")</f>
        <v/>
      </c>
      <c r="AD219" s="59" t="str">
        <f>IFERROR(Inv_SY!R221/Inv_SY!$Z221-1,"")</f>
        <v/>
      </c>
      <c r="AE219" s="59" t="str">
        <f>IFERROR(Inv_SY!S221/Inv_SY!$Z221-1,"")</f>
        <v/>
      </c>
      <c r="AF219" s="59" t="str">
        <f>IFERROR(Inv_SY!T221/Inv_SY!$Z221-1,"")</f>
        <v/>
      </c>
      <c r="AG219" s="59" t="str">
        <f>IFERROR(Inv_SY!U221/Inv_SY!$Z221-1,"")</f>
        <v/>
      </c>
      <c r="AH219" s="59" t="str">
        <f>IFERROR(Inv_SY!V221/Inv_SY!$Y221-1,"")</f>
        <v/>
      </c>
      <c r="AI219" s="59" t="str">
        <f>IFERROR(Inv_SY!W221/Inv_SY!$Y221-1,"")</f>
        <v/>
      </c>
      <c r="AJ219" s="59" t="str">
        <f>IFERROR(Inv_SY!X221/Inv_SY!$Y221-1,"")</f>
        <v/>
      </c>
      <c r="AK219" s="59" t="str">
        <f>IFERROR(Inv_SY!V221/Inv_SY!$Z221-1,"")</f>
        <v/>
      </c>
      <c r="AL219" s="59" t="str">
        <f>IFERROR(Inv_SY!W221/Inv_SY!$Z221-1,"")</f>
        <v/>
      </c>
      <c r="AM219" s="59" t="str">
        <f>IFERROR(Inv_SY!X221/Inv_SY!$Z221-1,"")</f>
        <v/>
      </c>
    </row>
    <row r="220" spans="1:39" x14ac:dyDescent="0.3">
      <c r="A220" s="55">
        <f>YEAR(Table5[[#This Row],[Date]])+IF(MONTH(Table5[[#This Row],[Date]])&gt;=4,1,0)</f>
        <v>2026</v>
      </c>
      <c r="B220" s="55">
        <v>180</v>
      </c>
      <c r="C220" s="124">
        <f>YEAR(Table5[[#This Row],[Date]])</f>
        <v>2025</v>
      </c>
      <c r="D220" s="55" t="s">
        <v>329</v>
      </c>
      <c r="E220" s="55" t="s">
        <v>329</v>
      </c>
      <c r="F220" s="126" t="str">
        <f>TEXT(Table5[[#This Row],[Date]],"mmm-yy")</f>
        <v>Nov-25</v>
      </c>
      <c r="G220" s="124">
        <f t="shared" si="9"/>
        <v>30</v>
      </c>
      <c r="H220" s="125">
        <f t="shared" si="10"/>
        <v>45963</v>
      </c>
      <c r="I220" s="55">
        <v>8.02</v>
      </c>
      <c r="J220" s="59" t="str">
        <f>IFERROR(Inv_SY!J222/Inv_SY!$Y222-1,"")</f>
        <v/>
      </c>
      <c r="K220" s="59" t="str">
        <f>IFERROR(Inv_SY!K222/Inv_SY!$Y222-1,"")</f>
        <v/>
      </c>
      <c r="L220" s="59" t="str">
        <f>IFERROR(Inv_SY!L222/Inv_SY!$Y222-1,"")</f>
        <v/>
      </c>
      <c r="M220" s="59" t="str">
        <f>IFERROR(Inv_SY!M222/Inv_SY!$Y222-1,"")</f>
        <v/>
      </c>
      <c r="N220" s="59" t="str">
        <f>IFERROR(Inv_SY!N222/Inv_SY!$Y222-1,"")</f>
        <v/>
      </c>
      <c r="O220" s="59" t="str">
        <f>IFERROR(Inv_SY!O222/Inv_SY!$Y222-1,"")</f>
        <v/>
      </c>
      <c r="P220" s="59" t="str">
        <f>IFERROR(Inv_SY!P222/Inv_SY!$Y222-1,"")</f>
        <v/>
      </c>
      <c r="Q220" s="59" t="str">
        <f>IFERROR(Inv_SY!Q222/Inv_SY!$Y222-1,"")</f>
        <v/>
      </c>
      <c r="R220" s="59" t="str">
        <f>IFERROR(Inv_SY!R222/Inv_SY!$Y222-1,"")</f>
        <v/>
      </c>
      <c r="S220" s="59" t="str">
        <f>IFERROR(Inv_SY!S222/Inv_SY!$Y222-1,"")</f>
        <v/>
      </c>
      <c r="T220" s="59" t="str">
        <f>IFERROR(Inv_SY!T222/Inv_SY!$Y222-1,"")</f>
        <v/>
      </c>
      <c r="U220" s="59" t="str">
        <f>IFERROR(Inv_SY!U222/Inv_SY!$Y222-1,"")</f>
        <v/>
      </c>
      <c r="V220" s="59" t="str">
        <f>IFERROR(Inv_SY!J222/Inv_SY!$Z222-1,"")</f>
        <v/>
      </c>
      <c r="W220" s="59" t="str">
        <f>IFERROR(Inv_SY!K222/Inv_SY!$Z222-1,"")</f>
        <v/>
      </c>
      <c r="X220" s="59" t="str">
        <f>IFERROR(Inv_SY!L222/Inv_SY!$Z222-1,"")</f>
        <v/>
      </c>
      <c r="Y220" s="59" t="str">
        <f>IFERROR(Inv_SY!M222/Inv_SY!$Z222-1,"")</f>
        <v/>
      </c>
      <c r="Z220" s="59" t="str">
        <f>IFERROR(Inv_SY!N222/Inv_SY!$Z222-1,"")</f>
        <v/>
      </c>
      <c r="AA220" s="59" t="str">
        <f>IFERROR(Inv_SY!O222/Inv_SY!$Z222-1,"")</f>
        <v/>
      </c>
      <c r="AB220" s="59" t="str">
        <f>IFERROR(Inv_SY!P222/Inv_SY!$Z222-1,"")</f>
        <v/>
      </c>
      <c r="AC220" s="59" t="str">
        <f>IFERROR(Inv_SY!Q222/Inv_SY!$Z222-1,"")</f>
        <v/>
      </c>
      <c r="AD220" s="59" t="str">
        <f>IFERROR(Inv_SY!R222/Inv_SY!$Z222-1,"")</f>
        <v/>
      </c>
      <c r="AE220" s="59" t="str">
        <f>IFERROR(Inv_SY!S222/Inv_SY!$Z222-1,"")</f>
        <v/>
      </c>
      <c r="AF220" s="59" t="str">
        <f>IFERROR(Inv_SY!T222/Inv_SY!$Z222-1,"")</f>
        <v/>
      </c>
      <c r="AG220" s="59" t="str">
        <f>IFERROR(Inv_SY!U222/Inv_SY!$Z222-1,"")</f>
        <v/>
      </c>
      <c r="AH220" s="59" t="str">
        <f>IFERROR(Inv_SY!V222/Inv_SY!$Y222-1,"")</f>
        <v/>
      </c>
      <c r="AI220" s="59" t="str">
        <f>IFERROR(Inv_SY!W222/Inv_SY!$Y222-1,"")</f>
        <v/>
      </c>
      <c r="AJ220" s="59" t="str">
        <f>IFERROR(Inv_SY!X222/Inv_SY!$Y222-1,"")</f>
        <v/>
      </c>
      <c r="AK220" s="59" t="str">
        <f>IFERROR(Inv_SY!V222/Inv_SY!$Z222-1,"")</f>
        <v/>
      </c>
      <c r="AL220" s="59" t="str">
        <f>IFERROR(Inv_SY!W222/Inv_SY!$Z222-1,"")</f>
        <v/>
      </c>
      <c r="AM220" s="59" t="str">
        <f>IFERROR(Inv_SY!X222/Inv_SY!$Z222-1,"")</f>
        <v/>
      </c>
    </row>
    <row r="221" spans="1:39" x14ac:dyDescent="0.3">
      <c r="A221" s="55">
        <f>YEAR(Table5[[#This Row],[Date]])+IF(MONTH(Table5[[#This Row],[Date]])&gt;=4,1,0)</f>
        <v>2026</v>
      </c>
      <c r="B221" s="55">
        <v>181</v>
      </c>
      <c r="C221" s="124">
        <f>YEAR(Table5[[#This Row],[Date]])</f>
        <v>2025</v>
      </c>
      <c r="D221" s="55" t="s">
        <v>329</v>
      </c>
      <c r="E221" s="55" t="s">
        <v>329</v>
      </c>
      <c r="F221" s="126" t="str">
        <f>TEXT(Table5[[#This Row],[Date]],"mmm-yy")</f>
        <v>Nov-25</v>
      </c>
      <c r="G221" s="124">
        <f t="shared" si="9"/>
        <v>30</v>
      </c>
      <c r="H221" s="125">
        <f t="shared" si="10"/>
        <v>45964</v>
      </c>
      <c r="I221" s="55">
        <v>8.02</v>
      </c>
      <c r="J221" s="59" t="str">
        <f>IFERROR(Inv_SY!J223/Inv_SY!$Y223-1,"")</f>
        <v/>
      </c>
      <c r="K221" s="59" t="str">
        <f>IFERROR(Inv_SY!K223/Inv_SY!$Y223-1,"")</f>
        <v/>
      </c>
      <c r="L221" s="59" t="str">
        <f>IFERROR(Inv_SY!L223/Inv_SY!$Y223-1,"")</f>
        <v/>
      </c>
      <c r="M221" s="59" t="str">
        <f>IFERROR(Inv_SY!M223/Inv_SY!$Y223-1,"")</f>
        <v/>
      </c>
      <c r="N221" s="59" t="str">
        <f>IFERROR(Inv_SY!N223/Inv_SY!$Y223-1,"")</f>
        <v/>
      </c>
      <c r="O221" s="59" t="str">
        <f>IFERROR(Inv_SY!O223/Inv_SY!$Y223-1,"")</f>
        <v/>
      </c>
      <c r="P221" s="59" t="str">
        <f>IFERROR(Inv_SY!P223/Inv_SY!$Y223-1,"")</f>
        <v/>
      </c>
      <c r="Q221" s="59" t="str">
        <f>IFERROR(Inv_SY!Q223/Inv_SY!$Y223-1,"")</f>
        <v/>
      </c>
      <c r="R221" s="59" t="str">
        <f>IFERROR(Inv_SY!R223/Inv_SY!$Y223-1,"")</f>
        <v/>
      </c>
      <c r="S221" s="59" t="str">
        <f>IFERROR(Inv_SY!S223/Inv_SY!$Y223-1,"")</f>
        <v/>
      </c>
      <c r="T221" s="59" t="str">
        <f>IFERROR(Inv_SY!T223/Inv_SY!$Y223-1,"")</f>
        <v/>
      </c>
      <c r="U221" s="59" t="str">
        <f>IFERROR(Inv_SY!U223/Inv_SY!$Y223-1,"")</f>
        <v/>
      </c>
      <c r="V221" s="59" t="str">
        <f>IFERROR(Inv_SY!J223/Inv_SY!$Z223-1,"")</f>
        <v/>
      </c>
      <c r="W221" s="59" t="str">
        <f>IFERROR(Inv_SY!K223/Inv_SY!$Z223-1,"")</f>
        <v/>
      </c>
      <c r="X221" s="59" t="str">
        <f>IFERROR(Inv_SY!L223/Inv_SY!$Z223-1,"")</f>
        <v/>
      </c>
      <c r="Y221" s="59" t="str">
        <f>IFERROR(Inv_SY!M223/Inv_SY!$Z223-1,"")</f>
        <v/>
      </c>
      <c r="Z221" s="59" t="str">
        <f>IFERROR(Inv_SY!N223/Inv_SY!$Z223-1,"")</f>
        <v/>
      </c>
      <c r="AA221" s="59" t="str">
        <f>IFERROR(Inv_SY!O223/Inv_SY!$Z223-1,"")</f>
        <v/>
      </c>
      <c r="AB221" s="59" t="str">
        <f>IFERROR(Inv_SY!P223/Inv_SY!$Z223-1,"")</f>
        <v/>
      </c>
      <c r="AC221" s="59" t="str">
        <f>IFERROR(Inv_SY!Q223/Inv_SY!$Z223-1,"")</f>
        <v/>
      </c>
      <c r="AD221" s="59" t="str">
        <f>IFERROR(Inv_SY!R223/Inv_SY!$Z223-1,"")</f>
        <v/>
      </c>
      <c r="AE221" s="59" t="str">
        <f>IFERROR(Inv_SY!S223/Inv_SY!$Z223-1,"")</f>
        <v/>
      </c>
      <c r="AF221" s="59" t="str">
        <f>IFERROR(Inv_SY!T223/Inv_SY!$Z223-1,"")</f>
        <v/>
      </c>
      <c r="AG221" s="59" t="str">
        <f>IFERROR(Inv_SY!U223/Inv_SY!$Z223-1,"")</f>
        <v/>
      </c>
      <c r="AH221" s="59" t="str">
        <f>IFERROR(Inv_SY!V223/Inv_SY!$Y223-1,"")</f>
        <v/>
      </c>
      <c r="AI221" s="59" t="str">
        <f>IFERROR(Inv_SY!W223/Inv_SY!$Y223-1,"")</f>
        <v/>
      </c>
      <c r="AJ221" s="59" t="str">
        <f>IFERROR(Inv_SY!X223/Inv_SY!$Y223-1,"")</f>
        <v/>
      </c>
      <c r="AK221" s="59" t="str">
        <f>IFERROR(Inv_SY!V223/Inv_SY!$Z223-1,"")</f>
        <v/>
      </c>
      <c r="AL221" s="59" t="str">
        <f>IFERROR(Inv_SY!W223/Inv_SY!$Z223-1,"")</f>
        <v/>
      </c>
      <c r="AM221" s="59" t="str">
        <f>IFERROR(Inv_SY!X223/Inv_SY!$Z223-1,"")</f>
        <v/>
      </c>
    </row>
    <row r="222" spans="1:39" x14ac:dyDescent="0.3">
      <c r="A222" s="55">
        <f>YEAR(Table5[[#This Row],[Date]])+IF(MONTH(Table5[[#This Row],[Date]])&gt;=4,1,0)</f>
        <v>2026</v>
      </c>
      <c r="B222" s="55">
        <v>182</v>
      </c>
      <c r="C222" s="124">
        <f>YEAR(Table5[[#This Row],[Date]])</f>
        <v>2025</v>
      </c>
      <c r="D222" s="55" t="s">
        <v>329</v>
      </c>
      <c r="E222" s="55" t="s">
        <v>329</v>
      </c>
      <c r="F222" s="126" t="str">
        <f>TEXT(Table5[[#This Row],[Date]],"mmm-yy")</f>
        <v>Nov-25</v>
      </c>
      <c r="G222" s="124">
        <f t="shared" si="9"/>
        <v>30</v>
      </c>
      <c r="H222" s="125">
        <f t="shared" si="10"/>
        <v>45965</v>
      </c>
      <c r="I222" s="55">
        <v>8.02</v>
      </c>
      <c r="J222" s="59" t="str">
        <f>IFERROR(Inv_SY!J224/Inv_SY!$Y224-1,"")</f>
        <v/>
      </c>
      <c r="K222" s="59" t="str">
        <f>IFERROR(Inv_SY!K224/Inv_SY!$Y224-1,"")</f>
        <v/>
      </c>
      <c r="L222" s="59" t="str">
        <f>IFERROR(Inv_SY!L224/Inv_SY!$Y224-1,"")</f>
        <v/>
      </c>
      <c r="M222" s="59" t="str">
        <f>IFERROR(Inv_SY!M224/Inv_SY!$Y224-1,"")</f>
        <v/>
      </c>
      <c r="N222" s="59" t="str">
        <f>IFERROR(Inv_SY!N224/Inv_SY!$Y224-1,"")</f>
        <v/>
      </c>
      <c r="O222" s="59" t="str">
        <f>IFERROR(Inv_SY!O224/Inv_SY!$Y224-1,"")</f>
        <v/>
      </c>
      <c r="P222" s="59" t="str">
        <f>IFERROR(Inv_SY!P224/Inv_SY!$Y224-1,"")</f>
        <v/>
      </c>
      <c r="Q222" s="59" t="str">
        <f>IFERROR(Inv_SY!Q224/Inv_SY!$Y224-1,"")</f>
        <v/>
      </c>
      <c r="R222" s="59" t="str">
        <f>IFERROR(Inv_SY!R224/Inv_SY!$Y224-1,"")</f>
        <v/>
      </c>
      <c r="S222" s="59" t="str">
        <f>IFERROR(Inv_SY!S224/Inv_SY!$Y224-1,"")</f>
        <v/>
      </c>
      <c r="T222" s="59" t="str">
        <f>IFERROR(Inv_SY!T224/Inv_SY!$Y224-1,"")</f>
        <v/>
      </c>
      <c r="U222" s="59" t="str">
        <f>IFERROR(Inv_SY!U224/Inv_SY!$Y224-1,"")</f>
        <v/>
      </c>
      <c r="V222" s="59" t="str">
        <f>IFERROR(Inv_SY!J224/Inv_SY!$Z224-1,"")</f>
        <v/>
      </c>
      <c r="W222" s="59" t="str">
        <f>IFERROR(Inv_SY!K224/Inv_SY!$Z224-1,"")</f>
        <v/>
      </c>
      <c r="X222" s="59" t="str">
        <f>IFERROR(Inv_SY!L224/Inv_SY!$Z224-1,"")</f>
        <v/>
      </c>
      <c r="Y222" s="59" t="str">
        <f>IFERROR(Inv_SY!M224/Inv_SY!$Z224-1,"")</f>
        <v/>
      </c>
      <c r="Z222" s="59" t="str">
        <f>IFERROR(Inv_SY!N224/Inv_SY!$Z224-1,"")</f>
        <v/>
      </c>
      <c r="AA222" s="59" t="str">
        <f>IFERROR(Inv_SY!O224/Inv_SY!$Z224-1,"")</f>
        <v/>
      </c>
      <c r="AB222" s="59" t="str">
        <f>IFERROR(Inv_SY!P224/Inv_SY!$Z224-1,"")</f>
        <v/>
      </c>
      <c r="AC222" s="59" t="str">
        <f>IFERROR(Inv_SY!Q224/Inv_SY!$Z224-1,"")</f>
        <v/>
      </c>
      <c r="AD222" s="59" t="str">
        <f>IFERROR(Inv_SY!R224/Inv_SY!$Z224-1,"")</f>
        <v/>
      </c>
      <c r="AE222" s="59" t="str">
        <f>IFERROR(Inv_SY!S224/Inv_SY!$Z224-1,"")</f>
        <v/>
      </c>
      <c r="AF222" s="59" t="str">
        <f>IFERROR(Inv_SY!T224/Inv_SY!$Z224-1,"")</f>
        <v/>
      </c>
      <c r="AG222" s="59" t="str">
        <f>IFERROR(Inv_SY!U224/Inv_SY!$Z224-1,"")</f>
        <v/>
      </c>
      <c r="AH222" s="59" t="str">
        <f>IFERROR(Inv_SY!V224/Inv_SY!$Y224-1,"")</f>
        <v/>
      </c>
      <c r="AI222" s="59" t="str">
        <f>IFERROR(Inv_SY!W224/Inv_SY!$Y224-1,"")</f>
        <v/>
      </c>
      <c r="AJ222" s="59" t="str">
        <f>IFERROR(Inv_SY!X224/Inv_SY!$Y224-1,"")</f>
        <v/>
      </c>
      <c r="AK222" s="59" t="str">
        <f>IFERROR(Inv_SY!V224/Inv_SY!$Z224-1,"")</f>
        <v/>
      </c>
      <c r="AL222" s="59" t="str">
        <f>IFERROR(Inv_SY!W224/Inv_SY!$Z224-1,"")</f>
        <v/>
      </c>
      <c r="AM222" s="59" t="str">
        <f>IFERROR(Inv_SY!X224/Inv_SY!$Z224-1,"")</f>
        <v/>
      </c>
    </row>
    <row r="223" spans="1:39" x14ac:dyDescent="0.3">
      <c r="A223" s="55">
        <f>YEAR(Table5[[#This Row],[Date]])+IF(MONTH(Table5[[#This Row],[Date]])&gt;=4,1,0)</f>
        <v>2026</v>
      </c>
      <c r="B223" s="55">
        <v>183</v>
      </c>
      <c r="C223" s="124">
        <f>YEAR(Table5[[#This Row],[Date]])</f>
        <v>2025</v>
      </c>
      <c r="D223" s="55" t="s">
        <v>329</v>
      </c>
      <c r="E223" s="55" t="s">
        <v>329</v>
      </c>
      <c r="F223" s="126" t="str">
        <f>TEXT(Table5[[#This Row],[Date]],"mmm-yy")</f>
        <v>Nov-25</v>
      </c>
      <c r="G223" s="124">
        <f t="shared" si="9"/>
        <v>30</v>
      </c>
      <c r="H223" s="125">
        <f t="shared" si="10"/>
        <v>45966</v>
      </c>
      <c r="I223" s="55">
        <v>8.02</v>
      </c>
      <c r="J223" s="59" t="str">
        <f>IFERROR(Inv_SY!J225/Inv_SY!$Y225-1,"")</f>
        <v/>
      </c>
      <c r="K223" s="59" t="str">
        <f>IFERROR(Inv_SY!K225/Inv_SY!$Y225-1,"")</f>
        <v/>
      </c>
      <c r="L223" s="59" t="str">
        <f>IFERROR(Inv_SY!L225/Inv_SY!$Y225-1,"")</f>
        <v/>
      </c>
      <c r="M223" s="59" t="str">
        <f>IFERROR(Inv_SY!M225/Inv_SY!$Y225-1,"")</f>
        <v/>
      </c>
      <c r="N223" s="59" t="str">
        <f>IFERROR(Inv_SY!N225/Inv_SY!$Y225-1,"")</f>
        <v/>
      </c>
      <c r="O223" s="59" t="str">
        <f>IFERROR(Inv_SY!O225/Inv_SY!$Y225-1,"")</f>
        <v/>
      </c>
      <c r="P223" s="59" t="str">
        <f>IFERROR(Inv_SY!P225/Inv_SY!$Y225-1,"")</f>
        <v/>
      </c>
      <c r="Q223" s="59" t="str">
        <f>IFERROR(Inv_SY!Q225/Inv_SY!$Y225-1,"")</f>
        <v/>
      </c>
      <c r="R223" s="59" t="str">
        <f>IFERROR(Inv_SY!R225/Inv_SY!$Y225-1,"")</f>
        <v/>
      </c>
      <c r="S223" s="59" t="str">
        <f>IFERROR(Inv_SY!S225/Inv_SY!$Y225-1,"")</f>
        <v/>
      </c>
      <c r="T223" s="59" t="str">
        <f>IFERROR(Inv_SY!T225/Inv_SY!$Y225-1,"")</f>
        <v/>
      </c>
      <c r="U223" s="59" t="str">
        <f>IFERROR(Inv_SY!U225/Inv_SY!$Y225-1,"")</f>
        <v/>
      </c>
      <c r="V223" s="59" t="str">
        <f>IFERROR(Inv_SY!J225/Inv_SY!$Z225-1,"")</f>
        <v/>
      </c>
      <c r="W223" s="59" t="str">
        <f>IFERROR(Inv_SY!K225/Inv_SY!$Z225-1,"")</f>
        <v/>
      </c>
      <c r="X223" s="59" t="str">
        <f>IFERROR(Inv_SY!L225/Inv_SY!$Z225-1,"")</f>
        <v/>
      </c>
      <c r="Y223" s="59" t="str">
        <f>IFERROR(Inv_SY!M225/Inv_SY!$Z225-1,"")</f>
        <v/>
      </c>
      <c r="Z223" s="59" t="str">
        <f>IFERROR(Inv_SY!N225/Inv_SY!$Z225-1,"")</f>
        <v/>
      </c>
      <c r="AA223" s="59" t="str">
        <f>IFERROR(Inv_SY!O225/Inv_SY!$Z225-1,"")</f>
        <v/>
      </c>
      <c r="AB223" s="59" t="str">
        <f>IFERROR(Inv_SY!P225/Inv_SY!$Z225-1,"")</f>
        <v/>
      </c>
      <c r="AC223" s="59" t="str">
        <f>IFERROR(Inv_SY!Q225/Inv_SY!$Z225-1,"")</f>
        <v/>
      </c>
      <c r="AD223" s="59" t="str">
        <f>IFERROR(Inv_SY!R225/Inv_SY!$Z225-1,"")</f>
        <v/>
      </c>
      <c r="AE223" s="59" t="str">
        <f>IFERROR(Inv_SY!S225/Inv_SY!$Z225-1,"")</f>
        <v/>
      </c>
      <c r="AF223" s="59" t="str">
        <f>IFERROR(Inv_SY!T225/Inv_SY!$Z225-1,"")</f>
        <v/>
      </c>
      <c r="AG223" s="59" t="str">
        <f>IFERROR(Inv_SY!U225/Inv_SY!$Z225-1,"")</f>
        <v/>
      </c>
      <c r="AH223" s="59" t="str">
        <f>IFERROR(Inv_SY!V225/Inv_SY!$Y225-1,"")</f>
        <v/>
      </c>
      <c r="AI223" s="59" t="str">
        <f>IFERROR(Inv_SY!W225/Inv_SY!$Y225-1,"")</f>
        <v/>
      </c>
      <c r="AJ223" s="59" t="str">
        <f>IFERROR(Inv_SY!X225/Inv_SY!$Y225-1,"")</f>
        <v/>
      </c>
      <c r="AK223" s="59" t="str">
        <f>IFERROR(Inv_SY!V225/Inv_SY!$Z225-1,"")</f>
        <v/>
      </c>
      <c r="AL223" s="59" t="str">
        <f>IFERROR(Inv_SY!W225/Inv_SY!$Z225-1,"")</f>
        <v/>
      </c>
      <c r="AM223" s="59" t="str">
        <f>IFERROR(Inv_SY!X225/Inv_SY!$Z225-1,"")</f>
        <v/>
      </c>
    </row>
    <row r="224" spans="1:39" x14ac:dyDescent="0.3">
      <c r="A224" s="55">
        <f>YEAR(Table5[[#This Row],[Date]])+IF(MONTH(Table5[[#This Row],[Date]])&gt;=4,1,0)</f>
        <v>2026</v>
      </c>
      <c r="B224" s="55">
        <v>184</v>
      </c>
      <c r="C224" s="124">
        <f>YEAR(Table5[[#This Row],[Date]])</f>
        <v>2025</v>
      </c>
      <c r="D224" s="55" t="s">
        <v>329</v>
      </c>
      <c r="E224" s="55" t="s">
        <v>329</v>
      </c>
      <c r="F224" s="126" t="str">
        <f>TEXT(Table5[[#This Row],[Date]],"mmm-yy")</f>
        <v>Nov-25</v>
      </c>
      <c r="G224" s="124">
        <f t="shared" si="9"/>
        <v>30</v>
      </c>
      <c r="H224" s="125">
        <f t="shared" si="10"/>
        <v>45967</v>
      </c>
      <c r="I224" s="55">
        <v>8.02</v>
      </c>
      <c r="J224" s="59" t="str">
        <f>IFERROR(Inv_SY!J226/Inv_SY!$Y226-1,"")</f>
        <v/>
      </c>
      <c r="K224" s="59" t="str">
        <f>IFERROR(Inv_SY!K226/Inv_SY!$Y226-1,"")</f>
        <v/>
      </c>
      <c r="L224" s="59" t="str">
        <f>IFERROR(Inv_SY!L226/Inv_SY!$Y226-1,"")</f>
        <v/>
      </c>
      <c r="M224" s="59" t="str">
        <f>IFERROR(Inv_SY!M226/Inv_SY!$Y226-1,"")</f>
        <v/>
      </c>
      <c r="N224" s="59" t="str">
        <f>IFERROR(Inv_SY!N226/Inv_SY!$Y226-1,"")</f>
        <v/>
      </c>
      <c r="O224" s="59" t="str">
        <f>IFERROR(Inv_SY!O226/Inv_SY!$Y226-1,"")</f>
        <v/>
      </c>
      <c r="P224" s="59" t="str">
        <f>IFERROR(Inv_SY!P226/Inv_SY!$Y226-1,"")</f>
        <v/>
      </c>
      <c r="Q224" s="59" t="str">
        <f>IFERROR(Inv_SY!Q226/Inv_SY!$Y226-1,"")</f>
        <v/>
      </c>
      <c r="R224" s="59" t="str">
        <f>IFERROR(Inv_SY!R226/Inv_SY!$Y226-1,"")</f>
        <v/>
      </c>
      <c r="S224" s="59" t="str">
        <f>IFERROR(Inv_SY!S226/Inv_SY!$Y226-1,"")</f>
        <v/>
      </c>
      <c r="T224" s="59" t="str">
        <f>IFERROR(Inv_SY!T226/Inv_SY!$Y226-1,"")</f>
        <v/>
      </c>
      <c r="U224" s="59" t="str">
        <f>IFERROR(Inv_SY!U226/Inv_SY!$Y226-1,"")</f>
        <v/>
      </c>
      <c r="V224" s="59" t="str">
        <f>IFERROR(Inv_SY!J226/Inv_SY!$Z226-1,"")</f>
        <v/>
      </c>
      <c r="W224" s="59" t="str">
        <f>IFERROR(Inv_SY!K226/Inv_SY!$Z226-1,"")</f>
        <v/>
      </c>
      <c r="X224" s="59" t="str">
        <f>IFERROR(Inv_SY!L226/Inv_SY!$Z226-1,"")</f>
        <v/>
      </c>
      <c r="Y224" s="59" t="str">
        <f>IFERROR(Inv_SY!M226/Inv_SY!$Z226-1,"")</f>
        <v/>
      </c>
      <c r="Z224" s="59" t="str">
        <f>IFERROR(Inv_SY!N226/Inv_SY!$Z226-1,"")</f>
        <v/>
      </c>
      <c r="AA224" s="59" t="str">
        <f>IFERROR(Inv_SY!O226/Inv_SY!$Z226-1,"")</f>
        <v/>
      </c>
      <c r="AB224" s="59" t="str">
        <f>IFERROR(Inv_SY!P226/Inv_SY!$Z226-1,"")</f>
        <v/>
      </c>
      <c r="AC224" s="59" t="str">
        <f>IFERROR(Inv_SY!Q226/Inv_SY!$Z226-1,"")</f>
        <v/>
      </c>
      <c r="AD224" s="59" t="str">
        <f>IFERROR(Inv_SY!R226/Inv_SY!$Z226-1,"")</f>
        <v/>
      </c>
      <c r="AE224" s="59" t="str">
        <f>IFERROR(Inv_SY!S226/Inv_SY!$Z226-1,"")</f>
        <v/>
      </c>
      <c r="AF224" s="59" t="str">
        <f>IFERROR(Inv_SY!T226/Inv_SY!$Z226-1,"")</f>
        <v/>
      </c>
      <c r="AG224" s="59" t="str">
        <f>IFERROR(Inv_SY!U226/Inv_SY!$Z226-1,"")</f>
        <v/>
      </c>
      <c r="AH224" s="59" t="str">
        <f>IFERROR(Inv_SY!V226/Inv_SY!$Y226-1,"")</f>
        <v/>
      </c>
      <c r="AI224" s="59" t="str">
        <f>IFERROR(Inv_SY!W226/Inv_SY!$Y226-1,"")</f>
        <v/>
      </c>
      <c r="AJ224" s="59" t="str">
        <f>IFERROR(Inv_SY!X226/Inv_SY!$Y226-1,"")</f>
        <v/>
      </c>
      <c r="AK224" s="59" t="str">
        <f>IFERROR(Inv_SY!V226/Inv_SY!$Z226-1,"")</f>
        <v/>
      </c>
      <c r="AL224" s="59" t="str">
        <f>IFERROR(Inv_SY!W226/Inv_SY!$Z226-1,"")</f>
        <v/>
      </c>
      <c r="AM224" s="59" t="str">
        <f>IFERROR(Inv_SY!X226/Inv_SY!$Z226-1,"")</f>
        <v/>
      </c>
    </row>
    <row r="225" spans="1:39" x14ac:dyDescent="0.3">
      <c r="A225" s="55">
        <f>YEAR(Table5[[#This Row],[Date]])+IF(MONTH(Table5[[#This Row],[Date]])&gt;=4,1,0)</f>
        <v>2026</v>
      </c>
      <c r="B225" s="55">
        <v>185</v>
      </c>
      <c r="C225" s="124">
        <f>YEAR(Table5[[#This Row],[Date]])</f>
        <v>2025</v>
      </c>
      <c r="D225" s="55" t="s">
        <v>329</v>
      </c>
      <c r="E225" s="55" t="s">
        <v>329</v>
      </c>
      <c r="F225" s="126" t="str">
        <f>TEXT(Table5[[#This Row],[Date]],"mmm-yy")</f>
        <v>Nov-25</v>
      </c>
      <c r="G225" s="124">
        <f t="shared" si="9"/>
        <v>30</v>
      </c>
      <c r="H225" s="125">
        <f t="shared" si="10"/>
        <v>45968</v>
      </c>
      <c r="I225" s="55">
        <v>8.02</v>
      </c>
      <c r="J225" s="59" t="str">
        <f>IFERROR(Inv_SY!J227/Inv_SY!$Y227-1,"")</f>
        <v/>
      </c>
      <c r="K225" s="59" t="str">
        <f>IFERROR(Inv_SY!K227/Inv_SY!$Y227-1,"")</f>
        <v/>
      </c>
      <c r="L225" s="59" t="str">
        <f>IFERROR(Inv_SY!L227/Inv_SY!$Y227-1,"")</f>
        <v/>
      </c>
      <c r="M225" s="59" t="str">
        <f>IFERROR(Inv_SY!M227/Inv_SY!$Y227-1,"")</f>
        <v/>
      </c>
      <c r="N225" s="59" t="str">
        <f>IFERROR(Inv_SY!N227/Inv_SY!$Y227-1,"")</f>
        <v/>
      </c>
      <c r="O225" s="59" t="str">
        <f>IFERROR(Inv_SY!O227/Inv_SY!$Y227-1,"")</f>
        <v/>
      </c>
      <c r="P225" s="59" t="str">
        <f>IFERROR(Inv_SY!P227/Inv_SY!$Y227-1,"")</f>
        <v/>
      </c>
      <c r="Q225" s="59" t="str">
        <f>IFERROR(Inv_SY!Q227/Inv_SY!$Y227-1,"")</f>
        <v/>
      </c>
      <c r="R225" s="59" t="str">
        <f>IFERROR(Inv_SY!R227/Inv_SY!$Y227-1,"")</f>
        <v/>
      </c>
      <c r="S225" s="59" t="str">
        <f>IFERROR(Inv_SY!S227/Inv_SY!$Y227-1,"")</f>
        <v/>
      </c>
      <c r="T225" s="59" t="str">
        <f>IFERROR(Inv_SY!T227/Inv_SY!$Y227-1,"")</f>
        <v/>
      </c>
      <c r="U225" s="59" t="str">
        <f>IFERROR(Inv_SY!U227/Inv_SY!$Y227-1,"")</f>
        <v/>
      </c>
      <c r="V225" s="59" t="str">
        <f>IFERROR(Inv_SY!J227/Inv_SY!$Z227-1,"")</f>
        <v/>
      </c>
      <c r="W225" s="59" t="str">
        <f>IFERROR(Inv_SY!K227/Inv_SY!$Z227-1,"")</f>
        <v/>
      </c>
      <c r="X225" s="59" t="str">
        <f>IFERROR(Inv_SY!L227/Inv_SY!$Z227-1,"")</f>
        <v/>
      </c>
      <c r="Y225" s="59" t="str">
        <f>IFERROR(Inv_SY!M227/Inv_SY!$Z227-1,"")</f>
        <v/>
      </c>
      <c r="Z225" s="59" t="str">
        <f>IFERROR(Inv_SY!N227/Inv_SY!$Z227-1,"")</f>
        <v/>
      </c>
      <c r="AA225" s="59" t="str">
        <f>IFERROR(Inv_SY!O227/Inv_SY!$Z227-1,"")</f>
        <v/>
      </c>
      <c r="AB225" s="59" t="str">
        <f>IFERROR(Inv_SY!P227/Inv_SY!$Z227-1,"")</f>
        <v/>
      </c>
      <c r="AC225" s="59" t="str">
        <f>IFERROR(Inv_SY!Q227/Inv_SY!$Z227-1,"")</f>
        <v/>
      </c>
      <c r="AD225" s="59" t="str">
        <f>IFERROR(Inv_SY!R227/Inv_SY!$Z227-1,"")</f>
        <v/>
      </c>
      <c r="AE225" s="59" t="str">
        <f>IFERROR(Inv_SY!S227/Inv_SY!$Z227-1,"")</f>
        <v/>
      </c>
      <c r="AF225" s="59" t="str">
        <f>IFERROR(Inv_SY!T227/Inv_SY!$Z227-1,"")</f>
        <v/>
      </c>
      <c r="AG225" s="59" t="str">
        <f>IFERROR(Inv_SY!U227/Inv_SY!$Z227-1,"")</f>
        <v/>
      </c>
      <c r="AH225" s="59" t="str">
        <f>IFERROR(Inv_SY!V227/Inv_SY!$Y227-1,"")</f>
        <v/>
      </c>
      <c r="AI225" s="59" t="str">
        <f>IFERROR(Inv_SY!W227/Inv_SY!$Y227-1,"")</f>
        <v/>
      </c>
      <c r="AJ225" s="59" t="str">
        <f>IFERROR(Inv_SY!X227/Inv_SY!$Y227-1,"")</f>
        <v/>
      </c>
      <c r="AK225" s="59" t="str">
        <f>IFERROR(Inv_SY!V227/Inv_SY!$Z227-1,"")</f>
        <v/>
      </c>
      <c r="AL225" s="59" t="str">
        <f>IFERROR(Inv_SY!W227/Inv_SY!$Z227-1,"")</f>
        <v/>
      </c>
      <c r="AM225" s="59" t="str">
        <f>IFERROR(Inv_SY!X227/Inv_SY!$Z227-1,"")</f>
        <v/>
      </c>
    </row>
    <row r="226" spans="1:39" x14ac:dyDescent="0.3">
      <c r="A226" s="55">
        <f>YEAR(Table5[[#This Row],[Date]])+IF(MONTH(Table5[[#This Row],[Date]])&gt;=4,1,0)</f>
        <v>2026</v>
      </c>
      <c r="B226" s="55">
        <v>186</v>
      </c>
      <c r="C226" s="124">
        <f>YEAR(Table5[[#This Row],[Date]])</f>
        <v>2025</v>
      </c>
      <c r="D226" s="55" t="s">
        <v>329</v>
      </c>
      <c r="E226" s="55" t="s">
        <v>329</v>
      </c>
      <c r="F226" s="126" t="str">
        <f>TEXT(Table5[[#This Row],[Date]],"mmm-yy")</f>
        <v>Nov-25</v>
      </c>
      <c r="G226" s="124">
        <f t="shared" si="9"/>
        <v>30</v>
      </c>
      <c r="H226" s="125">
        <f t="shared" si="10"/>
        <v>45969</v>
      </c>
      <c r="I226" s="55">
        <v>8.02</v>
      </c>
      <c r="J226" s="59" t="str">
        <f>IFERROR(Inv_SY!J228/Inv_SY!$Y228-1,"")</f>
        <v/>
      </c>
      <c r="K226" s="59" t="str">
        <f>IFERROR(Inv_SY!K228/Inv_SY!$Y228-1,"")</f>
        <v/>
      </c>
      <c r="L226" s="59" t="str">
        <f>IFERROR(Inv_SY!L228/Inv_SY!$Y228-1,"")</f>
        <v/>
      </c>
      <c r="M226" s="59" t="str">
        <f>IFERROR(Inv_SY!M228/Inv_SY!$Y228-1,"")</f>
        <v/>
      </c>
      <c r="N226" s="59" t="str">
        <f>IFERROR(Inv_SY!N228/Inv_SY!$Y228-1,"")</f>
        <v/>
      </c>
      <c r="O226" s="59" t="str">
        <f>IFERROR(Inv_SY!O228/Inv_SY!$Y228-1,"")</f>
        <v/>
      </c>
      <c r="P226" s="59" t="str">
        <f>IFERROR(Inv_SY!P228/Inv_SY!$Y228-1,"")</f>
        <v/>
      </c>
      <c r="Q226" s="59" t="str">
        <f>IFERROR(Inv_SY!Q228/Inv_SY!$Y228-1,"")</f>
        <v/>
      </c>
      <c r="R226" s="59" t="str">
        <f>IFERROR(Inv_SY!R228/Inv_SY!$Y228-1,"")</f>
        <v/>
      </c>
      <c r="S226" s="59" t="str">
        <f>IFERROR(Inv_SY!S228/Inv_SY!$Y228-1,"")</f>
        <v/>
      </c>
      <c r="T226" s="59" t="str">
        <f>IFERROR(Inv_SY!T228/Inv_SY!$Y228-1,"")</f>
        <v/>
      </c>
      <c r="U226" s="59" t="str">
        <f>IFERROR(Inv_SY!U228/Inv_SY!$Y228-1,"")</f>
        <v/>
      </c>
      <c r="V226" s="59" t="str">
        <f>IFERROR(Inv_SY!J228/Inv_SY!$Z228-1,"")</f>
        <v/>
      </c>
      <c r="W226" s="59" t="str">
        <f>IFERROR(Inv_SY!K228/Inv_SY!$Z228-1,"")</f>
        <v/>
      </c>
      <c r="X226" s="59" t="str">
        <f>IFERROR(Inv_SY!L228/Inv_SY!$Z228-1,"")</f>
        <v/>
      </c>
      <c r="Y226" s="59" t="str">
        <f>IFERROR(Inv_SY!M228/Inv_SY!$Z228-1,"")</f>
        <v/>
      </c>
      <c r="Z226" s="59" t="str">
        <f>IFERROR(Inv_SY!N228/Inv_SY!$Z228-1,"")</f>
        <v/>
      </c>
      <c r="AA226" s="59" t="str">
        <f>IFERROR(Inv_SY!O228/Inv_SY!$Z228-1,"")</f>
        <v/>
      </c>
      <c r="AB226" s="59" t="str">
        <f>IFERROR(Inv_SY!P228/Inv_SY!$Z228-1,"")</f>
        <v/>
      </c>
      <c r="AC226" s="59" t="str">
        <f>IFERROR(Inv_SY!Q228/Inv_SY!$Z228-1,"")</f>
        <v/>
      </c>
      <c r="AD226" s="59" t="str">
        <f>IFERROR(Inv_SY!R228/Inv_SY!$Z228-1,"")</f>
        <v/>
      </c>
      <c r="AE226" s="59" t="str">
        <f>IFERROR(Inv_SY!S228/Inv_SY!$Z228-1,"")</f>
        <v/>
      </c>
      <c r="AF226" s="59" t="str">
        <f>IFERROR(Inv_SY!T228/Inv_SY!$Z228-1,"")</f>
        <v/>
      </c>
      <c r="AG226" s="59" t="str">
        <f>IFERROR(Inv_SY!U228/Inv_SY!$Z228-1,"")</f>
        <v/>
      </c>
      <c r="AH226" s="59" t="str">
        <f>IFERROR(Inv_SY!V228/Inv_SY!$Y228-1,"")</f>
        <v/>
      </c>
      <c r="AI226" s="59" t="str">
        <f>IFERROR(Inv_SY!W228/Inv_SY!$Y228-1,"")</f>
        <v/>
      </c>
      <c r="AJ226" s="59" t="str">
        <f>IFERROR(Inv_SY!X228/Inv_SY!$Y228-1,"")</f>
        <v/>
      </c>
      <c r="AK226" s="59" t="str">
        <f>IFERROR(Inv_SY!V228/Inv_SY!$Z228-1,"")</f>
        <v/>
      </c>
      <c r="AL226" s="59" t="str">
        <f>IFERROR(Inv_SY!W228/Inv_SY!$Z228-1,"")</f>
        <v/>
      </c>
      <c r="AM226" s="59" t="str">
        <f>IFERROR(Inv_SY!X228/Inv_SY!$Z228-1,"")</f>
        <v/>
      </c>
    </row>
    <row r="227" spans="1:39" x14ac:dyDescent="0.3">
      <c r="A227" s="55">
        <f>YEAR(Table5[[#This Row],[Date]])+IF(MONTH(Table5[[#This Row],[Date]])&gt;=4,1,0)</f>
        <v>2026</v>
      </c>
      <c r="B227" s="55">
        <v>187</v>
      </c>
      <c r="C227" s="124">
        <f>YEAR(Table5[[#This Row],[Date]])</f>
        <v>2025</v>
      </c>
      <c r="D227" s="55" t="s">
        <v>329</v>
      </c>
      <c r="E227" s="55" t="s">
        <v>329</v>
      </c>
      <c r="F227" s="126" t="str">
        <f>TEXT(Table5[[#This Row],[Date]],"mmm-yy")</f>
        <v>Nov-25</v>
      </c>
      <c r="G227" s="124">
        <f t="shared" si="9"/>
        <v>30</v>
      </c>
      <c r="H227" s="125">
        <f t="shared" si="10"/>
        <v>45970</v>
      </c>
      <c r="I227" s="55">
        <v>8.02</v>
      </c>
      <c r="J227" s="59" t="str">
        <f>IFERROR(Inv_SY!J229/Inv_SY!$Y229-1,"")</f>
        <v/>
      </c>
      <c r="K227" s="59" t="str">
        <f>IFERROR(Inv_SY!K229/Inv_SY!$Y229-1,"")</f>
        <v/>
      </c>
      <c r="L227" s="59" t="str">
        <f>IFERROR(Inv_SY!L229/Inv_SY!$Y229-1,"")</f>
        <v/>
      </c>
      <c r="M227" s="59" t="str">
        <f>IFERROR(Inv_SY!M229/Inv_SY!$Y229-1,"")</f>
        <v/>
      </c>
      <c r="N227" s="59" t="str">
        <f>IFERROR(Inv_SY!N229/Inv_SY!$Y229-1,"")</f>
        <v/>
      </c>
      <c r="O227" s="59" t="str">
        <f>IFERROR(Inv_SY!O229/Inv_SY!$Y229-1,"")</f>
        <v/>
      </c>
      <c r="P227" s="59" t="str">
        <f>IFERROR(Inv_SY!P229/Inv_SY!$Y229-1,"")</f>
        <v/>
      </c>
      <c r="Q227" s="59" t="str">
        <f>IFERROR(Inv_SY!Q229/Inv_SY!$Y229-1,"")</f>
        <v/>
      </c>
      <c r="R227" s="59" t="str">
        <f>IFERROR(Inv_SY!R229/Inv_SY!$Y229-1,"")</f>
        <v/>
      </c>
      <c r="S227" s="59" t="str">
        <f>IFERROR(Inv_SY!S229/Inv_SY!$Y229-1,"")</f>
        <v/>
      </c>
      <c r="T227" s="59" t="str">
        <f>IFERROR(Inv_SY!T229/Inv_SY!$Y229-1,"")</f>
        <v/>
      </c>
      <c r="U227" s="59" t="str">
        <f>IFERROR(Inv_SY!U229/Inv_SY!$Y229-1,"")</f>
        <v/>
      </c>
      <c r="V227" s="59" t="str">
        <f>IFERROR(Inv_SY!J229/Inv_SY!$Z229-1,"")</f>
        <v/>
      </c>
      <c r="W227" s="59" t="str">
        <f>IFERROR(Inv_SY!K229/Inv_SY!$Z229-1,"")</f>
        <v/>
      </c>
      <c r="X227" s="59" t="str">
        <f>IFERROR(Inv_SY!L229/Inv_SY!$Z229-1,"")</f>
        <v/>
      </c>
      <c r="Y227" s="59" t="str">
        <f>IFERROR(Inv_SY!M229/Inv_SY!$Z229-1,"")</f>
        <v/>
      </c>
      <c r="Z227" s="59" t="str">
        <f>IFERROR(Inv_SY!N229/Inv_SY!$Z229-1,"")</f>
        <v/>
      </c>
      <c r="AA227" s="59" t="str">
        <f>IFERROR(Inv_SY!O229/Inv_SY!$Z229-1,"")</f>
        <v/>
      </c>
      <c r="AB227" s="59" t="str">
        <f>IFERROR(Inv_SY!P229/Inv_SY!$Z229-1,"")</f>
        <v/>
      </c>
      <c r="AC227" s="59" t="str">
        <f>IFERROR(Inv_SY!Q229/Inv_SY!$Z229-1,"")</f>
        <v/>
      </c>
      <c r="AD227" s="59" t="str">
        <f>IFERROR(Inv_SY!R229/Inv_SY!$Z229-1,"")</f>
        <v/>
      </c>
      <c r="AE227" s="59" t="str">
        <f>IFERROR(Inv_SY!S229/Inv_SY!$Z229-1,"")</f>
        <v/>
      </c>
      <c r="AF227" s="59" t="str">
        <f>IFERROR(Inv_SY!T229/Inv_SY!$Z229-1,"")</f>
        <v/>
      </c>
      <c r="AG227" s="59" t="str">
        <f>IFERROR(Inv_SY!U229/Inv_SY!$Z229-1,"")</f>
        <v/>
      </c>
      <c r="AH227" s="59" t="str">
        <f>IFERROR(Inv_SY!V229/Inv_SY!$Y229-1,"")</f>
        <v/>
      </c>
      <c r="AI227" s="59" t="str">
        <f>IFERROR(Inv_SY!W229/Inv_SY!$Y229-1,"")</f>
        <v/>
      </c>
      <c r="AJ227" s="59" t="str">
        <f>IFERROR(Inv_SY!X229/Inv_SY!$Y229-1,"")</f>
        <v/>
      </c>
      <c r="AK227" s="59" t="str">
        <f>IFERROR(Inv_SY!V229/Inv_SY!$Z229-1,"")</f>
        <v/>
      </c>
      <c r="AL227" s="59" t="str">
        <f>IFERROR(Inv_SY!W229/Inv_SY!$Z229-1,"")</f>
        <v/>
      </c>
      <c r="AM227" s="59" t="str">
        <f>IFERROR(Inv_SY!X229/Inv_SY!$Z229-1,"")</f>
        <v/>
      </c>
    </row>
    <row r="228" spans="1:39" x14ac:dyDescent="0.3">
      <c r="A228" s="55">
        <f>YEAR(Table5[[#This Row],[Date]])+IF(MONTH(Table5[[#This Row],[Date]])&gt;=4,1,0)</f>
        <v>2026</v>
      </c>
      <c r="B228" s="55">
        <v>188</v>
      </c>
      <c r="C228" s="124">
        <f>YEAR(Table5[[#This Row],[Date]])</f>
        <v>2025</v>
      </c>
      <c r="D228" s="55" t="s">
        <v>329</v>
      </c>
      <c r="E228" s="55" t="s">
        <v>329</v>
      </c>
      <c r="F228" s="126" t="str">
        <f>TEXT(Table5[[#This Row],[Date]],"mmm-yy")</f>
        <v>Nov-25</v>
      </c>
      <c r="G228" s="124">
        <f t="shared" si="9"/>
        <v>30</v>
      </c>
      <c r="H228" s="125">
        <f t="shared" si="10"/>
        <v>45971</v>
      </c>
      <c r="I228" s="55">
        <v>8.02</v>
      </c>
      <c r="J228" s="59" t="str">
        <f>IFERROR(Inv_SY!J230/Inv_SY!$Y230-1,"")</f>
        <v/>
      </c>
      <c r="K228" s="59" t="str">
        <f>IFERROR(Inv_SY!K230/Inv_SY!$Y230-1,"")</f>
        <v/>
      </c>
      <c r="L228" s="59" t="str">
        <f>IFERROR(Inv_SY!L230/Inv_SY!$Y230-1,"")</f>
        <v/>
      </c>
      <c r="M228" s="59" t="str">
        <f>IFERROR(Inv_SY!M230/Inv_SY!$Y230-1,"")</f>
        <v/>
      </c>
      <c r="N228" s="59" t="str">
        <f>IFERROR(Inv_SY!N230/Inv_SY!$Y230-1,"")</f>
        <v/>
      </c>
      <c r="O228" s="59" t="str">
        <f>IFERROR(Inv_SY!O230/Inv_SY!$Y230-1,"")</f>
        <v/>
      </c>
      <c r="P228" s="59" t="str">
        <f>IFERROR(Inv_SY!P230/Inv_SY!$Y230-1,"")</f>
        <v/>
      </c>
      <c r="Q228" s="59" t="str">
        <f>IFERROR(Inv_SY!Q230/Inv_SY!$Y230-1,"")</f>
        <v/>
      </c>
      <c r="R228" s="59" t="str">
        <f>IFERROR(Inv_SY!R230/Inv_SY!$Y230-1,"")</f>
        <v/>
      </c>
      <c r="S228" s="59" t="str">
        <f>IFERROR(Inv_SY!S230/Inv_SY!$Y230-1,"")</f>
        <v/>
      </c>
      <c r="T228" s="59" t="str">
        <f>IFERROR(Inv_SY!T230/Inv_SY!$Y230-1,"")</f>
        <v/>
      </c>
      <c r="U228" s="59" t="str">
        <f>IFERROR(Inv_SY!U230/Inv_SY!$Y230-1,"")</f>
        <v/>
      </c>
      <c r="V228" s="59" t="str">
        <f>IFERROR(Inv_SY!J230/Inv_SY!$Z230-1,"")</f>
        <v/>
      </c>
      <c r="W228" s="59" t="str">
        <f>IFERROR(Inv_SY!K230/Inv_SY!$Z230-1,"")</f>
        <v/>
      </c>
      <c r="X228" s="59" t="str">
        <f>IFERROR(Inv_SY!L230/Inv_SY!$Z230-1,"")</f>
        <v/>
      </c>
      <c r="Y228" s="59" t="str">
        <f>IFERROR(Inv_SY!M230/Inv_SY!$Z230-1,"")</f>
        <v/>
      </c>
      <c r="Z228" s="59" t="str">
        <f>IFERROR(Inv_SY!N230/Inv_SY!$Z230-1,"")</f>
        <v/>
      </c>
      <c r="AA228" s="59" t="str">
        <f>IFERROR(Inv_SY!O230/Inv_SY!$Z230-1,"")</f>
        <v/>
      </c>
      <c r="AB228" s="59" t="str">
        <f>IFERROR(Inv_SY!P230/Inv_SY!$Z230-1,"")</f>
        <v/>
      </c>
      <c r="AC228" s="59" t="str">
        <f>IFERROR(Inv_SY!Q230/Inv_SY!$Z230-1,"")</f>
        <v/>
      </c>
      <c r="AD228" s="59" t="str">
        <f>IFERROR(Inv_SY!R230/Inv_SY!$Z230-1,"")</f>
        <v/>
      </c>
      <c r="AE228" s="59" t="str">
        <f>IFERROR(Inv_SY!S230/Inv_SY!$Z230-1,"")</f>
        <v/>
      </c>
      <c r="AF228" s="59" t="str">
        <f>IFERROR(Inv_SY!T230/Inv_SY!$Z230-1,"")</f>
        <v/>
      </c>
      <c r="AG228" s="59" t="str">
        <f>IFERROR(Inv_SY!U230/Inv_SY!$Z230-1,"")</f>
        <v/>
      </c>
      <c r="AH228" s="59" t="str">
        <f>IFERROR(Inv_SY!V230/Inv_SY!$Y230-1,"")</f>
        <v/>
      </c>
      <c r="AI228" s="59" t="str">
        <f>IFERROR(Inv_SY!W230/Inv_SY!$Y230-1,"")</f>
        <v/>
      </c>
      <c r="AJ228" s="59" t="str">
        <f>IFERROR(Inv_SY!X230/Inv_SY!$Y230-1,"")</f>
        <v/>
      </c>
      <c r="AK228" s="59" t="str">
        <f>IFERROR(Inv_SY!V230/Inv_SY!$Z230-1,"")</f>
        <v/>
      </c>
      <c r="AL228" s="59" t="str">
        <f>IFERROR(Inv_SY!W230/Inv_SY!$Z230-1,"")</f>
        <v/>
      </c>
      <c r="AM228" s="59" t="str">
        <f>IFERROR(Inv_SY!X230/Inv_SY!$Z230-1,"")</f>
        <v/>
      </c>
    </row>
    <row r="229" spans="1:39" x14ac:dyDescent="0.3">
      <c r="A229" s="55">
        <f>YEAR(Table5[[#This Row],[Date]])+IF(MONTH(Table5[[#This Row],[Date]])&gt;=4,1,0)</f>
        <v>2026</v>
      </c>
      <c r="B229" s="55">
        <v>189</v>
      </c>
      <c r="C229" s="124">
        <f>YEAR(Table5[[#This Row],[Date]])</f>
        <v>2025</v>
      </c>
      <c r="D229" s="55" t="s">
        <v>329</v>
      </c>
      <c r="E229" s="55" t="s">
        <v>329</v>
      </c>
      <c r="F229" s="126" t="str">
        <f>TEXT(Table5[[#This Row],[Date]],"mmm-yy")</f>
        <v>Nov-25</v>
      </c>
      <c r="G229" s="124">
        <f t="shared" si="9"/>
        <v>30</v>
      </c>
      <c r="H229" s="125">
        <f t="shared" si="10"/>
        <v>45972</v>
      </c>
      <c r="I229" s="55">
        <v>8.02</v>
      </c>
      <c r="J229" s="59" t="str">
        <f>IFERROR(Inv_SY!J231/Inv_SY!$Y231-1,"")</f>
        <v/>
      </c>
      <c r="K229" s="59" t="str">
        <f>IFERROR(Inv_SY!K231/Inv_SY!$Y231-1,"")</f>
        <v/>
      </c>
      <c r="L229" s="59" t="str">
        <f>IFERROR(Inv_SY!L231/Inv_SY!$Y231-1,"")</f>
        <v/>
      </c>
      <c r="M229" s="59" t="str">
        <f>IFERROR(Inv_SY!M231/Inv_SY!$Y231-1,"")</f>
        <v/>
      </c>
      <c r="N229" s="59" t="str">
        <f>IFERROR(Inv_SY!N231/Inv_SY!$Y231-1,"")</f>
        <v/>
      </c>
      <c r="O229" s="59" t="str">
        <f>IFERROR(Inv_SY!O231/Inv_SY!$Y231-1,"")</f>
        <v/>
      </c>
      <c r="P229" s="59" t="str">
        <f>IFERROR(Inv_SY!P231/Inv_SY!$Y231-1,"")</f>
        <v/>
      </c>
      <c r="Q229" s="59" t="str">
        <f>IFERROR(Inv_SY!Q231/Inv_SY!$Y231-1,"")</f>
        <v/>
      </c>
      <c r="R229" s="59" t="str">
        <f>IFERROR(Inv_SY!R231/Inv_SY!$Y231-1,"")</f>
        <v/>
      </c>
      <c r="S229" s="59" t="str">
        <f>IFERROR(Inv_SY!S231/Inv_SY!$Y231-1,"")</f>
        <v/>
      </c>
      <c r="T229" s="59" t="str">
        <f>IFERROR(Inv_SY!T231/Inv_SY!$Y231-1,"")</f>
        <v/>
      </c>
      <c r="U229" s="59" t="str">
        <f>IFERROR(Inv_SY!U231/Inv_SY!$Y231-1,"")</f>
        <v/>
      </c>
      <c r="V229" s="59" t="str">
        <f>IFERROR(Inv_SY!J231/Inv_SY!$Z231-1,"")</f>
        <v/>
      </c>
      <c r="W229" s="59" t="str">
        <f>IFERROR(Inv_SY!K231/Inv_SY!$Z231-1,"")</f>
        <v/>
      </c>
      <c r="X229" s="59" t="str">
        <f>IFERROR(Inv_SY!L231/Inv_SY!$Z231-1,"")</f>
        <v/>
      </c>
      <c r="Y229" s="59" t="str">
        <f>IFERROR(Inv_SY!M231/Inv_SY!$Z231-1,"")</f>
        <v/>
      </c>
      <c r="Z229" s="59" t="str">
        <f>IFERROR(Inv_SY!N231/Inv_SY!$Z231-1,"")</f>
        <v/>
      </c>
      <c r="AA229" s="59" t="str">
        <f>IFERROR(Inv_SY!O231/Inv_SY!$Z231-1,"")</f>
        <v/>
      </c>
      <c r="AB229" s="59" t="str">
        <f>IFERROR(Inv_SY!P231/Inv_SY!$Z231-1,"")</f>
        <v/>
      </c>
      <c r="AC229" s="59" t="str">
        <f>IFERROR(Inv_SY!Q231/Inv_SY!$Z231-1,"")</f>
        <v/>
      </c>
      <c r="AD229" s="59" t="str">
        <f>IFERROR(Inv_SY!R231/Inv_SY!$Z231-1,"")</f>
        <v/>
      </c>
      <c r="AE229" s="59" t="str">
        <f>IFERROR(Inv_SY!S231/Inv_SY!$Z231-1,"")</f>
        <v/>
      </c>
      <c r="AF229" s="59" t="str">
        <f>IFERROR(Inv_SY!T231/Inv_SY!$Z231-1,"")</f>
        <v/>
      </c>
      <c r="AG229" s="59" t="str">
        <f>IFERROR(Inv_SY!U231/Inv_SY!$Z231-1,"")</f>
        <v/>
      </c>
      <c r="AH229" s="59" t="str">
        <f>IFERROR(Inv_SY!V231/Inv_SY!$Y231-1,"")</f>
        <v/>
      </c>
      <c r="AI229" s="59" t="str">
        <f>IFERROR(Inv_SY!W231/Inv_SY!$Y231-1,"")</f>
        <v/>
      </c>
      <c r="AJ229" s="59" t="str">
        <f>IFERROR(Inv_SY!X231/Inv_SY!$Y231-1,"")</f>
        <v/>
      </c>
      <c r="AK229" s="59" t="str">
        <f>IFERROR(Inv_SY!V231/Inv_SY!$Z231-1,"")</f>
        <v/>
      </c>
      <c r="AL229" s="59" t="str">
        <f>IFERROR(Inv_SY!W231/Inv_SY!$Z231-1,"")</f>
        <v/>
      </c>
      <c r="AM229" s="59" t="str">
        <f>IFERROR(Inv_SY!X231/Inv_SY!$Z231-1,"")</f>
        <v/>
      </c>
    </row>
    <row r="230" spans="1:39" x14ac:dyDescent="0.3">
      <c r="A230" s="55">
        <f>YEAR(Table5[[#This Row],[Date]])+IF(MONTH(Table5[[#This Row],[Date]])&gt;=4,1,0)</f>
        <v>2026</v>
      </c>
      <c r="B230" s="55">
        <v>190</v>
      </c>
      <c r="C230" s="124">
        <f>YEAR(Table5[[#This Row],[Date]])</f>
        <v>2025</v>
      </c>
      <c r="D230" s="55" t="s">
        <v>329</v>
      </c>
      <c r="E230" s="55" t="s">
        <v>329</v>
      </c>
      <c r="F230" s="126" t="str">
        <f>TEXT(Table5[[#This Row],[Date]],"mmm-yy")</f>
        <v>Nov-25</v>
      </c>
      <c r="G230" s="124">
        <f t="shared" si="9"/>
        <v>30</v>
      </c>
      <c r="H230" s="125">
        <f t="shared" si="10"/>
        <v>45973</v>
      </c>
      <c r="I230" s="55">
        <v>8.02</v>
      </c>
      <c r="J230" s="59" t="str">
        <f>IFERROR(Inv_SY!J232/Inv_SY!$Y232-1,"")</f>
        <v/>
      </c>
      <c r="K230" s="59" t="str">
        <f>IFERROR(Inv_SY!K232/Inv_SY!$Y232-1,"")</f>
        <v/>
      </c>
      <c r="L230" s="59" t="str">
        <f>IFERROR(Inv_SY!L232/Inv_SY!$Y232-1,"")</f>
        <v/>
      </c>
      <c r="M230" s="59" t="str">
        <f>IFERROR(Inv_SY!M232/Inv_SY!$Y232-1,"")</f>
        <v/>
      </c>
      <c r="N230" s="59" t="str">
        <f>IFERROR(Inv_SY!N232/Inv_SY!$Y232-1,"")</f>
        <v/>
      </c>
      <c r="O230" s="59" t="str">
        <f>IFERROR(Inv_SY!O232/Inv_SY!$Y232-1,"")</f>
        <v/>
      </c>
      <c r="P230" s="59" t="str">
        <f>IFERROR(Inv_SY!P232/Inv_SY!$Y232-1,"")</f>
        <v/>
      </c>
      <c r="Q230" s="59" t="str">
        <f>IFERROR(Inv_SY!Q232/Inv_SY!$Y232-1,"")</f>
        <v/>
      </c>
      <c r="R230" s="59" t="str">
        <f>IFERROR(Inv_SY!R232/Inv_SY!$Y232-1,"")</f>
        <v/>
      </c>
      <c r="S230" s="59" t="str">
        <f>IFERROR(Inv_SY!S232/Inv_SY!$Y232-1,"")</f>
        <v/>
      </c>
      <c r="T230" s="59" t="str">
        <f>IFERROR(Inv_SY!T232/Inv_SY!$Y232-1,"")</f>
        <v/>
      </c>
      <c r="U230" s="59" t="str">
        <f>IFERROR(Inv_SY!U232/Inv_SY!$Y232-1,"")</f>
        <v/>
      </c>
      <c r="V230" s="59" t="str">
        <f>IFERROR(Inv_SY!J232/Inv_SY!$Z232-1,"")</f>
        <v/>
      </c>
      <c r="W230" s="59" t="str">
        <f>IFERROR(Inv_SY!K232/Inv_SY!$Z232-1,"")</f>
        <v/>
      </c>
      <c r="X230" s="59" t="str">
        <f>IFERROR(Inv_SY!L232/Inv_SY!$Z232-1,"")</f>
        <v/>
      </c>
      <c r="Y230" s="59" t="str">
        <f>IFERROR(Inv_SY!M232/Inv_SY!$Z232-1,"")</f>
        <v/>
      </c>
      <c r="Z230" s="59" t="str">
        <f>IFERROR(Inv_SY!N232/Inv_SY!$Z232-1,"")</f>
        <v/>
      </c>
      <c r="AA230" s="59" t="str">
        <f>IFERROR(Inv_SY!O232/Inv_SY!$Z232-1,"")</f>
        <v/>
      </c>
      <c r="AB230" s="59" t="str">
        <f>IFERROR(Inv_SY!P232/Inv_SY!$Z232-1,"")</f>
        <v/>
      </c>
      <c r="AC230" s="59" t="str">
        <f>IFERROR(Inv_SY!Q232/Inv_SY!$Z232-1,"")</f>
        <v/>
      </c>
      <c r="AD230" s="59" t="str">
        <f>IFERROR(Inv_SY!R232/Inv_SY!$Z232-1,"")</f>
        <v/>
      </c>
      <c r="AE230" s="59" t="str">
        <f>IFERROR(Inv_SY!S232/Inv_SY!$Z232-1,"")</f>
        <v/>
      </c>
      <c r="AF230" s="59" t="str">
        <f>IFERROR(Inv_SY!T232/Inv_SY!$Z232-1,"")</f>
        <v/>
      </c>
      <c r="AG230" s="59" t="str">
        <f>IFERROR(Inv_SY!U232/Inv_SY!$Z232-1,"")</f>
        <v/>
      </c>
      <c r="AH230" s="59" t="str">
        <f>IFERROR(Inv_SY!V232/Inv_SY!$Y232-1,"")</f>
        <v/>
      </c>
      <c r="AI230" s="59" t="str">
        <f>IFERROR(Inv_SY!W232/Inv_SY!$Y232-1,"")</f>
        <v/>
      </c>
      <c r="AJ230" s="59" t="str">
        <f>IFERROR(Inv_SY!X232/Inv_SY!$Y232-1,"")</f>
        <v/>
      </c>
      <c r="AK230" s="59" t="str">
        <f>IFERROR(Inv_SY!V232/Inv_SY!$Z232-1,"")</f>
        <v/>
      </c>
      <c r="AL230" s="59" t="str">
        <f>IFERROR(Inv_SY!W232/Inv_SY!$Z232-1,"")</f>
        <v/>
      </c>
      <c r="AM230" s="59" t="str">
        <f>IFERROR(Inv_SY!X232/Inv_SY!$Z232-1,"")</f>
        <v/>
      </c>
    </row>
    <row r="231" spans="1:39" x14ac:dyDescent="0.3">
      <c r="A231" s="55">
        <f>YEAR(Table5[[#This Row],[Date]])+IF(MONTH(Table5[[#This Row],[Date]])&gt;=4,1,0)</f>
        <v>2026</v>
      </c>
      <c r="B231" s="55">
        <v>191</v>
      </c>
      <c r="C231" s="124">
        <f>YEAR(Table5[[#This Row],[Date]])</f>
        <v>2025</v>
      </c>
      <c r="D231" s="55" t="s">
        <v>329</v>
      </c>
      <c r="E231" s="55" t="s">
        <v>329</v>
      </c>
      <c r="F231" s="126" t="str">
        <f>TEXT(Table5[[#This Row],[Date]],"mmm-yy")</f>
        <v>Nov-25</v>
      </c>
      <c r="G231" s="124">
        <f t="shared" si="9"/>
        <v>30</v>
      </c>
      <c r="H231" s="125">
        <f t="shared" si="10"/>
        <v>45974</v>
      </c>
      <c r="I231" s="55">
        <v>8.02</v>
      </c>
      <c r="J231" s="59" t="str">
        <f>IFERROR(Inv_SY!J233/Inv_SY!$Y233-1,"")</f>
        <v/>
      </c>
      <c r="K231" s="59" t="str">
        <f>IFERROR(Inv_SY!K233/Inv_SY!$Y233-1,"")</f>
        <v/>
      </c>
      <c r="L231" s="59" t="str">
        <f>IFERROR(Inv_SY!L233/Inv_SY!$Y233-1,"")</f>
        <v/>
      </c>
      <c r="M231" s="59" t="str">
        <f>IFERROR(Inv_SY!M233/Inv_SY!$Y233-1,"")</f>
        <v/>
      </c>
      <c r="N231" s="59" t="str">
        <f>IFERROR(Inv_SY!N233/Inv_SY!$Y233-1,"")</f>
        <v/>
      </c>
      <c r="O231" s="59" t="str">
        <f>IFERROR(Inv_SY!O233/Inv_SY!$Y233-1,"")</f>
        <v/>
      </c>
      <c r="P231" s="59" t="str">
        <f>IFERROR(Inv_SY!P233/Inv_SY!$Y233-1,"")</f>
        <v/>
      </c>
      <c r="Q231" s="59" t="str">
        <f>IFERROR(Inv_SY!Q233/Inv_SY!$Y233-1,"")</f>
        <v/>
      </c>
      <c r="R231" s="59" t="str">
        <f>IFERROR(Inv_SY!R233/Inv_SY!$Y233-1,"")</f>
        <v/>
      </c>
      <c r="S231" s="59" t="str">
        <f>IFERROR(Inv_SY!S233/Inv_SY!$Y233-1,"")</f>
        <v/>
      </c>
      <c r="T231" s="59" t="str">
        <f>IFERROR(Inv_SY!T233/Inv_SY!$Y233-1,"")</f>
        <v/>
      </c>
      <c r="U231" s="59" t="str">
        <f>IFERROR(Inv_SY!U233/Inv_SY!$Y233-1,"")</f>
        <v/>
      </c>
      <c r="V231" s="59" t="str">
        <f>IFERROR(Inv_SY!J233/Inv_SY!$Z233-1,"")</f>
        <v/>
      </c>
      <c r="W231" s="59" t="str">
        <f>IFERROR(Inv_SY!K233/Inv_SY!$Z233-1,"")</f>
        <v/>
      </c>
      <c r="X231" s="59" t="str">
        <f>IFERROR(Inv_SY!L233/Inv_SY!$Z233-1,"")</f>
        <v/>
      </c>
      <c r="Y231" s="59" t="str">
        <f>IFERROR(Inv_SY!M233/Inv_SY!$Z233-1,"")</f>
        <v/>
      </c>
      <c r="Z231" s="59" t="str">
        <f>IFERROR(Inv_SY!N233/Inv_SY!$Z233-1,"")</f>
        <v/>
      </c>
      <c r="AA231" s="59" t="str">
        <f>IFERROR(Inv_SY!O233/Inv_SY!$Z233-1,"")</f>
        <v/>
      </c>
      <c r="AB231" s="59" t="str">
        <f>IFERROR(Inv_SY!P233/Inv_SY!$Z233-1,"")</f>
        <v/>
      </c>
      <c r="AC231" s="59" t="str">
        <f>IFERROR(Inv_SY!Q233/Inv_SY!$Z233-1,"")</f>
        <v/>
      </c>
      <c r="AD231" s="59" t="str">
        <f>IFERROR(Inv_SY!R233/Inv_SY!$Z233-1,"")</f>
        <v/>
      </c>
      <c r="AE231" s="59" t="str">
        <f>IFERROR(Inv_SY!S233/Inv_SY!$Z233-1,"")</f>
        <v/>
      </c>
      <c r="AF231" s="59" t="str">
        <f>IFERROR(Inv_SY!T233/Inv_SY!$Z233-1,"")</f>
        <v/>
      </c>
      <c r="AG231" s="59" t="str">
        <f>IFERROR(Inv_SY!U233/Inv_SY!$Z233-1,"")</f>
        <v/>
      </c>
      <c r="AH231" s="59" t="str">
        <f>IFERROR(Inv_SY!V233/Inv_SY!$Y233-1,"")</f>
        <v/>
      </c>
      <c r="AI231" s="59" t="str">
        <f>IFERROR(Inv_SY!W233/Inv_SY!$Y233-1,"")</f>
        <v/>
      </c>
      <c r="AJ231" s="59" t="str">
        <f>IFERROR(Inv_SY!X233/Inv_SY!$Y233-1,"")</f>
        <v/>
      </c>
      <c r="AK231" s="59" t="str">
        <f>IFERROR(Inv_SY!V233/Inv_SY!$Z233-1,"")</f>
        <v/>
      </c>
      <c r="AL231" s="59" t="str">
        <f>IFERROR(Inv_SY!W233/Inv_SY!$Z233-1,"")</f>
        <v/>
      </c>
      <c r="AM231" s="59" t="str">
        <f>IFERROR(Inv_SY!X233/Inv_SY!$Z233-1,"")</f>
        <v/>
      </c>
    </row>
    <row r="232" spans="1:39" x14ac:dyDescent="0.3">
      <c r="A232" s="55">
        <f>YEAR(Table5[[#This Row],[Date]])+IF(MONTH(Table5[[#This Row],[Date]])&gt;=4,1,0)</f>
        <v>2026</v>
      </c>
      <c r="B232" s="55">
        <v>192</v>
      </c>
      <c r="C232" s="124">
        <f>YEAR(Table5[[#This Row],[Date]])</f>
        <v>2025</v>
      </c>
      <c r="D232" s="55" t="s">
        <v>329</v>
      </c>
      <c r="E232" s="55" t="s">
        <v>329</v>
      </c>
      <c r="F232" s="126" t="str">
        <f>TEXT(Table5[[#This Row],[Date]],"mmm-yy")</f>
        <v>Nov-25</v>
      </c>
      <c r="G232" s="124">
        <f t="shared" si="9"/>
        <v>30</v>
      </c>
      <c r="H232" s="125">
        <f t="shared" si="10"/>
        <v>45975</v>
      </c>
      <c r="I232" s="55">
        <v>8.02</v>
      </c>
      <c r="J232" s="59" t="str">
        <f>IFERROR(Inv_SY!J234/Inv_SY!$Y234-1,"")</f>
        <v/>
      </c>
      <c r="K232" s="59" t="str">
        <f>IFERROR(Inv_SY!K234/Inv_SY!$Y234-1,"")</f>
        <v/>
      </c>
      <c r="L232" s="59" t="str">
        <f>IFERROR(Inv_SY!L234/Inv_SY!$Y234-1,"")</f>
        <v/>
      </c>
      <c r="M232" s="59" t="str">
        <f>IFERROR(Inv_SY!M234/Inv_SY!$Y234-1,"")</f>
        <v/>
      </c>
      <c r="N232" s="59" t="str">
        <f>IFERROR(Inv_SY!N234/Inv_SY!$Y234-1,"")</f>
        <v/>
      </c>
      <c r="O232" s="59" t="str">
        <f>IFERROR(Inv_SY!O234/Inv_SY!$Y234-1,"")</f>
        <v/>
      </c>
      <c r="P232" s="59" t="str">
        <f>IFERROR(Inv_SY!P234/Inv_SY!$Y234-1,"")</f>
        <v/>
      </c>
      <c r="Q232" s="59" t="str">
        <f>IFERROR(Inv_SY!Q234/Inv_SY!$Y234-1,"")</f>
        <v/>
      </c>
      <c r="R232" s="59" t="str">
        <f>IFERROR(Inv_SY!R234/Inv_SY!$Y234-1,"")</f>
        <v/>
      </c>
      <c r="S232" s="59" t="str">
        <f>IFERROR(Inv_SY!S234/Inv_SY!$Y234-1,"")</f>
        <v/>
      </c>
      <c r="T232" s="59" t="str">
        <f>IFERROR(Inv_SY!T234/Inv_SY!$Y234-1,"")</f>
        <v/>
      </c>
      <c r="U232" s="59" t="str">
        <f>IFERROR(Inv_SY!U234/Inv_SY!$Y234-1,"")</f>
        <v/>
      </c>
      <c r="V232" s="59" t="str">
        <f>IFERROR(Inv_SY!J234/Inv_SY!$Z234-1,"")</f>
        <v/>
      </c>
      <c r="W232" s="59" t="str">
        <f>IFERROR(Inv_SY!K234/Inv_SY!$Z234-1,"")</f>
        <v/>
      </c>
      <c r="X232" s="59" t="str">
        <f>IFERROR(Inv_SY!L234/Inv_SY!$Z234-1,"")</f>
        <v/>
      </c>
      <c r="Y232" s="59" t="str">
        <f>IFERROR(Inv_SY!M234/Inv_SY!$Z234-1,"")</f>
        <v/>
      </c>
      <c r="Z232" s="59" t="str">
        <f>IFERROR(Inv_SY!N234/Inv_SY!$Z234-1,"")</f>
        <v/>
      </c>
      <c r="AA232" s="59" t="str">
        <f>IFERROR(Inv_SY!O234/Inv_SY!$Z234-1,"")</f>
        <v/>
      </c>
      <c r="AB232" s="59" t="str">
        <f>IFERROR(Inv_SY!P234/Inv_SY!$Z234-1,"")</f>
        <v/>
      </c>
      <c r="AC232" s="59" t="str">
        <f>IFERROR(Inv_SY!Q234/Inv_SY!$Z234-1,"")</f>
        <v/>
      </c>
      <c r="AD232" s="59" t="str">
        <f>IFERROR(Inv_SY!R234/Inv_SY!$Z234-1,"")</f>
        <v/>
      </c>
      <c r="AE232" s="59" t="str">
        <f>IFERROR(Inv_SY!S234/Inv_SY!$Z234-1,"")</f>
        <v/>
      </c>
      <c r="AF232" s="59" t="str">
        <f>IFERROR(Inv_SY!T234/Inv_SY!$Z234-1,"")</f>
        <v/>
      </c>
      <c r="AG232" s="59" t="str">
        <f>IFERROR(Inv_SY!U234/Inv_SY!$Z234-1,"")</f>
        <v/>
      </c>
      <c r="AH232" s="59" t="str">
        <f>IFERROR(Inv_SY!V234/Inv_SY!$Y234-1,"")</f>
        <v/>
      </c>
      <c r="AI232" s="59" t="str">
        <f>IFERROR(Inv_SY!W234/Inv_SY!$Y234-1,"")</f>
        <v/>
      </c>
      <c r="AJ232" s="59" t="str">
        <f>IFERROR(Inv_SY!X234/Inv_SY!$Y234-1,"")</f>
        <v/>
      </c>
      <c r="AK232" s="59" t="str">
        <f>IFERROR(Inv_SY!V234/Inv_SY!$Z234-1,"")</f>
        <v/>
      </c>
      <c r="AL232" s="59" t="str">
        <f>IFERROR(Inv_SY!W234/Inv_SY!$Z234-1,"")</f>
        <v/>
      </c>
      <c r="AM232" s="59" t="str">
        <f>IFERROR(Inv_SY!X234/Inv_SY!$Z234-1,"")</f>
        <v/>
      </c>
    </row>
    <row r="233" spans="1:39" x14ac:dyDescent="0.3">
      <c r="A233" s="55">
        <f>YEAR(Table5[[#This Row],[Date]])+IF(MONTH(Table5[[#This Row],[Date]])&gt;=4,1,0)</f>
        <v>2026</v>
      </c>
      <c r="B233" s="55">
        <v>193</v>
      </c>
      <c r="C233" s="124">
        <f>YEAR(Table5[[#This Row],[Date]])</f>
        <v>2025</v>
      </c>
      <c r="D233" s="55" t="s">
        <v>329</v>
      </c>
      <c r="E233" s="55" t="s">
        <v>329</v>
      </c>
      <c r="F233" s="126" t="str">
        <f>TEXT(Table5[[#This Row],[Date]],"mmm-yy")</f>
        <v>Nov-25</v>
      </c>
      <c r="G233" s="124">
        <f t="shared" si="9"/>
        <v>30</v>
      </c>
      <c r="H233" s="125">
        <f t="shared" si="10"/>
        <v>45976</v>
      </c>
      <c r="I233" s="55">
        <v>8.02</v>
      </c>
      <c r="J233" s="59" t="str">
        <f>IFERROR(Inv_SY!J235/Inv_SY!$Y235-1,"")</f>
        <v/>
      </c>
      <c r="K233" s="59" t="str">
        <f>IFERROR(Inv_SY!K235/Inv_SY!$Y235-1,"")</f>
        <v/>
      </c>
      <c r="L233" s="59" t="str">
        <f>IFERROR(Inv_SY!L235/Inv_SY!$Y235-1,"")</f>
        <v/>
      </c>
      <c r="M233" s="59" t="str">
        <f>IFERROR(Inv_SY!M235/Inv_SY!$Y235-1,"")</f>
        <v/>
      </c>
      <c r="N233" s="59" t="str">
        <f>IFERROR(Inv_SY!N235/Inv_SY!$Y235-1,"")</f>
        <v/>
      </c>
      <c r="O233" s="59" t="str">
        <f>IFERROR(Inv_SY!O235/Inv_SY!$Y235-1,"")</f>
        <v/>
      </c>
      <c r="P233" s="59" t="str">
        <f>IFERROR(Inv_SY!P235/Inv_SY!$Y235-1,"")</f>
        <v/>
      </c>
      <c r="Q233" s="59" t="str">
        <f>IFERROR(Inv_SY!Q235/Inv_SY!$Y235-1,"")</f>
        <v/>
      </c>
      <c r="R233" s="59" t="str">
        <f>IFERROR(Inv_SY!R235/Inv_SY!$Y235-1,"")</f>
        <v/>
      </c>
      <c r="S233" s="59" t="str">
        <f>IFERROR(Inv_SY!S235/Inv_SY!$Y235-1,"")</f>
        <v/>
      </c>
      <c r="T233" s="59" t="str">
        <f>IFERROR(Inv_SY!T235/Inv_SY!$Y235-1,"")</f>
        <v/>
      </c>
      <c r="U233" s="59" t="str">
        <f>IFERROR(Inv_SY!U235/Inv_SY!$Y235-1,"")</f>
        <v/>
      </c>
      <c r="V233" s="59" t="str">
        <f>IFERROR(Inv_SY!J235/Inv_SY!$Z235-1,"")</f>
        <v/>
      </c>
      <c r="W233" s="59" t="str">
        <f>IFERROR(Inv_SY!K235/Inv_SY!$Z235-1,"")</f>
        <v/>
      </c>
      <c r="X233" s="59" t="str">
        <f>IFERROR(Inv_SY!L235/Inv_SY!$Z235-1,"")</f>
        <v/>
      </c>
      <c r="Y233" s="59" t="str">
        <f>IFERROR(Inv_SY!M235/Inv_SY!$Z235-1,"")</f>
        <v/>
      </c>
      <c r="Z233" s="59" t="str">
        <f>IFERROR(Inv_SY!N235/Inv_SY!$Z235-1,"")</f>
        <v/>
      </c>
      <c r="AA233" s="59" t="str">
        <f>IFERROR(Inv_SY!O235/Inv_SY!$Z235-1,"")</f>
        <v/>
      </c>
      <c r="AB233" s="59" t="str">
        <f>IFERROR(Inv_SY!P235/Inv_SY!$Z235-1,"")</f>
        <v/>
      </c>
      <c r="AC233" s="59" t="str">
        <f>IFERROR(Inv_SY!Q235/Inv_SY!$Z235-1,"")</f>
        <v/>
      </c>
      <c r="AD233" s="59" t="str">
        <f>IFERROR(Inv_SY!R235/Inv_SY!$Z235-1,"")</f>
        <v/>
      </c>
      <c r="AE233" s="59" t="str">
        <f>IFERROR(Inv_SY!S235/Inv_SY!$Z235-1,"")</f>
        <v/>
      </c>
      <c r="AF233" s="59" t="str">
        <f>IFERROR(Inv_SY!T235/Inv_SY!$Z235-1,"")</f>
        <v/>
      </c>
      <c r="AG233" s="59" t="str">
        <f>IFERROR(Inv_SY!U235/Inv_SY!$Z235-1,"")</f>
        <v/>
      </c>
      <c r="AH233" s="59" t="str">
        <f>IFERROR(Inv_SY!V235/Inv_SY!$Y235-1,"")</f>
        <v/>
      </c>
      <c r="AI233" s="59" t="str">
        <f>IFERROR(Inv_SY!W235/Inv_SY!$Y235-1,"")</f>
        <v/>
      </c>
      <c r="AJ233" s="59" t="str">
        <f>IFERROR(Inv_SY!X235/Inv_SY!$Y235-1,"")</f>
        <v/>
      </c>
      <c r="AK233" s="59" t="str">
        <f>IFERROR(Inv_SY!V235/Inv_SY!$Z235-1,"")</f>
        <v/>
      </c>
      <c r="AL233" s="59" t="str">
        <f>IFERROR(Inv_SY!W235/Inv_SY!$Z235-1,"")</f>
        <v/>
      </c>
      <c r="AM233" s="59" t="str">
        <f>IFERROR(Inv_SY!X235/Inv_SY!$Z235-1,"")</f>
        <v/>
      </c>
    </row>
    <row r="234" spans="1:39" x14ac:dyDescent="0.3">
      <c r="A234" s="55">
        <f>YEAR(Table5[[#This Row],[Date]])+IF(MONTH(Table5[[#This Row],[Date]])&gt;=4,1,0)</f>
        <v>2026</v>
      </c>
      <c r="B234" s="55">
        <v>194</v>
      </c>
      <c r="C234" s="124">
        <f>YEAR(Table5[[#This Row],[Date]])</f>
        <v>2025</v>
      </c>
      <c r="D234" s="55" t="s">
        <v>329</v>
      </c>
      <c r="E234" s="55" t="s">
        <v>329</v>
      </c>
      <c r="F234" s="126" t="str">
        <f>TEXT(Table5[[#This Row],[Date]],"mmm-yy")</f>
        <v>Nov-25</v>
      </c>
      <c r="G234" s="124">
        <f t="shared" si="9"/>
        <v>30</v>
      </c>
      <c r="H234" s="125">
        <f t="shared" si="10"/>
        <v>45977</v>
      </c>
      <c r="I234" s="55">
        <v>8.02</v>
      </c>
      <c r="J234" s="59" t="str">
        <f>IFERROR(Inv_SY!J236/Inv_SY!$Y236-1,"")</f>
        <v/>
      </c>
      <c r="K234" s="59" t="str">
        <f>IFERROR(Inv_SY!K236/Inv_SY!$Y236-1,"")</f>
        <v/>
      </c>
      <c r="L234" s="59" t="str">
        <f>IFERROR(Inv_SY!L236/Inv_SY!$Y236-1,"")</f>
        <v/>
      </c>
      <c r="M234" s="59" t="str">
        <f>IFERROR(Inv_SY!M236/Inv_SY!$Y236-1,"")</f>
        <v/>
      </c>
      <c r="N234" s="59" t="str">
        <f>IFERROR(Inv_SY!N236/Inv_SY!$Y236-1,"")</f>
        <v/>
      </c>
      <c r="O234" s="59" t="str">
        <f>IFERROR(Inv_SY!O236/Inv_SY!$Y236-1,"")</f>
        <v/>
      </c>
      <c r="P234" s="59" t="str">
        <f>IFERROR(Inv_SY!P236/Inv_SY!$Y236-1,"")</f>
        <v/>
      </c>
      <c r="Q234" s="59" t="str">
        <f>IFERROR(Inv_SY!Q236/Inv_SY!$Y236-1,"")</f>
        <v/>
      </c>
      <c r="R234" s="59" t="str">
        <f>IFERROR(Inv_SY!R236/Inv_SY!$Y236-1,"")</f>
        <v/>
      </c>
      <c r="S234" s="59" t="str">
        <f>IFERROR(Inv_SY!S236/Inv_SY!$Y236-1,"")</f>
        <v/>
      </c>
      <c r="T234" s="59" t="str">
        <f>IFERROR(Inv_SY!T236/Inv_SY!$Y236-1,"")</f>
        <v/>
      </c>
      <c r="U234" s="59" t="str">
        <f>IFERROR(Inv_SY!U236/Inv_SY!$Y236-1,"")</f>
        <v/>
      </c>
      <c r="V234" s="59" t="str">
        <f>IFERROR(Inv_SY!J236/Inv_SY!$Z236-1,"")</f>
        <v/>
      </c>
      <c r="W234" s="59" t="str">
        <f>IFERROR(Inv_SY!K236/Inv_SY!$Z236-1,"")</f>
        <v/>
      </c>
      <c r="X234" s="59" t="str">
        <f>IFERROR(Inv_SY!L236/Inv_SY!$Z236-1,"")</f>
        <v/>
      </c>
      <c r="Y234" s="59" t="str">
        <f>IFERROR(Inv_SY!M236/Inv_SY!$Z236-1,"")</f>
        <v/>
      </c>
      <c r="Z234" s="59" t="str">
        <f>IFERROR(Inv_SY!N236/Inv_SY!$Z236-1,"")</f>
        <v/>
      </c>
      <c r="AA234" s="59" t="str">
        <f>IFERROR(Inv_SY!O236/Inv_SY!$Z236-1,"")</f>
        <v/>
      </c>
      <c r="AB234" s="59" t="str">
        <f>IFERROR(Inv_SY!P236/Inv_SY!$Z236-1,"")</f>
        <v/>
      </c>
      <c r="AC234" s="59" t="str">
        <f>IFERROR(Inv_SY!Q236/Inv_SY!$Z236-1,"")</f>
        <v/>
      </c>
      <c r="AD234" s="59" t="str">
        <f>IFERROR(Inv_SY!R236/Inv_SY!$Z236-1,"")</f>
        <v/>
      </c>
      <c r="AE234" s="59" t="str">
        <f>IFERROR(Inv_SY!S236/Inv_SY!$Z236-1,"")</f>
        <v/>
      </c>
      <c r="AF234" s="59" t="str">
        <f>IFERROR(Inv_SY!T236/Inv_SY!$Z236-1,"")</f>
        <v/>
      </c>
      <c r="AG234" s="59" t="str">
        <f>IFERROR(Inv_SY!U236/Inv_SY!$Z236-1,"")</f>
        <v/>
      </c>
      <c r="AH234" s="59" t="str">
        <f>IFERROR(Inv_SY!V236/Inv_SY!$Y236-1,"")</f>
        <v/>
      </c>
      <c r="AI234" s="59" t="str">
        <f>IFERROR(Inv_SY!W236/Inv_SY!$Y236-1,"")</f>
        <v/>
      </c>
      <c r="AJ234" s="59" t="str">
        <f>IFERROR(Inv_SY!X236/Inv_SY!$Y236-1,"")</f>
        <v/>
      </c>
      <c r="AK234" s="59" t="str">
        <f>IFERROR(Inv_SY!V236/Inv_SY!$Z236-1,"")</f>
        <v/>
      </c>
      <c r="AL234" s="59" t="str">
        <f>IFERROR(Inv_SY!W236/Inv_SY!$Z236-1,"")</f>
        <v/>
      </c>
      <c r="AM234" s="59" t="str">
        <f>IFERROR(Inv_SY!X236/Inv_SY!$Z236-1,"")</f>
        <v/>
      </c>
    </row>
    <row r="235" spans="1:39" x14ac:dyDescent="0.3">
      <c r="A235" s="55">
        <f>YEAR(Table5[[#This Row],[Date]])+IF(MONTH(Table5[[#This Row],[Date]])&gt;=4,1,0)</f>
        <v>2026</v>
      </c>
      <c r="B235" s="55">
        <v>195</v>
      </c>
      <c r="C235" s="124">
        <f>YEAR(Table5[[#This Row],[Date]])</f>
        <v>2025</v>
      </c>
      <c r="D235" s="55" t="s">
        <v>329</v>
      </c>
      <c r="E235" s="55" t="s">
        <v>329</v>
      </c>
      <c r="F235" s="126" t="str">
        <f>TEXT(Table5[[#This Row],[Date]],"mmm-yy")</f>
        <v>Nov-25</v>
      </c>
      <c r="G235" s="124">
        <f t="shared" si="9"/>
        <v>30</v>
      </c>
      <c r="H235" s="125">
        <f t="shared" si="10"/>
        <v>45978</v>
      </c>
      <c r="I235" s="55">
        <v>8.02</v>
      </c>
      <c r="J235" s="59" t="str">
        <f>IFERROR(Inv_SY!J237/Inv_SY!$Y237-1,"")</f>
        <v/>
      </c>
      <c r="K235" s="59" t="str">
        <f>IFERROR(Inv_SY!K237/Inv_SY!$Y237-1,"")</f>
        <v/>
      </c>
      <c r="L235" s="59" t="str">
        <f>IFERROR(Inv_SY!L237/Inv_SY!$Y237-1,"")</f>
        <v/>
      </c>
      <c r="M235" s="59" t="str">
        <f>IFERROR(Inv_SY!M237/Inv_SY!$Y237-1,"")</f>
        <v/>
      </c>
      <c r="N235" s="59" t="str">
        <f>IFERROR(Inv_SY!N237/Inv_SY!$Y237-1,"")</f>
        <v/>
      </c>
      <c r="O235" s="59" t="str">
        <f>IFERROR(Inv_SY!O237/Inv_SY!$Y237-1,"")</f>
        <v/>
      </c>
      <c r="P235" s="59" t="str">
        <f>IFERROR(Inv_SY!P237/Inv_SY!$Y237-1,"")</f>
        <v/>
      </c>
      <c r="Q235" s="59" t="str">
        <f>IFERROR(Inv_SY!Q237/Inv_SY!$Y237-1,"")</f>
        <v/>
      </c>
      <c r="R235" s="59" t="str">
        <f>IFERROR(Inv_SY!R237/Inv_SY!$Y237-1,"")</f>
        <v/>
      </c>
      <c r="S235" s="59" t="str">
        <f>IFERROR(Inv_SY!S237/Inv_SY!$Y237-1,"")</f>
        <v/>
      </c>
      <c r="T235" s="59" t="str">
        <f>IFERROR(Inv_SY!T237/Inv_SY!$Y237-1,"")</f>
        <v/>
      </c>
      <c r="U235" s="59" t="str">
        <f>IFERROR(Inv_SY!U237/Inv_SY!$Y237-1,"")</f>
        <v/>
      </c>
      <c r="V235" s="59" t="str">
        <f>IFERROR(Inv_SY!J237/Inv_SY!$Z237-1,"")</f>
        <v/>
      </c>
      <c r="W235" s="59" t="str">
        <f>IFERROR(Inv_SY!K237/Inv_SY!$Z237-1,"")</f>
        <v/>
      </c>
      <c r="X235" s="59" t="str">
        <f>IFERROR(Inv_SY!L237/Inv_SY!$Z237-1,"")</f>
        <v/>
      </c>
      <c r="Y235" s="59" t="str">
        <f>IFERROR(Inv_SY!M237/Inv_SY!$Z237-1,"")</f>
        <v/>
      </c>
      <c r="Z235" s="59" t="str">
        <f>IFERROR(Inv_SY!N237/Inv_SY!$Z237-1,"")</f>
        <v/>
      </c>
      <c r="AA235" s="59" t="str">
        <f>IFERROR(Inv_SY!O237/Inv_SY!$Z237-1,"")</f>
        <v/>
      </c>
      <c r="AB235" s="59" t="str">
        <f>IFERROR(Inv_SY!P237/Inv_SY!$Z237-1,"")</f>
        <v/>
      </c>
      <c r="AC235" s="59" t="str">
        <f>IFERROR(Inv_SY!Q237/Inv_SY!$Z237-1,"")</f>
        <v/>
      </c>
      <c r="AD235" s="59" t="str">
        <f>IFERROR(Inv_SY!R237/Inv_SY!$Z237-1,"")</f>
        <v/>
      </c>
      <c r="AE235" s="59" t="str">
        <f>IFERROR(Inv_SY!S237/Inv_SY!$Z237-1,"")</f>
        <v/>
      </c>
      <c r="AF235" s="59" t="str">
        <f>IFERROR(Inv_SY!T237/Inv_SY!$Z237-1,"")</f>
        <v/>
      </c>
      <c r="AG235" s="59" t="str">
        <f>IFERROR(Inv_SY!U237/Inv_SY!$Z237-1,"")</f>
        <v/>
      </c>
      <c r="AH235" s="59" t="str">
        <f>IFERROR(Inv_SY!V237/Inv_SY!$Y237-1,"")</f>
        <v/>
      </c>
      <c r="AI235" s="59" t="str">
        <f>IFERROR(Inv_SY!W237/Inv_SY!$Y237-1,"")</f>
        <v/>
      </c>
      <c r="AJ235" s="59" t="str">
        <f>IFERROR(Inv_SY!X237/Inv_SY!$Y237-1,"")</f>
        <v/>
      </c>
      <c r="AK235" s="59" t="str">
        <f>IFERROR(Inv_SY!V237/Inv_SY!$Z237-1,"")</f>
        <v/>
      </c>
      <c r="AL235" s="59" t="str">
        <f>IFERROR(Inv_SY!W237/Inv_SY!$Z237-1,"")</f>
        <v/>
      </c>
      <c r="AM235" s="59" t="str">
        <f>IFERROR(Inv_SY!X237/Inv_SY!$Z237-1,"")</f>
        <v/>
      </c>
    </row>
    <row r="236" spans="1:39" x14ac:dyDescent="0.3">
      <c r="A236" s="55">
        <f>YEAR(Table5[[#This Row],[Date]])+IF(MONTH(Table5[[#This Row],[Date]])&gt;=4,1,0)</f>
        <v>2026</v>
      </c>
      <c r="B236" s="55">
        <v>196</v>
      </c>
      <c r="C236" s="124">
        <f>YEAR(Table5[[#This Row],[Date]])</f>
        <v>2025</v>
      </c>
      <c r="D236" s="55" t="s">
        <v>329</v>
      </c>
      <c r="E236" s="55" t="s">
        <v>329</v>
      </c>
      <c r="F236" s="126" t="str">
        <f>TEXT(Table5[[#This Row],[Date]],"mmm-yy")</f>
        <v>Nov-25</v>
      </c>
      <c r="G236" s="124">
        <f t="shared" si="9"/>
        <v>30</v>
      </c>
      <c r="H236" s="125">
        <f t="shared" si="10"/>
        <v>45979</v>
      </c>
      <c r="I236" s="55">
        <v>8.02</v>
      </c>
      <c r="J236" s="59" t="str">
        <f>IFERROR(Inv_SY!J238/Inv_SY!$Y238-1,"")</f>
        <v/>
      </c>
      <c r="K236" s="59" t="str">
        <f>IFERROR(Inv_SY!K238/Inv_SY!$Y238-1,"")</f>
        <v/>
      </c>
      <c r="L236" s="59" t="str">
        <f>IFERROR(Inv_SY!L238/Inv_SY!$Y238-1,"")</f>
        <v/>
      </c>
      <c r="M236" s="59" t="str">
        <f>IFERROR(Inv_SY!M238/Inv_SY!$Y238-1,"")</f>
        <v/>
      </c>
      <c r="N236" s="59" t="str">
        <f>IFERROR(Inv_SY!N238/Inv_SY!$Y238-1,"")</f>
        <v/>
      </c>
      <c r="O236" s="59" t="str">
        <f>IFERROR(Inv_SY!O238/Inv_SY!$Y238-1,"")</f>
        <v/>
      </c>
      <c r="P236" s="59" t="str">
        <f>IFERROR(Inv_SY!P238/Inv_SY!$Y238-1,"")</f>
        <v/>
      </c>
      <c r="Q236" s="59" t="str">
        <f>IFERROR(Inv_SY!Q238/Inv_SY!$Y238-1,"")</f>
        <v/>
      </c>
      <c r="R236" s="59" t="str">
        <f>IFERROR(Inv_SY!R238/Inv_SY!$Y238-1,"")</f>
        <v/>
      </c>
      <c r="S236" s="59" t="str">
        <f>IFERROR(Inv_SY!S238/Inv_SY!$Y238-1,"")</f>
        <v/>
      </c>
      <c r="T236" s="59" t="str">
        <f>IFERROR(Inv_SY!T238/Inv_SY!$Y238-1,"")</f>
        <v/>
      </c>
      <c r="U236" s="59" t="str">
        <f>IFERROR(Inv_SY!U238/Inv_SY!$Y238-1,"")</f>
        <v/>
      </c>
      <c r="V236" s="59" t="str">
        <f>IFERROR(Inv_SY!J238/Inv_SY!$Z238-1,"")</f>
        <v/>
      </c>
      <c r="W236" s="59" t="str">
        <f>IFERROR(Inv_SY!K238/Inv_SY!$Z238-1,"")</f>
        <v/>
      </c>
      <c r="X236" s="59" t="str">
        <f>IFERROR(Inv_SY!L238/Inv_SY!$Z238-1,"")</f>
        <v/>
      </c>
      <c r="Y236" s="59" t="str">
        <f>IFERROR(Inv_SY!M238/Inv_SY!$Z238-1,"")</f>
        <v/>
      </c>
      <c r="Z236" s="59" t="str">
        <f>IFERROR(Inv_SY!N238/Inv_SY!$Z238-1,"")</f>
        <v/>
      </c>
      <c r="AA236" s="59" t="str">
        <f>IFERROR(Inv_SY!O238/Inv_SY!$Z238-1,"")</f>
        <v/>
      </c>
      <c r="AB236" s="59" t="str">
        <f>IFERROR(Inv_SY!P238/Inv_SY!$Z238-1,"")</f>
        <v/>
      </c>
      <c r="AC236" s="59" t="str">
        <f>IFERROR(Inv_SY!Q238/Inv_SY!$Z238-1,"")</f>
        <v/>
      </c>
      <c r="AD236" s="59" t="str">
        <f>IFERROR(Inv_SY!R238/Inv_SY!$Z238-1,"")</f>
        <v/>
      </c>
      <c r="AE236" s="59" t="str">
        <f>IFERROR(Inv_SY!S238/Inv_SY!$Z238-1,"")</f>
        <v/>
      </c>
      <c r="AF236" s="59" t="str">
        <f>IFERROR(Inv_SY!T238/Inv_SY!$Z238-1,"")</f>
        <v/>
      </c>
      <c r="AG236" s="59" t="str">
        <f>IFERROR(Inv_SY!U238/Inv_SY!$Z238-1,"")</f>
        <v/>
      </c>
      <c r="AH236" s="59" t="str">
        <f>IFERROR(Inv_SY!V238/Inv_SY!$Y238-1,"")</f>
        <v/>
      </c>
      <c r="AI236" s="59" t="str">
        <f>IFERROR(Inv_SY!W238/Inv_SY!$Y238-1,"")</f>
        <v/>
      </c>
      <c r="AJ236" s="59" t="str">
        <f>IFERROR(Inv_SY!X238/Inv_SY!$Y238-1,"")</f>
        <v/>
      </c>
      <c r="AK236" s="59" t="str">
        <f>IFERROR(Inv_SY!V238/Inv_SY!$Z238-1,"")</f>
        <v/>
      </c>
      <c r="AL236" s="59" t="str">
        <f>IFERROR(Inv_SY!W238/Inv_SY!$Z238-1,"")</f>
        <v/>
      </c>
      <c r="AM236" s="59" t="str">
        <f>IFERROR(Inv_SY!X238/Inv_SY!$Z238-1,"")</f>
        <v/>
      </c>
    </row>
    <row r="237" spans="1:39" x14ac:dyDescent="0.3">
      <c r="A237" s="55">
        <f>YEAR(Table5[[#This Row],[Date]])+IF(MONTH(Table5[[#This Row],[Date]])&gt;=4,1,0)</f>
        <v>2026</v>
      </c>
      <c r="B237" s="55">
        <v>197</v>
      </c>
      <c r="C237" s="124">
        <f>YEAR(Table5[[#This Row],[Date]])</f>
        <v>2025</v>
      </c>
      <c r="D237" s="55" t="s">
        <v>329</v>
      </c>
      <c r="E237" s="55" t="s">
        <v>329</v>
      </c>
      <c r="F237" s="126" t="str">
        <f>TEXT(Table5[[#This Row],[Date]],"mmm-yy")</f>
        <v>Nov-25</v>
      </c>
      <c r="G237" s="124">
        <f t="shared" ref="G237:G300" si="11">DAY(EOMONTH(F237,0))</f>
        <v>30</v>
      </c>
      <c r="H237" s="125">
        <f t="shared" si="10"/>
        <v>45980</v>
      </c>
      <c r="I237" s="55">
        <v>8.02</v>
      </c>
      <c r="J237" s="59" t="str">
        <f>IFERROR(Inv_SY!J239/Inv_SY!$Y239-1,"")</f>
        <v/>
      </c>
      <c r="K237" s="59" t="str">
        <f>IFERROR(Inv_SY!K239/Inv_SY!$Y239-1,"")</f>
        <v/>
      </c>
      <c r="L237" s="59" t="str">
        <f>IFERROR(Inv_SY!L239/Inv_SY!$Y239-1,"")</f>
        <v/>
      </c>
      <c r="M237" s="59" t="str">
        <f>IFERROR(Inv_SY!M239/Inv_SY!$Y239-1,"")</f>
        <v/>
      </c>
      <c r="N237" s="59" t="str">
        <f>IFERROR(Inv_SY!N239/Inv_SY!$Y239-1,"")</f>
        <v/>
      </c>
      <c r="O237" s="59" t="str">
        <f>IFERROR(Inv_SY!O239/Inv_SY!$Y239-1,"")</f>
        <v/>
      </c>
      <c r="P237" s="59" t="str">
        <f>IFERROR(Inv_SY!P239/Inv_SY!$Y239-1,"")</f>
        <v/>
      </c>
      <c r="Q237" s="59" t="str">
        <f>IFERROR(Inv_SY!Q239/Inv_SY!$Y239-1,"")</f>
        <v/>
      </c>
      <c r="R237" s="59" t="str">
        <f>IFERROR(Inv_SY!R239/Inv_SY!$Y239-1,"")</f>
        <v/>
      </c>
      <c r="S237" s="59" t="str">
        <f>IFERROR(Inv_SY!S239/Inv_SY!$Y239-1,"")</f>
        <v/>
      </c>
      <c r="T237" s="59" t="str">
        <f>IFERROR(Inv_SY!T239/Inv_SY!$Y239-1,"")</f>
        <v/>
      </c>
      <c r="U237" s="59" t="str">
        <f>IFERROR(Inv_SY!U239/Inv_SY!$Y239-1,"")</f>
        <v/>
      </c>
      <c r="V237" s="59" t="str">
        <f>IFERROR(Inv_SY!J239/Inv_SY!$Z239-1,"")</f>
        <v/>
      </c>
      <c r="W237" s="59" t="str">
        <f>IFERROR(Inv_SY!K239/Inv_SY!$Z239-1,"")</f>
        <v/>
      </c>
      <c r="X237" s="59" t="str">
        <f>IFERROR(Inv_SY!L239/Inv_SY!$Z239-1,"")</f>
        <v/>
      </c>
      <c r="Y237" s="59" t="str">
        <f>IFERROR(Inv_SY!M239/Inv_SY!$Z239-1,"")</f>
        <v/>
      </c>
      <c r="Z237" s="59" t="str">
        <f>IFERROR(Inv_SY!N239/Inv_SY!$Z239-1,"")</f>
        <v/>
      </c>
      <c r="AA237" s="59" t="str">
        <f>IFERROR(Inv_SY!O239/Inv_SY!$Z239-1,"")</f>
        <v/>
      </c>
      <c r="AB237" s="59" t="str">
        <f>IFERROR(Inv_SY!P239/Inv_SY!$Z239-1,"")</f>
        <v/>
      </c>
      <c r="AC237" s="59" t="str">
        <f>IFERROR(Inv_SY!Q239/Inv_SY!$Z239-1,"")</f>
        <v/>
      </c>
      <c r="AD237" s="59" t="str">
        <f>IFERROR(Inv_SY!R239/Inv_SY!$Z239-1,"")</f>
        <v/>
      </c>
      <c r="AE237" s="59" t="str">
        <f>IFERROR(Inv_SY!S239/Inv_SY!$Z239-1,"")</f>
        <v/>
      </c>
      <c r="AF237" s="59" t="str">
        <f>IFERROR(Inv_SY!T239/Inv_SY!$Z239-1,"")</f>
        <v/>
      </c>
      <c r="AG237" s="59" t="str">
        <f>IFERROR(Inv_SY!U239/Inv_SY!$Z239-1,"")</f>
        <v/>
      </c>
      <c r="AH237" s="59" t="str">
        <f>IFERROR(Inv_SY!V239/Inv_SY!$Y239-1,"")</f>
        <v/>
      </c>
      <c r="AI237" s="59" t="str">
        <f>IFERROR(Inv_SY!W239/Inv_SY!$Y239-1,"")</f>
        <v/>
      </c>
      <c r="AJ237" s="59" t="str">
        <f>IFERROR(Inv_SY!X239/Inv_SY!$Y239-1,"")</f>
        <v/>
      </c>
      <c r="AK237" s="59" t="str">
        <f>IFERROR(Inv_SY!V239/Inv_SY!$Z239-1,"")</f>
        <v/>
      </c>
      <c r="AL237" s="59" t="str">
        <f>IFERROR(Inv_SY!W239/Inv_SY!$Z239-1,"")</f>
        <v/>
      </c>
      <c r="AM237" s="59" t="str">
        <f>IFERROR(Inv_SY!X239/Inv_SY!$Z239-1,"")</f>
        <v/>
      </c>
    </row>
    <row r="238" spans="1:39" x14ac:dyDescent="0.3">
      <c r="A238" s="55">
        <f>YEAR(Table5[[#This Row],[Date]])+IF(MONTH(Table5[[#This Row],[Date]])&gt;=4,1,0)</f>
        <v>2026</v>
      </c>
      <c r="B238" s="55">
        <v>198</v>
      </c>
      <c r="C238" s="124">
        <f>YEAR(Table5[[#This Row],[Date]])</f>
        <v>2025</v>
      </c>
      <c r="D238" s="55" t="s">
        <v>329</v>
      </c>
      <c r="E238" s="55" t="s">
        <v>329</v>
      </c>
      <c r="F238" s="126" t="str">
        <f>TEXT(Table5[[#This Row],[Date]],"mmm-yy")</f>
        <v>Nov-25</v>
      </c>
      <c r="G238" s="124">
        <f t="shared" si="11"/>
        <v>30</v>
      </c>
      <c r="H238" s="125">
        <f t="shared" si="10"/>
        <v>45981</v>
      </c>
      <c r="I238" s="55">
        <v>8.02</v>
      </c>
      <c r="J238" s="59" t="str">
        <f>IFERROR(Inv_SY!J240/Inv_SY!$Y240-1,"")</f>
        <v/>
      </c>
      <c r="K238" s="59" t="str">
        <f>IFERROR(Inv_SY!K240/Inv_SY!$Y240-1,"")</f>
        <v/>
      </c>
      <c r="L238" s="59" t="str">
        <f>IFERROR(Inv_SY!L240/Inv_SY!$Y240-1,"")</f>
        <v/>
      </c>
      <c r="M238" s="59" t="str">
        <f>IFERROR(Inv_SY!M240/Inv_SY!$Y240-1,"")</f>
        <v/>
      </c>
      <c r="N238" s="59" t="str">
        <f>IFERROR(Inv_SY!N240/Inv_SY!$Y240-1,"")</f>
        <v/>
      </c>
      <c r="O238" s="59" t="str">
        <f>IFERROR(Inv_SY!O240/Inv_SY!$Y240-1,"")</f>
        <v/>
      </c>
      <c r="P238" s="59" t="str">
        <f>IFERROR(Inv_SY!P240/Inv_SY!$Y240-1,"")</f>
        <v/>
      </c>
      <c r="Q238" s="59" t="str">
        <f>IFERROR(Inv_SY!Q240/Inv_SY!$Y240-1,"")</f>
        <v/>
      </c>
      <c r="R238" s="59" t="str">
        <f>IFERROR(Inv_SY!R240/Inv_SY!$Y240-1,"")</f>
        <v/>
      </c>
      <c r="S238" s="59" t="str">
        <f>IFERROR(Inv_SY!S240/Inv_SY!$Y240-1,"")</f>
        <v/>
      </c>
      <c r="T238" s="59" t="str">
        <f>IFERROR(Inv_SY!T240/Inv_SY!$Y240-1,"")</f>
        <v/>
      </c>
      <c r="U238" s="59" t="str">
        <f>IFERROR(Inv_SY!U240/Inv_SY!$Y240-1,"")</f>
        <v/>
      </c>
      <c r="V238" s="59" t="str">
        <f>IFERROR(Inv_SY!J240/Inv_SY!$Z240-1,"")</f>
        <v/>
      </c>
      <c r="W238" s="59" t="str">
        <f>IFERROR(Inv_SY!K240/Inv_SY!$Z240-1,"")</f>
        <v/>
      </c>
      <c r="X238" s="59" t="str">
        <f>IFERROR(Inv_SY!L240/Inv_SY!$Z240-1,"")</f>
        <v/>
      </c>
      <c r="Y238" s="59" t="str">
        <f>IFERROR(Inv_SY!M240/Inv_SY!$Z240-1,"")</f>
        <v/>
      </c>
      <c r="Z238" s="59" t="str">
        <f>IFERROR(Inv_SY!N240/Inv_SY!$Z240-1,"")</f>
        <v/>
      </c>
      <c r="AA238" s="59" t="str">
        <f>IFERROR(Inv_SY!O240/Inv_SY!$Z240-1,"")</f>
        <v/>
      </c>
      <c r="AB238" s="59" t="str">
        <f>IFERROR(Inv_SY!P240/Inv_SY!$Z240-1,"")</f>
        <v/>
      </c>
      <c r="AC238" s="59" t="str">
        <f>IFERROR(Inv_SY!Q240/Inv_SY!$Z240-1,"")</f>
        <v/>
      </c>
      <c r="AD238" s="59" t="str">
        <f>IFERROR(Inv_SY!R240/Inv_SY!$Z240-1,"")</f>
        <v/>
      </c>
      <c r="AE238" s="59" t="str">
        <f>IFERROR(Inv_SY!S240/Inv_SY!$Z240-1,"")</f>
        <v/>
      </c>
      <c r="AF238" s="59" t="str">
        <f>IFERROR(Inv_SY!T240/Inv_SY!$Z240-1,"")</f>
        <v/>
      </c>
      <c r="AG238" s="59" t="str">
        <f>IFERROR(Inv_SY!U240/Inv_SY!$Z240-1,"")</f>
        <v/>
      </c>
      <c r="AH238" s="59" t="str">
        <f>IFERROR(Inv_SY!V240/Inv_SY!$Y240-1,"")</f>
        <v/>
      </c>
      <c r="AI238" s="59" t="str">
        <f>IFERROR(Inv_SY!W240/Inv_SY!$Y240-1,"")</f>
        <v/>
      </c>
      <c r="AJ238" s="59" t="str">
        <f>IFERROR(Inv_SY!X240/Inv_SY!$Y240-1,"")</f>
        <v/>
      </c>
      <c r="AK238" s="59" t="str">
        <f>IFERROR(Inv_SY!V240/Inv_SY!$Z240-1,"")</f>
        <v/>
      </c>
      <c r="AL238" s="59" t="str">
        <f>IFERROR(Inv_SY!W240/Inv_SY!$Z240-1,"")</f>
        <v/>
      </c>
      <c r="AM238" s="59" t="str">
        <f>IFERROR(Inv_SY!X240/Inv_SY!$Z240-1,"")</f>
        <v/>
      </c>
    </row>
    <row r="239" spans="1:39" x14ac:dyDescent="0.3">
      <c r="A239" s="55">
        <f>YEAR(Table5[[#This Row],[Date]])+IF(MONTH(Table5[[#This Row],[Date]])&gt;=4,1,0)</f>
        <v>2026</v>
      </c>
      <c r="B239" s="55">
        <v>199</v>
      </c>
      <c r="C239" s="124">
        <f>YEAR(Table5[[#This Row],[Date]])</f>
        <v>2025</v>
      </c>
      <c r="D239" s="55" t="s">
        <v>329</v>
      </c>
      <c r="E239" s="55" t="s">
        <v>329</v>
      </c>
      <c r="F239" s="126" t="str">
        <f>TEXT(Table5[[#This Row],[Date]],"mmm-yy")</f>
        <v>Nov-25</v>
      </c>
      <c r="G239" s="124">
        <f t="shared" si="11"/>
        <v>30</v>
      </c>
      <c r="H239" s="125">
        <f t="shared" si="10"/>
        <v>45982</v>
      </c>
      <c r="I239" s="55">
        <v>8.02</v>
      </c>
      <c r="J239" s="59" t="str">
        <f>IFERROR(Inv_SY!J241/Inv_SY!$Y241-1,"")</f>
        <v/>
      </c>
      <c r="K239" s="59" t="str">
        <f>IFERROR(Inv_SY!K241/Inv_SY!$Y241-1,"")</f>
        <v/>
      </c>
      <c r="L239" s="59" t="str">
        <f>IFERROR(Inv_SY!L241/Inv_SY!$Y241-1,"")</f>
        <v/>
      </c>
      <c r="M239" s="59" t="str">
        <f>IFERROR(Inv_SY!M241/Inv_SY!$Y241-1,"")</f>
        <v/>
      </c>
      <c r="N239" s="59" t="str">
        <f>IFERROR(Inv_SY!N241/Inv_SY!$Y241-1,"")</f>
        <v/>
      </c>
      <c r="O239" s="59" t="str">
        <f>IFERROR(Inv_SY!O241/Inv_SY!$Y241-1,"")</f>
        <v/>
      </c>
      <c r="P239" s="59" t="str">
        <f>IFERROR(Inv_SY!P241/Inv_SY!$Y241-1,"")</f>
        <v/>
      </c>
      <c r="Q239" s="59" t="str">
        <f>IFERROR(Inv_SY!Q241/Inv_SY!$Y241-1,"")</f>
        <v/>
      </c>
      <c r="R239" s="59" t="str">
        <f>IFERROR(Inv_SY!R241/Inv_SY!$Y241-1,"")</f>
        <v/>
      </c>
      <c r="S239" s="59" t="str">
        <f>IFERROR(Inv_SY!S241/Inv_SY!$Y241-1,"")</f>
        <v/>
      </c>
      <c r="T239" s="59" t="str">
        <f>IFERROR(Inv_SY!T241/Inv_SY!$Y241-1,"")</f>
        <v/>
      </c>
      <c r="U239" s="59" t="str">
        <f>IFERROR(Inv_SY!U241/Inv_SY!$Y241-1,"")</f>
        <v/>
      </c>
      <c r="V239" s="59" t="str">
        <f>IFERROR(Inv_SY!J241/Inv_SY!$Z241-1,"")</f>
        <v/>
      </c>
      <c r="W239" s="59" t="str">
        <f>IFERROR(Inv_SY!K241/Inv_SY!$Z241-1,"")</f>
        <v/>
      </c>
      <c r="X239" s="59" t="str">
        <f>IFERROR(Inv_SY!L241/Inv_SY!$Z241-1,"")</f>
        <v/>
      </c>
      <c r="Y239" s="59" t="str">
        <f>IFERROR(Inv_SY!M241/Inv_SY!$Z241-1,"")</f>
        <v/>
      </c>
      <c r="Z239" s="59" t="str">
        <f>IFERROR(Inv_SY!N241/Inv_SY!$Z241-1,"")</f>
        <v/>
      </c>
      <c r="AA239" s="59" t="str">
        <f>IFERROR(Inv_SY!O241/Inv_SY!$Z241-1,"")</f>
        <v/>
      </c>
      <c r="AB239" s="59" t="str">
        <f>IFERROR(Inv_SY!P241/Inv_SY!$Z241-1,"")</f>
        <v/>
      </c>
      <c r="AC239" s="59" t="str">
        <f>IFERROR(Inv_SY!Q241/Inv_SY!$Z241-1,"")</f>
        <v/>
      </c>
      <c r="AD239" s="59" t="str">
        <f>IFERROR(Inv_SY!R241/Inv_SY!$Z241-1,"")</f>
        <v/>
      </c>
      <c r="AE239" s="59" t="str">
        <f>IFERROR(Inv_SY!S241/Inv_SY!$Z241-1,"")</f>
        <v/>
      </c>
      <c r="AF239" s="59" t="str">
        <f>IFERROR(Inv_SY!T241/Inv_SY!$Z241-1,"")</f>
        <v/>
      </c>
      <c r="AG239" s="59" t="str">
        <f>IFERROR(Inv_SY!U241/Inv_SY!$Z241-1,"")</f>
        <v/>
      </c>
      <c r="AH239" s="59" t="str">
        <f>IFERROR(Inv_SY!V241/Inv_SY!$Y241-1,"")</f>
        <v/>
      </c>
      <c r="AI239" s="59" t="str">
        <f>IFERROR(Inv_SY!W241/Inv_SY!$Y241-1,"")</f>
        <v/>
      </c>
      <c r="AJ239" s="59" t="str">
        <f>IFERROR(Inv_SY!X241/Inv_SY!$Y241-1,"")</f>
        <v/>
      </c>
      <c r="AK239" s="59" t="str">
        <f>IFERROR(Inv_SY!V241/Inv_SY!$Z241-1,"")</f>
        <v/>
      </c>
      <c r="AL239" s="59" t="str">
        <f>IFERROR(Inv_SY!W241/Inv_SY!$Z241-1,"")</f>
        <v/>
      </c>
      <c r="AM239" s="59" t="str">
        <f>IFERROR(Inv_SY!X241/Inv_SY!$Z241-1,"")</f>
        <v/>
      </c>
    </row>
    <row r="240" spans="1:39" x14ac:dyDescent="0.3">
      <c r="A240" s="55">
        <f>YEAR(Table5[[#This Row],[Date]])+IF(MONTH(Table5[[#This Row],[Date]])&gt;=4,1,0)</f>
        <v>2026</v>
      </c>
      <c r="B240" s="55">
        <v>200</v>
      </c>
      <c r="C240" s="124">
        <f>YEAR(Table5[[#This Row],[Date]])</f>
        <v>2025</v>
      </c>
      <c r="D240" s="55" t="s">
        <v>329</v>
      </c>
      <c r="E240" s="55" t="s">
        <v>329</v>
      </c>
      <c r="F240" s="126" t="str">
        <f>TEXT(Table5[[#This Row],[Date]],"mmm-yy")</f>
        <v>Nov-25</v>
      </c>
      <c r="G240" s="124">
        <f t="shared" si="11"/>
        <v>30</v>
      </c>
      <c r="H240" s="125">
        <f t="shared" si="10"/>
        <v>45983</v>
      </c>
      <c r="I240" s="55">
        <v>8.02</v>
      </c>
      <c r="J240" s="59" t="str">
        <f>IFERROR(Inv_SY!J242/Inv_SY!$Y242-1,"")</f>
        <v/>
      </c>
      <c r="K240" s="59" t="str">
        <f>IFERROR(Inv_SY!K242/Inv_SY!$Y242-1,"")</f>
        <v/>
      </c>
      <c r="L240" s="59" t="str">
        <f>IFERROR(Inv_SY!L242/Inv_SY!$Y242-1,"")</f>
        <v/>
      </c>
      <c r="M240" s="59" t="str">
        <f>IFERROR(Inv_SY!M242/Inv_SY!$Y242-1,"")</f>
        <v/>
      </c>
      <c r="N240" s="59" t="str">
        <f>IFERROR(Inv_SY!N242/Inv_SY!$Y242-1,"")</f>
        <v/>
      </c>
      <c r="O240" s="59" t="str">
        <f>IFERROR(Inv_SY!O242/Inv_SY!$Y242-1,"")</f>
        <v/>
      </c>
      <c r="P240" s="59" t="str">
        <f>IFERROR(Inv_SY!P242/Inv_SY!$Y242-1,"")</f>
        <v/>
      </c>
      <c r="Q240" s="59" t="str">
        <f>IFERROR(Inv_SY!Q242/Inv_SY!$Y242-1,"")</f>
        <v/>
      </c>
      <c r="R240" s="59" t="str">
        <f>IFERROR(Inv_SY!R242/Inv_SY!$Y242-1,"")</f>
        <v/>
      </c>
      <c r="S240" s="59" t="str">
        <f>IFERROR(Inv_SY!S242/Inv_SY!$Y242-1,"")</f>
        <v/>
      </c>
      <c r="T240" s="59" t="str">
        <f>IFERROR(Inv_SY!T242/Inv_SY!$Y242-1,"")</f>
        <v/>
      </c>
      <c r="U240" s="59" t="str">
        <f>IFERROR(Inv_SY!U242/Inv_SY!$Y242-1,"")</f>
        <v/>
      </c>
      <c r="V240" s="59" t="str">
        <f>IFERROR(Inv_SY!J242/Inv_SY!$Z242-1,"")</f>
        <v/>
      </c>
      <c r="W240" s="59" t="str">
        <f>IFERROR(Inv_SY!K242/Inv_SY!$Z242-1,"")</f>
        <v/>
      </c>
      <c r="X240" s="59" t="str">
        <f>IFERROR(Inv_SY!L242/Inv_SY!$Z242-1,"")</f>
        <v/>
      </c>
      <c r="Y240" s="59" t="str">
        <f>IFERROR(Inv_SY!M242/Inv_SY!$Z242-1,"")</f>
        <v/>
      </c>
      <c r="Z240" s="59" t="str">
        <f>IFERROR(Inv_SY!N242/Inv_SY!$Z242-1,"")</f>
        <v/>
      </c>
      <c r="AA240" s="59" t="str">
        <f>IFERROR(Inv_SY!O242/Inv_SY!$Z242-1,"")</f>
        <v/>
      </c>
      <c r="AB240" s="59" t="str">
        <f>IFERROR(Inv_SY!P242/Inv_SY!$Z242-1,"")</f>
        <v/>
      </c>
      <c r="AC240" s="59" t="str">
        <f>IFERROR(Inv_SY!Q242/Inv_SY!$Z242-1,"")</f>
        <v/>
      </c>
      <c r="AD240" s="59" t="str">
        <f>IFERROR(Inv_SY!R242/Inv_SY!$Z242-1,"")</f>
        <v/>
      </c>
      <c r="AE240" s="59" t="str">
        <f>IFERROR(Inv_SY!S242/Inv_SY!$Z242-1,"")</f>
        <v/>
      </c>
      <c r="AF240" s="59" t="str">
        <f>IFERROR(Inv_SY!T242/Inv_SY!$Z242-1,"")</f>
        <v/>
      </c>
      <c r="AG240" s="59" t="str">
        <f>IFERROR(Inv_SY!U242/Inv_SY!$Z242-1,"")</f>
        <v/>
      </c>
      <c r="AH240" s="59" t="str">
        <f>IFERROR(Inv_SY!V242/Inv_SY!$Y242-1,"")</f>
        <v/>
      </c>
      <c r="AI240" s="59" t="str">
        <f>IFERROR(Inv_SY!W242/Inv_SY!$Y242-1,"")</f>
        <v/>
      </c>
      <c r="AJ240" s="59" t="str">
        <f>IFERROR(Inv_SY!X242/Inv_SY!$Y242-1,"")</f>
        <v/>
      </c>
      <c r="AK240" s="59" t="str">
        <f>IFERROR(Inv_SY!V242/Inv_SY!$Z242-1,"")</f>
        <v/>
      </c>
      <c r="AL240" s="59" t="str">
        <f>IFERROR(Inv_SY!W242/Inv_SY!$Z242-1,"")</f>
        <v/>
      </c>
      <c r="AM240" s="59" t="str">
        <f>IFERROR(Inv_SY!X242/Inv_SY!$Z242-1,"")</f>
        <v/>
      </c>
    </row>
    <row r="241" spans="1:39" x14ac:dyDescent="0.3">
      <c r="A241" s="55">
        <f>YEAR(Table5[[#This Row],[Date]])+IF(MONTH(Table5[[#This Row],[Date]])&gt;=4,1,0)</f>
        <v>2026</v>
      </c>
      <c r="B241" s="55">
        <v>201</v>
      </c>
      <c r="C241" s="124">
        <f>YEAR(Table5[[#This Row],[Date]])</f>
        <v>2025</v>
      </c>
      <c r="D241" s="55" t="s">
        <v>329</v>
      </c>
      <c r="E241" s="55" t="s">
        <v>329</v>
      </c>
      <c r="F241" s="126" t="str">
        <f>TEXT(Table5[[#This Row],[Date]],"mmm-yy")</f>
        <v>Nov-25</v>
      </c>
      <c r="G241" s="124">
        <f t="shared" si="11"/>
        <v>30</v>
      </c>
      <c r="H241" s="125">
        <f t="shared" si="10"/>
        <v>45984</v>
      </c>
      <c r="I241" s="55">
        <v>8.02</v>
      </c>
      <c r="J241" s="59" t="str">
        <f>IFERROR(Inv_SY!J243/Inv_SY!$Y243-1,"")</f>
        <v/>
      </c>
      <c r="K241" s="59" t="str">
        <f>IFERROR(Inv_SY!K243/Inv_SY!$Y243-1,"")</f>
        <v/>
      </c>
      <c r="L241" s="59" t="str">
        <f>IFERROR(Inv_SY!L243/Inv_SY!$Y243-1,"")</f>
        <v/>
      </c>
      <c r="M241" s="59" t="str">
        <f>IFERROR(Inv_SY!M243/Inv_SY!$Y243-1,"")</f>
        <v/>
      </c>
      <c r="N241" s="59" t="str">
        <f>IFERROR(Inv_SY!N243/Inv_SY!$Y243-1,"")</f>
        <v/>
      </c>
      <c r="O241" s="59" t="str">
        <f>IFERROR(Inv_SY!O243/Inv_SY!$Y243-1,"")</f>
        <v/>
      </c>
      <c r="P241" s="59" t="str">
        <f>IFERROR(Inv_SY!P243/Inv_SY!$Y243-1,"")</f>
        <v/>
      </c>
      <c r="Q241" s="59" t="str">
        <f>IFERROR(Inv_SY!Q243/Inv_SY!$Y243-1,"")</f>
        <v/>
      </c>
      <c r="R241" s="59" t="str">
        <f>IFERROR(Inv_SY!R243/Inv_SY!$Y243-1,"")</f>
        <v/>
      </c>
      <c r="S241" s="59" t="str">
        <f>IFERROR(Inv_SY!S243/Inv_SY!$Y243-1,"")</f>
        <v/>
      </c>
      <c r="T241" s="59" t="str">
        <f>IFERROR(Inv_SY!T243/Inv_SY!$Y243-1,"")</f>
        <v/>
      </c>
      <c r="U241" s="59" t="str">
        <f>IFERROR(Inv_SY!U243/Inv_SY!$Y243-1,"")</f>
        <v/>
      </c>
      <c r="V241" s="59" t="str">
        <f>IFERROR(Inv_SY!J243/Inv_SY!$Z243-1,"")</f>
        <v/>
      </c>
      <c r="W241" s="59" t="str">
        <f>IFERROR(Inv_SY!K243/Inv_SY!$Z243-1,"")</f>
        <v/>
      </c>
      <c r="X241" s="59" t="str">
        <f>IFERROR(Inv_SY!L243/Inv_SY!$Z243-1,"")</f>
        <v/>
      </c>
      <c r="Y241" s="59" t="str">
        <f>IFERROR(Inv_SY!M243/Inv_SY!$Z243-1,"")</f>
        <v/>
      </c>
      <c r="Z241" s="59" t="str">
        <f>IFERROR(Inv_SY!N243/Inv_SY!$Z243-1,"")</f>
        <v/>
      </c>
      <c r="AA241" s="59" t="str">
        <f>IFERROR(Inv_SY!O243/Inv_SY!$Z243-1,"")</f>
        <v/>
      </c>
      <c r="AB241" s="59" t="str">
        <f>IFERROR(Inv_SY!P243/Inv_SY!$Z243-1,"")</f>
        <v/>
      </c>
      <c r="AC241" s="59" t="str">
        <f>IFERROR(Inv_SY!Q243/Inv_SY!$Z243-1,"")</f>
        <v/>
      </c>
      <c r="AD241" s="59" t="str">
        <f>IFERROR(Inv_SY!R243/Inv_SY!$Z243-1,"")</f>
        <v/>
      </c>
      <c r="AE241" s="59" t="str">
        <f>IFERROR(Inv_SY!S243/Inv_SY!$Z243-1,"")</f>
        <v/>
      </c>
      <c r="AF241" s="59" t="str">
        <f>IFERROR(Inv_SY!T243/Inv_SY!$Z243-1,"")</f>
        <v/>
      </c>
      <c r="AG241" s="59" t="str">
        <f>IFERROR(Inv_SY!U243/Inv_SY!$Z243-1,"")</f>
        <v/>
      </c>
      <c r="AH241" s="59" t="str">
        <f>IFERROR(Inv_SY!V243/Inv_SY!$Y243-1,"")</f>
        <v/>
      </c>
      <c r="AI241" s="59" t="str">
        <f>IFERROR(Inv_SY!W243/Inv_SY!$Y243-1,"")</f>
        <v/>
      </c>
      <c r="AJ241" s="59" t="str">
        <f>IFERROR(Inv_SY!X243/Inv_SY!$Y243-1,"")</f>
        <v/>
      </c>
      <c r="AK241" s="59" t="str">
        <f>IFERROR(Inv_SY!V243/Inv_SY!$Z243-1,"")</f>
        <v/>
      </c>
      <c r="AL241" s="59" t="str">
        <f>IFERROR(Inv_SY!W243/Inv_SY!$Z243-1,"")</f>
        <v/>
      </c>
      <c r="AM241" s="59" t="str">
        <f>IFERROR(Inv_SY!X243/Inv_SY!$Z243-1,"")</f>
        <v/>
      </c>
    </row>
    <row r="242" spans="1:39" x14ac:dyDescent="0.3">
      <c r="A242" s="55">
        <f>YEAR(Table5[[#This Row],[Date]])+IF(MONTH(Table5[[#This Row],[Date]])&gt;=4,1,0)</f>
        <v>2026</v>
      </c>
      <c r="B242" s="55">
        <v>202</v>
      </c>
      <c r="C242" s="124">
        <f>YEAR(Table5[[#This Row],[Date]])</f>
        <v>2025</v>
      </c>
      <c r="D242" s="55" t="s">
        <v>329</v>
      </c>
      <c r="E242" s="55" t="s">
        <v>329</v>
      </c>
      <c r="F242" s="126" t="str">
        <f>TEXT(Table5[[#This Row],[Date]],"mmm-yy")</f>
        <v>Nov-25</v>
      </c>
      <c r="G242" s="124">
        <f t="shared" si="11"/>
        <v>30</v>
      </c>
      <c r="H242" s="125">
        <f t="shared" si="10"/>
        <v>45985</v>
      </c>
      <c r="I242" s="55">
        <v>8.02</v>
      </c>
      <c r="J242" s="59" t="str">
        <f>IFERROR(Inv_SY!J244/Inv_SY!$Y244-1,"")</f>
        <v/>
      </c>
      <c r="K242" s="59" t="str">
        <f>IFERROR(Inv_SY!K244/Inv_SY!$Y244-1,"")</f>
        <v/>
      </c>
      <c r="L242" s="59" t="str">
        <f>IFERROR(Inv_SY!L244/Inv_SY!$Y244-1,"")</f>
        <v/>
      </c>
      <c r="M242" s="59" t="str">
        <f>IFERROR(Inv_SY!M244/Inv_SY!$Y244-1,"")</f>
        <v/>
      </c>
      <c r="N242" s="59" t="str">
        <f>IFERROR(Inv_SY!N244/Inv_SY!$Y244-1,"")</f>
        <v/>
      </c>
      <c r="O242" s="59" t="str">
        <f>IFERROR(Inv_SY!O244/Inv_SY!$Y244-1,"")</f>
        <v/>
      </c>
      <c r="P242" s="59" t="str">
        <f>IFERROR(Inv_SY!P244/Inv_SY!$Y244-1,"")</f>
        <v/>
      </c>
      <c r="Q242" s="59" t="str">
        <f>IFERROR(Inv_SY!Q244/Inv_SY!$Y244-1,"")</f>
        <v/>
      </c>
      <c r="R242" s="59" t="str">
        <f>IFERROR(Inv_SY!R244/Inv_SY!$Y244-1,"")</f>
        <v/>
      </c>
      <c r="S242" s="59" t="str">
        <f>IFERROR(Inv_SY!S244/Inv_SY!$Y244-1,"")</f>
        <v/>
      </c>
      <c r="T242" s="59" t="str">
        <f>IFERROR(Inv_SY!T244/Inv_SY!$Y244-1,"")</f>
        <v/>
      </c>
      <c r="U242" s="59" t="str">
        <f>IFERROR(Inv_SY!U244/Inv_SY!$Y244-1,"")</f>
        <v/>
      </c>
      <c r="V242" s="59" t="str">
        <f>IFERROR(Inv_SY!J244/Inv_SY!$Z244-1,"")</f>
        <v/>
      </c>
      <c r="W242" s="59" t="str">
        <f>IFERROR(Inv_SY!K244/Inv_SY!$Z244-1,"")</f>
        <v/>
      </c>
      <c r="X242" s="59" t="str">
        <f>IFERROR(Inv_SY!L244/Inv_SY!$Z244-1,"")</f>
        <v/>
      </c>
      <c r="Y242" s="59" t="str">
        <f>IFERROR(Inv_SY!M244/Inv_SY!$Z244-1,"")</f>
        <v/>
      </c>
      <c r="Z242" s="59" t="str">
        <f>IFERROR(Inv_SY!N244/Inv_SY!$Z244-1,"")</f>
        <v/>
      </c>
      <c r="AA242" s="59" t="str">
        <f>IFERROR(Inv_SY!O244/Inv_SY!$Z244-1,"")</f>
        <v/>
      </c>
      <c r="AB242" s="59" t="str">
        <f>IFERROR(Inv_SY!P244/Inv_SY!$Z244-1,"")</f>
        <v/>
      </c>
      <c r="AC242" s="59" t="str">
        <f>IFERROR(Inv_SY!Q244/Inv_SY!$Z244-1,"")</f>
        <v/>
      </c>
      <c r="AD242" s="59" t="str">
        <f>IFERROR(Inv_SY!R244/Inv_SY!$Z244-1,"")</f>
        <v/>
      </c>
      <c r="AE242" s="59" t="str">
        <f>IFERROR(Inv_SY!S244/Inv_SY!$Z244-1,"")</f>
        <v/>
      </c>
      <c r="AF242" s="59" t="str">
        <f>IFERROR(Inv_SY!T244/Inv_SY!$Z244-1,"")</f>
        <v/>
      </c>
      <c r="AG242" s="59" t="str">
        <f>IFERROR(Inv_SY!U244/Inv_SY!$Z244-1,"")</f>
        <v/>
      </c>
      <c r="AH242" s="59" t="str">
        <f>IFERROR(Inv_SY!V244/Inv_SY!$Y244-1,"")</f>
        <v/>
      </c>
      <c r="AI242" s="59" t="str">
        <f>IFERROR(Inv_SY!W244/Inv_SY!$Y244-1,"")</f>
        <v/>
      </c>
      <c r="AJ242" s="59" t="str">
        <f>IFERROR(Inv_SY!X244/Inv_SY!$Y244-1,"")</f>
        <v/>
      </c>
      <c r="AK242" s="59" t="str">
        <f>IFERROR(Inv_SY!V244/Inv_SY!$Z244-1,"")</f>
        <v/>
      </c>
      <c r="AL242" s="59" t="str">
        <f>IFERROR(Inv_SY!W244/Inv_SY!$Z244-1,"")</f>
        <v/>
      </c>
      <c r="AM242" s="59" t="str">
        <f>IFERROR(Inv_SY!X244/Inv_SY!$Z244-1,"")</f>
        <v/>
      </c>
    </row>
    <row r="243" spans="1:39" x14ac:dyDescent="0.3">
      <c r="A243" s="55">
        <f>YEAR(Table5[[#This Row],[Date]])+IF(MONTH(Table5[[#This Row],[Date]])&gt;=4,1,0)</f>
        <v>2026</v>
      </c>
      <c r="B243" s="55">
        <v>203</v>
      </c>
      <c r="C243" s="124">
        <f>YEAR(Table5[[#This Row],[Date]])</f>
        <v>2025</v>
      </c>
      <c r="D243" s="55" t="s">
        <v>329</v>
      </c>
      <c r="E243" s="55" t="s">
        <v>329</v>
      </c>
      <c r="F243" s="126" t="str">
        <f>TEXT(Table5[[#This Row],[Date]],"mmm-yy")</f>
        <v>Nov-25</v>
      </c>
      <c r="G243" s="124">
        <f t="shared" si="11"/>
        <v>30</v>
      </c>
      <c r="H243" s="125">
        <f t="shared" si="10"/>
        <v>45986</v>
      </c>
      <c r="I243" s="55">
        <v>8.02</v>
      </c>
      <c r="J243" s="59" t="str">
        <f>IFERROR(Inv_SY!J245/Inv_SY!$Y245-1,"")</f>
        <v/>
      </c>
      <c r="K243" s="59" t="str">
        <f>IFERROR(Inv_SY!K245/Inv_SY!$Y245-1,"")</f>
        <v/>
      </c>
      <c r="L243" s="59" t="str">
        <f>IFERROR(Inv_SY!L245/Inv_SY!$Y245-1,"")</f>
        <v/>
      </c>
      <c r="M243" s="59" t="str">
        <f>IFERROR(Inv_SY!M245/Inv_SY!$Y245-1,"")</f>
        <v/>
      </c>
      <c r="N243" s="59" t="str">
        <f>IFERROR(Inv_SY!N245/Inv_SY!$Y245-1,"")</f>
        <v/>
      </c>
      <c r="O243" s="59" t="str">
        <f>IFERROR(Inv_SY!O245/Inv_SY!$Y245-1,"")</f>
        <v/>
      </c>
      <c r="P243" s="59" t="str">
        <f>IFERROR(Inv_SY!P245/Inv_SY!$Y245-1,"")</f>
        <v/>
      </c>
      <c r="Q243" s="59" t="str">
        <f>IFERROR(Inv_SY!Q245/Inv_SY!$Y245-1,"")</f>
        <v/>
      </c>
      <c r="R243" s="59" t="str">
        <f>IFERROR(Inv_SY!R245/Inv_SY!$Y245-1,"")</f>
        <v/>
      </c>
      <c r="S243" s="59" t="str">
        <f>IFERROR(Inv_SY!S245/Inv_SY!$Y245-1,"")</f>
        <v/>
      </c>
      <c r="T243" s="59" t="str">
        <f>IFERROR(Inv_SY!T245/Inv_SY!$Y245-1,"")</f>
        <v/>
      </c>
      <c r="U243" s="59" t="str">
        <f>IFERROR(Inv_SY!U245/Inv_SY!$Y245-1,"")</f>
        <v/>
      </c>
      <c r="V243" s="59" t="str">
        <f>IFERROR(Inv_SY!J245/Inv_SY!$Z245-1,"")</f>
        <v/>
      </c>
      <c r="W243" s="59" t="str">
        <f>IFERROR(Inv_SY!K245/Inv_SY!$Z245-1,"")</f>
        <v/>
      </c>
      <c r="X243" s="59" t="str">
        <f>IFERROR(Inv_SY!L245/Inv_SY!$Z245-1,"")</f>
        <v/>
      </c>
      <c r="Y243" s="59" t="str">
        <f>IFERROR(Inv_SY!M245/Inv_SY!$Z245-1,"")</f>
        <v/>
      </c>
      <c r="Z243" s="59" t="str">
        <f>IFERROR(Inv_SY!N245/Inv_SY!$Z245-1,"")</f>
        <v/>
      </c>
      <c r="AA243" s="59" t="str">
        <f>IFERROR(Inv_SY!O245/Inv_SY!$Z245-1,"")</f>
        <v/>
      </c>
      <c r="AB243" s="59" t="str">
        <f>IFERROR(Inv_SY!P245/Inv_SY!$Z245-1,"")</f>
        <v/>
      </c>
      <c r="AC243" s="59" t="str">
        <f>IFERROR(Inv_SY!Q245/Inv_SY!$Z245-1,"")</f>
        <v/>
      </c>
      <c r="AD243" s="59" t="str">
        <f>IFERROR(Inv_SY!R245/Inv_SY!$Z245-1,"")</f>
        <v/>
      </c>
      <c r="AE243" s="59" t="str">
        <f>IFERROR(Inv_SY!S245/Inv_SY!$Z245-1,"")</f>
        <v/>
      </c>
      <c r="AF243" s="59" t="str">
        <f>IFERROR(Inv_SY!T245/Inv_SY!$Z245-1,"")</f>
        <v/>
      </c>
      <c r="AG243" s="59" t="str">
        <f>IFERROR(Inv_SY!U245/Inv_SY!$Z245-1,"")</f>
        <v/>
      </c>
      <c r="AH243" s="59" t="str">
        <f>IFERROR(Inv_SY!V245/Inv_SY!$Y245-1,"")</f>
        <v/>
      </c>
      <c r="AI243" s="59" t="str">
        <f>IFERROR(Inv_SY!W245/Inv_SY!$Y245-1,"")</f>
        <v/>
      </c>
      <c r="AJ243" s="59" t="str">
        <f>IFERROR(Inv_SY!X245/Inv_SY!$Y245-1,"")</f>
        <v/>
      </c>
      <c r="AK243" s="59" t="str">
        <f>IFERROR(Inv_SY!V245/Inv_SY!$Z245-1,"")</f>
        <v/>
      </c>
      <c r="AL243" s="59" t="str">
        <f>IFERROR(Inv_SY!W245/Inv_SY!$Z245-1,"")</f>
        <v/>
      </c>
      <c r="AM243" s="59" t="str">
        <f>IFERROR(Inv_SY!X245/Inv_SY!$Z245-1,"")</f>
        <v/>
      </c>
    </row>
    <row r="244" spans="1:39" x14ac:dyDescent="0.3">
      <c r="A244" s="55">
        <f>YEAR(Table5[[#This Row],[Date]])+IF(MONTH(Table5[[#This Row],[Date]])&gt;=4,1,0)</f>
        <v>2026</v>
      </c>
      <c r="B244" s="55">
        <v>204</v>
      </c>
      <c r="C244" s="124">
        <f>YEAR(Table5[[#This Row],[Date]])</f>
        <v>2025</v>
      </c>
      <c r="D244" s="55" t="s">
        <v>329</v>
      </c>
      <c r="E244" s="55" t="s">
        <v>329</v>
      </c>
      <c r="F244" s="126" t="str">
        <f>TEXT(Table5[[#This Row],[Date]],"mmm-yy")</f>
        <v>Nov-25</v>
      </c>
      <c r="G244" s="124">
        <f t="shared" si="11"/>
        <v>30</v>
      </c>
      <c r="H244" s="125">
        <f t="shared" si="10"/>
        <v>45987</v>
      </c>
      <c r="I244" s="55">
        <v>8.02</v>
      </c>
      <c r="J244" s="59" t="str">
        <f>IFERROR(Inv_SY!J246/Inv_SY!$Y246-1,"")</f>
        <v/>
      </c>
      <c r="K244" s="59" t="str">
        <f>IFERROR(Inv_SY!K246/Inv_SY!$Y246-1,"")</f>
        <v/>
      </c>
      <c r="L244" s="59" t="str">
        <f>IFERROR(Inv_SY!L246/Inv_SY!$Y246-1,"")</f>
        <v/>
      </c>
      <c r="M244" s="59" t="str">
        <f>IFERROR(Inv_SY!M246/Inv_SY!$Y246-1,"")</f>
        <v/>
      </c>
      <c r="N244" s="59" t="str">
        <f>IFERROR(Inv_SY!N246/Inv_SY!$Y246-1,"")</f>
        <v/>
      </c>
      <c r="O244" s="59" t="str">
        <f>IFERROR(Inv_SY!O246/Inv_SY!$Y246-1,"")</f>
        <v/>
      </c>
      <c r="P244" s="59" t="str">
        <f>IFERROR(Inv_SY!P246/Inv_SY!$Y246-1,"")</f>
        <v/>
      </c>
      <c r="Q244" s="59" t="str">
        <f>IFERROR(Inv_SY!Q246/Inv_SY!$Y246-1,"")</f>
        <v/>
      </c>
      <c r="R244" s="59" t="str">
        <f>IFERROR(Inv_SY!R246/Inv_SY!$Y246-1,"")</f>
        <v/>
      </c>
      <c r="S244" s="59" t="str">
        <f>IFERROR(Inv_SY!S246/Inv_SY!$Y246-1,"")</f>
        <v/>
      </c>
      <c r="T244" s="59" t="str">
        <f>IFERROR(Inv_SY!T246/Inv_SY!$Y246-1,"")</f>
        <v/>
      </c>
      <c r="U244" s="59" t="str">
        <f>IFERROR(Inv_SY!U246/Inv_SY!$Y246-1,"")</f>
        <v/>
      </c>
      <c r="V244" s="59" t="str">
        <f>IFERROR(Inv_SY!J246/Inv_SY!$Z246-1,"")</f>
        <v/>
      </c>
      <c r="W244" s="59" t="str">
        <f>IFERROR(Inv_SY!K246/Inv_SY!$Z246-1,"")</f>
        <v/>
      </c>
      <c r="X244" s="59" t="str">
        <f>IFERROR(Inv_SY!L246/Inv_SY!$Z246-1,"")</f>
        <v/>
      </c>
      <c r="Y244" s="59" t="str">
        <f>IFERROR(Inv_SY!M246/Inv_SY!$Z246-1,"")</f>
        <v/>
      </c>
      <c r="Z244" s="59" t="str">
        <f>IFERROR(Inv_SY!N246/Inv_SY!$Z246-1,"")</f>
        <v/>
      </c>
      <c r="AA244" s="59" t="str">
        <f>IFERROR(Inv_SY!O246/Inv_SY!$Z246-1,"")</f>
        <v/>
      </c>
      <c r="AB244" s="59" t="str">
        <f>IFERROR(Inv_SY!P246/Inv_SY!$Z246-1,"")</f>
        <v/>
      </c>
      <c r="AC244" s="59" t="str">
        <f>IFERROR(Inv_SY!Q246/Inv_SY!$Z246-1,"")</f>
        <v/>
      </c>
      <c r="AD244" s="59" t="str">
        <f>IFERROR(Inv_SY!R246/Inv_SY!$Z246-1,"")</f>
        <v/>
      </c>
      <c r="AE244" s="59" t="str">
        <f>IFERROR(Inv_SY!S246/Inv_SY!$Z246-1,"")</f>
        <v/>
      </c>
      <c r="AF244" s="59" t="str">
        <f>IFERROR(Inv_SY!T246/Inv_SY!$Z246-1,"")</f>
        <v/>
      </c>
      <c r="AG244" s="59" t="str">
        <f>IFERROR(Inv_SY!U246/Inv_SY!$Z246-1,"")</f>
        <v/>
      </c>
      <c r="AH244" s="59" t="str">
        <f>IFERROR(Inv_SY!V246/Inv_SY!$Y246-1,"")</f>
        <v/>
      </c>
      <c r="AI244" s="59" t="str">
        <f>IFERROR(Inv_SY!W246/Inv_SY!$Y246-1,"")</f>
        <v/>
      </c>
      <c r="AJ244" s="59" t="str">
        <f>IFERROR(Inv_SY!X246/Inv_SY!$Y246-1,"")</f>
        <v/>
      </c>
      <c r="AK244" s="59" t="str">
        <f>IFERROR(Inv_SY!V246/Inv_SY!$Z246-1,"")</f>
        <v/>
      </c>
      <c r="AL244" s="59" t="str">
        <f>IFERROR(Inv_SY!W246/Inv_SY!$Z246-1,"")</f>
        <v/>
      </c>
      <c r="AM244" s="59" t="str">
        <f>IFERROR(Inv_SY!X246/Inv_SY!$Z246-1,"")</f>
        <v/>
      </c>
    </row>
    <row r="245" spans="1:39" x14ac:dyDescent="0.3">
      <c r="A245" s="55">
        <f>YEAR(Table5[[#This Row],[Date]])+IF(MONTH(Table5[[#This Row],[Date]])&gt;=4,1,0)</f>
        <v>2026</v>
      </c>
      <c r="B245" s="55">
        <v>205</v>
      </c>
      <c r="C245" s="124">
        <f>YEAR(Table5[[#This Row],[Date]])</f>
        <v>2025</v>
      </c>
      <c r="D245" s="55" t="s">
        <v>329</v>
      </c>
      <c r="E245" s="55" t="s">
        <v>329</v>
      </c>
      <c r="F245" s="126" t="str">
        <f>TEXT(Table5[[#This Row],[Date]],"mmm-yy")</f>
        <v>Nov-25</v>
      </c>
      <c r="G245" s="124">
        <f t="shared" si="11"/>
        <v>30</v>
      </c>
      <c r="H245" s="125">
        <f t="shared" si="10"/>
        <v>45988</v>
      </c>
      <c r="I245" s="55">
        <v>8.02</v>
      </c>
      <c r="J245" s="59" t="str">
        <f>IFERROR(Inv_SY!J247/Inv_SY!$Y247-1,"")</f>
        <v/>
      </c>
      <c r="K245" s="59" t="str">
        <f>IFERROR(Inv_SY!K247/Inv_SY!$Y247-1,"")</f>
        <v/>
      </c>
      <c r="L245" s="59" t="str">
        <f>IFERROR(Inv_SY!L247/Inv_SY!$Y247-1,"")</f>
        <v/>
      </c>
      <c r="M245" s="59" t="str">
        <f>IFERROR(Inv_SY!M247/Inv_SY!$Y247-1,"")</f>
        <v/>
      </c>
      <c r="N245" s="59" t="str">
        <f>IFERROR(Inv_SY!N247/Inv_SY!$Y247-1,"")</f>
        <v/>
      </c>
      <c r="O245" s="59" t="str">
        <f>IFERROR(Inv_SY!O247/Inv_SY!$Y247-1,"")</f>
        <v/>
      </c>
      <c r="P245" s="59" t="str">
        <f>IFERROR(Inv_SY!P247/Inv_SY!$Y247-1,"")</f>
        <v/>
      </c>
      <c r="Q245" s="59" t="str">
        <f>IFERROR(Inv_SY!Q247/Inv_SY!$Y247-1,"")</f>
        <v/>
      </c>
      <c r="R245" s="59" t="str">
        <f>IFERROR(Inv_SY!R247/Inv_SY!$Y247-1,"")</f>
        <v/>
      </c>
      <c r="S245" s="59" t="str">
        <f>IFERROR(Inv_SY!S247/Inv_SY!$Y247-1,"")</f>
        <v/>
      </c>
      <c r="T245" s="59" t="str">
        <f>IFERROR(Inv_SY!T247/Inv_SY!$Y247-1,"")</f>
        <v/>
      </c>
      <c r="U245" s="59" t="str">
        <f>IFERROR(Inv_SY!U247/Inv_SY!$Y247-1,"")</f>
        <v/>
      </c>
      <c r="V245" s="59" t="str">
        <f>IFERROR(Inv_SY!J247/Inv_SY!$Z247-1,"")</f>
        <v/>
      </c>
      <c r="W245" s="59" t="str">
        <f>IFERROR(Inv_SY!K247/Inv_SY!$Z247-1,"")</f>
        <v/>
      </c>
      <c r="X245" s="59" t="str">
        <f>IFERROR(Inv_SY!L247/Inv_SY!$Z247-1,"")</f>
        <v/>
      </c>
      <c r="Y245" s="59" t="str">
        <f>IFERROR(Inv_SY!M247/Inv_SY!$Z247-1,"")</f>
        <v/>
      </c>
      <c r="Z245" s="59" t="str">
        <f>IFERROR(Inv_SY!N247/Inv_SY!$Z247-1,"")</f>
        <v/>
      </c>
      <c r="AA245" s="59" t="str">
        <f>IFERROR(Inv_SY!O247/Inv_SY!$Z247-1,"")</f>
        <v/>
      </c>
      <c r="AB245" s="59" t="str">
        <f>IFERROR(Inv_SY!P247/Inv_SY!$Z247-1,"")</f>
        <v/>
      </c>
      <c r="AC245" s="59" t="str">
        <f>IFERROR(Inv_SY!Q247/Inv_SY!$Z247-1,"")</f>
        <v/>
      </c>
      <c r="AD245" s="59" t="str">
        <f>IFERROR(Inv_SY!R247/Inv_SY!$Z247-1,"")</f>
        <v/>
      </c>
      <c r="AE245" s="59" t="str">
        <f>IFERROR(Inv_SY!S247/Inv_SY!$Z247-1,"")</f>
        <v/>
      </c>
      <c r="AF245" s="59" t="str">
        <f>IFERROR(Inv_SY!T247/Inv_SY!$Z247-1,"")</f>
        <v/>
      </c>
      <c r="AG245" s="59" t="str">
        <f>IFERROR(Inv_SY!U247/Inv_SY!$Z247-1,"")</f>
        <v/>
      </c>
      <c r="AH245" s="59" t="str">
        <f>IFERROR(Inv_SY!V247/Inv_SY!$Y247-1,"")</f>
        <v/>
      </c>
      <c r="AI245" s="59" t="str">
        <f>IFERROR(Inv_SY!W247/Inv_SY!$Y247-1,"")</f>
        <v/>
      </c>
      <c r="AJ245" s="59" t="str">
        <f>IFERROR(Inv_SY!X247/Inv_SY!$Y247-1,"")</f>
        <v/>
      </c>
      <c r="AK245" s="59" t="str">
        <f>IFERROR(Inv_SY!V247/Inv_SY!$Z247-1,"")</f>
        <v/>
      </c>
      <c r="AL245" s="59" t="str">
        <f>IFERROR(Inv_SY!W247/Inv_SY!$Z247-1,"")</f>
        <v/>
      </c>
      <c r="AM245" s="59" t="str">
        <f>IFERROR(Inv_SY!X247/Inv_SY!$Z247-1,"")</f>
        <v/>
      </c>
    </row>
    <row r="246" spans="1:39" x14ac:dyDescent="0.3">
      <c r="A246" s="55">
        <f>YEAR(Table5[[#This Row],[Date]])+IF(MONTH(Table5[[#This Row],[Date]])&gt;=4,1,0)</f>
        <v>2026</v>
      </c>
      <c r="B246" s="55">
        <v>206</v>
      </c>
      <c r="C246" s="124">
        <f>YEAR(Table5[[#This Row],[Date]])</f>
        <v>2025</v>
      </c>
      <c r="D246" s="55" t="s">
        <v>329</v>
      </c>
      <c r="E246" s="55" t="s">
        <v>329</v>
      </c>
      <c r="F246" s="126" t="str">
        <f>TEXT(Table5[[#This Row],[Date]],"mmm-yy")</f>
        <v>Nov-25</v>
      </c>
      <c r="G246" s="124">
        <f t="shared" si="11"/>
        <v>30</v>
      </c>
      <c r="H246" s="125">
        <f t="shared" si="10"/>
        <v>45989</v>
      </c>
      <c r="I246" s="55">
        <v>8.02</v>
      </c>
      <c r="J246" s="59" t="str">
        <f>IFERROR(Inv_SY!J248/Inv_SY!$Y248-1,"")</f>
        <v/>
      </c>
      <c r="K246" s="59" t="str">
        <f>IFERROR(Inv_SY!K248/Inv_SY!$Y248-1,"")</f>
        <v/>
      </c>
      <c r="L246" s="59" t="str">
        <f>IFERROR(Inv_SY!L248/Inv_SY!$Y248-1,"")</f>
        <v/>
      </c>
      <c r="M246" s="59" t="str">
        <f>IFERROR(Inv_SY!M248/Inv_SY!$Y248-1,"")</f>
        <v/>
      </c>
      <c r="N246" s="59" t="str">
        <f>IFERROR(Inv_SY!N248/Inv_SY!$Y248-1,"")</f>
        <v/>
      </c>
      <c r="O246" s="59" t="str">
        <f>IFERROR(Inv_SY!O248/Inv_SY!$Y248-1,"")</f>
        <v/>
      </c>
      <c r="P246" s="59" t="str">
        <f>IFERROR(Inv_SY!P248/Inv_SY!$Y248-1,"")</f>
        <v/>
      </c>
      <c r="Q246" s="59" t="str">
        <f>IFERROR(Inv_SY!Q248/Inv_SY!$Y248-1,"")</f>
        <v/>
      </c>
      <c r="R246" s="59" t="str">
        <f>IFERROR(Inv_SY!R248/Inv_SY!$Y248-1,"")</f>
        <v/>
      </c>
      <c r="S246" s="59" t="str">
        <f>IFERROR(Inv_SY!S248/Inv_SY!$Y248-1,"")</f>
        <v/>
      </c>
      <c r="T246" s="59" t="str">
        <f>IFERROR(Inv_SY!T248/Inv_SY!$Y248-1,"")</f>
        <v/>
      </c>
      <c r="U246" s="59" t="str">
        <f>IFERROR(Inv_SY!U248/Inv_SY!$Y248-1,"")</f>
        <v/>
      </c>
      <c r="V246" s="59" t="str">
        <f>IFERROR(Inv_SY!J248/Inv_SY!$Z248-1,"")</f>
        <v/>
      </c>
      <c r="W246" s="59" t="str">
        <f>IFERROR(Inv_SY!K248/Inv_SY!$Z248-1,"")</f>
        <v/>
      </c>
      <c r="X246" s="59" t="str">
        <f>IFERROR(Inv_SY!L248/Inv_SY!$Z248-1,"")</f>
        <v/>
      </c>
      <c r="Y246" s="59" t="str">
        <f>IFERROR(Inv_SY!M248/Inv_SY!$Z248-1,"")</f>
        <v/>
      </c>
      <c r="Z246" s="59" t="str">
        <f>IFERROR(Inv_SY!N248/Inv_SY!$Z248-1,"")</f>
        <v/>
      </c>
      <c r="AA246" s="59" t="str">
        <f>IFERROR(Inv_SY!O248/Inv_SY!$Z248-1,"")</f>
        <v/>
      </c>
      <c r="AB246" s="59" t="str">
        <f>IFERROR(Inv_SY!P248/Inv_SY!$Z248-1,"")</f>
        <v/>
      </c>
      <c r="AC246" s="59" t="str">
        <f>IFERROR(Inv_SY!Q248/Inv_SY!$Z248-1,"")</f>
        <v/>
      </c>
      <c r="AD246" s="59" t="str">
        <f>IFERROR(Inv_SY!R248/Inv_SY!$Z248-1,"")</f>
        <v/>
      </c>
      <c r="AE246" s="59" t="str">
        <f>IFERROR(Inv_SY!S248/Inv_SY!$Z248-1,"")</f>
        <v/>
      </c>
      <c r="AF246" s="59" t="str">
        <f>IFERROR(Inv_SY!T248/Inv_SY!$Z248-1,"")</f>
        <v/>
      </c>
      <c r="AG246" s="59" t="str">
        <f>IFERROR(Inv_SY!U248/Inv_SY!$Z248-1,"")</f>
        <v/>
      </c>
      <c r="AH246" s="59" t="str">
        <f>IFERROR(Inv_SY!V248/Inv_SY!$Y248-1,"")</f>
        <v/>
      </c>
      <c r="AI246" s="59" t="str">
        <f>IFERROR(Inv_SY!W248/Inv_SY!$Y248-1,"")</f>
        <v/>
      </c>
      <c r="AJ246" s="59" t="str">
        <f>IFERROR(Inv_SY!X248/Inv_SY!$Y248-1,"")</f>
        <v/>
      </c>
      <c r="AK246" s="59" t="str">
        <f>IFERROR(Inv_SY!V248/Inv_SY!$Z248-1,"")</f>
        <v/>
      </c>
      <c r="AL246" s="59" t="str">
        <f>IFERROR(Inv_SY!W248/Inv_SY!$Z248-1,"")</f>
        <v/>
      </c>
      <c r="AM246" s="59" t="str">
        <f>IFERROR(Inv_SY!X248/Inv_SY!$Z248-1,"")</f>
        <v/>
      </c>
    </row>
    <row r="247" spans="1:39" x14ac:dyDescent="0.3">
      <c r="A247" s="55">
        <f>YEAR(Table5[[#This Row],[Date]])+IF(MONTH(Table5[[#This Row],[Date]])&gt;=4,1,0)</f>
        <v>2026</v>
      </c>
      <c r="B247" s="55">
        <v>207</v>
      </c>
      <c r="C247" s="124">
        <f>YEAR(Table5[[#This Row],[Date]])</f>
        <v>2025</v>
      </c>
      <c r="D247" s="55" t="s">
        <v>329</v>
      </c>
      <c r="E247" s="55" t="s">
        <v>329</v>
      </c>
      <c r="F247" s="126" t="str">
        <f>TEXT(Table5[[#This Row],[Date]],"mmm-yy")</f>
        <v>Nov-25</v>
      </c>
      <c r="G247" s="124">
        <f t="shared" si="11"/>
        <v>30</v>
      </c>
      <c r="H247" s="125">
        <f t="shared" si="10"/>
        <v>45990</v>
      </c>
      <c r="I247" s="55">
        <v>8.02</v>
      </c>
      <c r="J247" s="59" t="str">
        <f>IFERROR(Inv_SY!J249/Inv_SY!$Y249-1,"")</f>
        <v/>
      </c>
      <c r="K247" s="59" t="str">
        <f>IFERROR(Inv_SY!K249/Inv_SY!$Y249-1,"")</f>
        <v/>
      </c>
      <c r="L247" s="59" t="str">
        <f>IFERROR(Inv_SY!L249/Inv_SY!$Y249-1,"")</f>
        <v/>
      </c>
      <c r="M247" s="59" t="str">
        <f>IFERROR(Inv_SY!M249/Inv_SY!$Y249-1,"")</f>
        <v/>
      </c>
      <c r="N247" s="59" t="str">
        <f>IFERROR(Inv_SY!N249/Inv_SY!$Y249-1,"")</f>
        <v/>
      </c>
      <c r="O247" s="59" t="str">
        <f>IFERROR(Inv_SY!O249/Inv_SY!$Y249-1,"")</f>
        <v/>
      </c>
      <c r="P247" s="59" t="str">
        <f>IFERROR(Inv_SY!P249/Inv_SY!$Y249-1,"")</f>
        <v/>
      </c>
      <c r="Q247" s="59" t="str">
        <f>IFERROR(Inv_SY!Q249/Inv_SY!$Y249-1,"")</f>
        <v/>
      </c>
      <c r="R247" s="59" t="str">
        <f>IFERROR(Inv_SY!R249/Inv_SY!$Y249-1,"")</f>
        <v/>
      </c>
      <c r="S247" s="59" t="str">
        <f>IFERROR(Inv_SY!S249/Inv_SY!$Y249-1,"")</f>
        <v/>
      </c>
      <c r="T247" s="59" t="str">
        <f>IFERROR(Inv_SY!T249/Inv_SY!$Y249-1,"")</f>
        <v/>
      </c>
      <c r="U247" s="59" t="str">
        <f>IFERROR(Inv_SY!U249/Inv_SY!$Y249-1,"")</f>
        <v/>
      </c>
      <c r="V247" s="59" t="str">
        <f>IFERROR(Inv_SY!J249/Inv_SY!$Z249-1,"")</f>
        <v/>
      </c>
      <c r="W247" s="59" t="str">
        <f>IFERROR(Inv_SY!K249/Inv_SY!$Z249-1,"")</f>
        <v/>
      </c>
      <c r="X247" s="59" t="str">
        <f>IFERROR(Inv_SY!L249/Inv_SY!$Z249-1,"")</f>
        <v/>
      </c>
      <c r="Y247" s="59" t="str">
        <f>IFERROR(Inv_SY!M249/Inv_SY!$Z249-1,"")</f>
        <v/>
      </c>
      <c r="Z247" s="59" t="str">
        <f>IFERROR(Inv_SY!N249/Inv_SY!$Z249-1,"")</f>
        <v/>
      </c>
      <c r="AA247" s="59" t="str">
        <f>IFERROR(Inv_SY!O249/Inv_SY!$Z249-1,"")</f>
        <v/>
      </c>
      <c r="AB247" s="59" t="str">
        <f>IFERROR(Inv_SY!P249/Inv_SY!$Z249-1,"")</f>
        <v/>
      </c>
      <c r="AC247" s="59" t="str">
        <f>IFERROR(Inv_SY!Q249/Inv_SY!$Z249-1,"")</f>
        <v/>
      </c>
      <c r="AD247" s="59" t="str">
        <f>IFERROR(Inv_SY!R249/Inv_SY!$Z249-1,"")</f>
        <v/>
      </c>
      <c r="AE247" s="59" t="str">
        <f>IFERROR(Inv_SY!S249/Inv_SY!$Z249-1,"")</f>
        <v/>
      </c>
      <c r="AF247" s="59" t="str">
        <f>IFERROR(Inv_SY!T249/Inv_SY!$Z249-1,"")</f>
        <v/>
      </c>
      <c r="AG247" s="59" t="str">
        <f>IFERROR(Inv_SY!U249/Inv_SY!$Z249-1,"")</f>
        <v/>
      </c>
      <c r="AH247" s="59" t="str">
        <f>IFERROR(Inv_SY!V249/Inv_SY!$Y249-1,"")</f>
        <v/>
      </c>
      <c r="AI247" s="59" t="str">
        <f>IFERROR(Inv_SY!W249/Inv_SY!$Y249-1,"")</f>
        <v/>
      </c>
      <c r="AJ247" s="59" t="str">
        <f>IFERROR(Inv_SY!X249/Inv_SY!$Y249-1,"")</f>
        <v/>
      </c>
      <c r="AK247" s="59" t="str">
        <f>IFERROR(Inv_SY!V249/Inv_SY!$Z249-1,"")</f>
        <v/>
      </c>
      <c r="AL247" s="59" t="str">
        <f>IFERROR(Inv_SY!W249/Inv_SY!$Z249-1,"")</f>
        <v/>
      </c>
      <c r="AM247" s="59" t="str">
        <f>IFERROR(Inv_SY!X249/Inv_SY!$Z249-1,"")</f>
        <v/>
      </c>
    </row>
    <row r="248" spans="1:39" x14ac:dyDescent="0.3">
      <c r="A248" s="55">
        <f>YEAR(Table5[[#This Row],[Date]])+IF(MONTH(Table5[[#This Row],[Date]])&gt;=4,1,0)</f>
        <v>2026</v>
      </c>
      <c r="B248" s="55">
        <v>208</v>
      </c>
      <c r="C248" s="124">
        <f>YEAR(Table5[[#This Row],[Date]])</f>
        <v>2025</v>
      </c>
      <c r="D248" s="55" t="s">
        <v>329</v>
      </c>
      <c r="E248" s="55" t="s">
        <v>329</v>
      </c>
      <c r="F248" s="126" t="str">
        <f>TEXT(Table5[[#This Row],[Date]],"mmm-yy")</f>
        <v>Nov-25</v>
      </c>
      <c r="G248" s="124">
        <f t="shared" si="11"/>
        <v>30</v>
      </c>
      <c r="H248" s="125">
        <f t="shared" si="10"/>
        <v>45991</v>
      </c>
      <c r="I248" s="55">
        <v>8.02</v>
      </c>
      <c r="J248" s="59" t="str">
        <f>IFERROR(Inv_SY!J250/Inv_SY!$Y250-1,"")</f>
        <v/>
      </c>
      <c r="K248" s="59" t="str">
        <f>IFERROR(Inv_SY!K250/Inv_SY!$Y250-1,"")</f>
        <v/>
      </c>
      <c r="L248" s="59" t="str">
        <f>IFERROR(Inv_SY!L250/Inv_SY!$Y250-1,"")</f>
        <v/>
      </c>
      <c r="M248" s="59" t="str">
        <f>IFERROR(Inv_SY!M250/Inv_SY!$Y250-1,"")</f>
        <v/>
      </c>
      <c r="N248" s="59" t="str">
        <f>IFERROR(Inv_SY!N250/Inv_SY!$Y250-1,"")</f>
        <v/>
      </c>
      <c r="O248" s="59" t="str">
        <f>IFERROR(Inv_SY!O250/Inv_SY!$Y250-1,"")</f>
        <v/>
      </c>
      <c r="P248" s="59" t="str">
        <f>IFERROR(Inv_SY!P250/Inv_SY!$Y250-1,"")</f>
        <v/>
      </c>
      <c r="Q248" s="59" t="str">
        <f>IFERROR(Inv_SY!Q250/Inv_SY!$Y250-1,"")</f>
        <v/>
      </c>
      <c r="R248" s="59" t="str">
        <f>IFERROR(Inv_SY!R250/Inv_SY!$Y250-1,"")</f>
        <v/>
      </c>
      <c r="S248" s="59" t="str">
        <f>IFERROR(Inv_SY!S250/Inv_SY!$Y250-1,"")</f>
        <v/>
      </c>
      <c r="T248" s="59" t="str">
        <f>IFERROR(Inv_SY!T250/Inv_SY!$Y250-1,"")</f>
        <v/>
      </c>
      <c r="U248" s="59" t="str">
        <f>IFERROR(Inv_SY!U250/Inv_SY!$Y250-1,"")</f>
        <v/>
      </c>
      <c r="V248" s="59" t="str">
        <f>IFERROR(Inv_SY!J250/Inv_SY!$Z250-1,"")</f>
        <v/>
      </c>
      <c r="W248" s="59" t="str">
        <f>IFERROR(Inv_SY!K250/Inv_SY!$Z250-1,"")</f>
        <v/>
      </c>
      <c r="X248" s="59" t="str">
        <f>IFERROR(Inv_SY!L250/Inv_SY!$Z250-1,"")</f>
        <v/>
      </c>
      <c r="Y248" s="59" t="str">
        <f>IFERROR(Inv_SY!M250/Inv_SY!$Z250-1,"")</f>
        <v/>
      </c>
      <c r="Z248" s="59" t="str">
        <f>IFERROR(Inv_SY!N250/Inv_SY!$Z250-1,"")</f>
        <v/>
      </c>
      <c r="AA248" s="59" t="str">
        <f>IFERROR(Inv_SY!O250/Inv_SY!$Z250-1,"")</f>
        <v/>
      </c>
      <c r="AB248" s="59" t="str">
        <f>IFERROR(Inv_SY!P250/Inv_SY!$Z250-1,"")</f>
        <v/>
      </c>
      <c r="AC248" s="59" t="str">
        <f>IFERROR(Inv_SY!Q250/Inv_SY!$Z250-1,"")</f>
        <v/>
      </c>
      <c r="AD248" s="59" t="str">
        <f>IFERROR(Inv_SY!R250/Inv_SY!$Z250-1,"")</f>
        <v/>
      </c>
      <c r="AE248" s="59" t="str">
        <f>IFERROR(Inv_SY!S250/Inv_SY!$Z250-1,"")</f>
        <v/>
      </c>
      <c r="AF248" s="59" t="str">
        <f>IFERROR(Inv_SY!T250/Inv_SY!$Z250-1,"")</f>
        <v/>
      </c>
      <c r="AG248" s="59" t="str">
        <f>IFERROR(Inv_SY!U250/Inv_SY!$Z250-1,"")</f>
        <v/>
      </c>
      <c r="AH248" s="59" t="str">
        <f>IFERROR(Inv_SY!V250/Inv_SY!$Y250-1,"")</f>
        <v/>
      </c>
      <c r="AI248" s="59" t="str">
        <f>IFERROR(Inv_SY!W250/Inv_SY!$Y250-1,"")</f>
        <v/>
      </c>
      <c r="AJ248" s="59" t="str">
        <f>IFERROR(Inv_SY!X250/Inv_SY!$Y250-1,"")</f>
        <v/>
      </c>
      <c r="AK248" s="59" t="str">
        <f>IFERROR(Inv_SY!V250/Inv_SY!$Z250-1,"")</f>
        <v/>
      </c>
      <c r="AL248" s="59" t="str">
        <f>IFERROR(Inv_SY!W250/Inv_SY!$Z250-1,"")</f>
        <v/>
      </c>
      <c r="AM248" s="59" t="str">
        <f>IFERROR(Inv_SY!X250/Inv_SY!$Z250-1,"")</f>
        <v/>
      </c>
    </row>
    <row r="249" spans="1:39" x14ac:dyDescent="0.3">
      <c r="A249" s="55">
        <f>YEAR(Table5[[#This Row],[Date]])+IF(MONTH(Table5[[#This Row],[Date]])&gt;=4,1,0)</f>
        <v>2026</v>
      </c>
      <c r="B249" s="55">
        <v>209</v>
      </c>
      <c r="C249" s="124">
        <f>YEAR(Table5[[#This Row],[Date]])</f>
        <v>2025</v>
      </c>
      <c r="D249" s="55" t="s">
        <v>329</v>
      </c>
      <c r="E249" s="55" t="s">
        <v>329</v>
      </c>
      <c r="F249" s="126" t="str">
        <f>TEXT(Table5[[#This Row],[Date]],"mmm-yy")</f>
        <v>Dec-25</v>
      </c>
      <c r="G249" s="124">
        <f t="shared" si="11"/>
        <v>31</v>
      </c>
      <c r="H249" s="125">
        <f t="shared" si="10"/>
        <v>45992</v>
      </c>
      <c r="I249" s="55">
        <v>8.02</v>
      </c>
      <c r="J249" s="59" t="str">
        <f>IFERROR(Inv_SY!J251/Inv_SY!$Y251-1,"")</f>
        <v/>
      </c>
      <c r="K249" s="59" t="str">
        <f>IFERROR(Inv_SY!K251/Inv_SY!$Y251-1,"")</f>
        <v/>
      </c>
      <c r="L249" s="59" t="str">
        <f>IFERROR(Inv_SY!L251/Inv_SY!$Y251-1,"")</f>
        <v/>
      </c>
      <c r="M249" s="59" t="str">
        <f>IFERROR(Inv_SY!M251/Inv_SY!$Y251-1,"")</f>
        <v/>
      </c>
      <c r="N249" s="59" t="str">
        <f>IFERROR(Inv_SY!N251/Inv_SY!$Y251-1,"")</f>
        <v/>
      </c>
      <c r="O249" s="59" t="str">
        <f>IFERROR(Inv_SY!O251/Inv_SY!$Y251-1,"")</f>
        <v/>
      </c>
      <c r="P249" s="59" t="str">
        <f>IFERROR(Inv_SY!P251/Inv_SY!$Y251-1,"")</f>
        <v/>
      </c>
      <c r="Q249" s="59" t="str">
        <f>IFERROR(Inv_SY!Q251/Inv_SY!$Y251-1,"")</f>
        <v/>
      </c>
      <c r="R249" s="59" t="str">
        <f>IFERROR(Inv_SY!R251/Inv_SY!$Y251-1,"")</f>
        <v/>
      </c>
      <c r="S249" s="59" t="str">
        <f>IFERROR(Inv_SY!S251/Inv_SY!$Y251-1,"")</f>
        <v/>
      </c>
      <c r="T249" s="59" t="str">
        <f>IFERROR(Inv_SY!T251/Inv_SY!$Y251-1,"")</f>
        <v/>
      </c>
      <c r="U249" s="59" t="str">
        <f>IFERROR(Inv_SY!U251/Inv_SY!$Y251-1,"")</f>
        <v/>
      </c>
      <c r="V249" s="59" t="str">
        <f>IFERROR(Inv_SY!J251/Inv_SY!$Z251-1,"")</f>
        <v/>
      </c>
      <c r="W249" s="59" t="str">
        <f>IFERROR(Inv_SY!K251/Inv_SY!$Z251-1,"")</f>
        <v/>
      </c>
      <c r="X249" s="59" t="str">
        <f>IFERROR(Inv_SY!L251/Inv_SY!$Z251-1,"")</f>
        <v/>
      </c>
      <c r="Y249" s="59" t="str">
        <f>IFERROR(Inv_SY!M251/Inv_SY!$Z251-1,"")</f>
        <v/>
      </c>
      <c r="Z249" s="59" t="str">
        <f>IFERROR(Inv_SY!N251/Inv_SY!$Z251-1,"")</f>
        <v/>
      </c>
      <c r="AA249" s="59" t="str">
        <f>IFERROR(Inv_SY!O251/Inv_SY!$Z251-1,"")</f>
        <v/>
      </c>
      <c r="AB249" s="59" t="str">
        <f>IFERROR(Inv_SY!P251/Inv_SY!$Z251-1,"")</f>
        <v/>
      </c>
      <c r="AC249" s="59" t="str">
        <f>IFERROR(Inv_SY!Q251/Inv_SY!$Z251-1,"")</f>
        <v/>
      </c>
      <c r="AD249" s="59" t="str">
        <f>IFERROR(Inv_SY!R251/Inv_SY!$Z251-1,"")</f>
        <v/>
      </c>
      <c r="AE249" s="59" t="str">
        <f>IFERROR(Inv_SY!S251/Inv_SY!$Z251-1,"")</f>
        <v/>
      </c>
      <c r="AF249" s="59" t="str">
        <f>IFERROR(Inv_SY!T251/Inv_SY!$Z251-1,"")</f>
        <v/>
      </c>
      <c r="AG249" s="59" t="str">
        <f>IFERROR(Inv_SY!U251/Inv_SY!$Z251-1,"")</f>
        <v/>
      </c>
      <c r="AH249" s="59" t="str">
        <f>IFERROR(Inv_SY!V251/Inv_SY!$Y251-1,"")</f>
        <v/>
      </c>
      <c r="AI249" s="59" t="str">
        <f>IFERROR(Inv_SY!W251/Inv_SY!$Y251-1,"")</f>
        <v/>
      </c>
      <c r="AJ249" s="59" t="str">
        <f>IFERROR(Inv_SY!X251/Inv_SY!$Y251-1,"")</f>
        <v/>
      </c>
      <c r="AK249" s="59" t="str">
        <f>IFERROR(Inv_SY!V251/Inv_SY!$Z251-1,"")</f>
        <v/>
      </c>
      <c r="AL249" s="59" t="str">
        <f>IFERROR(Inv_SY!W251/Inv_SY!$Z251-1,"")</f>
        <v/>
      </c>
      <c r="AM249" s="59" t="str">
        <f>IFERROR(Inv_SY!X251/Inv_SY!$Z251-1,"")</f>
        <v/>
      </c>
    </row>
    <row r="250" spans="1:39" x14ac:dyDescent="0.3">
      <c r="A250" s="55">
        <f>YEAR(Table5[[#This Row],[Date]])+IF(MONTH(Table5[[#This Row],[Date]])&gt;=4,1,0)</f>
        <v>2026</v>
      </c>
      <c r="B250" s="55">
        <v>210</v>
      </c>
      <c r="C250" s="124">
        <f>YEAR(Table5[[#This Row],[Date]])</f>
        <v>2025</v>
      </c>
      <c r="D250" s="55" t="s">
        <v>329</v>
      </c>
      <c r="E250" s="55" t="s">
        <v>329</v>
      </c>
      <c r="F250" s="126" t="str">
        <f>TEXT(Table5[[#This Row],[Date]],"mmm-yy")</f>
        <v>Dec-25</v>
      </c>
      <c r="G250" s="124">
        <f t="shared" si="11"/>
        <v>31</v>
      </c>
      <c r="H250" s="125">
        <f t="shared" si="10"/>
        <v>45993</v>
      </c>
      <c r="I250" s="55">
        <v>8.02</v>
      </c>
      <c r="J250" s="59" t="str">
        <f>IFERROR(Inv_SY!J252/Inv_SY!$Y252-1,"")</f>
        <v/>
      </c>
      <c r="K250" s="59" t="str">
        <f>IFERROR(Inv_SY!K252/Inv_SY!$Y252-1,"")</f>
        <v/>
      </c>
      <c r="L250" s="59" t="str">
        <f>IFERROR(Inv_SY!L252/Inv_SY!$Y252-1,"")</f>
        <v/>
      </c>
      <c r="M250" s="59" t="str">
        <f>IFERROR(Inv_SY!M252/Inv_SY!$Y252-1,"")</f>
        <v/>
      </c>
      <c r="N250" s="59" t="str">
        <f>IFERROR(Inv_SY!N252/Inv_SY!$Y252-1,"")</f>
        <v/>
      </c>
      <c r="O250" s="59" t="str">
        <f>IFERROR(Inv_SY!O252/Inv_SY!$Y252-1,"")</f>
        <v/>
      </c>
      <c r="P250" s="59" t="str">
        <f>IFERROR(Inv_SY!P252/Inv_SY!$Y252-1,"")</f>
        <v/>
      </c>
      <c r="Q250" s="59" t="str">
        <f>IFERROR(Inv_SY!Q252/Inv_SY!$Y252-1,"")</f>
        <v/>
      </c>
      <c r="R250" s="59" t="str">
        <f>IFERROR(Inv_SY!R252/Inv_SY!$Y252-1,"")</f>
        <v/>
      </c>
      <c r="S250" s="59" t="str">
        <f>IFERROR(Inv_SY!S252/Inv_SY!$Y252-1,"")</f>
        <v/>
      </c>
      <c r="T250" s="59" t="str">
        <f>IFERROR(Inv_SY!T252/Inv_SY!$Y252-1,"")</f>
        <v/>
      </c>
      <c r="U250" s="59" t="str">
        <f>IFERROR(Inv_SY!U252/Inv_SY!$Y252-1,"")</f>
        <v/>
      </c>
      <c r="V250" s="59" t="str">
        <f>IFERROR(Inv_SY!J252/Inv_SY!$Z252-1,"")</f>
        <v/>
      </c>
      <c r="W250" s="59" t="str">
        <f>IFERROR(Inv_SY!K252/Inv_SY!$Z252-1,"")</f>
        <v/>
      </c>
      <c r="X250" s="59" t="str">
        <f>IFERROR(Inv_SY!L252/Inv_SY!$Z252-1,"")</f>
        <v/>
      </c>
      <c r="Y250" s="59" t="str">
        <f>IFERROR(Inv_SY!M252/Inv_SY!$Z252-1,"")</f>
        <v/>
      </c>
      <c r="Z250" s="59" t="str">
        <f>IFERROR(Inv_SY!N252/Inv_SY!$Z252-1,"")</f>
        <v/>
      </c>
      <c r="AA250" s="59" t="str">
        <f>IFERROR(Inv_SY!O252/Inv_SY!$Z252-1,"")</f>
        <v/>
      </c>
      <c r="AB250" s="59" t="str">
        <f>IFERROR(Inv_SY!P252/Inv_SY!$Z252-1,"")</f>
        <v/>
      </c>
      <c r="AC250" s="59" t="str">
        <f>IFERROR(Inv_SY!Q252/Inv_SY!$Z252-1,"")</f>
        <v/>
      </c>
      <c r="AD250" s="59" t="str">
        <f>IFERROR(Inv_SY!R252/Inv_SY!$Z252-1,"")</f>
        <v/>
      </c>
      <c r="AE250" s="59" t="str">
        <f>IFERROR(Inv_SY!S252/Inv_SY!$Z252-1,"")</f>
        <v/>
      </c>
      <c r="AF250" s="59" t="str">
        <f>IFERROR(Inv_SY!T252/Inv_SY!$Z252-1,"")</f>
        <v/>
      </c>
      <c r="AG250" s="59" t="str">
        <f>IFERROR(Inv_SY!U252/Inv_SY!$Z252-1,"")</f>
        <v/>
      </c>
      <c r="AH250" s="59" t="str">
        <f>IFERROR(Inv_SY!V252/Inv_SY!$Y252-1,"")</f>
        <v/>
      </c>
      <c r="AI250" s="59" t="str">
        <f>IFERROR(Inv_SY!W252/Inv_SY!$Y252-1,"")</f>
        <v/>
      </c>
      <c r="AJ250" s="59" t="str">
        <f>IFERROR(Inv_SY!X252/Inv_SY!$Y252-1,"")</f>
        <v/>
      </c>
      <c r="AK250" s="59" t="str">
        <f>IFERROR(Inv_SY!V252/Inv_SY!$Z252-1,"")</f>
        <v/>
      </c>
      <c r="AL250" s="59" t="str">
        <f>IFERROR(Inv_SY!W252/Inv_SY!$Z252-1,"")</f>
        <v/>
      </c>
      <c r="AM250" s="59" t="str">
        <f>IFERROR(Inv_SY!X252/Inv_SY!$Z252-1,"")</f>
        <v/>
      </c>
    </row>
    <row r="251" spans="1:39" x14ac:dyDescent="0.3">
      <c r="A251" s="55">
        <f>YEAR(Table5[[#This Row],[Date]])+IF(MONTH(Table5[[#This Row],[Date]])&gt;=4,1,0)</f>
        <v>2026</v>
      </c>
      <c r="B251" s="55">
        <v>211</v>
      </c>
      <c r="C251" s="124">
        <f>YEAR(Table5[[#This Row],[Date]])</f>
        <v>2025</v>
      </c>
      <c r="D251" s="55" t="s">
        <v>329</v>
      </c>
      <c r="E251" s="55" t="s">
        <v>329</v>
      </c>
      <c r="F251" s="126" t="str">
        <f>TEXT(Table5[[#This Row],[Date]],"mmm-yy")</f>
        <v>Dec-25</v>
      </c>
      <c r="G251" s="124">
        <f t="shared" si="11"/>
        <v>31</v>
      </c>
      <c r="H251" s="125">
        <f t="shared" si="10"/>
        <v>45994</v>
      </c>
      <c r="I251" s="55">
        <v>8.02</v>
      </c>
      <c r="J251" s="59" t="str">
        <f>IFERROR(Inv_SY!J253/Inv_SY!$Y253-1,"")</f>
        <v/>
      </c>
      <c r="K251" s="59" t="str">
        <f>IFERROR(Inv_SY!K253/Inv_SY!$Y253-1,"")</f>
        <v/>
      </c>
      <c r="L251" s="59" t="str">
        <f>IFERROR(Inv_SY!L253/Inv_SY!$Y253-1,"")</f>
        <v/>
      </c>
      <c r="M251" s="59" t="str">
        <f>IFERROR(Inv_SY!M253/Inv_SY!$Y253-1,"")</f>
        <v/>
      </c>
      <c r="N251" s="59" t="str">
        <f>IFERROR(Inv_SY!N253/Inv_SY!$Y253-1,"")</f>
        <v/>
      </c>
      <c r="O251" s="59" t="str">
        <f>IFERROR(Inv_SY!O253/Inv_SY!$Y253-1,"")</f>
        <v/>
      </c>
      <c r="P251" s="59" t="str">
        <f>IFERROR(Inv_SY!P253/Inv_SY!$Y253-1,"")</f>
        <v/>
      </c>
      <c r="Q251" s="59" t="str">
        <f>IFERROR(Inv_SY!Q253/Inv_SY!$Y253-1,"")</f>
        <v/>
      </c>
      <c r="R251" s="59" t="str">
        <f>IFERROR(Inv_SY!R253/Inv_SY!$Y253-1,"")</f>
        <v/>
      </c>
      <c r="S251" s="59" t="str">
        <f>IFERROR(Inv_SY!S253/Inv_SY!$Y253-1,"")</f>
        <v/>
      </c>
      <c r="T251" s="59" t="str">
        <f>IFERROR(Inv_SY!T253/Inv_SY!$Y253-1,"")</f>
        <v/>
      </c>
      <c r="U251" s="59" t="str">
        <f>IFERROR(Inv_SY!U253/Inv_SY!$Y253-1,"")</f>
        <v/>
      </c>
      <c r="V251" s="59" t="str">
        <f>IFERROR(Inv_SY!J253/Inv_SY!$Z253-1,"")</f>
        <v/>
      </c>
      <c r="W251" s="59" t="str">
        <f>IFERROR(Inv_SY!K253/Inv_SY!$Z253-1,"")</f>
        <v/>
      </c>
      <c r="X251" s="59" t="str">
        <f>IFERROR(Inv_SY!L253/Inv_SY!$Z253-1,"")</f>
        <v/>
      </c>
      <c r="Y251" s="59" t="str">
        <f>IFERROR(Inv_SY!M253/Inv_SY!$Z253-1,"")</f>
        <v/>
      </c>
      <c r="Z251" s="59" t="str">
        <f>IFERROR(Inv_SY!N253/Inv_SY!$Z253-1,"")</f>
        <v/>
      </c>
      <c r="AA251" s="59" t="str">
        <f>IFERROR(Inv_SY!O253/Inv_SY!$Z253-1,"")</f>
        <v/>
      </c>
      <c r="AB251" s="59" t="str">
        <f>IFERROR(Inv_SY!P253/Inv_SY!$Z253-1,"")</f>
        <v/>
      </c>
      <c r="AC251" s="59" t="str">
        <f>IFERROR(Inv_SY!Q253/Inv_SY!$Z253-1,"")</f>
        <v/>
      </c>
      <c r="AD251" s="59" t="str">
        <f>IFERROR(Inv_SY!R253/Inv_SY!$Z253-1,"")</f>
        <v/>
      </c>
      <c r="AE251" s="59" t="str">
        <f>IFERROR(Inv_SY!S253/Inv_SY!$Z253-1,"")</f>
        <v/>
      </c>
      <c r="AF251" s="59" t="str">
        <f>IFERROR(Inv_SY!T253/Inv_SY!$Z253-1,"")</f>
        <v/>
      </c>
      <c r="AG251" s="59" t="str">
        <f>IFERROR(Inv_SY!U253/Inv_SY!$Z253-1,"")</f>
        <v/>
      </c>
      <c r="AH251" s="59" t="str">
        <f>IFERROR(Inv_SY!V253/Inv_SY!$Y253-1,"")</f>
        <v/>
      </c>
      <c r="AI251" s="59" t="str">
        <f>IFERROR(Inv_SY!W253/Inv_SY!$Y253-1,"")</f>
        <v/>
      </c>
      <c r="AJ251" s="59" t="str">
        <f>IFERROR(Inv_SY!X253/Inv_SY!$Y253-1,"")</f>
        <v/>
      </c>
      <c r="AK251" s="59" t="str">
        <f>IFERROR(Inv_SY!V253/Inv_SY!$Z253-1,"")</f>
        <v/>
      </c>
      <c r="AL251" s="59" t="str">
        <f>IFERROR(Inv_SY!W253/Inv_SY!$Z253-1,"")</f>
        <v/>
      </c>
      <c r="AM251" s="59" t="str">
        <f>IFERROR(Inv_SY!X253/Inv_SY!$Z253-1,"")</f>
        <v/>
      </c>
    </row>
    <row r="252" spans="1:39" x14ac:dyDescent="0.3">
      <c r="A252" s="55">
        <f>YEAR(Table5[[#This Row],[Date]])+IF(MONTH(Table5[[#This Row],[Date]])&gt;=4,1,0)</f>
        <v>2026</v>
      </c>
      <c r="B252" s="55">
        <v>212</v>
      </c>
      <c r="C252" s="124">
        <f>YEAR(Table5[[#This Row],[Date]])</f>
        <v>2025</v>
      </c>
      <c r="D252" s="55" t="s">
        <v>329</v>
      </c>
      <c r="E252" s="55" t="s">
        <v>329</v>
      </c>
      <c r="F252" s="126" t="str">
        <f>TEXT(Table5[[#This Row],[Date]],"mmm-yy")</f>
        <v>Dec-25</v>
      </c>
      <c r="G252" s="124">
        <f t="shared" si="11"/>
        <v>31</v>
      </c>
      <c r="H252" s="125">
        <f t="shared" si="10"/>
        <v>45995</v>
      </c>
      <c r="I252" s="55">
        <v>8.02</v>
      </c>
      <c r="J252" s="59" t="str">
        <f>IFERROR(Inv_SY!J254/Inv_SY!$Y254-1,"")</f>
        <v/>
      </c>
      <c r="K252" s="59" t="str">
        <f>IFERROR(Inv_SY!K254/Inv_SY!$Y254-1,"")</f>
        <v/>
      </c>
      <c r="L252" s="59" t="str">
        <f>IFERROR(Inv_SY!L254/Inv_SY!$Y254-1,"")</f>
        <v/>
      </c>
      <c r="M252" s="59" t="str">
        <f>IFERROR(Inv_SY!M254/Inv_SY!$Y254-1,"")</f>
        <v/>
      </c>
      <c r="N252" s="59" t="str">
        <f>IFERROR(Inv_SY!N254/Inv_SY!$Y254-1,"")</f>
        <v/>
      </c>
      <c r="O252" s="59" t="str">
        <f>IFERROR(Inv_SY!O254/Inv_SY!$Y254-1,"")</f>
        <v/>
      </c>
      <c r="P252" s="59" t="str">
        <f>IFERROR(Inv_SY!P254/Inv_SY!$Y254-1,"")</f>
        <v/>
      </c>
      <c r="Q252" s="59" t="str">
        <f>IFERROR(Inv_SY!Q254/Inv_SY!$Y254-1,"")</f>
        <v/>
      </c>
      <c r="R252" s="59" t="str">
        <f>IFERROR(Inv_SY!R254/Inv_SY!$Y254-1,"")</f>
        <v/>
      </c>
      <c r="S252" s="59" t="str">
        <f>IFERROR(Inv_SY!S254/Inv_SY!$Y254-1,"")</f>
        <v/>
      </c>
      <c r="T252" s="59" t="str">
        <f>IFERROR(Inv_SY!T254/Inv_SY!$Y254-1,"")</f>
        <v/>
      </c>
      <c r="U252" s="59" t="str">
        <f>IFERROR(Inv_SY!U254/Inv_SY!$Y254-1,"")</f>
        <v/>
      </c>
      <c r="V252" s="59" t="str">
        <f>IFERROR(Inv_SY!J254/Inv_SY!$Z254-1,"")</f>
        <v/>
      </c>
      <c r="W252" s="59" t="str">
        <f>IFERROR(Inv_SY!K254/Inv_SY!$Z254-1,"")</f>
        <v/>
      </c>
      <c r="X252" s="59" t="str">
        <f>IFERROR(Inv_SY!L254/Inv_SY!$Z254-1,"")</f>
        <v/>
      </c>
      <c r="Y252" s="59" t="str">
        <f>IFERROR(Inv_SY!M254/Inv_SY!$Z254-1,"")</f>
        <v/>
      </c>
      <c r="Z252" s="59" t="str">
        <f>IFERROR(Inv_SY!N254/Inv_SY!$Z254-1,"")</f>
        <v/>
      </c>
      <c r="AA252" s="59" t="str">
        <f>IFERROR(Inv_SY!O254/Inv_SY!$Z254-1,"")</f>
        <v/>
      </c>
      <c r="AB252" s="59" t="str">
        <f>IFERROR(Inv_SY!P254/Inv_SY!$Z254-1,"")</f>
        <v/>
      </c>
      <c r="AC252" s="59" t="str">
        <f>IFERROR(Inv_SY!Q254/Inv_SY!$Z254-1,"")</f>
        <v/>
      </c>
      <c r="AD252" s="59" t="str">
        <f>IFERROR(Inv_SY!R254/Inv_SY!$Z254-1,"")</f>
        <v/>
      </c>
      <c r="AE252" s="59" t="str">
        <f>IFERROR(Inv_SY!S254/Inv_SY!$Z254-1,"")</f>
        <v/>
      </c>
      <c r="AF252" s="59" t="str">
        <f>IFERROR(Inv_SY!T254/Inv_SY!$Z254-1,"")</f>
        <v/>
      </c>
      <c r="AG252" s="59" t="str">
        <f>IFERROR(Inv_SY!U254/Inv_SY!$Z254-1,"")</f>
        <v/>
      </c>
      <c r="AH252" s="59" t="str">
        <f>IFERROR(Inv_SY!V254/Inv_SY!$Y254-1,"")</f>
        <v/>
      </c>
      <c r="AI252" s="59" t="str">
        <f>IFERROR(Inv_SY!W254/Inv_SY!$Y254-1,"")</f>
        <v/>
      </c>
      <c r="AJ252" s="59" t="str">
        <f>IFERROR(Inv_SY!X254/Inv_SY!$Y254-1,"")</f>
        <v/>
      </c>
      <c r="AK252" s="59" t="str">
        <f>IFERROR(Inv_SY!V254/Inv_SY!$Z254-1,"")</f>
        <v/>
      </c>
      <c r="AL252" s="59" t="str">
        <f>IFERROR(Inv_SY!W254/Inv_SY!$Z254-1,"")</f>
        <v/>
      </c>
      <c r="AM252" s="59" t="str">
        <f>IFERROR(Inv_SY!X254/Inv_SY!$Z254-1,"")</f>
        <v/>
      </c>
    </row>
    <row r="253" spans="1:39" x14ac:dyDescent="0.3">
      <c r="A253" s="55">
        <f>YEAR(Table5[[#This Row],[Date]])+IF(MONTH(Table5[[#This Row],[Date]])&gt;=4,1,0)</f>
        <v>2026</v>
      </c>
      <c r="B253" s="55">
        <v>213</v>
      </c>
      <c r="C253" s="124">
        <f>YEAR(Table5[[#This Row],[Date]])</f>
        <v>2025</v>
      </c>
      <c r="D253" s="55" t="s">
        <v>329</v>
      </c>
      <c r="E253" s="55" t="s">
        <v>329</v>
      </c>
      <c r="F253" s="126" t="str">
        <f>TEXT(Table5[[#This Row],[Date]],"mmm-yy")</f>
        <v>Dec-25</v>
      </c>
      <c r="G253" s="124">
        <f t="shared" si="11"/>
        <v>31</v>
      </c>
      <c r="H253" s="125">
        <f t="shared" si="10"/>
        <v>45996</v>
      </c>
      <c r="I253" s="55">
        <v>8.02</v>
      </c>
      <c r="J253" s="59" t="str">
        <f>IFERROR(Inv_SY!J255/Inv_SY!$Y255-1,"")</f>
        <v/>
      </c>
      <c r="K253" s="59" t="str">
        <f>IFERROR(Inv_SY!K255/Inv_SY!$Y255-1,"")</f>
        <v/>
      </c>
      <c r="L253" s="59" t="str">
        <f>IFERROR(Inv_SY!L255/Inv_SY!$Y255-1,"")</f>
        <v/>
      </c>
      <c r="M253" s="59" t="str">
        <f>IFERROR(Inv_SY!M255/Inv_SY!$Y255-1,"")</f>
        <v/>
      </c>
      <c r="N253" s="59" t="str">
        <f>IFERROR(Inv_SY!N255/Inv_SY!$Y255-1,"")</f>
        <v/>
      </c>
      <c r="O253" s="59" t="str">
        <f>IFERROR(Inv_SY!O255/Inv_SY!$Y255-1,"")</f>
        <v/>
      </c>
      <c r="P253" s="59" t="str">
        <f>IFERROR(Inv_SY!P255/Inv_SY!$Y255-1,"")</f>
        <v/>
      </c>
      <c r="Q253" s="59" t="str">
        <f>IFERROR(Inv_SY!Q255/Inv_SY!$Y255-1,"")</f>
        <v/>
      </c>
      <c r="R253" s="59" t="str">
        <f>IFERROR(Inv_SY!R255/Inv_SY!$Y255-1,"")</f>
        <v/>
      </c>
      <c r="S253" s="59" t="str">
        <f>IFERROR(Inv_SY!S255/Inv_SY!$Y255-1,"")</f>
        <v/>
      </c>
      <c r="T253" s="59" t="str">
        <f>IFERROR(Inv_SY!T255/Inv_SY!$Y255-1,"")</f>
        <v/>
      </c>
      <c r="U253" s="59" t="str">
        <f>IFERROR(Inv_SY!U255/Inv_SY!$Y255-1,"")</f>
        <v/>
      </c>
      <c r="V253" s="59" t="str">
        <f>IFERROR(Inv_SY!J255/Inv_SY!$Z255-1,"")</f>
        <v/>
      </c>
      <c r="W253" s="59" t="str">
        <f>IFERROR(Inv_SY!K255/Inv_SY!$Z255-1,"")</f>
        <v/>
      </c>
      <c r="X253" s="59" t="str">
        <f>IFERROR(Inv_SY!L255/Inv_SY!$Z255-1,"")</f>
        <v/>
      </c>
      <c r="Y253" s="59" t="str">
        <f>IFERROR(Inv_SY!M255/Inv_SY!$Z255-1,"")</f>
        <v/>
      </c>
      <c r="Z253" s="59" t="str">
        <f>IFERROR(Inv_SY!N255/Inv_SY!$Z255-1,"")</f>
        <v/>
      </c>
      <c r="AA253" s="59" t="str">
        <f>IFERROR(Inv_SY!O255/Inv_SY!$Z255-1,"")</f>
        <v/>
      </c>
      <c r="AB253" s="59" t="str">
        <f>IFERROR(Inv_SY!P255/Inv_SY!$Z255-1,"")</f>
        <v/>
      </c>
      <c r="AC253" s="59" t="str">
        <f>IFERROR(Inv_SY!Q255/Inv_SY!$Z255-1,"")</f>
        <v/>
      </c>
      <c r="AD253" s="59" t="str">
        <f>IFERROR(Inv_SY!R255/Inv_SY!$Z255-1,"")</f>
        <v/>
      </c>
      <c r="AE253" s="59" t="str">
        <f>IFERROR(Inv_SY!S255/Inv_SY!$Z255-1,"")</f>
        <v/>
      </c>
      <c r="AF253" s="59" t="str">
        <f>IFERROR(Inv_SY!T255/Inv_SY!$Z255-1,"")</f>
        <v/>
      </c>
      <c r="AG253" s="59" t="str">
        <f>IFERROR(Inv_SY!U255/Inv_SY!$Z255-1,"")</f>
        <v/>
      </c>
      <c r="AH253" s="59" t="str">
        <f>IFERROR(Inv_SY!V255/Inv_SY!$Y255-1,"")</f>
        <v/>
      </c>
      <c r="AI253" s="59" t="str">
        <f>IFERROR(Inv_SY!W255/Inv_SY!$Y255-1,"")</f>
        <v/>
      </c>
      <c r="AJ253" s="59" t="str">
        <f>IFERROR(Inv_SY!X255/Inv_SY!$Y255-1,"")</f>
        <v/>
      </c>
      <c r="AK253" s="59" t="str">
        <f>IFERROR(Inv_SY!V255/Inv_SY!$Z255-1,"")</f>
        <v/>
      </c>
      <c r="AL253" s="59" t="str">
        <f>IFERROR(Inv_SY!W255/Inv_SY!$Z255-1,"")</f>
        <v/>
      </c>
      <c r="AM253" s="59" t="str">
        <f>IFERROR(Inv_SY!X255/Inv_SY!$Z255-1,"")</f>
        <v/>
      </c>
    </row>
    <row r="254" spans="1:39" x14ac:dyDescent="0.3">
      <c r="A254" s="55">
        <f>YEAR(Table5[[#This Row],[Date]])+IF(MONTH(Table5[[#This Row],[Date]])&gt;=4,1,0)</f>
        <v>2026</v>
      </c>
      <c r="B254" s="55">
        <v>214</v>
      </c>
      <c r="C254" s="124">
        <f>YEAR(Table5[[#This Row],[Date]])</f>
        <v>2025</v>
      </c>
      <c r="D254" s="55" t="s">
        <v>329</v>
      </c>
      <c r="E254" s="55" t="s">
        <v>329</v>
      </c>
      <c r="F254" s="126" t="str">
        <f>TEXT(Table5[[#This Row],[Date]],"mmm-yy")</f>
        <v>Dec-25</v>
      </c>
      <c r="G254" s="124">
        <f t="shared" si="11"/>
        <v>31</v>
      </c>
      <c r="H254" s="125">
        <f t="shared" si="10"/>
        <v>45997</v>
      </c>
      <c r="I254" s="55">
        <v>8.02</v>
      </c>
      <c r="J254" s="59" t="str">
        <f>IFERROR(Inv_SY!J256/Inv_SY!$Y256-1,"")</f>
        <v/>
      </c>
      <c r="K254" s="59" t="str">
        <f>IFERROR(Inv_SY!K256/Inv_SY!$Y256-1,"")</f>
        <v/>
      </c>
      <c r="L254" s="59" t="str">
        <f>IFERROR(Inv_SY!L256/Inv_SY!$Y256-1,"")</f>
        <v/>
      </c>
      <c r="M254" s="59" t="str">
        <f>IFERROR(Inv_SY!M256/Inv_SY!$Y256-1,"")</f>
        <v/>
      </c>
      <c r="N254" s="59" t="str">
        <f>IFERROR(Inv_SY!N256/Inv_SY!$Y256-1,"")</f>
        <v/>
      </c>
      <c r="O254" s="59" t="str">
        <f>IFERROR(Inv_SY!O256/Inv_SY!$Y256-1,"")</f>
        <v/>
      </c>
      <c r="P254" s="59" t="str">
        <f>IFERROR(Inv_SY!P256/Inv_SY!$Y256-1,"")</f>
        <v/>
      </c>
      <c r="Q254" s="59" t="str">
        <f>IFERROR(Inv_SY!Q256/Inv_SY!$Y256-1,"")</f>
        <v/>
      </c>
      <c r="R254" s="59" t="str">
        <f>IFERROR(Inv_SY!R256/Inv_SY!$Y256-1,"")</f>
        <v/>
      </c>
      <c r="S254" s="59" t="str">
        <f>IFERROR(Inv_SY!S256/Inv_SY!$Y256-1,"")</f>
        <v/>
      </c>
      <c r="T254" s="59" t="str">
        <f>IFERROR(Inv_SY!T256/Inv_SY!$Y256-1,"")</f>
        <v/>
      </c>
      <c r="U254" s="59" t="str">
        <f>IFERROR(Inv_SY!U256/Inv_SY!$Y256-1,"")</f>
        <v/>
      </c>
      <c r="V254" s="59" t="str">
        <f>IFERROR(Inv_SY!J256/Inv_SY!$Z256-1,"")</f>
        <v/>
      </c>
      <c r="W254" s="59" t="str">
        <f>IFERROR(Inv_SY!K256/Inv_SY!$Z256-1,"")</f>
        <v/>
      </c>
      <c r="X254" s="59" t="str">
        <f>IFERROR(Inv_SY!L256/Inv_SY!$Z256-1,"")</f>
        <v/>
      </c>
      <c r="Y254" s="59" t="str">
        <f>IFERROR(Inv_SY!M256/Inv_SY!$Z256-1,"")</f>
        <v/>
      </c>
      <c r="Z254" s="59" t="str">
        <f>IFERROR(Inv_SY!N256/Inv_SY!$Z256-1,"")</f>
        <v/>
      </c>
      <c r="AA254" s="59" t="str">
        <f>IFERROR(Inv_SY!O256/Inv_SY!$Z256-1,"")</f>
        <v/>
      </c>
      <c r="AB254" s="59" t="str">
        <f>IFERROR(Inv_SY!P256/Inv_SY!$Z256-1,"")</f>
        <v/>
      </c>
      <c r="AC254" s="59" t="str">
        <f>IFERROR(Inv_SY!Q256/Inv_SY!$Z256-1,"")</f>
        <v/>
      </c>
      <c r="AD254" s="59" t="str">
        <f>IFERROR(Inv_SY!R256/Inv_SY!$Z256-1,"")</f>
        <v/>
      </c>
      <c r="AE254" s="59" t="str">
        <f>IFERROR(Inv_SY!S256/Inv_SY!$Z256-1,"")</f>
        <v/>
      </c>
      <c r="AF254" s="59" t="str">
        <f>IFERROR(Inv_SY!T256/Inv_SY!$Z256-1,"")</f>
        <v/>
      </c>
      <c r="AG254" s="59" t="str">
        <f>IFERROR(Inv_SY!U256/Inv_SY!$Z256-1,"")</f>
        <v/>
      </c>
      <c r="AH254" s="59" t="str">
        <f>IFERROR(Inv_SY!V256/Inv_SY!$Y256-1,"")</f>
        <v/>
      </c>
      <c r="AI254" s="59" t="str">
        <f>IFERROR(Inv_SY!W256/Inv_SY!$Y256-1,"")</f>
        <v/>
      </c>
      <c r="AJ254" s="59" t="str">
        <f>IFERROR(Inv_SY!X256/Inv_SY!$Y256-1,"")</f>
        <v/>
      </c>
      <c r="AK254" s="59" t="str">
        <f>IFERROR(Inv_SY!V256/Inv_SY!$Z256-1,"")</f>
        <v/>
      </c>
      <c r="AL254" s="59" t="str">
        <f>IFERROR(Inv_SY!W256/Inv_SY!$Z256-1,"")</f>
        <v/>
      </c>
      <c r="AM254" s="59" t="str">
        <f>IFERROR(Inv_SY!X256/Inv_SY!$Z256-1,"")</f>
        <v/>
      </c>
    </row>
    <row r="255" spans="1:39" x14ac:dyDescent="0.3">
      <c r="A255" s="55">
        <f>YEAR(Table5[[#This Row],[Date]])+IF(MONTH(Table5[[#This Row],[Date]])&gt;=4,1,0)</f>
        <v>2026</v>
      </c>
      <c r="B255" s="55">
        <v>215</v>
      </c>
      <c r="C255" s="124">
        <f>YEAR(Table5[[#This Row],[Date]])</f>
        <v>2025</v>
      </c>
      <c r="D255" s="55" t="s">
        <v>329</v>
      </c>
      <c r="E255" s="55" t="s">
        <v>329</v>
      </c>
      <c r="F255" s="126" t="str">
        <f>TEXT(Table5[[#This Row],[Date]],"mmm-yy")</f>
        <v>Dec-25</v>
      </c>
      <c r="G255" s="124">
        <f t="shared" si="11"/>
        <v>31</v>
      </c>
      <c r="H255" s="125">
        <f t="shared" si="10"/>
        <v>45998</v>
      </c>
      <c r="I255" s="55">
        <v>8.02</v>
      </c>
      <c r="J255" s="59" t="str">
        <f>IFERROR(Inv_SY!J257/Inv_SY!$Y257-1,"")</f>
        <v/>
      </c>
      <c r="K255" s="59" t="str">
        <f>IFERROR(Inv_SY!K257/Inv_SY!$Y257-1,"")</f>
        <v/>
      </c>
      <c r="L255" s="59" t="str">
        <f>IFERROR(Inv_SY!L257/Inv_SY!$Y257-1,"")</f>
        <v/>
      </c>
      <c r="M255" s="59" t="str">
        <f>IFERROR(Inv_SY!M257/Inv_SY!$Y257-1,"")</f>
        <v/>
      </c>
      <c r="N255" s="59" t="str">
        <f>IFERROR(Inv_SY!N257/Inv_SY!$Y257-1,"")</f>
        <v/>
      </c>
      <c r="O255" s="59" t="str">
        <f>IFERROR(Inv_SY!O257/Inv_SY!$Y257-1,"")</f>
        <v/>
      </c>
      <c r="P255" s="59" t="str">
        <f>IFERROR(Inv_SY!P257/Inv_SY!$Y257-1,"")</f>
        <v/>
      </c>
      <c r="Q255" s="59" t="str">
        <f>IFERROR(Inv_SY!Q257/Inv_SY!$Y257-1,"")</f>
        <v/>
      </c>
      <c r="R255" s="59" t="str">
        <f>IFERROR(Inv_SY!R257/Inv_SY!$Y257-1,"")</f>
        <v/>
      </c>
      <c r="S255" s="59" t="str">
        <f>IFERROR(Inv_SY!S257/Inv_SY!$Y257-1,"")</f>
        <v/>
      </c>
      <c r="T255" s="59" t="str">
        <f>IFERROR(Inv_SY!T257/Inv_SY!$Y257-1,"")</f>
        <v/>
      </c>
      <c r="U255" s="59" t="str">
        <f>IFERROR(Inv_SY!U257/Inv_SY!$Y257-1,"")</f>
        <v/>
      </c>
      <c r="V255" s="59" t="str">
        <f>IFERROR(Inv_SY!J257/Inv_SY!$Z257-1,"")</f>
        <v/>
      </c>
      <c r="W255" s="59" t="str">
        <f>IFERROR(Inv_SY!K257/Inv_SY!$Z257-1,"")</f>
        <v/>
      </c>
      <c r="X255" s="59" t="str">
        <f>IFERROR(Inv_SY!L257/Inv_SY!$Z257-1,"")</f>
        <v/>
      </c>
      <c r="Y255" s="59" t="str">
        <f>IFERROR(Inv_SY!M257/Inv_SY!$Z257-1,"")</f>
        <v/>
      </c>
      <c r="Z255" s="59" t="str">
        <f>IFERROR(Inv_SY!N257/Inv_SY!$Z257-1,"")</f>
        <v/>
      </c>
      <c r="AA255" s="59" t="str">
        <f>IFERROR(Inv_SY!O257/Inv_SY!$Z257-1,"")</f>
        <v/>
      </c>
      <c r="AB255" s="59" t="str">
        <f>IFERROR(Inv_SY!P257/Inv_SY!$Z257-1,"")</f>
        <v/>
      </c>
      <c r="AC255" s="59" t="str">
        <f>IFERROR(Inv_SY!Q257/Inv_SY!$Z257-1,"")</f>
        <v/>
      </c>
      <c r="AD255" s="59" t="str">
        <f>IFERROR(Inv_SY!R257/Inv_SY!$Z257-1,"")</f>
        <v/>
      </c>
      <c r="AE255" s="59" t="str">
        <f>IFERROR(Inv_SY!S257/Inv_SY!$Z257-1,"")</f>
        <v/>
      </c>
      <c r="AF255" s="59" t="str">
        <f>IFERROR(Inv_SY!T257/Inv_SY!$Z257-1,"")</f>
        <v/>
      </c>
      <c r="AG255" s="59" t="str">
        <f>IFERROR(Inv_SY!U257/Inv_SY!$Z257-1,"")</f>
        <v/>
      </c>
      <c r="AH255" s="59" t="str">
        <f>IFERROR(Inv_SY!V257/Inv_SY!$Y257-1,"")</f>
        <v/>
      </c>
      <c r="AI255" s="59" t="str">
        <f>IFERROR(Inv_SY!W257/Inv_SY!$Y257-1,"")</f>
        <v/>
      </c>
      <c r="AJ255" s="59" t="str">
        <f>IFERROR(Inv_SY!X257/Inv_SY!$Y257-1,"")</f>
        <v/>
      </c>
      <c r="AK255" s="59" t="str">
        <f>IFERROR(Inv_SY!V257/Inv_SY!$Z257-1,"")</f>
        <v/>
      </c>
      <c r="AL255" s="59" t="str">
        <f>IFERROR(Inv_SY!W257/Inv_SY!$Z257-1,"")</f>
        <v/>
      </c>
      <c r="AM255" s="59" t="str">
        <f>IFERROR(Inv_SY!X257/Inv_SY!$Z257-1,"")</f>
        <v/>
      </c>
    </row>
    <row r="256" spans="1:39" x14ac:dyDescent="0.3">
      <c r="A256" s="55">
        <f>YEAR(Table5[[#This Row],[Date]])+IF(MONTH(Table5[[#This Row],[Date]])&gt;=4,1,0)</f>
        <v>2026</v>
      </c>
      <c r="B256" s="55">
        <v>216</v>
      </c>
      <c r="C256" s="124">
        <f>YEAR(Table5[[#This Row],[Date]])</f>
        <v>2025</v>
      </c>
      <c r="D256" s="55" t="s">
        <v>329</v>
      </c>
      <c r="E256" s="55" t="s">
        <v>329</v>
      </c>
      <c r="F256" s="126" t="str">
        <f>TEXT(Table5[[#This Row],[Date]],"mmm-yy")</f>
        <v>Dec-25</v>
      </c>
      <c r="G256" s="124">
        <f t="shared" si="11"/>
        <v>31</v>
      </c>
      <c r="H256" s="125">
        <f t="shared" si="10"/>
        <v>45999</v>
      </c>
      <c r="I256" s="55">
        <v>8.02</v>
      </c>
      <c r="J256" s="59" t="str">
        <f>IFERROR(Inv_SY!J258/Inv_SY!$Y258-1,"")</f>
        <v/>
      </c>
      <c r="K256" s="59" t="str">
        <f>IFERROR(Inv_SY!K258/Inv_SY!$Y258-1,"")</f>
        <v/>
      </c>
      <c r="L256" s="59" t="str">
        <f>IFERROR(Inv_SY!L258/Inv_SY!$Y258-1,"")</f>
        <v/>
      </c>
      <c r="M256" s="59" t="str">
        <f>IFERROR(Inv_SY!M258/Inv_SY!$Y258-1,"")</f>
        <v/>
      </c>
      <c r="N256" s="59" t="str">
        <f>IFERROR(Inv_SY!N258/Inv_SY!$Y258-1,"")</f>
        <v/>
      </c>
      <c r="O256" s="59" t="str">
        <f>IFERROR(Inv_SY!O258/Inv_SY!$Y258-1,"")</f>
        <v/>
      </c>
      <c r="P256" s="59" t="str">
        <f>IFERROR(Inv_SY!P258/Inv_SY!$Y258-1,"")</f>
        <v/>
      </c>
      <c r="Q256" s="59" t="str">
        <f>IFERROR(Inv_SY!Q258/Inv_SY!$Y258-1,"")</f>
        <v/>
      </c>
      <c r="R256" s="59" t="str">
        <f>IFERROR(Inv_SY!R258/Inv_SY!$Y258-1,"")</f>
        <v/>
      </c>
      <c r="S256" s="59" t="str">
        <f>IFERROR(Inv_SY!S258/Inv_SY!$Y258-1,"")</f>
        <v/>
      </c>
      <c r="T256" s="59" t="str">
        <f>IFERROR(Inv_SY!T258/Inv_SY!$Y258-1,"")</f>
        <v/>
      </c>
      <c r="U256" s="59" t="str">
        <f>IFERROR(Inv_SY!U258/Inv_SY!$Y258-1,"")</f>
        <v/>
      </c>
      <c r="V256" s="59" t="str">
        <f>IFERROR(Inv_SY!J258/Inv_SY!$Z258-1,"")</f>
        <v/>
      </c>
      <c r="W256" s="59" t="str">
        <f>IFERROR(Inv_SY!K258/Inv_SY!$Z258-1,"")</f>
        <v/>
      </c>
      <c r="X256" s="59" t="str">
        <f>IFERROR(Inv_SY!L258/Inv_SY!$Z258-1,"")</f>
        <v/>
      </c>
      <c r="Y256" s="59" t="str">
        <f>IFERROR(Inv_SY!M258/Inv_SY!$Z258-1,"")</f>
        <v/>
      </c>
      <c r="Z256" s="59" t="str">
        <f>IFERROR(Inv_SY!N258/Inv_SY!$Z258-1,"")</f>
        <v/>
      </c>
      <c r="AA256" s="59" t="str">
        <f>IFERROR(Inv_SY!O258/Inv_SY!$Z258-1,"")</f>
        <v/>
      </c>
      <c r="AB256" s="59" t="str">
        <f>IFERROR(Inv_SY!P258/Inv_SY!$Z258-1,"")</f>
        <v/>
      </c>
      <c r="AC256" s="59" t="str">
        <f>IFERROR(Inv_SY!Q258/Inv_SY!$Z258-1,"")</f>
        <v/>
      </c>
      <c r="AD256" s="59" t="str">
        <f>IFERROR(Inv_SY!R258/Inv_SY!$Z258-1,"")</f>
        <v/>
      </c>
      <c r="AE256" s="59" t="str">
        <f>IFERROR(Inv_SY!S258/Inv_SY!$Z258-1,"")</f>
        <v/>
      </c>
      <c r="AF256" s="59" t="str">
        <f>IFERROR(Inv_SY!T258/Inv_SY!$Z258-1,"")</f>
        <v/>
      </c>
      <c r="AG256" s="59" t="str">
        <f>IFERROR(Inv_SY!U258/Inv_SY!$Z258-1,"")</f>
        <v/>
      </c>
      <c r="AH256" s="59" t="str">
        <f>IFERROR(Inv_SY!V258/Inv_SY!$Y258-1,"")</f>
        <v/>
      </c>
      <c r="AI256" s="59" t="str">
        <f>IFERROR(Inv_SY!W258/Inv_SY!$Y258-1,"")</f>
        <v/>
      </c>
      <c r="AJ256" s="59" t="str">
        <f>IFERROR(Inv_SY!X258/Inv_SY!$Y258-1,"")</f>
        <v/>
      </c>
      <c r="AK256" s="59" t="str">
        <f>IFERROR(Inv_SY!V258/Inv_SY!$Z258-1,"")</f>
        <v/>
      </c>
      <c r="AL256" s="59" t="str">
        <f>IFERROR(Inv_SY!W258/Inv_SY!$Z258-1,"")</f>
        <v/>
      </c>
      <c r="AM256" s="59" t="str">
        <f>IFERROR(Inv_SY!X258/Inv_SY!$Z258-1,"")</f>
        <v/>
      </c>
    </row>
    <row r="257" spans="1:39" x14ac:dyDescent="0.3">
      <c r="A257" s="55">
        <f>YEAR(Table5[[#This Row],[Date]])+IF(MONTH(Table5[[#This Row],[Date]])&gt;=4,1,0)</f>
        <v>2026</v>
      </c>
      <c r="B257" s="55">
        <v>217</v>
      </c>
      <c r="C257" s="124">
        <f>YEAR(Table5[[#This Row],[Date]])</f>
        <v>2025</v>
      </c>
      <c r="D257" s="55" t="s">
        <v>329</v>
      </c>
      <c r="E257" s="55" t="s">
        <v>329</v>
      </c>
      <c r="F257" s="126" t="str">
        <f>TEXT(Table5[[#This Row],[Date]],"mmm-yy")</f>
        <v>Dec-25</v>
      </c>
      <c r="G257" s="124">
        <f t="shared" si="11"/>
        <v>31</v>
      </c>
      <c r="H257" s="125">
        <f t="shared" si="10"/>
        <v>46000</v>
      </c>
      <c r="I257" s="55">
        <v>8.02</v>
      </c>
      <c r="J257" s="59" t="str">
        <f>IFERROR(Inv_SY!J259/Inv_SY!$Y259-1,"")</f>
        <v/>
      </c>
      <c r="K257" s="59" t="str">
        <f>IFERROR(Inv_SY!K259/Inv_SY!$Y259-1,"")</f>
        <v/>
      </c>
      <c r="L257" s="59" t="str">
        <f>IFERROR(Inv_SY!L259/Inv_SY!$Y259-1,"")</f>
        <v/>
      </c>
      <c r="M257" s="59" t="str">
        <f>IFERROR(Inv_SY!M259/Inv_SY!$Y259-1,"")</f>
        <v/>
      </c>
      <c r="N257" s="59" t="str">
        <f>IFERROR(Inv_SY!N259/Inv_SY!$Y259-1,"")</f>
        <v/>
      </c>
      <c r="O257" s="59" t="str">
        <f>IFERROR(Inv_SY!O259/Inv_SY!$Y259-1,"")</f>
        <v/>
      </c>
      <c r="P257" s="59" t="str">
        <f>IFERROR(Inv_SY!P259/Inv_SY!$Y259-1,"")</f>
        <v/>
      </c>
      <c r="Q257" s="59" t="str">
        <f>IFERROR(Inv_SY!Q259/Inv_SY!$Y259-1,"")</f>
        <v/>
      </c>
      <c r="R257" s="59" t="str">
        <f>IFERROR(Inv_SY!R259/Inv_SY!$Y259-1,"")</f>
        <v/>
      </c>
      <c r="S257" s="59" t="str">
        <f>IFERROR(Inv_SY!S259/Inv_SY!$Y259-1,"")</f>
        <v/>
      </c>
      <c r="T257" s="59" t="str">
        <f>IFERROR(Inv_SY!T259/Inv_SY!$Y259-1,"")</f>
        <v/>
      </c>
      <c r="U257" s="59" t="str">
        <f>IFERROR(Inv_SY!U259/Inv_SY!$Y259-1,"")</f>
        <v/>
      </c>
      <c r="V257" s="59" t="str">
        <f>IFERROR(Inv_SY!J259/Inv_SY!$Z259-1,"")</f>
        <v/>
      </c>
      <c r="W257" s="59" t="str">
        <f>IFERROR(Inv_SY!K259/Inv_SY!$Z259-1,"")</f>
        <v/>
      </c>
      <c r="X257" s="59" t="str">
        <f>IFERROR(Inv_SY!L259/Inv_SY!$Z259-1,"")</f>
        <v/>
      </c>
      <c r="Y257" s="59" t="str">
        <f>IFERROR(Inv_SY!M259/Inv_SY!$Z259-1,"")</f>
        <v/>
      </c>
      <c r="Z257" s="59" t="str">
        <f>IFERROR(Inv_SY!N259/Inv_SY!$Z259-1,"")</f>
        <v/>
      </c>
      <c r="AA257" s="59" t="str">
        <f>IFERROR(Inv_SY!O259/Inv_SY!$Z259-1,"")</f>
        <v/>
      </c>
      <c r="AB257" s="59" t="str">
        <f>IFERROR(Inv_SY!P259/Inv_SY!$Z259-1,"")</f>
        <v/>
      </c>
      <c r="AC257" s="59" t="str">
        <f>IFERROR(Inv_SY!Q259/Inv_SY!$Z259-1,"")</f>
        <v/>
      </c>
      <c r="AD257" s="59" t="str">
        <f>IFERROR(Inv_SY!R259/Inv_SY!$Z259-1,"")</f>
        <v/>
      </c>
      <c r="AE257" s="59" t="str">
        <f>IFERROR(Inv_SY!S259/Inv_SY!$Z259-1,"")</f>
        <v/>
      </c>
      <c r="AF257" s="59" t="str">
        <f>IFERROR(Inv_SY!T259/Inv_SY!$Z259-1,"")</f>
        <v/>
      </c>
      <c r="AG257" s="59" t="str">
        <f>IFERROR(Inv_SY!U259/Inv_SY!$Z259-1,"")</f>
        <v/>
      </c>
      <c r="AH257" s="59" t="str">
        <f>IFERROR(Inv_SY!V259/Inv_SY!$Y259-1,"")</f>
        <v/>
      </c>
      <c r="AI257" s="59" t="str">
        <f>IFERROR(Inv_SY!W259/Inv_SY!$Y259-1,"")</f>
        <v/>
      </c>
      <c r="AJ257" s="59" t="str">
        <f>IFERROR(Inv_SY!X259/Inv_SY!$Y259-1,"")</f>
        <v/>
      </c>
      <c r="AK257" s="59" t="str">
        <f>IFERROR(Inv_SY!V259/Inv_SY!$Z259-1,"")</f>
        <v/>
      </c>
      <c r="AL257" s="59" t="str">
        <f>IFERROR(Inv_SY!W259/Inv_SY!$Z259-1,"")</f>
        <v/>
      </c>
      <c r="AM257" s="59" t="str">
        <f>IFERROR(Inv_SY!X259/Inv_SY!$Z259-1,"")</f>
        <v/>
      </c>
    </row>
    <row r="258" spans="1:39" x14ac:dyDescent="0.3">
      <c r="A258" s="55">
        <f>YEAR(Table5[[#This Row],[Date]])+IF(MONTH(Table5[[#This Row],[Date]])&gt;=4,1,0)</f>
        <v>2026</v>
      </c>
      <c r="B258" s="55">
        <v>218</v>
      </c>
      <c r="C258" s="124">
        <f>YEAR(Table5[[#This Row],[Date]])</f>
        <v>2025</v>
      </c>
      <c r="D258" s="55" t="s">
        <v>329</v>
      </c>
      <c r="E258" s="55" t="s">
        <v>329</v>
      </c>
      <c r="F258" s="126" t="str">
        <f>TEXT(Table5[[#This Row],[Date]],"mmm-yy")</f>
        <v>Dec-25</v>
      </c>
      <c r="G258" s="124">
        <f t="shared" si="11"/>
        <v>31</v>
      </c>
      <c r="H258" s="125">
        <f t="shared" si="10"/>
        <v>46001</v>
      </c>
      <c r="I258" s="55">
        <v>8.02</v>
      </c>
      <c r="J258" s="59" t="str">
        <f>IFERROR(Inv_SY!J260/Inv_SY!$Y260-1,"")</f>
        <v/>
      </c>
      <c r="K258" s="59" t="str">
        <f>IFERROR(Inv_SY!K260/Inv_SY!$Y260-1,"")</f>
        <v/>
      </c>
      <c r="L258" s="59" t="str">
        <f>IFERROR(Inv_SY!L260/Inv_SY!$Y260-1,"")</f>
        <v/>
      </c>
      <c r="M258" s="59" t="str">
        <f>IFERROR(Inv_SY!M260/Inv_SY!$Y260-1,"")</f>
        <v/>
      </c>
      <c r="N258" s="59" t="str">
        <f>IFERROR(Inv_SY!N260/Inv_SY!$Y260-1,"")</f>
        <v/>
      </c>
      <c r="O258" s="59" t="str">
        <f>IFERROR(Inv_SY!O260/Inv_SY!$Y260-1,"")</f>
        <v/>
      </c>
      <c r="P258" s="59" t="str">
        <f>IFERROR(Inv_SY!P260/Inv_SY!$Y260-1,"")</f>
        <v/>
      </c>
      <c r="Q258" s="59" t="str">
        <f>IFERROR(Inv_SY!Q260/Inv_SY!$Y260-1,"")</f>
        <v/>
      </c>
      <c r="R258" s="59" t="str">
        <f>IFERROR(Inv_SY!R260/Inv_SY!$Y260-1,"")</f>
        <v/>
      </c>
      <c r="S258" s="59" t="str">
        <f>IFERROR(Inv_SY!S260/Inv_SY!$Y260-1,"")</f>
        <v/>
      </c>
      <c r="T258" s="59" t="str">
        <f>IFERROR(Inv_SY!T260/Inv_SY!$Y260-1,"")</f>
        <v/>
      </c>
      <c r="U258" s="59" t="str">
        <f>IFERROR(Inv_SY!U260/Inv_SY!$Y260-1,"")</f>
        <v/>
      </c>
      <c r="V258" s="59" t="str">
        <f>IFERROR(Inv_SY!J260/Inv_SY!$Z260-1,"")</f>
        <v/>
      </c>
      <c r="W258" s="59" t="str">
        <f>IFERROR(Inv_SY!K260/Inv_SY!$Z260-1,"")</f>
        <v/>
      </c>
      <c r="X258" s="59" t="str">
        <f>IFERROR(Inv_SY!L260/Inv_SY!$Z260-1,"")</f>
        <v/>
      </c>
      <c r="Y258" s="59" t="str">
        <f>IFERROR(Inv_SY!M260/Inv_SY!$Z260-1,"")</f>
        <v/>
      </c>
      <c r="Z258" s="59" t="str">
        <f>IFERROR(Inv_SY!N260/Inv_SY!$Z260-1,"")</f>
        <v/>
      </c>
      <c r="AA258" s="59" t="str">
        <f>IFERROR(Inv_SY!O260/Inv_SY!$Z260-1,"")</f>
        <v/>
      </c>
      <c r="AB258" s="59" t="str">
        <f>IFERROR(Inv_SY!P260/Inv_SY!$Z260-1,"")</f>
        <v/>
      </c>
      <c r="AC258" s="59" t="str">
        <f>IFERROR(Inv_SY!Q260/Inv_SY!$Z260-1,"")</f>
        <v/>
      </c>
      <c r="AD258" s="59" t="str">
        <f>IFERROR(Inv_SY!R260/Inv_SY!$Z260-1,"")</f>
        <v/>
      </c>
      <c r="AE258" s="59" t="str">
        <f>IFERROR(Inv_SY!S260/Inv_SY!$Z260-1,"")</f>
        <v/>
      </c>
      <c r="AF258" s="59" t="str">
        <f>IFERROR(Inv_SY!T260/Inv_SY!$Z260-1,"")</f>
        <v/>
      </c>
      <c r="AG258" s="59" t="str">
        <f>IFERROR(Inv_SY!U260/Inv_SY!$Z260-1,"")</f>
        <v/>
      </c>
      <c r="AH258" s="59" t="str">
        <f>IFERROR(Inv_SY!V260/Inv_SY!$Y260-1,"")</f>
        <v/>
      </c>
      <c r="AI258" s="59" t="str">
        <f>IFERROR(Inv_SY!W260/Inv_SY!$Y260-1,"")</f>
        <v/>
      </c>
      <c r="AJ258" s="59" t="str">
        <f>IFERROR(Inv_SY!X260/Inv_SY!$Y260-1,"")</f>
        <v/>
      </c>
      <c r="AK258" s="59" t="str">
        <f>IFERROR(Inv_SY!V260/Inv_SY!$Z260-1,"")</f>
        <v/>
      </c>
      <c r="AL258" s="59" t="str">
        <f>IFERROR(Inv_SY!W260/Inv_SY!$Z260-1,"")</f>
        <v/>
      </c>
      <c r="AM258" s="59" t="str">
        <f>IFERROR(Inv_SY!X260/Inv_SY!$Z260-1,"")</f>
        <v/>
      </c>
    </row>
    <row r="259" spans="1:39" x14ac:dyDescent="0.3">
      <c r="A259" s="55">
        <f>YEAR(Table5[[#This Row],[Date]])+IF(MONTH(Table5[[#This Row],[Date]])&gt;=4,1,0)</f>
        <v>2026</v>
      </c>
      <c r="B259" s="55">
        <v>219</v>
      </c>
      <c r="C259" s="124">
        <f>YEAR(Table5[[#This Row],[Date]])</f>
        <v>2025</v>
      </c>
      <c r="D259" s="55" t="s">
        <v>329</v>
      </c>
      <c r="E259" s="55" t="s">
        <v>329</v>
      </c>
      <c r="F259" s="126" t="str">
        <f>TEXT(Table5[[#This Row],[Date]],"mmm-yy")</f>
        <v>Dec-25</v>
      </c>
      <c r="G259" s="124">
        <f t="shared" si="11"/>
        <v>31</v>
      </c>
      <c r="H259" s="125">
        <f t="shared" si="10"/>
        <v>46002</v>
      </c>
      <c r="I259" s="55">
        <v>8.02</v>
      </c>
      <c r="J259" s="59" t="str">
        <f>IFERROR(Inv_SY!J261/Inv_SY!$Y261-1,"")</f>
        <v/>
      </c>
      <c r="K259" s="59" t="str">
        <f>IFERROR(Inv_SY!K261/Inv_SY!$Y261-1,"")</f>
        <v/>
      </c>
      <c r="L259" s="59" t="str">
        <f>IFERROR(Inv_SY!L261/Inv_SY!$Y261-1,"")</f>
        <v/>
      </c>
      <c r="M259" s="59" t="str">
        <f>IFERROR(Inv_SY!M261/Inv_SY!$Y261-1,"")</f>
        <v/>
      </c>
      <c r="N259" s="59" t="str">
        <f>IFERROR(Inv_SY!N261/Inv_SY!$Y261-1,"")</f>
        <v/>
      </c>
      <c r="O259" s="59" t="str">
        <f>IFERROR(Inv_SY!O261/Inv_SY!$Y261-1,"")</f>
        <v/>
      </c>
      <c r="P259" s="59" t="str">
        <f>IFERROR(Inv_SY!P261/Inv_SY!$Y261-1,"")</f>
        <v/>
      </c>
      <c r="Q259" s="59" t="str">
        <f>IFERROR(Inv_SY!Q261/Inv_SY!$Y261-1,"")</f>
        <v/>
      </c>
      <c r="R259" s="59" t="str">
        <f>IFERROR(Inv_SY!R261/Inv_SY!$Y261-1,"")</f>
        <v/>
      </c>
      <c r="S259" s="59" t="str">
        <f>IFERROR(Inv_SY!S261/Inv_SY!$Y261-1,"")</f>
        <v/>
      </c>
      <c r="T259" s="59" t="str">
        <f>IFERROR(Inv_SY!T261/Inv_SY!$Y261-1,"")</f>
        <v/>
      </c>
      <c r="U259" s="59" t="str">
        <f>IFERROR(Inv_SY!U261/Inv_SY!$Y261-1,"")</f>
        <v/>
      </c>
      <c r="V259" s="59" t="str">
        <f>IFERROR(Inv_SY!J261/Inv_SY!$Z261-1,"")</f>
        <v/>
      </c>
      <c r="W259" s="59" t="str">
        <f>IFERROR(Inv_SY!K261/Inv_SY!$Z261-1,"")</f>
        <v/>
      </c>
      <c r="X259" s="59" t="str">
        <f>IFERROR(Inv_SY!L261/Inv_SY!$Z261-1,"")</f>
        <v/>
      </c>
      <c r="Y259" s="59" t="str">
        <f>IFERROR(Inv_SY!M261/Inv_SY!$Z261-1,"")</f>
        <v/>
      </c>
      <c r="Z259" s="59" t="str">
        <f>IFERROR(Inv_SY!N261/Inv_SY!$Z261-1,"")</f>
        <v/>
      </c>
      <c r="AA259" s="59" t="str">
        <f>IFERROR(Inv_SY!O261/Inv_SY!$Z261-1,"")</f>
        <v/>
      </c>
      <c r="AB259" s="59" t="str">
        <f>IFERROR(Inv_SY!P261/Inv_SY!$Z261-1,"")</f>
        <v/>
      </c>
      <c r="AC259" s="59" t="str">
        <f>IFERROR(Inv_SY!Q261/Inv_SY!$Z261-1,"")</f>
        <v/>
      </c>
      <c r="AD259" s="59" t="str">
        <f>IFERROR(Inv_SY!R261/Inv_SY!$Z261-1,"")</f>
        <v/>
      </c>
      <c r="AE259" s="59" t="str">
        <f>IFERROR(Inv_SY!S261/Inv_SY!$Z261-1,"")</f>
        <v/>
      </c>
      <c r="AF259" s="59" t="str">
        <f>IFERROR(Inv_SY!T261/Inv_SY!$Z261-1,"")</f>
        <v/>
      </c>
      <c r="AG259" s="59" t="str">
        <f>IFERROR(Inv_SY!U261/Inv_SY!$Z261-1,"")</f>
        <v/>
      </c>
      <c r="AH259" s="59" t="str">
        <f>IFERROR(Inv_SY!V261/Inv_SY!$Y261-1,"")</f>
        <v/>
      </c>
      <c r="AI259" s="59" t="str">
        <f>IFERROR(Inv_SY!W261/Inv_SY!$Y261-1,"")</f>
        <v/>
      </c>
      <c r="AJ259" s="59" t="str">
        <f>IFERROR(Inv_SY!X261/Inv_SY!$Y261-1,"")</f>
        <v/>
      </c>
      <c r="AK259" s="59" t="str">
        <f>IFERROR(Inv_SY!V261/Inv_SY!$Z261-1,"")</f>
        <v/>
      </c>
      <c r="AL259" s="59" t="str">
        <f>IFERROR(Inv_SY!W261/Inv_SY!$Z261-1,"")</f>
        <v/>
      </c>
      <c r="AM259" s="59" t="str">
        <f>IFERROR(Inv_SY!X261/Inv_SY!$Z261-1,"")</f>
        <v/>
      </c>
    </row>
    <row r="260" spans="1:39" x14ac:dyDescent="0.3">
      <c r="A260" s="55">
        <f>YEAR(Table5[[#This Row],[Date]])+IF(MONTH(Table5[[#This Row],[Date]])&gt;=4,1,0)</f>
        <v>2026</v>
      </c>
      <c r="B260" s="55">
        <v>220</v>
      </c>
      <c r="C260" s="124">
        <f>YEAR(Table5[[#This Row],[Date]])</f>
        <v>2025</v>
      </c>
      <c r="D260" s="55" t="s">
        <v>329</v>
      </c>
      <c r="E260" s="55" t="s">
        <v>329</v>
      </c>
      <c r="F260" s="126" t="str">
        <f>TEXT(Table5[[#This Row],[Date]],"mmm-yy")</f>
        <v>Dec-25</v>
      </c>
      <c r="G260" s="124">
        <f t="shared" si="11"/>
        <v>31</v>
      </c>
      <c r="H260" s="125">
        <f t="shared" si="10"/>
        <v>46003</v>
      </c>
      <c r="I260" s="55">
        <v>8.02</v>
      </c>
      <c r="J260" s="59" t="str">
        <f>IFERROR(Inv_SY!J262/Inv_SY!$Y262-1,"")</f>
        <v/>
      </c>
      <c r="K260" s="59" t="str">
        <f>IFERROR(Inv_SY!K262/Inv_SY!$Y262-1,"")</f>
        <v/>
      </c>
      <c r="L260" s="59" t="str">
        <f>IFERROR(Inv_SY!L262/Inv_SY!$Y262-1,"")</f>
        <v/>
      </c>
      <c r="M260" s="59" t="str">
        <f>IFERROR(Inv_SY!M262/Inv_SY!$Y262-1,"")</f>
        <v/>
      </c>
      <c r="N260" s="59" t="str">
        <f>IFERROR(Inv_SY!N262/Inv_SY!$Y262-1,"")</f>
        <v/>
      </c>
      <c r="O260" s="59" t="str">
        <f>IFERROR(Inv_SY!O262/Inv_SY!$Y262-1,"")</f>
        <v/>
      </c>
      <c r="P260" s="59" t="str">
        <f>IFERROR(Inv_SY!P262/Inv_SY!$Y262-1,"")</f>
        <v/>
      </c>
      <c r="Q260" s="59" t="str">
        <f>IFERROR(Inv_SY!Q262/Inv_SY!$Y262-1,"")</f>
        <v/>
      </c>
      <c r="R260" s="59" t="str">
        <f>IFERROR(Inv_SY!R262/Inv_SY!$Y262-1,"")</f>
        <v/>
      </c>
      <c r="S260" s="59" t="str">
        <f>IFERROR(Inv_SY!S262/Inv_SY!$Y262-1,"")</f>
        <v/>
      </c>
      <c r="T260" s="59" t="str">
        <f>IFERROR(Inv_SY!T262/Inv_SY!$Y262-1,"")</f>
        <v/>
      </c>
      <c r="U260" s="59" t="str">
        <f>IFERROR(Inv_SY!U262/Inv_SY!$Y262-1,"")</f>
        <v/>
      </c>
      <c r="V260" s="59" t="str">
        <f>IFERROR(Inv_SY!J262/Inv_SY!$Z262-1,"")</f>
        <v/>
      </c>
      <c r="W260" s="59" t="str">
        <f>IFERROR(Inv_SY!K262/Inv_SY!$Z262-1,"")</f>
        <v/>
      </c>
      <c r="X260" s="59" t="str">
        <f>IFERROR(Inv_SY!L262/Inv_SY!$Z262-1,"")</f>
        <v/>
      </c>
      <c r="Y260" s="59" t="str">
        <f>IFERROR(Inv_SY!M262/Inv_SY!$Z262-1,"")</f>
        <v/>
      </c>
      <c r="Z260" s="59" t="str">
        <f>IFERROR(Inv_SY!N262/Inv_SY!$Z262-1,"")</f>
        <v/>
      </c>
      <c r="AA260" s="59" t="str">
        <f>IFERROR(Inv_SY!O262/Inv_SY!$Z262-1,"")</f>
        <v/>
      </c>
      <c r="AB260" s="59" t="str">
        <f>IFERROR(Inv_SY!P262/Inv_SY!$Z262-1,"")</f>
        <v/>
      </c>
      <c r="AC260" s="59" t="str">
        <f>IFERROR(Inv_SY!Q262/Inv_SY!$Z262-1,"")</f>
        <v/>
      </c>
      <c r="AD260" s="59" t="str">
        <f>IFERROR(Inv_SY!R262/Inv_SY!$Z262-1,"")</f>
        <v/>
      </c>
      <c r="AE260" s="59" t="str">
        <f>IFERROR(Inv_SY!S262/Inv_SY!$Z262-1,"")</f>
        <v/>
      </c>
      <c r="AF260" s="59" t="str">
        <f>IFERROR(Inv_SY!T262/Inv_SY!$Z262-1,"")</f>
        <v/>
      </c>
      <c r="AG260" s="59" t="str">
        <f>IFERROR(Inv_SY!U262/Inv_SY!$Z262-1,"")</f>
        <v/>
      </c>
      <c r="AH260" s="59" t="str">
        <f>IFERROR(Inv_SY!V262/Inv_SY!$Y262-1,"")</f>
        <v/>
      </c>
      <c r="AI260" s="59" t="str">
        <f>IFERROR(Inv_SY!W262/Inv_SY!$Y262-1,"")</f>
        <v/>
      </c>
      <c r="AJ260" s="59" t="str">
        <f>IFERROR(Inv_SY!X262/Inv_SY!$Y262-1,"")</f>
        <v/>
      </c>
      <c r="AK260" s="59" t="str">
        <f>IFERROR(Inv_SY!V262/Inv_SY!$Z262-1,"")</f>
        <v/>
      </c>
      <c r="AL260" s="59" t="str">
        <f>IFERROR(Inv_SY!W262/Inv_SY!$Z262-1,"")</f>
        <v/>
      </c>
      <c r="AM260" s="59" t="str">
        <f>IFERROR(Inv_SY!X262/Inv_SY!$Z262-1,"")</f>
        <v/>
      </c>
    </row>
    <row r="261" spans="1:39" x14ac:dyDescent="0.3">
      <c r="A261" s="55">
        <f>YEAR(Table5[[#This Row],[Date]])+IF(MONTH(Table5[[#This Row],[Date]])&gt;=4,1,0)</f>
        <v>2026</v>
      </c>
      <c r="B261" s="55">
        <v>221</v>
      </c>
      <c r="C261" s="124">
        <f>YEAR(Table5[[#This Row],[Date]])</f>
        <v>2025</v>
      </c>
      <c r="D261" s="55" t="s">
        <v>329</v>
      </c>
      <c r="E261" s="55" t="s">
        <v>329</v>
      </c>
      <c r="F261" s="126" t="str">
        <f>TEXT(Table5[[#This Row],[Date]],"mmm-yy")</f>
        <v>Dec-25</v>
      </c>
      <c r="G261" s="124">
        <f t="shared" si="11"/>
        <v>31</v>
      </c>
      <c r="H261" s="125">
        <f t="shared" ref="H261:H324" si="12">H260+1</f>
        <v>46004</v>
      </c>
      <c r="I261" s="55">
        <v>8.02</v>
      </c>
      <c r="J261" s="59" t="str">
        <f>IFERROR(Inv_SY!J263/Inv_SY!$Y263-1,"")</f>
        <v/>
      </c>
      <c r="K261" s="59" t="str">
        <f>IFERROR(Inv_SY!K263/Inv_SY!$Y263-1,"")</f>
        <v/>
      </c>
      <c r="L261" s="59" t="str">
        <f>IFERROR(Inv_SY!L263/Inv_SY!$Y263-1,"")</f>
        <v/>
      </c>
      <c r="M261" s="59" t="str">
        <f>IFERROR(Inv_SY!M263/Inv_SY!$Y263-1,"")</f>
        <v/>
      </c>
      <c r="N261" s="59" t="str">
        <f>IFERROR(Inv_SY!N263/Inv_SY!$Y263-1,"")</f>
        <v/>
      </c>
      <c r="O261" s="59" t="str">
        <f>IFERROR(Inv_SY!O263/Inv_SY!$Y263-1,"")</f>
        <v/>
      </c>
      <c r="P261" s="59" t="str">
        <f>IFERROR(Inv_SY!P263/Inv_SY!$Y263-1,"")</f>
        <v/>
      </c>
      <c r="Q261" s="59" t="str">
        <f>IFERROR(Inv_SY!Q263/Inv_SY!$Y263-1,"")</f>
        <v/>
      </c>
      <c r="R261" s="59" t="str">
        <f>IFERROR(Inv_SY!R263/Inv_SY!$Y263-1,"")</f>
        <v/>
      </c>
      <c r="S261" s="59" t="str">
        <f>IFERROR(Inv_SY!S263/Inv_SY!$Y263-1,"")</f>
        <v/>
      </c>
      <c r="T261" s="59" t="str">
        <f>IFERROR(Inv_SY!T263/Inv_SY!$Y263-1,"")</f>
        <v/>
      </c>
      <c r="U261" s="59" t="str">
        <f>IFERROR(Inv_SY!U263/Inv_SY!$Y263-1,"")</f>
        <v/>
      </c>
      <c r="V261" s="59" t="str">
        <f>IFERROR(Inv_SY!J263/Inv_SY!$Z263-1,"")</f>
        <v/>
      </c>
      <c r="W261" s="59" t="str">
        <f>IFERROR(Inv_SY!K263/Inv_SY!$Z263-1,"")</f>
        <v/>
      </c>
      <c r="X261" s="59" t="str">
        <f>IFERROR(Inv_SY!L263/Inv_SY!$Z263-1,"")</f>
        <v/>
      </c>
      <c r="Y261" s="59" t="str">
        <f>IFERROR(Inv_SY!M263/Inv_SY!$Z263-1,"")</f>
        <v/>
      </c>
      <c r="Z261" s="59" t="str">
        <f>IFERROR(Inv_SY!N263/Inv_SY!$Z263-1,"")</f>
        <v/>
      </c>
      <c r="AA261" s="59" t="str">
        <f>IFERROR(Inv_SY!O263/Inv_SY!$Z263-1,"")</f>
        <v/>
      </c>
      <c r="AB261" s="59" t="str">
        <f>IFERROR(Inv_SY!P263/Inv_SY!$Z263-1,"")</f>
        <v/>
      </c>
      <c r="AC261" s="59" t="str">
        <f>IFERROR(Inv_SY!Q263/Inv_SY!$Z263-1,"")</f>
        <v/>
      </c>
      <c r="AD261" s="59" t="str">
        <f>IFERROR(Inv_SY!R263/Inv_SY!$Z263-1,"")</f>
        <v/>
      </c>
      <c r="AE261" s="59" t="str">
        <f>IFERROR(Inv_SY!S263/Inv_SY!$Z263-1,"")</f>
        <v/>
      </c>
      <c r="AF261" s="59" t="str">
        <f>IFERROR(Inv_SY!T263/Inv_SY!$Z263-1,"")</f>
        <v/>
      </c>
      <c r="AG261" s="59" t="str">
        <f>IFERROR(Inv_SY!U263/Inv_SY!$Z263-1,"")</f>
        <v/>
      </c>
      <c r="AH261" s="59" t="str">
        <f>IFERROR(Inv_SY!V263/Inv_SY!$Y263-1,"")</f>
        <v/>
      </c>
      <c r="AI261" s="59" t="str">
        <f>IFERROR(Inv_SY!W263/Inv_SY!$Y263-1,"")</f>
        <v/>
      </c>
      <c r="AJ261" s="59" t="str">
        <f>IFERROR(Inv_SY!X263/Inv_SY!$Y263-1,"")</f>
        <v/>
      </c>
      <c r="AK261" s="59" t="str">
        <f>IFERROR(Inv_SY!V263/Inv_SY!$Z263-1,"")</f>
        <v/>
      </c>
      <c r="AL261" s="59" t="str">
        <f>IFERROR(Inv_SY!W263/Inv_SY!$Z263-1,"")</f>
        <v/>
      </c>
      <c r="AM261" s="59" t="str">
        <f>IFERROR(Inv_SY!X263/Inv_SY!$Z263-1,"")</f>
        <v/>
      </c>
    </row>
    <row r="262" spans="1:39" x14ac:dyDescent="0.3">
      <c r="A262" s="55">
        <f>YEAR(Table5[[#This Row],[Date]])+IF(MONTH(Table5[[#This Row],[Date]])&gt;=4,1,0)</f>
        <v>2026</v>
      </c>
      <c r="B262" s="55">
        <v>222</v>
      </c>
      <c r="C262" s="124">
        <f>YEAR(Table5[[#This Row],[Date]])</f>
        <v>2025</v>
      </c>
      <c r="D262" s="55" t="s">
        <v>329</v>
      </c>
      <c r="E262" s="55" t="s">
        <v>329</v>
      </c>
      <c r="F262" s="126" t="str">
        <f>TEXT(Table5[[#This Row],[Date]],"mmm-yy")</f>
        <v>Dec-25</v>
      </c>
      <c r="G262" s="124">
        <f t="shared" si="11"/>
        <v>31</v>
      </c>
      <c r="H262" s="125">
        <f t="shared" si="12"/>
        <v>46005</v>
      </c>
      <c r="I262" s="55">
        <v>8.02</v>
      </c>
      <c r="J262" s="59" t="str">
        <f>IFERROR(Inv_SY!J264/Inv_SY!$Y264-1,"")</f>
        <v/>
      </c>
      <c r="K262" s="59" t="str">
        <f>IFERROR(Inv_SY!K264/Inv_SY!$Y264-1,"")</f>
        <v/>
      </c>
      <c r="L262" s="59" t="str">
        <f>IFERROR(Inv_SY!L264/Inv_SY!$Y264-1,"")</f>
        <v/>
      </c>
      <c r="M262" s="59" t="str">
        <f>IFERROR(Inv_SY!M264/Inv_SY!$Y264-1,"")</f>
        <v/>
      </c>
      <c r="N262" s="59" t="str">
        <f>IFERROR(Inv_SY!N264/Inv_SY!$Y264-1,"")</f>
        <v/>
      </c>
      <c r="O262" s="59" t="str">
        <f>IFERROR(Inv_SY!O264/Inv_SY!$Y264-1,"")</f>
        <v/>
      </c>
      <c r="P262" s="59" t="str">
        <f>IFERROR(Inv_SY!P264/Inv_SY!$Y264-1,"")</f>
        <v/>
      </c>
      <c r="Q262" s="59" t="str">
        <f>IFERROR(Inv_SY!Q264/Inv_SY!$Y264-1,"")</f>
        <v/>
      </c>
      <c r="R262" s="59" t="str">
        <f>IFERROR(Inv_SY!R264/Inv_SY!$Y264-1,"")</f>
        <v/>
      </c>
      <c r="S262" s="59" t="str">
        <f>IFERROR(Inv_SY!S264/Inv_SY!$Y264-1,"")</f>
        <v/>
      </c>
      <c r="T262" s="59" t="str">
        <f>IFERROR(Inv_SY!T264/Inv_SY!$Y264-1,"")</f>
        <v/>
      </c>
      <c r="U262" s="59" t="str">
        <f>IFERROR(Inv_SY!U264/Inv_SY!$Y264-1,"")</f>
        <v/>
      </c>
      <c r="V262" s="59" t="str">
        <f>IFERROR(Inv_SY!J264/Inv_SY!$Z264-1,"")</f>
        <v/>
      </c>
      <c r="W262" s="59" t="str">
        <f>IFERROR(Inv_SY!K264/Inv_SY!$Z264-1,"")</f>
        <v/>
      </c>
      <c r="X262" s="59" t="str">
        <f>IFERROR(Inv_SY!L264/Inv_SY!$Z264-1,"")</f>
        <v/>
      </c>
      <c r="Y262" s="59" t="str">
        <f>IFERROR(Inv_SY!M264/Inv_SY!$Z264-1,"")</f>
        <v/>
      </c>
      <c r="Z262" s="59" t="str">
        <f>IFERROR(Inv_SY!N264/Inv_SY!$Z264-1,"")</f>
        <v/>
      </c>
      <c r="AA262" s="59" t="str">
        <f>IFERROR(Inv_SY!O264/Inv_SY!$Z264-1,"")</f>
        <v/>
      </c>
      <c r="AB262" s="59" t="str">
        <f>IFERROR(Inv_SY!P264/Inv_SY!$Z264-1,"")</f>
        <v/>
      </c>
      <c r="AC262" s="59" t="str">
        <f>IFERROR(Inv_SY!Q264/Inv_SY!$Z264-1,"")</f>
        <v/>
      </c>
      <c r="AD262" s="59" t="str">
        <f>IFERROR(Inv_SY!R264/Inv_SY!$Z264-1,"")</f>
        <v/>
      </c>
      <c r="AE262" s="59" t="str">
        <f>IFERROR(Inv_SY!S264/Inv_SY!$Z264-1,"")</f>
        <v/>
      </c>
      <c r="AF262" s="59" t="str">
        <f>IFERROR(Inv_SY!T264/Inv_SY!$Z264-1,"")</f>
        <v/>
      </c>
      <c r="AG262" s="59" t="str">
        <f>IFERROR(Inv_SY!U264/Inv_SY!$Z264-1,"")</f>
        <v/>
      </c>
      <c r="AH262" s="59" t="str">
        <f>IFERROR(Inv_SY!V264/Inv_SY!$Y264-1,"")</f>
        <v/>
      </c>
      <c r="AI262" s="59" t="str">
        <f>IFERROR(Inv_SY!W264/Inv_SY!$Y264-1,"")</f>
        <v/>
      </c>
      <c r="AJ262" s="59" t="str">
        <f>IFERROR(Inv_SY!X264/Inv_SY!$Y264-1,"")</f>
        <v/>
      </c>
      <c r="AK262" s="59" t="str">
        <f>IFERROR(Inv_SY!V264/Inv_SY!$Z264-1,"")</f>
        <v/>
      </c>
      <c r="AL262" s="59" t="str">
        <f>IFERROR(Inv_SY!W264/Inv_SY!$Z264-1,"")</f>
        <v/>
      </c>
      <c r="AM262" s="59" t="str">
        <f>IFERROR(Inv_SY!X264/Inv_SY!$Z264-1,"")</f>
        <v/>
      </c>
    </row>
    <row r="263" spans="1:39" x14ac:dyDescent="0.3">
      <c r="A263" s="55">
        <f>YEAR(Table5[[#This Row],[Date]])+IF(MONTH(Table5[[#This Row],[Date]])&gt;=4,1,0)</f>
        <v>2026</v>
      </c>
      <c r="B263" s="55">
        <v>223</v>
      </c>
      <c r="C263" s="124">
        <f>YEAR(Table5[[#This Row],[Date]])</f>
        <v>2025</v>
      </c>
      <c r="D263" s="55" t="s">
        <v>329</v>
      </c>
      <c r="E263" s="55" t="s">
        <v>329</v>
      </c>
      <c r="F263" s="126" t="str">
        <f>TEXT(Table5[[#This Row],[Date]],"mmm-yy")</f>
        <v>Dec-25</v>
      </c>
      <c r="G263" s="124">
        <f t="shared" si="11"/>
        <v>31</v>
      </c>
      <c r="H263" s="125">
        <f t="shared" si="12"/>
        <v>46006</v>
      </c>
      <c r="I263" s="55">
        <v>8.02</v>
      </c>
      <c r="J263" s="59" t="str">
        <f>IFERROR(Inv_SY!J265/Inv_SY!$Y265-1,"")</f>
        <v/>
      </c>
      <c r="K263" s="59" t="str">
        <f>IFERROR(Inv_SY!K265/Inv_SY!$Y265-1,"")</f>
        <v/>
      </c>
      <c r="L263" s="59" t="str">
        <f>IFERROR(Inv_SY!L265/Inv_SY!$Y265-1,"")</f>
        <v/>
      </c>
      <c r="M263" s="59" t="str">
        <f>IFERROR(Inv_SY!M265/Inv_SY!$Y265-1,"")</f>
        <v/>
      </c>
      <c r="N263" s="59" t="str">
        <f>IFERROR(Inv_SY!N265/Inv_SY!$Y265-1,"")</f>
        <v/>
      </c>
      <c r="O263" s="59" t="str">
        <f>IFERROR(Inv_SY!O265/Inv_SY!$Y265-1,"")</f>
        <v/>
      </c>
      <c r="P263" s="59" t="str">
        <f>IFERROR(Inv_SY!P265/Inv_SY!$Y265-1,"")</f>
        <v/>
      </c>
      <c r="Q263" s="59" t="str">
        <f>IFERROR(Inv_SY!Q265/Inv_SY!$Y265-1,"")</f>
        <v/>
      </c>
      <c r="R263" s="59" t="str">
        <f>IFERROR(Inv_SY!R265/Inv_SY!$Y265-1,"")</f>
        <v/>
      </c>
      <c r="S263" s="59" t="str">
        <f>IFERROR(Inv_SY!S265/Inv_SY!$Y265-1,"")</f>
        <v/>
      </c>
      <c r="T263" s="59" t="str">
        <f>IFERROR(Inv_SY!T265/Inv_SY!$Y265-1,"")</f>
        <v/>
      </c>
      <c r="U263" s="59" t="str">
        <f>IFERROR(Inv_SY!U265/Inv_SY!$Y265-1,"")</f>
        <v/>
      </c>
      <c r="V263" s="59" t="str">
        <f>IFERROR(Inv_SY!J265/Inv_SY!$Z265-1,"")</f>
        <v/>
      </c>
      <c r="W263" s="59" t="str">
        <f>IFERROR(Inv_SY!K265/Inv_SY!$Z265-1,"")</f>
        <v/>
      </c>
      <c r="X263" s="59" t="str">
        <f>IFERROR(Inv_SY!L265/Inv_SY!$Z265-1,"")</f>
        <v/>
      </c>
      <c r="Y263" s="59" t="str">
        <f>IFERROR(Inv_SY!M265/Inv_SY!$Z265-1,"")</f>
        <v/>
      </c>
      <c r="Z263" s="59" t="str">
        <f>IFERROR(Inv_SY!N265/Inv_SY!$Z265-1,"")</f>
        <v/>
      </c>
      <c r="AA263" s="59" t="str">
        <f>IFERROR(Inv_SY!O265/Inv_SY!$Z265-1,"")</f>
        <v/>
      </c>
      <c r="AB263" s="59" t="str">
        <f>IFERROR(Inv_SY!P265/Inv_SY!$Z265-1,"")</f>
        <v/>
      </c>
      <c r="AC263" s="59" t="str">
        <f>IFERROR(Inv_SY!Q265/Inv_SY!$Z265-1,"")</f>
        <v/>
      </c>
      <c r="AD263" s="59" t="str">
        <f>IFERROR(Inv_SY!R265/Inv_SY!$Z265-1,"")</f>
        <v/>
      </c>
      <c r="AE263" s="59" t="str">
        <f>IFERROR(Inv_SY!S265/Inv_SY!$Z265-1,"")</f>
        <v/>
      </c>
      <c r="AF263" s="59" t="str">
        <f>IFERROR(Inv_SY!T265/Inv_SY!$Z265-1,"")</f>
        <v/>
      </c>
      <c r="AG263" s="59" t="str">
        <f>IFERROR(Inv_SY!U265/Inv_SY!$Z265-1,"")</f>
        <v/>
      </c>
      <c r="AH263" s="59" t="str">
        <f>IFERROR(Inv_SY!V265/Inv_SY!$Y265-1,"")</f>
        <v/>
      </c>
      <c r="AI263" s="59" t="str">
        <f>IFERROR(Inv_SY!W265/Inv_SY!$Y265-1,"")</f>
        <v/>
      </c>
      <c r="AJ263" s="59" t="str">
        <f>IFERROR(Inv_SY!X265/Inv_SY!$Y265-1,"")</f>
        <v/>
      </c>
      <c r="AK263" s="59" t="str">
        <f>IFERROR(Inv_SY!V265/Inv_SY!$Z265-1,"")</f>
        <v/>
      </c>
      <c r="AL263" s="59" t="str">
        <f>IFERROR(Inv_SY!W265/Inv_SY!$Z265-1,"")</f>
        <v/>
      </c>
      <c r="AM263" s="59" t="str">
        <f>IFERROR(Inv_SY!X265/Inv_SY!$Z265-1,"")</f>
        <v/>
      </c>
    </row>
    <row r="264" spans="1:39" x14ac:dyDescent="0.3">
      <c r="A264" s="55">
        <f>YEAR(Table5[[#This Row],[Date]])+IF(MONTH(Table5[[#This Row],[Date]])&gt;=4,1,0)</f>
        <v>2026</v>
      </c>
      <c r="B264" s="55">
        <v>224</v>
      </c>
      <c r="C264" s="124">
        <f>YEAR(Table5[[#This Row],[Date]])</f>
        <v>2025</v>
      </c>
      <c r="D264" s="55" t="s">
        <v>329</v>
      </c>
      <c r="E264" s="55" t="s">
        <v>329</v>
      </c>
      <c r="F264" s="126" t="str">
        <f>TEXT(Table5[[#This Row],[Date]],"mmm-yy")</f>
        <v>Dec-25</v>
      </c>
      <c r="G264" s="124">
        <f t="shared" si="11"/>
        <v>31</v>
      </c>
      <c r="H264" s="125">
        <f t="shared" si="12"/>
        <v>46007</v>
      </c>
      <c r="I264" s="55">
        <v>8.02</v>
      </c>
      <c r="J264" s="59" t="str">
        <f>IFERROR(Inv_SY!J266/Inv_SY!$Y266-1,"")</f>
        <v/>
      </c>
      <c r="K264" s="59" t="str">
        <f>IFERROR(Inv_SY!K266/Inv_SY!$Y266-1,"")</f>
        <v/>
      </c>
      <c r="L264" s="59" t="str">
        <f>IFERROR(Inv_SY!L266/Inv_SY!$Y266-1,"")</f>
        <v/>
      </c>
      <c r="M264" s="59" t="str">
        <f>IFERROR(Inv_SY!M266/Inv_SY!$Y266-1,"")</f>
        <v/>
      </c>
      <c r="N264" s="59" t="str">
        <f>IFERROR(Inv_SY!N266/Inv_SY!$Y266-1,"")</f>
        <v/>
      </c>
      <c r="O264" s="59" t="str">
        <f>IFERROR(Inv_SY!O266/Inv_SY!$Y266-1,"")</f>
        <v/>
      </c>
      <c r="P264" s="59" t="str">
        <f>IFERROR(Inv_SY!P266/Inv_SY!$Y266-1,"")</f>
        <v/>
      </c>
      <c r="Q264" s="59" t="str">
        <f>IFERROR(Inv_SY!Q266/Inv_SY!$Y266-1,"")</f>
        <v/>
      </c>
      <c r="R264" s="59" t="str">
        <f>IFERROR(Inv_SY!R266/Inv_SY!$Y266-1,"")</f>
        <v/>
      </c>
      <c r="S264" s="59" t="str">
        <f>IFERROR(Inv_SY!S266/Inv_SY!$Y266-1,"")</f>
        <v/>
      </c>
      <c r="T264" s="59" t="str">
        <f>IFERROR(Inv_SY!T266/Inv_SY!$Y266-1,"")</f>
        <v/>
      </c>
      <c r="U264" s="59" t="str">
        <f>IFERROR(Inv_SY!U266/Inv_SY!$Y266-1,"")</f>
        <v/>
      </c>
      <c r="V264" s="59" t="str">
        <f>IFERROR(Inv_SY!J266/Inv_SY!$Z266-1,"")</f>
        <v/>
      </c>
      <c r="W264" s="59" t="str">
        <f>IFERROR(Inv_SY!K266/Inv_SY!$Z266-1,"")</f>
        <v/>
      </c>
      <c r="X264" s="59" t="str">
        <f>IFERROR(Inv_SY!L266/Inv_SY!$Z266-1,"")</f>
        <v/>
      </c>
      <c r="Y264" s="59" t="str">
        <f>IFERROR(Inv_SY!M266/Inv_SY!$Z266-1,"")</f>
        <v/>
      </c>
      <c r="Z264" s="59" t="str">
        <f>IFERROR(Inv_SY!N266/Inv_SY!$Z266-1,"")</f>
        <v/>
      </c>
      <c r="AA264" s="59" t="str">
        <f>IFERROR(Inv_SY!O266/Inv_SY!$Z266-1,"")</f>
        <v/>
      </c>
      <c r="AB264" s="59" t="str">
        <f>IFERROR(Inv_SY!P266/Inv_SY!$Z266-1,"")</f>
        <v/>
      </c>
      <c r="AC264" s="59" t="str">
        <f>IFERROR(Inv_SY!Q266/Inv_SY!$Z266-1,"")</f>
        <v/>
      </c>
      <c r="AD264" s="59" t="str">
        <f>IFERROR(Inv_SY!R266/Inv_SY!$Z266-1,"")</f>
        <v/>
      </c>
      <c r="AE264" s="59" t="str">
        <f>IFERROR(Inv_SY!S266/Inv_SY!$Z266-1,"")</f>
        <v/>
      </c>
      <c r="AF264" s="59" t="str">
        <f>IFERROR(Inv_SY!T266/Inv_SY!$Z266-1,"")</f>
        <v/>
      </c>
      <c r="AG264" s="59" t="str">
        <f>IFERROR(Inv_SY!U266/Inv_SY!$Z266-1,"")</f>
        <v/>
      </c>
      <c r="AH264" s="59" t="str">
        <f>IFERROR(Inv_SY!V266/Inv_SY!$Y266-1,"")</f>
        <v/>
      </c>
      <c r="AI264" s="59" t="str">
        <f>IFERROR(Inv_SY!W266/Inv_SY!$Y266-1,"")</f>
        <v/>
      </c>
      <c r="AJ264" s="59" t="str">
        <f>IFERROR(Inv_SY!X266/Inv_SY!$Y266-1,"")</f>
        <v/>
      </c>
      <c r="AK264" s="59" t="str">
        <f>IFERROR(Inv_SY!V266/Inv_SY!$Z266-1,"")</f>
        <v/>
      </c>
      <c r="AL264" s="59" t="str">
        <f>IFERROR(Inv_SY!W266/Inv_SY!$Z266-1,"")</f>
        <v/>
      </c>
      <c r="AM264" s="59" t="str">
        <f>IFERROR(Inv_SY!X266/Inv_SY!$Z266-1,"")</f>
        <v/>
      </c>
    </row>
    <row r="265" spans="1:39" x14ac:dyDescent="0.3">
      <c r="A265" s="55">
        <f>YEAR(Table5[[#This Row],[Date]])+IF(MONTH(Table5[[#This Row],[Date]])&gt;=4,1,0)</f>
        <v>2026</v>
      </c>
      <c r="B265" s="55">
        <v>225</v>
      </c>
      <c r="C265" s="124">
        <f>YEAR(Table5[[#This Row],[Date]])</f>
        <v>2025</v>
      </c>
      <c r="D265" s="55" t="s">
        <v>329</v>
      </c>
      <c r="E265" s="55" t="s">
        <v>329</v>
      </c>
      <c r="F265" s="126" t="str">
        <f>TEXT(Table5[[#This Row],[Date]],"mmm-yy")</f>
        <v>Dec-25</v>
      </c>
      <c r="G265" s="124">
        <f t="shared" si="11"/>
        <v>31</v>
      </c>
      <c r="H265" s="125">
        <f t="shared" si="12"/>
        <v>46008</v>
      </c>
      <c r="I265" s="55">
        <v>8.02</v>
      </c>
      <c r="J265" s="59" t="str">
        <f>IFERROR(Inv_SY!J267/Inv_SY!$Y267-1,"")</f>
        <v/>
      </c>
      <c r="K265" s="59" t="str">
        <f>IFERROR(Inv_SY!K267/Inv_SY!$Y267-1,"")</f>
        <v/>
      </c>
      <c r="L265" s="59" t="str">
        <f>IFERROR(Inv_SY!L267/Inv_SY!$Y267-1,"")</f>
        <v/>
      </c>
      <c r="M265" s="59" t="str">
        <f>IFERROR(Inv_SY!M267/Inv_SY!$Y267-1,"")</f>
        <v/>
      </c>
      <c r="N265" s="59" t="str">
        <f>IFERROR(Inv_SY!N267/Inv_SY!$Y267-1,"")</f>
        <v/>
      </c>
      <c r="O265" s="59" t="str">
        <f>IFERROR(Inv_SY!O267/Inv_SY!$Y267-1,"")</f>
        <v/>
      </c>
      <c r="P265" s="59" t="str">
        <f>IFERROR(Inv_SY!P267/Inv_SY!$Y267-1,"")</f>
        <v/>
      </c>
      <c r="Q265" s="59" t="str">
        <f>IFERROR(Inv_SY!Q267/Inv_SY!$Y267-1,"")</f>
        <v/>
      </c>
      <c r="R265" s="59" t="str">
        <f>IFERROR(Inv_SY!R267/Inv_SY!$Y267-1,"")</f>
        <v/>
      </c>
      <c r="S265" s="59" t="str">
        <f>IFERROR(Inv_SY!S267/Inv_SY!$Y267-1,"")</f>
        <v/>
      </c>
      <c r="T265" s="59" t="str">
        <f>IFERROR(Inv_SY!T267/Inv_SY!$Y267-1,"")</f>
        <v/>
      </c>
      <c r="U265" s="59" t="str">
        <f>IFERROR(Inv_SY!U267/Inv_SY!$Y267-1,"")</f>
        <v/>
      </c>
      <c r="V265" s="59" t="str">
        <f>IFERROR(Inv_SY!J267/Inv_SY!$Z267-1,"")</f>
        <v/>
      </c>
      <c r="W265" s="59" t="str">
        <f>IFERROR(Inv_SY!K267/Inv_SY!$Z267-1,"")</f>
        <v/>
      </c>
      <c r="X265" s="59" t="str">
        <f>IFERROR(Inv_SY!L267/Inv_SY!$Z267-1,"")</f>
        <v/>
      </c>
      <c r="Y265" s="59" t="str">
        <f>IFERROR(Inv_SY!M267/Inv_SY!$Z267-1,"")</f>
        <v/>
      </c>
      <c r="Z265" s="59" t="str">
        <f>IFERROR(Inv_SY!N267/Inv_SY!$Z267-1,"")</f>
        <v/>
      </c>
      <c r="AA265" s="59" t="str">
        <f>IFERROR(Inv_SY!O267/Inv_SY!$Z267-1,"")</f>
        <v/>
      </c>
      <c r="AB265" s="59" t="str">
        <f>IFERROR(Inv_SY!P267/Inv_SY!$Z267-1,"")</f>
        <v/>
      </c>
      <c r="AC265" s="59" t="str">
        <f>IFERROR(Inv_SY!Q267/Inv_SY!$Z267-1,"")</f>
        <v/>
      </c>
      <c r="AD265" s="59" t="str">
        <f>IFERROR(Inv_SY!R267/Inv_SY!$Z267-1,"")</f>
        <v/>
      </c>
      <c r="AE265" s="59" t="str">
        <f>IFERROR(Inv_SY!S267/Inv_SY!$Z267-1,"")</f>
        <v/>
      </c>
      <c r="AF265" s="59" t="str">
        <f>IFERROR(Inv_SY!T267/Inv_SY!$Z267-1,"")</f>
        <v/>
      </c>
      <c r="AG265" s="59" t="str">
        <f>IFERROR(Inv_SY!U267/Inv_SY!$Z267-1,"")</f>
        <v/>
      </c>
      <c r="AH265" s="59" t="str">
        <f>IFERROR(Inv_SY!V267/Inv_SY!$Y267-1,"")</f>
        <v/>
      </c>
      <c r="AI265" s="59" t="str">
        <f>IFERROR(Inv_SY!W267/Inv_SY!$Y267-1,"")</f>
        <v/>
      </c>
      <c r="AJ265" s="59" t="str">
        <f>IFERROR(Inv_SY!X267/Inv_SY!$Y267-1,"")</f>
        <v/>
      </c>
      <c r="AK265" s="59" t="str">
        <f>IFERROR(Inv_SY!V267/Inv_SY!$Z267-1,"")</f>
        <v/>
      </c>
      <c r="AL265" s="59" t="str">
        <f>IFERROR(Inv_SY!W267/Inv_SY!$Z267-1,"")</f>
        <v/>
      </c>
      <c r="AM265" s="59" t="str">
        <f>IFERROR(Inv_SY!X267/Inv_SY!$Z267-1,"")</f>
        <v/>
      </c>
    </row>
    <row r="266" spans="1:39" x14ac:dyDescent="0.3">
      <c r="A266" s="55">
        <f>YEAR(Table5[[#This Row],[Date]])+IF(MONTH(Table5[[#This Row],[Date]])&gt;=4,1,0)</f>
        <v>2026</v>
      </c>
      <c r="B266" s="55">
        <v>226</v>
      </c>
      <c r="C266" s="124">
        <f>YEAR(Table5[[#This Row],[Date]])</f>
        <v>2025</v>
      </c>
      <c r="D266" s="55" t="s">
        <v>329</v>
      </c>
      <c r="E266" s="55" t="s">
        <v>329</v>
      </c>
      <c r="F266" s="126" t="str">
        <f>TEXT(Table5[[#This Row],[Date]],"mmm-yy")</f>
        <v>Dec-25</v>
      </c>
      <c r="G266" s="124">
        <f t="shared" si="11"/>
        <v>31</v>
      </c>
      <c r="H266" s="125">
        <f t="shared" si="12"/>
        <v>46009</v>
      </c>
      <c r="I266" s="55">
        <v>8.02</v>
      </c>
      <c r="J266" s="59" t="str">
        <f>IFERROR(Inv_SY!J268/Inv_SY!$Y268-1,"")</f>
        <v/>
      </c>
      <c r="K266" s="59" t="str">
        <f>IFERROR(Inv_SY!K268/Inv_SY!$Y268-1,"")</f>
        <v/>
      </c>
      <c r="L266" s="59" t="str">
        <f>IFERROR(Inv_SY!L268/Inv_SY!$Y268-1,"")</f>
        <v/>
      </c>
      <c r="M266" s="59" t="str">
        <f>IFERROR(Inv_SY!M268/Inv_SY!$Y268-1,"")</f>
        <v/>
      </c>
      <c r="N266" s="59" t="str">
        <f>IFERROR(Inv_SY!N268/Inv_SY!$Y268-1,"")</f>
        <v/>
      </c>
      <c r="O266" s="59" t="str">
        <f>IFERROR(Inv_SY!O268/Inv_SY!$Y268-1,"")</f>
        <v/>
      </c>
      <c r="P266" s="59" t="str">
        <f>IFERROR(Inv_SY!P268/Inv_SY!$Y268-1,"")</f>
        <v/>
      </c>
      <c r="Q266" s="59" t="str">
        <f>IFERROR(Inv_SY!Q268/Inv_SY!$Y268-1,"")</f>
        <v/>
      </c>
      <c r="R266" s="59" t="str">
        <f>IFERROR(Inv_SY!R268/Inv_SY!$Y268-1,"")</f>
        <v/>
      </c>
      <c r="S266" s="59" t="str">
        <f>IFERROR(Inv_SY!S268/Inv_SY!$Y268-1,"")</f>
        <v/>
      </c>
      <c r="T266" s="59" t="str">
        <f>IFERROR(Inv_SY!T268/Inv_SY!$Y268-1,"")</f>
        <v/>
      </c>
      <c r="U266" s="59" t="str">
        <f>IFERROR(Inv_SY!U268/Inv_SY!$Y268-1,"")</f>
        <v/>
      </c>
      <c r="V266" s="59" t="str">
        <f>IFERROR(Inv_SY!J268/Inv_SY!$Z268-1,"")</f>
        <v/>
      </c>
      <c r="W266" s="59" t="str">
        <f>IFERROR(Inv_SY!K268/Inv_SY!$Z268-1,"")</f>
        <v/>
      </c>
      <c r="X266" s="59" t="str">
        <f>IFERROR(Inv_SY!L268/Inv_SY!$Z268-1,"")</f>
        <v/>
      </c>
      <c r="Y266" s="59" t="str">
        <f>IFERROR(Inv_SY!M268/Inv_SY!$Z268-1,"")</f>
        <v/>
      </c>
      <c r="Z266" s="59" t="str">
        <f>IFERROR(Inv_SY!N268/Inv_SY!$Z268-1,"")</f>
        <v/>
      </c>
      <c r="AA266" s="59" t="str">
        <f>IFERROR(Inv_SY!O268/Inv_SY!$Z268-1,"")</f>
        <v/>
      </c>
      <c r="AB266" s="59" t="str">
        <f>IFERROR(Inv_SY!P268/Inv_SY!$Z268-1,"")</f>
        <v/>
      </c>
      <c r="AC266" s="59" t="str">
        <f>IFERROR(Inv_SY!Q268/Inv_SY!$Z268-1,"")</f>
        <v/>
      </c>
      <c r="AD266" s="59" t="str">
        <f>IFERROR(Inv_SY!R268/Inv_SY!$Z268-1,"")</f>
        <v/>
      </c>
      <c r="AE266" s="59" t="str">
        <f>IFERROR(Inv_SY!S268/Inv_SY!$Z268-1,"")</f>
        <v/>
      </c>
      <c r="AF266" s="59" t="str">
        <f>IFERROR(Inv_SY!T268/Inv_SY!$Z268-1,"")</f>
        <v/>
      </c>
      <c r="AG266" s="59" t="str">
        <f>IFERROR(Inv_SY!U268/Inv_SY!$Z268-1,"")</f>
        <v/>
      </c>
      <c r="AH266" s="59" t="str">
        <f>IFERROR(Inv_SY!V268/Inv_SY!$Y268-1,"")</f>
        <v/>
      </c>
      <c r="AI266" s="59" t="str">
        <f>IFERROR(Inv_SY!W268/Inv_SY!$Y268-1,"")</f>
        <v/>
      </c>
      <c r="AJ266" s="59" t="str">
        <f>IFERROR(Inv_SY!X268/Inv_SY!$Y268-1,"")</f>
        <v/>
      </c>
      <c r="AK266" s="59" t="str">
        <f>IFERROR(Inv_SY!V268/Inv_SY!$Z268-1,"")</f>
        <v/>
      </c>
      <c r="AL266" s="59" t="str">
        <f>IFERROR(Inv_SY!W268/Inv_SY!$Z268-1,"")</f>
        <v/>
      </c>
      <c r="AM266" s="59" t="str">
        <f>IFERROR(Inv_SY!X268/Inv_SY!$Z268-1,"")</f>
        <v/>
      </c>
    </row>
    <row r="267" spans="1:39" x14ac:dyDescent="0.3">
      <c r="A267" s="55">
        <f>YEAR(Table5[[#This Row],[Date]])+IF(MONTH(Table5[[#This Row],[Date]])&gt;=4,1,0)</f>
        <v>2026</v>
      </c>
      <c r="B267" s="55">
        <v>227</v>
      </c>
      <c r="C267" s="124">
        <f>YEAR(Table5[[#This Row],[Date]])</f>
        <v>2025</v>
      </c>
      <c r="D267" s="55" t="s">
        <v>329</v>
      </c>
      <c r="E267" s="55" t="s">
        <v>329</v>
      </c>
      <c r="F267" s="126" t="str">
        <f>TEXT(Table5[[#This Row],[Date]],"mmm-yy")</f>
        <v>Dec-25</v>
      </c>
      <c r="G267" s="124">
        <f t="shared" si="11"/>
        <v>31</v>
      </c>
      <c r="H267" s="125">
        <f t="shared" si="12"/>
        <v>46010</v>
      </c>
      <c r="I267" s="55">
        <v>8.02</v>
      </c>
      <c r="J267" s="59" t="str">
        <f>IFERROR(Inv_SY!J269/Inv_SY!$Y269-1,"")</f>
        <v/>
      </c>
      <c r="K267" s="59" t="str">
        <f>IFERROR(Inv_SY!K269/Inv_SY!$Y269-1,"")</f>
        <v/>
      </c>
      <c r="L267" s="59" t="str">
        <f>IFERROR(Inv_SY!L269/Inv_SY!$Y269-1,"")</f>
        <v/>
      </c>
      <c r="M267" s="59" t="str">
        <f>IFERROR(Inv_SY!M269/Inv_SY!$Y269-1,"")</f>
        <v/>
      </c>
      <c r="N267" s="59" t="str">
        <f>IFERROR(Inv_SY!N269/Inv_SY!$Y269-1,"")</f>
        <v/>
      </c>
      <c r="O267" s="59" t="str">
        <f>IFERROR(Inv_SY!O269/Inv_SY!$Y269-1,"")</f>
        <v/>
      </c>
      <c r="P267" s="59" t="str">
        <f>IFERROR(Inv_SY!P269/Inv_SY!$Y269-1,"")</f>
        <v/>
      </c>
      <c r="Q267" s="59" t="str">
        <f>IFERROR(Inv_SY!Q269/Inv_SY!$Y269-1,"")</f>
        <v/>
      </c>
      <c r="R267" s="59" t="str">
        <f>IFERROR(Inv_SY!R269/Inv_SY!$Y269-1,"")</f>
        <v/>
      </c>
      <c r="S267" s="59" t="str">
        <f>IFERROR(Inv_SY!S269/Inv_SY!$Y269-1,"")</f>
        <v/>
      </c>
      <c r="T267" s="59" t="str">
        <f>IFERROR(Inv_SY!T269/Inv_SY!$Y269-1,"")</f>
        <v/>
      </c>
      <c r="U267" s="59" t="str">
        <f>IFERROR(Inv_SY!U269/Inv_SY!$Y269-1,"")</f>
        <v/>
      </c>
      <c r="V267" s="59" t="str">
        <f>IFERROR(Inv_SY!J269/Inv_SY!$Z269-1,"")</f>
        <v/>
      </c>
      <c r="W267" s="59" t="str">
        <f>IFERROR(Inv_SY!K269/Inv_SY!$Z269-1,"")</f>
        <v/>
      </c>
      <c r="X267" s="59" t="str">
        <f>IFERROR(Inv_SY!L269/Inv_SY!$Z269-1,"")</f>
        <v/>
      </c>
      <c r="Y267" s="59" t="str">
        <f>IFERROR(Inv_SY!M269/Inv_SY!$Z269-1,"")</f>
        <v/>
      </c>
      <c r="Z267" s="59" t="str">
        <f>IFERROR(Inv_SY!N269/Inv_SY!$Z269-1,"")</f>
        <v/>
      </c>
      <c r="AA267" s="59" t="str">
        <f>IFERROR(Inv_SY!O269/Inv_SY!$Z269-1,"")</f>
        <v/>
      </c>
      <c r="AB267" s="59" t="str">
        <f>IFERROR(Inv_SY!P269/Inv_SY!$Z269-1,"")</f>
        <v/>
      </c>
      <c r="AC267" s="59" t="str">
        <f>IFERROR(Inv_SY!Q269/Inv_SY!$Z269-1,"")</f>
        <v/>
      </c>
      <c r="AD267" s="59" t="str">
        <f>IFERROR(Inv_SY!R269/Inv_SY!$Z269-1,"")</f>
        <v/>
      </c>
      <c r="AE267" s="59" t="str">
        <f>IFERROR(Inv_SY!S269/Inv_SY!$Z269-1,"")</f>
        <v/>
      </c>
      <c r="AF267" s="59" t="str">
        <f>IFERROR(Inv_SY!T269/Inv_SY!$Z269-1,"")</f>
        <v/>
      </c>
      <c r="AG267" s="59" t="str">
        <f>IFERROR(Inv_SY!U269/Inv_SY!$Z269-1,"")</f>
        <v/>
      </c>
      <c r="AH267" s="59" t="str">
        <f>IFERROR(Inv_SY!V269/Inv_SY!$Y269-1,"")</f>
        <v/>
      </c>
      <c r="AI267" s="59" t="str">
        <f>IFERROR(Inv_SY!W269/Inv_SY!$Y269-1,"")</f>
        <v/>
      </c>
      <c r="AJ267" s="59" t="str">
        <f>IFERROR(Inv_SY!X269/Inv_SY!$Y269-1,"")</f>
        <v/>
      </c>
      <c r="AK267" s="59" t="str">
        <f>IFERROR(Inv_SY!V269/Inv_SY!$Z269-1,"")</f>
        <v/>
      </c>
      <c r="AL267" s="59" t="str">
        <f>IFERROR(Inv_SY!W269/Inv_SY!$Z269-1,"")</f>
        <v/>
      </c>
      <c r="AM267" s="59" t="str">
        <f>IFERROR(Inv_SY!X269/Inv_SY!$Z269-1,"")</f>
        <v/>
      </c>
    </row>
    <row r="268" spans="1:39" x14ac:dyDescent="0.3">
      <c r="A268" s="55">
        <f>YEAR(Table5[[#This Row],[Date]])+IF(MONTH(Table5[[#This Row],[Date]])&gt;=4,1,0)</f>
        <v>2026</v>
      </c>
      <c r="B268" s="55">
        <v>228</v>
      </c>
      <c r="C268" s="124">
        <f>YEAR(Table5[[#This Row],[Date]])</f>
        <v>2025</v>
      </c>
      <c r="D268" s="55" t="s">
        <v>329</v>
      </c>
      <c r="E268" s="55" t="s">
        <v>329</v>
      </c>
      <c r="F268" s="126" t="str">
        <f>TEXT(Table5[[#This Row],[Date]],"mmm-yy")</f>
        <v>Dec-25</v>
      </c>
      <c r="G268" s="124">
        <f t="shared" si="11"/>
        <v>31</v>
      </c>
      <c r="H268" s="125">
        <f t="shared" si="12"/>
        <v>46011</v>
      </c>
      <c r="I268" s="55">
        <v>8.02</v>
      </c>
      <c r="J268" s="59" t="str">
        <f>IFERROR(Inv_SY!J270/Inv_SY!$Y270-1,"")</f>
        <v/>
      </c>
      <c r="K268" s="59" t="str">
        <f>IFERROR(Inv_SY!K270/Inv_SY!$Y270-1,"")</f>
        <v/>
      </c>
      <c r="L268" s="59" t="str">
        <f>IFERROR(Inv_SY!L270/Inv_SY!$Y270-1,"")</f>
        <v/>
      </c>
      <c r="M268" s="59" t="str">
        <f>IFERROR(Inv_SY!M270/Inv_SY!$Y270-1,"")</f>
        <v/>
      </c>
      <c r="N268" s="59" t="str">
        <f>IFERROR(Inv_SY!N270/Inv_SY!$Y270-1,"")</f>
        <v/>
      </c>
      <c r="O268" s="59" t="str">
        <f>IFERROR(Inv_SY!O270/Inv_SY!$Y270-1,"")</f>
        <v/>
      </c>
      <c r="P268" s="59" t="str">
        <f>IFERROR(Inv_SY!P270/Inv_SY!$Y270-1,"")</f>
        <v/>
      </c>
      <c r="Q268" s="59" t="str">
        <f>IFERROR(Inv_SY!Q270/Inv_SY!$Y270-1,"")</f>
        <v/>
      </c>
      <c r="R268" s="59" t="str">
        <f>IFERROR(Inv_SY!R270/Inv_SY!$Y270-1,"")</f>
        <v/>
      </c>
      <c r="S268" s="59" t="str">
        <f>IFERROR(Inv_SY!S270/Inv_SY!$Y270-1,"")</f>
        <v/>
      </c>
      <c r="T268" s="59" t="str">
        <f>IFERROR(Inv_SY!T270/Inv_SY!$Y270-1,"")</f>
        <v/>
      </c>
      <c r="U268" s="59" t="str">
        <f>IFERROR(Inv_SY!U270/Inv_SY!$Y270-1,"")</f>
        <v/>
      </c>
      <c r="V268" s="59" t="str">
        <f>IFERROR(Inv_SY!J270/Inv_SY!$Z270-1,"")</f>
        <v/>
      </c>
      <c r="W268" s="59" t="str">
        <f>IFERROR(Inv_SY!K270/Inv_SY!$Z270-1,"")</f>
        <v/>
      </c>
      <c r="X268" s="59" t="str">
        <f>IFERROR(Inv_SY!L270/Inv_SY!$Z270-1,"")</f>
        <v/>
      </c>
      <c r="Y268" s="59" t="str">
        <f>IFERROR(Inv_SY!M270/Inv_SY!$Z270-1,"")</f>
        <v/>
      </c>
      <c r="Z268" s="59" t="str">
        <f>IFERROR(Inv_SY!N270/Inv_SY!$Z270-1,"")</f>
        <v/>
      </c>
      <c r="AA268" s="59" t="str">
        <f>IFERROR(Inv_SY!O270/Inv_SY!$Z270-1,"")</f>
        <v/>
      </c>
      <c r="AB268" s="59" t="str">
        <f>IFERROR(Inv_SY!P270/Inv_SY!$Z270-1,"")</f>
        <v/>
      </c>
      <c r="AC268" s="59" t="str">
        <f>IFERROR(Inv_SY!Q270/Inv_SY!$Z270-1,"")</f>
        <v/>
      </c>
      <c r="AD268" s="59" t="str">
        <f>IFERROR(Inv_SY!R270/Inv_SY!$Z270-1,"")</f>
        <v/>
      </c>
      <c r="AE268" s="59" t="str">
        <f>IFERROR(Inv_SY!S270/Inv_SY!$Z270-1,"")</f>
        <v/>
      </c>
      <c r="AF268" s="59" t="str">
        <f>IFERROR(Inv_SY!T270/Inv_SY!$Z270-1,"")</f>
        <v/>
      </c>
      <c r="AG268" s="59" t="str">
        <f>IFERROR(Inv_SY!U270/Inv_SY!$Z270-1,"")</f>
        <v/>
      </c>
      <c r="AH268" s="59" t="str">
        <f>IFERROR(Inv_SY!V270/Inv_SY!$Y270-1,"")</f>
        <v/>
      </c>
      <c r="AI268" s="59" t="str">
        <f>IFERROR(Inv_SY!W270/Inv_SY!$Y270-1,"")</f>
        <v/>
      </c>
      <c r="AJ268" s="59" t="str">
        <f>IFERROR(Inv_SY!X270/Inv_SY!$Y270-1,"")</f>
        <v/>
      </c>
      <c r="AK268" s="59" t="str">
        <f>IFERROR(Inv_SY!V270/Inv_SY!$Z270-1,"")</f>
        <v/>
      </c>
      <c r="AL268" s="59" t="str">
        <f>IFERROR(Inv_SY!W270/Inv_SY!$Z270-1,"")</f>
        <v/>
      </c>
      <c r="AM268" s="59" t="str">
        <f>IFERROR(Inv_SY!X270/Inv_SY!$Z270-1,"")</f>
        <v/>
      </c>
    </row>
    <row r="269" spans="1:39" x14ac:dyDescent="0.3">
      <c r="A269" s="55">
        <f>YEAR(Table5[[#This Row],[Date]])+IF(MONTH(Table5[[#This Row],[Date]])&gt;=4,1,0)</f>
        <v>2026</v>
      </c>
      <c r="B269" s="55">
        <v>229</v>
      </c>
      <c r="C269" s="124">
        <f>YEAR(Table5[[#This Row],[Date]])</f>
        <v>2025</v>
      </c>
      <c r="D269" s="55" t="s">
        <v>329</v>
      </c>
      <c r="E269" s="55" t="s">
        <v>329</v>
      </c>
      <c r="F269" s="126" t="str">
        <f>TEXT(Table5[[#This Row],[Date]],"mmm-yy")</f>
        <v>Dec-25</v>
      </c>
      <c r="G269" s="124">
        <f t="shared" si="11"/>
        <v>31</v>
      </c>
      <c r="H269" s="125">
        <f t="shared" si="12"/>
        <v>46012</v>
      </c>
      <c r="I269" s="55">
        <v>8.02</v>
      </c>
      <c r="J269" s="59" t="str">
        <f>IFERROR(Inv_SY!J271/Inv_SY!$Y271-1,"")</f>
        <v/>
      </c>
      <c r="K269" s="59" t="str">
        <f>IFERROR(Inv_SY!K271/Inv_SY!$Y271-1,"")</f>
        <v/>
      </c>
      <c r="L269" s="59" t="str">
        <f>IFERROR(Inv_SY!L271/Inv_SY!$Y271-1,"")</f>
        <v/>
      </c>
      <c r="M269" s="59" t="str">
        <f>IFERROR(Inv_SY!M271/Inv_SY!$Y271-1,"")</f>
        <v/>
      </c>
      <c r="N269" s="59" t="str">
        <f>IFERROR(Inv_SY!N271/Inv_SY!$Y271-1,"")</f>
        <v/>
      </c>
      <c r="O269" s="59" t="str">
        <f>IFERROR(Inv_SY!O271/Inv_SY!$Y271-1,"")</f>
        <v/>
      </c>
      <c r="P269" s="59" t="str">
        <f>IFERROR(Inv_SY!P271/Inv_SY!$Y271-1,"")</f>
        <v/>
      </c>
      <c r="Q269" s="59" t="str">
        <f>IFERROR(Inv_SY!Q271/Inv_SY!$Y271-1,"")</f>
        <v/>
      </c>
      <c r="R269" s="59" t="str">
        <f>IFERROR(Inv_SY!R271/Inv_SY!$Y271-1,"")</f>
        <v/>
      </c>
      <c r="S269" s="59" t="str">
        <f>IFERROR(Inv_SY!S271/Inv_SY!$Y271-1,"")</f>
        <v/>
      </c>
      <c r="T269" s="59" t="str">
        <f>IFERROR(Inv_SY!T271/Inv_SY!$Y271-1,"")</f>
        <v/>
      </c>
      <c r="U269" s="59" t="str">
        <f>IFERROR(Inv_SY!U271/Inv_SY!$Y271-1,"")</f>
        <v/>
      </c>
      <c r="V269" s="59" t="str">
        <f>IFERROR(Inv_SY!J271/Inv_SY!$Z271-1,"")</f>
        <v/>
      </c>
      <c r="W269" s="59" t="str">
        <f>IFERROR(Inv_SY!K271/Inv_SY!$Z271-1,"")</f>
        <v/>
      </c>
      <c r="X269" s="59" t="str">
        <f>IFERROR(Inv_SY!L271/Inv_SY!$Z271-1,"")</f>
        <v/>
      </c>
      <c r="Y269" s="59" t="str">
        <f>IFERROR(Inv_SY!M271/Inv_SY!$Z271-1,"")</f>
        <v/>
      </c>
      <c r="Z269" s="59" t="str">
        <f>IFERROR(Inv_SY!N271/Inv_SY!$Z271-1,"")</f>
        <v/>
      </c>
      <c r="AA269" s="59" t="str">
        <f>IFERROR(Inv_SY!O271/Inv_SY!$Z271-1,"")</f>
        <v/>
      </c>
      <c r="AB269" s="59" t="str">
        <f>IFERROR(Inv_SY!P271/Inv_SY!$Z271-1,"")</f>
        <v/>
      </c>
      <c r="AC269" s="59" t="str">
        <f>IFERROR(Inv_SY!Q271/Inv_SY!$Z271-1,"")</f>
        <v/>
      </c>
      <c r="AD269" s="59" t="str">
        <f>IFERROR(Inv_SY!R271/Inv_SY!$Z271-1,"")</f>
        <v/>
      </c>
      <c r="AE269" s="59" t="str">
        <f>IFERROR(Inv_SY!S271/Inv_SY!$Z271-1,"")</f>
        <v/>
      </c>
      <c r="AF269" s="59" t="str">
        <f>IFERROR(Inv_SY!T271/Inv_SY!$Z271-1,"")</f>
        <v/>
      </c>
      <c r="AG269" s="59" t="str">
        <f>IFERROR(Inv_SY!U271/Inv_SY!$Z271-1,"")</f>
        <v/>
      </c>
      <c r="AH269" s="59" t="str">
        <f>IFERROR(Inv_SY!V271/Inv_SY!$Y271-1,"")</f>
        <v/>
      </c>
      <c r="AI269" s="59" t="str">
        <f>IFERROR(Inv_SY!W271/Inv_SY!$Y271-1,"")</f>
        <v/>
      </c>
      <c r="AJ269" s="59" t="str">
        <f>IFERROR(Inv_SY!X271/Inv_SY!$Y271-1,"")</f>
        <v/>
      </c>
      <c r="AK269" s="59" t="str">
        <f>IFERROR(Inv_SY!V271/Inv_SY!$Z271-1,"")</f>
        <v/>
      </c>
      <c r="AL269" s="59" t="str">
        <f>IFERROR(Inv_SY!W271/Inv_SY!$Z271-1,"")</f>
        <v/>
      </c>
      <c r="AM269" s="59" t="str">
        <f>IFERROR(Inv_SY!X271/Inv_SY!$Z271-1,"")</f>
        <v/>
      </c>
    </row>
    <row r="270" spans="1:39" x14ac:dyDescent="0.3">
      <c r="A270" s="55">
        <f>YEAR(Table5[[#This Row],[Date]])+IF(MONTH(Table5[[#This Row],[Date]])&gt;=4,1,0)</f>
        <v>2026</v>
      </c>
      <c r="B270" s="55">
        <v>230</v>
      </c>
      <c r="C270" s="124">
        <f>YEAR(Table5[[#This Row],[Date]])</f>
        <v>2025</v>
      </c>
      <c r="D270" s="55" t="s">
        <v>329</v>
      </c>
      <c r="E270" s="55" t="s">
        <v>329</v>
      </c>
      <c r="F270" s="126" t="str">
        <f>TEXT(Table5[[#This Row],[Date]],"mmm-yy")</f>
        <v>Dec-25</v>
      </c>
      <c r="G270" s="124">
        <f t="shared" si="11"/>
        <v>31</v>
      </c>
      <c r="H270" s="125">
        <f t="shared" si="12"/>
        <v>46013</v>
      </c>
      <c r="I270" s="55">
        <v>8.02</v>
      </c>
      <c r="J270" s="59" t="str">
        <f>IFERROR(Inv_SY!J272/Inv_SY!$Y272-1,"")</f>
        <v/>
      </c>
      <c r="K270" s="59" t="str">
        <f>IFERROR(Inv_SY!K272/Inv_SY!$Y272-1,"")</f>
        <v/>
      </c>
      <c r="L270" s="59" t="str">
        <f>IFERROR(Inv_SY!L272/Inv_SY!$Y272-1,"")</f>
        <v/>
      </c>
      <c r="M270" s="59" t="str">
        <f>IFERROR(Inv_SY!M272/Inv_SY!$Y272-1,"")</f>
        <v/>
      </c>
      <c r="N270" s="59" t="str">
        <f>IFERROR(Inv_SY!N272/Inv_SY!$Y272-1,"")</f>
        <v/>
      </c>
      <c r="O270" s="59" t="str">
        <f>IFERROR(Inv_SY!O272/Inv_SY!$Y272-1,"")</f>
        <v/>
      </c>
      <c r="P270" s="59" t="str">
        <f>IFERROR(Inv_SY!P272/Inv_SY!$Y272-1,"")</f>
        <v/>
      </c>
      <c r="Q270" s="59" t="str">
        <f>IFERROR(Inv_SY!Q272/Inv_SY!$Y272-1,"")</f>
        <v/>
      </c>
      <c r="R270" s="59" t="str">
        <f>IFERROR(Inv_SY!R272/Inv_SY!$Y272-1,"")</f>
        <v/>
      </c>
      <c r="S270" s="59" t="str">
        <f>IFERROR(Inv_SY!S272/Inv_SY!$Y272-1,"")</f>
        <v/>
      </c>
      <c r="T270" s="59" t="str">
        <f>IFERROR(Inv_SY!T272/Inv_SY!$Y272-1,"")</f>
        <v/>
      </c>
      <c r="U270" s="59" t="str">
        <f>IFERROR(Inv_SY!U272/Inv_SY!$Y272-1,"")</f>
        <v/>
      </c>
      <c r="V270" s="59" t="str">
        <f>IFERROR(Inv_SY!J272/Inv_SY!$Z272-1,"")</f>
        <v/>
      </c>
      <c r="W270" s="59" t="str">
        <f>IFERROR(Inv_SY!K272/Inv_SY!$Z272-1,"")</f>
        <v/>
      </c>
      <c r="X270" s="59" t="str">
        <f>IFERROR(Inv_SY!L272/Inv_SY!$Z272-1,"")</f>
        <v/>
      </c>
      <c r="Y270" s="59" t="str">
        <f>IFERROR(Inv_SY!M272/Inv_SY!$Z272-1,"")</f>
        <v/>
      </c>
      <c r="Z270" s="59" t="str">
        <f>IFERROR(Inv_SY!N272/Inv_SY!$Z272-1,"")</f>
        <v/>
      </c>
      <c r="AA270" s="59" t="str">
        <f>IFERROR(Inv_SY!O272/Inv_SY!$Z272-1,"")</f>
        <v/>
      </c>
      <c r="AB270" s="59" t="str">
        <f>IFERROR(Inv_SY!P272/Inv_SY!$Z272-1,"")</f>
        <v/>
      </c>
      <c r="AC270" s="59" t="str">
        <f>IFERROR(Inv_SY!Q272/Inv_SY!$Z272-1,"")</f>
        <v/>
      </c>
      <c r="AD270" s="59" t="str">
        <f>IFERROR(Inv_SY!R272/Inv_SY!$Z272-1,"")</f>
        <v/>
      </c>
      <c r="AE270" s="59" t="str">
        <f>IFERROR(Inv_SY!S272/Inv_SY!$Z272-1,"")</f>
        <v/>
      </c>
      <c r="AF270" s="59" t="str">
        <f>IFERROR(Inv_SY!T272/Inv_SY!$Z272-1,"")</f>
        <v/>
      </c>
      <c r="AG270" s="59" t="str">
        <f>IFERROR(Inv_SY!U272/Inv_SY!$Z272-1,"")</f>
        <v/>
      </c>
      <c r="AH270" s="59" t="str">
        <f>IFERROR(Inv_SY!V272/Inv_SY!$Y272-1,"")</f>
        <v/>
      </c>
      <c r="AI270" s="59" t="str">
        <f>IFERROR(Inv_SY!W272/Inv_SY!$Y272-1,"")</f>
        <v/>
      </c>
      <c r="AJ270" s="59" t="str">
        <f>IFERROR(Inv_SY!X272/Inv_SY!$Y272-1,"")</f>
        <v/>
      </c>
      <c r="AK270" s="59" t="str">
        <f>IFERROR(Inv_SY!V272/Inv_SY!$Z272-1,"")</f>
        <v/>
      </c>
      <c r="AL270" s="59" t="str">
        <f>IFERROR(Inv_SY!W272/Inv_SY!$Z272-1,"")</f>
        <v/>
      </c>
      <c r="AM270" s="59" t="str">
        <f>IFERROR(Inv_SY!X272/Inv_SY!$Z272-1,"")</f>
        <v/>
      </c>
    </row>
    <row r="271" spans="1:39" x14ac:dyDescent="0.3">
      <c r="A271" s="55">
        <f>YEAR(Table5[[#This Row],[Date]])+IF(MONTH(Table5[[#This Row],[Date]])&gt;=4,1,0)</f>
        <v>2026</v>
      </c>
      <c r="B271" s="55">
        <v>231</v>
      </c>
      <c r="C271" s="124">
        <f>YEAR(Table5[[#This Row],[Date]])</f>
        <v>2025</v>
      </c>
      <c r="D271" s="55" t="s">
        <v>329</v>
      </c>
      <c r="E271" s="55" t="s">
        <v>329</v>
      </c>
      <c r="F271" s="126" t="str">
        <f>TEXT(Table5[[#This Row],[Date]],"mmm-yy")</f>
        <v>Dec-25</v>
      </c>
      <c r="G271" s="124">
        <f t="shared" si="11"/>
        <v>31</v>
      </c>
      <c r="H271" s="125">
        <f t="shared" si="12"/>
        <v>46014</v>
      </c>
      <c r="I271" s="55">
        <v>8.02</v>
      </c>
      <c r="J271" s="59" t="str">
        <f>IFERROR(Inv_SY!J273/Inv_SY!$Y273-1,"")</f>
        <v/>
      </c>
      <c r="K271" s="59" t="str">
        <f>IFERROR(Inv_SY!K273/Inv_SY!$Y273-1,"")</f>
        <v/>
      </c>
      <c r="L271" s="59" t="str">
        <f>IFERROR(Inv_SY!L273/Inv_SY!$Y273-1,"")</f>
        <v/>
      </c>
      <c r="M271" s="59" t="str">
        <f>IFERROR(Inv_SY!M273/Inv_SY!$Y273-1,"")</f>
        <v/>
      </c>
      <c r="N271" s="59" t="str">
        <f>IFERROR(Inv_SY!N273/Inv_SY!$Y273-1,"")</f>
        <v/>
      </c>
      <c r="O271" s="59" t="str">
        <f>IFERROR(Inv_SY!O273/Inv_SY!$Y273-1,"")</f>
        <v/>
      </c>
      <c r="P271" s="59" t="str">
        <f>IFERROR(Inv_SY!P273/Inv_SY!$Y273-1,"")</f>
        <v/>
      </c>
      <c r="Q271" s="59" t="str">
        <f>IFERROR(Inv_SY!Q273/Inv_SY!$Y273-1,"")</f>
        <v/>
      </c>
      <c r="R271" s="59" t="str">
        <f>IFERROR(Inv_SY!R273/Inv_SY!$Y273-1,"")</f>
        <v/>
      </c>
      <c r="S271" s="59" t="str">
        <f>IFERROR(Inv_SY!S273/Inv_SY!$Y273-1,"")</f>
        <v/>
      </c>
      <c r="T271" s="59" t="str">
        <f>IFERROR(Inv_SY!T273/Inv_SY!$Y273-1,"")</f>
        <v/>
      </c>
      <c r="U271" s="59" t="str">
        <f>IFERROR(Inv_SY!U273/Inv_SY!$Y273-1,"")</f>
        <v/>
      </c>
      <c r="V271" s="59" t="str">
        <f>IFERROR(Inv_SY!J273/Inv_SY!$Z273-1,"")</f>
        <v/>
      </c>
      <c r="W271" s="59" t="str">
        <f>IFERROR(Inv_SY!K273/Inv_SY!$Z273-1,"")</f>
        <v/>
      </c>
      <c r="X271" s="59" t="str">
        <f>IFERROR(Inv_SY!L273/Inv_SY!$Z273-1,"")</f>
        <v/>
      </c>
      <c r="Y271" s="59" t="str">
        <f>IFERROR(Inv_SY!M273/Inv_SY!$Z273-1,"")</f>
        <v/>
      </c>
      <c r="Z271" s="59" t="str">
        <f>IFERROR(Inv_SY!N273/Inv_SY!$Z273-1,"")</f>
        <v/>
      </c>
      <c r="AA271" s="59" t="str">
        <f>IFERROR(Inv_SY!O273/Inv_SY!$Z273-1,"")</f>
        <v/>
      </c>
      <c r="AB271" s="59" t="str">
        <f>IFERROR(Inv_SY!P273/Inv_SY!$Z273-1,"")</f>
        <v/>
      </c>
      <c r="AC271" s="59" t="str">
        <f>IFERROR(Inv_SY!Q273/Inv_SY!$Z273-1,"")</f>
        <v/>
      </c>
      <c r="AD271" s="59" t="str">
        <f>IFERROR(Inv_SY!R273/Inv_SY!$Z273-1,"")</f>
        <v/>
      </c>
      <c r="AE271" s="59" t="str">
        <f>IFERROR(Inv_SY!S273/Inv_SY!$Z273-1,"")</f>
        <v/>
      </c>
      <c r="AF271" s="59" t="str">
        <f>IFERROR(Inv_SY!T273/Inv_SY!$Z273-1,"")</f>
        <v/>
      </c>
      <c r="AG271" s="59" t="str">
        <f>IFERROR(Inv_SY!U273/Inv_SY!$Z273-1,"")</f>
        <v/>
      </c>
      <c r="AH271" s="59" t="str">
        <f>IFERROR(Inv_SY!V273/Inv_SY!$Y273-1,"")</f>
        <v/>
      </c>
      <c r="AI271" s="59" t="str">
        <f>IFERROR(Inv_SY!W273/Inv_SY!$Y273-1,"")</f>
        <v/>
      </c>
      <c r="AJ271" s="59" t="str">
        <f>IFERROR(Inv_SY!X273/Inv_SY!$Y273-1,"")</f>
        <v/>
      </c>
      <c r="AK271" s="59" t="str">
        <f>IFERROR(Inv_SY!V273/Inv_SY!$Z273-1,"")</f>
        <v/>
      </c>
      <c r="AL271" s="59" t="str">
        <f>IFERROR(Inv_SY!W273/Inv_SY!$Z273-1,"")</f>
        <v/>
      </c>
      <c r="AM271" s="59" t="str">
        <f>IFERROR(Inv_SY!X273/Inv_SY!$Z273-1,"")</f>
        <v/>
      </c>
    </row>
    <row r="272" spans="1:39" x14ac:dyDescent="0.3">
      <c r="A272" s="55">
        <f>YEAR(Table5[[#This Row],[Date]])+IF(MONTH(Table5[[#This Row],[Date]])&gt;=4,1,0)</f>
        <v>2026</v>
      </c>
      <c r="B272" s="55">
        <v>232</v>
      </c>
      <c r="C272" s="124">
        <f>YEAR(Table5[[#This Row],[Date]])</f>
        <v>2025</v>
      </c>
      <c r="D272" s="55" t="s">
        <v>329</v>
      </c>
      <c r="E272" s="55" t="s">
        <v>329</v>
      </c>
      <c r="F272" s="126" t="str">
        <f>TEXT(Table5[[#This Row],[Date]],"mmm-yy")</f>
        <v>Dec-25</v>
      </c>
      <c r="G272" s="124">
        <f t="shared" si="11"/>
        <v>31</v>
      </c>
      <c r="H272" s="125">
        <f t="shared" si="12"/>
        <v>46015</v>
      </c>
      <c r="I272" s="55">
        <v>8.02</v>
      </c>
      <c r="J272" s="59" t="str">
        <f>IFERROR(Inv_SY!J274/Inv_SY!$Y274-1,"")</f>
        <v/>
      </c>
      <c r="K272" s="59" t="str">
        <f>IFERROR(Inv_SY!K274/Inv_SY!$Y274-1,"")</f>
        <v/>
      </c>
      <c r="L272" s="59" t="str">
        <f>IFERROR(Inv_SY!L274/Inv_SY!$Y274-1,"")</f>
        <v/>
      </c>
      <c r="M272" s="59" t="str">
        <f>IFERROR(Inv_SY!M274/Inv_SY!$Y274-1,"")</f>
        <v/>
      </c>
      <c r="N272" s="59" t="str">
        <f>IFERROR(Inv_SY!N274/Inv_SY!$Y274-1,"")</f>
        <v/>
      </c>
      <c r="O272" s="59" t="str">
        <f>IFERROR(Inv_SY!O274/Inv_SY!$Y274-1,"")</f>
        <v/>
      </c>
      <c r="P272" s="59" t="str">
        <f>IFERROR(Inv_SY!P274/Inv_SY!$Y274-1,"")</f>
        <v/>
      </c>
      <c r="Q272" s="59" t="str">
        <f>IFERROR(Inv_SY!Q274/Inv_SY!$Y274-1,"")</f>
        <v/>
      </c>
      <c r="R272" s="59" t="str">
        <f>IFERROR(Inv_SY!R274/Inv_SY!$Y274-1,"")</f>
        <v/>
      </c>
      <c r="S272" s="59" t="str">
        <f>IFERROR(Inv_SY!S274/Inv_SY!$Y274-1,"")</f>
        <v/>
      </c>
      <c r="T272" s="59" t="str">
        <f>IFERROR(Inv_SY!T274/Inv_SY!$Y274-1,"")</f>
        <v/>
      </c>
      <c r="U272" s="59" t="str">
        <f>IFERROR(Inv_SY!U274/Inv_SY!$Y274-1,"")</f>
        <v/>
      </c>
      <c r="V272" s="59" t="str">
        <f>IFERROR(Inv_SY!J274/Inv_SY!$Z274-1,"")</f>
        <v/>
      </c>
      <c r="W272" s="59" t="str">
        <f>IFERROR(Inv_SY!K274/Inv_SY!$Z274-1,"")</f>
        <v/>
      </c>
      <c r="X272" s="59" t="str">
        <f>IFERROR(Inv_SY!L274/Inv_SY!$Z274-1,"")</f>
        <v/>
      </c>
      <c r="Y272" s="59" t="str">
        <f>IFERROR(Inv_SY!M274/Inv_SY!$Z274-1,"")</f>
        <v/>
      </c>
      <c r="Z272" s="59" t="str">
        <f>IFERROR(Inv_SY!N274/Inv_SY!$Z274-1,"")</f>
        <v/>
      </c>
      <c r="AA272" s="59" t="str">
        <f>IFERROR(Inv_SY!O274/Inv_SY!$Z274-1,"")</f>
        <v/>
      </c>
      <c r="AB272" s="59" t="str">
        <f>IFERROR(Inv_SY!P274/Inv_SY!$Z274-1,"")</f>
        <v/>
      </c>
      <c r="AC272" s="59" t="str">
        <f>IFERROR(Inv_SY!Q274/Inv_SY!$Z274-1,"")</f>
        <v/>
      </c>
      <c r="AD272" s="59" t="str">
        <f>IFERROR(Inv_SY!R274/Inv_SY!$Z274-1,"")</f>
        <v/>
      </c>
      <c r="AE272" s="59" t="str">
        <f>IFERROR(Inv_SY!S274/Inv_SY!$Z274-1,"")</f>
        <v/>
      </c>
      <c r="AF272" s="59" t="str">
        <f>IFERROR(Inv_SY!T274/Inv_SY!$Z274-1,"")</f>
        <v/>
      </c>
      <c r="AG272" s="59" t="str">
        <f>IFERROR(Inv_SY!U274/Inv_SY!$Z274-1,"")</f>
        <v/>
      </c>
      <c r="AH272" s="59" t="str">
        <f>IFERROR(Inv_SY!V274/Inv_SY!$Y274-1,"")</f>
        <v/>
      </c>
      <c r="AI272" s="59" t="str">
        <f>IFERROR(Inv_SY!W274/Inv_SY!$Y274-1,"")</f>
        <v/>
      </c>
      <c r="AJ272" s="59" t="str">
        <f>IFERROR(Inv_SY!X274/Inv_SY!$Y274-1,"")</f>
        <v/>
      </c>
      <c r="AK272" s="59" t="str">
        <f>IFERROR(Inv_SY!V274/Inv_SY!$Z274-1,"")</f>
        <v/>
      </c>
      <c r="AL272" s="59" t="str">
        <f>IFERROR(Inv_SY!W274/Inv_SY!$Z274-1,"")</f>
        <v/>
      </c>
      <c r="AM272" s="59" t="str">
        <f>IFERROR(Inv_SY!X274/Inv_SY!$Z274-1,"")</f>
        <v/>
      </c>
    </row>
    <row r="273" spans="1:39" x14ac:dyDescent="0.3">
      <c r="A273" s="55">
        <f>YEAR(Table5[[#This Row],[Date]])+IF(MONTH(Table5[[#This Row],[Date]])&gt;=4,1,0)</f>
        <v>2026</v>
      </c>
      <c r="B273" s="55">
        <v>233</v>
      </c>
      <c r="C273" s="124">
        <f>YEAR(Table5[[#This Row],[Date]])</f>
        <v>2025</v>
      </c>
      <c r="D273" s="55" t="s">
        <v>329</v>
      </c>
      <c r="E273" s="55" t="s">
        <v>329</v>
      </c>
      <c r="F273" s="126" t="str">
        <f>TEXT(Table5[[#This Row],[Date]],"mmm-yy")</f>
        <v>Dec-25</v>
      </c>
      <c r="G273" s="124">
        <f t="shared" si="11"/>
        <v>31</v>
      </c>
      <c r="H273" s="125">
        <f t="shared" si="12"/>
        <v>46016</v>
      </c>
      <c r="I273" s="55">
        <v>8.02</v>
      </c>
      <c r="J273" s="59" t="str">
        <f>IFERROR(Inv_SY!J275/Inv_SY!$Y275-1,"")</f>
        <v/>
      </c>
      <c r="K273" s="59" t="str">
        <f>IFERROR(Inv_SY!K275/Inv_SY!$Y275-1,"")</f>
        <v/>
      </c>
      <c r="L273" s="59" t="str">
        <f>IFERROR(Inv_SY!L275/Inv_SY!$Y275-1,"")</f>
        <v/>
      </c>
      <c r="M273" s="59" t="str">
        <f>IFERROR(Inv_SY!M275/Inv_SY!$Y275-1,"")</f>
        <v/>
      </c>
      <c r="N273" s="59" t="str">
        <f>IFERROR(Inv_SY!N275/Inv_SY!$Y275-1,"")</f>
        <v/>
      </c>
      <c r="O273" s="59" t="str">
        <f>IFERROR(Inv_SY!O275/Inv_SY!$Y275-1,"")</f>
        <v/>
      </c>
      <c r="P273" s="59" t="str">
        <f>IFERROR(Inv_SY!P275/Inv_SY!$Y275-1,"")</f>
        <v/>
      </c>
      <c r="Q273" s="59" t="str">
        <f>IFERROR(Inv_SY!Q275/Inv_SY!$Y275-1,"")</f>
        <v/>
      </c>
      <c r="R273" s="59" t="str">
        <f>IFERROR(Inv_SY!R275/Inv_SY!$Y275-1,"")</f>
        <v/>
      </c>
      <c r="S273" s="59" t="str">
        <f>IFERROR(Inv_SY!S275/Inv_SY!$Y275-1,"")</f>
        <v/>
      </c>
      <c r="T273" s="59" t="str">
        <f>IFERROR(Inv_SY!T275/Inv_SY!$Y275-1,"")</f>
        <v/>
      </c>
      <c r="U273" s="59" t="str">
        <f>IFERROR(Inv_SY!U275/Inv_SY!$Y275-1,"")</f>
        <v/>
      </c>
      <c r="V273" s="59" t="str">
        <f>IFERROR(Inv_SY!J275/Inv_SY!$Z275-1,"")</f>
        <v/>
      </c>
      <c r="W273" s="59" t="str">
        <f>IFERROR(Inv_SY!K275/Inv_SY!$Z275-1,"")</f>
        <v/>
      </c>
      <c r="X273" s="59" t="str">
        <f>IFERROR(Inv_SY!L275/Inv_SY!$Z275-1,"")</f>
        <v/>
      </c>
      <c r="Y273" s="59" t="str">
        <f>IFERROR(Inv_SY!M275/Inv_SY!$Z275-1,"")</f>
        <v/>
      </c>
      <c r="Z273" s="59" t="str">
        <f>IFERROR(Inv_SY!N275/Inv_SY!$Z275-1,"")</f>
        <v/>
      </c>
      <c r="AA273" s="59" t="str">
        <f>IFERROR(Inv_SY!O275/Inv_SY!$Z275-1,"")</f>
        <v/>
      </c>
      <c r="AB273" s="59" t="str">
        <f>IFERROR(Inv_SY!P275/Inv_SY!$Z275-1,"")</f>
        <v/>
      </c>
      <c r="AC273" s="59" t="str">
        <f>IFERROR(Inv_SY!Q275/Inv_SY!$Z275-1,"")</f>
        <v/>
      </c>
      <c r="AD273" s="59" t="str">
        <f>IFERROR(Inv_SY!R275/Inv_SY!$Z275-1,"")</f>
        <v/>
      </c>
      <c r="AE273" s="59" t="str">
        <f>IFERROR(Inv_SY!S275/Inv_SY!$Z275-1,"")</f>
        <v/>
      </c>
      <c r="AF273" s="59" t="str">
        <f>IFERROR(Inv_SY!T275/Inv_SY!$Z275-1,"")</f>
        <v/>
      </c>
      <c r="AG273" s="59" t="str">
        <f>IFERROR(Inv_SY!U275/Inv_SY!$Z275-1,"")</f>
        <v/>
      </c>
      <c r="AH273" s="59" t="str">
        <f>IFERROR(Inv_SY!V275/Inv_SY!$Y275-1,"")</f>
        <v/>
      </c>
      <c r="AI273" s="59" t="str">
        <f>IFERROR(Inv_SY!W275/Inv_SY!$Y275-1,"")</f>
        <v/>
      </c>
      <c r="AJ273" s="59" t="str">
        <f>IFERROR(Inv_SY!X275/Inv_SY!$Y275-1,"")</f>
        <v/>
      </c>
      <c r="AK273" s="59" t="str">
        <f>IFERROR(Inv_SY!V275/Inv_SY!$Z275-1,"")</f>
        <v/>
      </c>
      <c r="AL273" s="59" t="str">
        <f>IFERROR(Inv_SY!W275/Inv_SY!$Z275-1,"")</f>
        <v/>
      </c>
      <c r="AM273" s="59" t="str">
        <f>IFERROR(Inv_SY!X275/Inv_SY!$Z275-1,"")</f>
        <v/>
      </c>
    </row>
    <row r="274" spans="1:39" x14ac:dyDescent="0.3">
      <c r="A274" s="55">
        <f>YEAR(Table5[[#This Row],[Date]])+IF(MONTH(Table5[[#This Row],[Date]])&gt;=4,1,0)</f>
        <v>2026</v>
      </c>
      <c r="B274" s="55">
        <v>234</v>
      </c>
      <c r="C274" s="124">
        <f>YEAR(Table5[[#This Row],[Date]])</f>
        <v>2025</v>
      </c>
      <c r="D274" s="55" t="s">
        <v>329</v>
      </c>
      <c r="E274" s="55" t="s">
        <v>329</v>
      </c>
      <c r="F274" s="126" t="str">
        <f>TEXT(Table5[[#This Row],[Date]],"mmm-yy")</f>
        <v>Dec-25</v>
      </c>
      <c r="G274" s="124">
        <f t="shared" si="11"/>
        <v>31</v>
      </c>
      <c r="H274" s="125">
        <f t="shared" si="12"/>
        <v>46017</v>
      </c>
      <c r="I274" s="55">
        <v>8.02</v>
      </c>
      <c r="J274" s="59" t="str">
        <f>IFERROR(Inv_SY!J276/Inv_SY!$Y276-1,"")</f>
        <v/>
      </c>
      <c r="K274" s="59" t="str">
        <f>IFERROR(Inv_SY!K276/Inv_SY!$Y276-1,"")</f>
        <v/>
      </c>
      <c r="L274" s="59" t="str">
        <f>IFERROR(Inv_SY!L276/Inv_SY!$Y276-1,"")</f>
        <v/>
      </c>
      <c r="M274" s="59" t="str">
        <f>IFERROR(Inv_SY!M276/Inv_SY!$Y276-1,"")</f>
        <v/>
      </c>
      <c r="N274" s="59" t="str">
        <f>IFERROR(Inv_SY!N276/Inv_SY!$Y276-1,"")</f>
        <v/>
      </c>
      <c r="O274" s="59" t="str">
        <f>IFERROR(Inv_SY!O276/Inv_SY!$Y276-1,"")</f>
        <v/>
      </c>
      <c r="P274" s="59" t="str">
        <f>IFERROR(Inv_SY!P276/Inv_SY!$Y276-1,"")</f>
        <v/>
      </c>
      <c r="Q274" s="59" t="str">
        <f>IFERROR(Inv_SY!Q276/Inv_SY!$Y276-1,"")</f>
        <v/>
      </c>
      <c r="R274" s="59" t="str">
        <f>IFERROR(Inv_SY!R276/Inv_SY!$Y276-1,"")</f>
        <v/>
      </c>
      <c r="S274" s="59" t="str">
        <f>IFERROR(Inv_SY!S276/Inv_SY!$Y276-1,"")</f>
        <v/>
      </c>
      <c r="T274" s="59" t="str">
        <f>IFERROR(Inv_SY!T276/Inv_SY!$Y276-1,"")</f>
        <v/>
      </c>
      <c r="U274" s="59" t="str">
        <f>IFERROR(Inv_SY!U276/Inv_SY!$Y276-1,"")</f>
        <v/>
      </c>
      <c r="V274" s="59" t="str">
        <f>IFERROR(Inv_SY!J276/Inv_SY!$Z276-1,"")</f>
        <v/>
      </c>
      <c r="W274" s="59" t="str">
        <f>IFERROR(Inv_SY!K276/Inv_SY!$Z276-1,"")</f>
        <v/>
      </c>
      <c r="X274" s="59" t="str">
        <f>IFERROR(Inv_SY!L276/Inv_SY!$Z276-1,"")</f>
        <v/>
      </c>
      <c r="Y274" s="59" t="str">
        <f>IFERROR(Inv_SY!M276/Inv_SY!$Z276-1,"")</f>
        <v/>
      </c>
      <c r="Z274" s="59" t="str">
        <f>IFERROR(Inv_SY!N276/Inv_SY!$Z276-1,"")</f>
        <v/>
      </c>
      <c r="AA274" s="59" t="str">
        <f>IFERROR(Inv_SY!O276/Inv_SY!$Z276-1,"")</f>
        <v/>
      </c>
      <c r="AB274" s="59" t="str">
        <f>IFERROR(Inv_SY!P276/Inv_SY!$Z276-1,"")</f>
        <v/>
      </c>
      <c r="AC274" s="59" t="str">
        <f>IFERROR(Inv_SY!Q276/Inv_SY!$Z276-1,"")</f>
        <v/>
      </c>
      <c r="AD274" s="59" t="str">
        <f>IFERROR(Inv_SY!R276/Inv_SY!$Z276-1,"")</f>
        <v/>
      </c>
      <c r="AE274" s="59" t="str">
        <f>IFERROR(Inv_SY!S276/Inv_SY!$Z276-1,"")</f>
        <v/>
      </c>
      <c r="AF274" s="59" t="str">
        <f>IFERROR(Inv_SY!T276/Inv_SY!$Z276-1,"")</f>
        <v/>
      </c>
      <c r="AG274" s="59" t="str">
        <f>IFERROR(Inv_SY!U276/Inv_SY!$Z276-1,"")</f>
        <v/>
      </c>
      <c r="AH274" s="59" t="str">
        <f>IFERROR(Inv_SY!V276/Inv_SY!$Y276-1,"")</f>
        <v/>
      </c>
      <c r="AI274" s="59" t="str">
        <f>IFERROR(Inv_SY!W276/Inv_SY!$Y276-1,"")</f>
        <v/>
      </c>
      <c r="AJ274" s="59" t="str">
        <f>IFERROR(Inv_SY!X276/Inv_SY!$Y276-1,"")</f>
        <v/>
      </c>
      <c r="AK274" s="59" t="str">
        <f>IFERROR(Inv_SY!V276/Inv_SY!$Z276-1,"")</f>
        <v/>
      </c>
      <c r="AL274" s="59" t="str">
        <f>IFERROR(Inv_SY!W276/Inv_SY!$Z276-1,"")</f>
        <v/>
      </c>
      <c r="AM274" s="59" t="str">
        <f>IFERROR(Inv_SY!X276/Inv_SY!$Z276-1,"")</f>
        <v/>
      </c>
    </row>
    <row r="275" spans="1:39" x14ac:dyDescent="0.3">
      <c r="A275" s="55">
        <f>YEAR(Table5[[#This Row],[Date]])+IF(MONTH(Table5[[#This Row],[Date]])&gt;=4,1,0)</f>
        <v>2026</v>
      </c>
      <c r="B275" s="55">
        <v>235</v>
      </c>
      <c r="C275" s="124">
        <f>YEAR(Table5[[#This Row],[Date]])</f>
        <v>2025</v>
      </c>
      <c r="D275" s="55" t="s">
        <v>329</v>
      </c>
      <c r="E275" s="55" t="s">
        <v>329</v>
      </c>
      <c r="F275" s="126" t="str">
        <f>TEXT(Table5[[#This Row],[Date]],"mmm-yy")</f>
        <v>Dec-25</v>
      </c>
      <c r="G275" s="124">
        <f t="shared" si="11"/>
        <v>31</v>
      </c>
      <c r="H275" s="125">
        <f t="shared" si="12"/>
        <v>46018</v>
      </c>
      <c r="I275" s="55">
        <v>8.02</v>
      </c>
      <c r="J275" s="59" t="str">
        <f>IFERROR(Inv_SY!J277/Inv_SY!$Y277-1,"")</f>
        <v/>
      </c>
      <c r="K275" s="59" t="str">
        <f>IFERROR(Inv_SY!K277/Inv_SY!$Y277-1,"")</f>
        <v/>
      </c>
      <c r="L275" s="59" t="str">
        <f>IFERROR(Inv_SY!L277/Inv_SY!$Y277-1,"")</f>
        <v/>
      </c>
      <c r="M275" s="59" t="str">
        <f>IFERROR(Inv_SY!M277/Inv_SY!$Y277-1,"")</f>
        <v/>
      </c>
      <c r="N275" s="59" t="str">
        <f>IFERROR(Inv_SY!N277/Inv_SY!$Y277-1,"")</f>
        <v/>
      </c>
      <c r="O275" s="59" t="str">
        <f>IFERROR(Inv_SY!O277/Inv_SY!$Y277-1,"")</f>
        <v/>
      </c>
      <c r="P275" s="59" t="str">
        <f>IFERROR(Inv_SY!P277/Inv_SY!$Y277-1,"")</f>
        <v/>
      </c>
      <c r="Q275" s="59" t="str">
        <f>IFERROR(Inv_SY!Q277/Inv_SY!$Y277-1,"")</f>
        <v/>
      </c>
      <c r="R275" s="59" t="str">
        <f>IFERROR(Inv_SY!R277/Inv_SY!$Y277-1,"")</f>
        <v/>
      </c>
      <c r="S275" s="59" t="str">
        <f>IFERROR(Inv_SY!S277/Inv_SY!$Y277-1,"")</f>
        <v/>
      </c>
      <c r="T275" s="59" t="str">
        <f>IFERROR(Inv_SY!T277/Inv_SY!$Y277-1,"")</f>
        <v/>
      </c>
      <c r="U275" s="59" t="str">
        <f>IFERROR(Inv_SY!U277/Inv_SY!$Y277-1,"")</f>
        <v/>
      </c>
      <c r="V275" s="59" t="str">
        <f>IFERROR(Inv_SY!J277/Inv_SY!$Z277-1,"")</f>
        <v/>
      </c>
      <c r="W275" s="59" t="str">
        <f>IFERROR(Inv_SY!K277/Inv_SY!$Z277-1,"")</f>
        <v/>
      </c>
      <c r="X275" s="59" t="str">
        <f>IFERROR(Inv_SY!L277/Inv_SY!$Z277-1,"")</f>
        <v/>
      </c>
      <c r="Y275" s="59" t="str">
        <f>IFERROR(Inv_SY!M277/Inv_SY!$Z277-1,"")</f>
        <v/>
      </c>
      <c r="Z275" s="59" t="str">
        <f>IFERROR(Inv_SY!N277/Inv_SY!$Z277-1,"")</f>
        <v/>
      </c>
      <c r="AA275" s="59" t="str">
        <f>IFERROR(Inv_SY!O277/Inv_SY!$Z277-1,"")</f>
        <v/>
      </c>
      <c r="AB275" s="59" t="str">
        <f>IFERROR(Inv_SY!P277/Inv_SY!$Z277-1,"")</f>
        <v/>
      </c>
      <c r="AC275" s="59" t="str">
        <f>IFERROR(Inv_SY!Q277/Inv_SY!$Z277-1,"")</f>
        <v/>
      </c>
      <c r="AD275" s="59" t="str">
        <f>IFERROR(Inv_SY!R277/Inv_SY!$Z277-1,"")</f>
        <v/>
      </c>
      <c r="AE275" s="59" t="str">
        <f>IFERROR(Inv_SY!S277/Inv_SY!$Z277-1,"")</f>
        <v/>
      </c>
      <c r="AF275" s="59" t="str">
        <f>IFERROR(Inv_SY!T277/Inv_SY!$Z277-1,"")</f>
        <v/>
      </c>
      <c r="AG275" s="59" t="str">
        <f>IFERROR(Inv_SY!U277/Inv_SY!$Z277-1,"")</f>
        <v/>
      </c>
      <c r="AH275" s="59" t="str">
        <f>IFERROR(Inv_SY!V277/Inv_SY!$Y277-1,"")</f>
        <v/>
      </c>
      <c r="AI275" s="59" t="str">
        <f>IFERROR(Inv_SY!W277/Inv_SY!$Y277-1,"")</f>
        <v/>
      </c>
      <c r="AJ275" s="59" t="str">
        <f>IFERROR(Inv_SY!X277/Inv_SY!$Y277-1,"")</f>
        <v/>
      </c>
      <c r="AK275" s="59" t="str">
        <f>IFERROR(Inv_SY!V277/Inv_SY!$Z277-1,"")</f>
        <v/>
      </c>
      <c r="AL275" s="59" t="str">
        <f>IFERROR(Inv_SY!W277/Inv_SY!$Z277-1,"")</f>
        <v/>
      </c>
      <c r="AM275" s="59" t="str">
        <f>IFERROR(Inv_SY!X277/Inv_SY!$Z277-1,"")</f>
        <v/>
      </c>
    </row>
    <row r="276" spans="1:39" x14ac:dyDescent="0.3">
      <c r="A276" s="55">
        <f>YEAR(Table5[[#This Row],[Date]])+IF(MONTH(Table5[[#This Row],[Date]])&gt;=4,1,0)</f>
        <v>2026</v>
      </c>
      <c r="B276" s="55">
        <v>236</v>
      </c>
      <c r="C276" s="124">
        <f>YEAR(Table5[[#This Row],[Date]])</f>
        <v>2025</v>
      </c>
      <c r="D276" s="55" t="s">
        <v>329</v>
      </c>
      <c r="E276" s="55" t="s">
        <v>329</v>
      </c>
      <c r="F276" s="126" t="str">
        <f>TEXT(Table5[[#This Row],[Date]],"mmm-yy")</f>
        <v>Dec-25</v>
      </c>
      <c r="G276" s="124">
        <f t="shared" si="11"/>
        <v>31</v>
      </c>
      <c r="H276" s="125">
        <f t="shared" si="12"/>
        <v>46019</v>
      </c>
      <c r="I276" s="55">
        <v>8.02</v>
      </c>
      <c r="J276" s="59" t="str">
        <f>IFERROR(Inv_SY!J278/Inv_SY!$Y278-1,"")</f>
        <v/>
      </c>
      <c r="K276" s="59" t="str">
        <f>IFERROR(Inv_SY!K278/Inv_SY!$Y278-1,"")</f>
        <v/>
      </c>
      <c r="L276" s="59" t="str">
        <f>IFERROR(Inv_SY!L278/Inv_SY!$Y278-1,"")</f>
        <v/>
      </c>
      <c r="M276" s="59" t="str">
        <f>IFERROR(Inv_SY!M278/Inv_SY!$Y278-1,"")</f>
        <v/>
      </c>
      <c r="N276" s="59" t="str">
        <f>IFERROR(Inv_SY!N278/Inv_SY!$Y278-1,"")</f>
        <v/>
      </c>
      <c r="O276" s="59" t="str">
        <f>IFERROR(Inv_SY!O278/Inv_SY!$Y278-1,"")</f>
        <v/>
      </c>
      <c r="P276" s="59" t="str">
        <f>IFERROR(Inv_SY!P278/Inv_SY!$Y278-1,"")</f>
        <v/>
      </c>
      <c r="Q276" s="59" t="str">
        <f>IFERROR(Inv_SY!Q278/Inv_SY!$Y278-1,"")</f>
        <v/>
      </c>
      <c r="R276" s="59" t="str">
        <f>IFERROR(Inv_SY!R278/Inv_SY!$Y278-1,"")</f>
        <v/>
      </c>
      <c r="S276" s="59" t="str">
        <f>IFERROR(Inv_SY!S278/Inv_SY!$Y278-1,"")</f>
        <v/>
      </c>
      <c r="T276" s="59" t="str">
        <f>IFERROR(Inv_SY!T278/Inv_SY!$Y278-1,"")</f>
        <v/>
      </c>
      <c r="U276" s="59" t="str">
        <f>IFERROR(Inv_SY!U278/Inv_SY!$Y278-1,"")</f>
        <v/>
      </c>
      <c r="V276" s="59" t="str">
        <f>IFERROR(Inv_SY!J278/Inv_SY!$Z278-1,"")</f>
        <v/>
      </c>
      <c r="W276" s="59" t="str">
        <f>IFERROR(Inv_SY!K278/Inv_SY!$Z278-1,"")</f>
        <v/>
      </c>
      <c r="X276" s="59" t="str">
        <f>IFERROR(Inv_SY!L278/Inv_SY!$Z278-1,"")</f>
        <v/>
      </c>
      <c r="Y276" s="59" t="str">
        <f>IFERROR(Inv_SY!M278/Inv_SY!$Z278-1,"")</f>
        <v/>
      </c>
      <c r="Z276" s="59" t="str">
        <f>IFERROR(Inv_SY!N278/Inv_SY!$Z278-1,"")</f>
        <v/>
      </c>
      <c r="AA276" s="59" t="str">
        <f>IFERROR(Inv_SY!O278/Inv_SY!$Z278-1,"")</f>
        <v/>
      </c>
      <c r="AB276" s="59" t="str">
        <f>IFERROR(Inv_SY!P278/Inv_SY!$Z278-1,"")</f>
        <v/>
      </c>
      <c r="AC276" s="59" t="str">
        <f>IFERROR(Inv_SY!Q278/Inv_SY!$Z278-1,"")</f>
        <v/>
      </c>
      <c r="AD276" s="59" t="str">
        <f>IFERROR(Inv_SY!R278/Inv_SY!$Z278-1,"")</f>
        <v/>
      </c>
      <c r="AE276" s="59" t="str">
        <f>IFERROR(Inv_SY!S278/Inv_SY!$Z278-1,"")</f>
        <v/>
      </c>
      <c r="AF276" s="59" t="str">
        <f>IFERROR(Inv_SY!T278/Inv_SY!$Z278-1,"")</f>
        <v/>
      </c>
      <c r="AG276" s="59" t="str">
        <f>IFERROR(Inv_SY!U278/Inv_SY!$Z278-1,"")</f>
        <v/>
      </c>
      <c r="AH276" s="59" t="str">
        <f>IFERROR(Inv_SY!V278/Inv_SY!$Y278-1,"")</f>
        <v/>
      </c>
      <c r="AI276" s="59" t="str">
        <f>IFERROR(Inv_SY!W278/Inv_SY!$Y278-1,"")</f>
        <v/>
      </c>
      <c r="AJ276" s="59" t="str">
        <f>IFERROR(Inv_SY!X278/Inv_SY!$Y278-1,"")</f>
        <v/>
      </c>
      <c r="AK276" s="59" t="str">
        <f>IFERROR(Inv_SY!V278/Inv_SY!$Z278-1,"")</f>
        <v/>
      </c>
      <c r="AL276" s="59" t="str">
        <f>IFERROR(Inv_SY!W278/Inv_SY!$Z278-1,"")</f>
        <v/>
      </c>
      <c r="AM276" s="59" t="str">
        <f>IFERROR(Inv_SY!X278/Inv_SY!$Z278-1,"")</f>
        <v/>
      </c>
    </row>
    <row r="277" spans="1:39" x14ac:dyDescent="0.3">
      <c r="A277" s="55">
        <f>YEAR(Table5[[#This Row],[Date]])+IF(MONTH(Table5[[#This Row],[Date]])&gt;=4,1,0)</f>
        <v>2026</v>
      </c>
      <c r="B277" s="55">
        <v>237</v>
      </c>
      <c r="C277" s="124">
        <f>YEAR(Table5[[#This Row],[Date]])</f>
        <v>2025</v>
      </c>
      <c r="D277" s="55" t="s">
        <v>329</v>
      </c>
      <c r="E277" s="55" t="s">
        <v>329</v>
      </c>
      <c r="F277" s="126" t="str">
        <f>TEXT(Table5[[#This Row],[Date]],"mmm-yy")</f>
        <v>Dec-25</v>
      </c>
      <c r="G277" s="124">
        <f t="shared" si="11"/>
        <v>31</v>
      </c>
      <c r="H277" s="125">
        <f t="shared" si="12"/>
        <v>46020</v>
      </c>
      <c r="I277" s="55">
        <v>8.02</v>
      </c>
      <c r="J277" s="59" t="str">
        <f>IFERROR(Inv_SY!J279/Inv_SY!$Y279-1,"")</f>
        <v/>
      </c>
      <c r="K277" s="59" t="str">
        <f>IFERROR(Inv_SY!K279/Inv_SY!$Y279-1,"")</f>
        <v/>
      </c>
      <c r="L277" s="59" t="str">
        <f>IFERROR(Inv_SY!L279/Inv_SY!$Y279-1,"")</f>
        <v/>
      </c>
      <c r="M277" s="59" t="str">
        <f>IFERROR(Inv_SY!M279/Inv_SY!$Y279-1,"")</f>
        <v/>
      </c>
      <c r="N277" s="59" t="str">
        <f>IFERROR(Inv_SY!N279/Inv_SY!$Y279-1,"")</f>
        <v/>
      </c>
      <c r="O277" s="59" t="str">
        <f>IFERROR(Inv_SY!O279/Inv_SY!$Y279-1,"")</f>
        <v/>
      </c>
      <c r="P277" s="59" t="str">
        <f>IFERROR(Inv_SY!P279/Inv_SY!$Y279-1,"")</f>
        <v/>
      </c>
      <c r="Q277" s="59" t="str">
        <f>IFERROR(Inv_SY!Q279/Inv_SY!$Y279-1,"")</f>
        <v/>
      </c>
      <c r="R277" s="59" t="str">
        <f>IFERROR(Inv_SY!R279/Inv_SY!$Y279-1,"")</f>
        <v/>
      </c>
      <c r="S277" s="59" t="str">
        <f>IFERROR(Inv_SY!S279/Inv_SY!$Y279-1,"")</f>
        <v/>
      </c>
      <c r="T277" s="59" t="str">
        <f>IFERROR(Inv_SY!T279/Inv_SY!$Y279-1,"")</f>
        <v/>
      </c>
      <c r="U277" s="59" t="str">
        <f>IFERROR(Inv_SY!U279/Inv_SY!$Y279-1,"")</f>
        <v/>
      </c>
      <c r="V277" s="59" t="str">
        <f>IFERROR(Inv_SY!J279/Inv_SY!$Z279-1,"")</f>
        <v/>
      </c>
      <c r="W277" s="59" t="str">
        <f>IFERROR(Inv_SY!K279/Inv_SY!$Z279-1,"")</f>
        <v/>
      </c>
      <c r="X277" s="59" t="str">
        <f>IFERROR(Inv_SY!L279/Inv_SY!$Z279-1,"")</f>
        <v/>
      </c>
      <c r="Y277" s="59" t="str">
        <f>IFERROR(Inv_SY!M279/Inv_SY!$Z279-1,"")</f>
        <v/>
      </c>
      <c r="Z277" s="59" t="str">
        <f>IFERROR(Inv_SY!N279/Inv_SY!$Z279-1,"")</f>
        <v/>
      </c>
      <c r="AA277" s="59" t="str">
        <f>IFERROR(Inv_SY!O279/Inv_SY!$Z279-1,"")</f>
        <v/>
      </c>
      <c r="AB277" s="59" t="str">
        <f>IFERROR(Inv_SY!P279/Inv_SY!$Z279-1,"")</f>
        <v/>
      </c>
      <c r="AC277" s="59" t="str">
        <f>IFERROR(Inv_SY!Q279/Inv_SY!$Z279-1,"")</f>
        <v/>
      </c>
      <c r="AD277" s="59" t="str">
        <f>IFERROR(Inv_SY!R279/Inv_SY!$Z279-1,"")</f>
        <v/>
      </c>
      <c r="AE277" s="59" t="str">
        <f>IFERROR(Inv_SY!S279/Inv_SY!$Z279-1,"")</f>
        <v/>
      </c>
      <c r="AF277" s="59" t="str">
        <f>IFERROR(Inv_SY!T279/Inv_SY!$Z279-1,"")</f>
        <v/>
      </c>
      <c r="AG277" s="59" t="str">
        <f>IFERROR(Inv_SY!U279/Inv_SY!$Z279-1,"")</f>
        <v/>
      </c>
      <c r="AH277" s="59" t="str">
        <f>IFERROR(Inv_SY!V279/Inv_SY!$Y279-1,"")</f>
        <v/>
      </c>
      <c r="AI277" s="59" t="str">
        <f>IFERROR(Inv_SY!W279/Inv_SY!$Y279-1,"")</f>
        <v/>
      </c>
      <c r="AJ277" s="59" t="str">
        <f>IFERROR(Inv_SY!X279/Inv_SY!$Y279-1,"")</f>
        <v/>
      </c>
      <c r="AK277" s="59" t="str">
        <f>IFERROR(Inv_SY!V279/Inv_SY!$Z279-1,"")</f>
        <v/>
      </c>
      <c r="AL277" s="59" t="str">
        <f>IFERROR(Inv_SY!W279/Inv_SY!$Z279-1,"")</f>
        <v/>
      </c>
      <c r="AM277" s="59" t="str">
        <f>IFERROR(Inv_SY!X279/Inv_SY!$Z279-1,"")</f>
        <v/>
      </c>
    </row>
    <row r="278" spans="1:39" x14ac:dyDescent="0.3">
      <c r="A278" s="55">
        <f>YEAR(Table5[[#This Row],[Date]])+IF(MONTH(Table5[[#This Row],[Date]])&gt;=4,1,0)</f>
        <v>2026</v>
      </c>
      <c r="B278" s="55">
        <v>238</v>
      </c>
      <c r="C278" s="124">
        <f>YEAR(Table5[[#This Row],[Date]])</f>
        <v>2025</v>
      </c>
      <c r="D278" s="55" t="s">
        <v>329</v>
      </c>
      <c r="E278" s="55" t="s">
        <v>329</v>
      </c>
      <c r="F278" s="126" t="str">
        <f>TEXT(Table5[[#This Row],[Date]],"mmm-yy")</f>
        <v>Dec-25</v>
      </c>
      <c r="G278" s="124">
        <f t="shared" si="11"/>
        <v>31</v>
      </c>
      <c r="H278" s="125">
        <f t="shared" si="12"/>
        <v>46021</v>
      </c>
      <c r="I278" s="55">
        <v>8.02</v>
      </c>
      <c r="J278" s="59" t="str">
        <f>IFERROR(Inv_SY!J280/Inv_SY!$Y280-1,"")</f>
        <v/>
      </c>
      <c r="K278" s="59" t="str">
        <f>IFERROR(Inv_SY!K280/Inv_SY!$Y280-1,"")</f>
        <v/>
      </c>
      <c r="L278" s="59" t="str">
        <f>IFERROR(Inv_SY!L280/Inv_SY!$Y280-1,"")</f>
        <v/>
      </c>
      <c r="M278" s="59" t="str">
        <f>IFERROR(Inv_SY!M280/Inv_SY!$Y280-1,"")</f>
        <v/>
      </c>
      <c r="N278" s="59" t="str">
        <f>IFERROR(Inv_SY!N280/Inv_SY!$Y280-1,"")</f>
        <v/>
      </c>
      <c r="O278" s="59" t="str">
        <f>IFERROR(Inv_SY!O280/Inv_SY!$Y280-1,"")</f>
        <v/>
      </c>
      <c r="P278" s="59" t="str">
        <f>IFERROR(Inv_SY!P280/Inv_SY!$Y280-1,"")</f>
        <v/>
      </c>
      <c r="Q278" s="59" t="str">
        <f>IFERROR(Inv_SY!Q280/Inv_SY!$Y280-1,"")</f>
        <v/>
      </c>
      <c r="R278" s="59" t="str">
        <f>IFERROR(Inv_SY!R280/Inv_SY!$Y280-1,"")</f>
        <v/>
      </c>
      <c r="S278" s="59" t="str">
        <f>IFERROR(Inv_SY!S280/Inv_SY!$Y280-1,"")</f>
        <v/>
      </c>
      <c r="T278" s="59" t="str">
        <f>IFERROR(Inv_SY!T280/Inv_SY!$Y280-1,"")</f>
        <v/>
      </c>
      <c r="U278" s="59" t="str">
        <f>IFERROR(Inv_SY!U280/Inv_SY!$Y280-1,"")</f>
        <v/>
      </c>
      <c r="V278" s="59" t="str">
        <f>IFERROR(Inv_SY!J280/Inv_SY!$Z280-1,"")</f>
        <v/>
      </c>
      <c r="W278" s="59" t="str">
        <f>IFERROR(Inv_SY!K280/Inv_SY!$Z280-1,"")</f>
        <v/>
      </c>
      <c r="X278" s="59" t="str">
        <f>IFERROR(Inv_SY!L280/Inv_SY!$Z280-1,"")</f>
        <v/>
      </c>
      <c r="Y278" s="59" t="str">
        <f>IFERROR(Inv_SY!M280/Inv_SY!$Z280-1,"")</f>
        <v/>
      </c>
      <c r="Z278" s="59" t="str">
        <f>IFERROR(Inv_SY!N280/Inv_SY!$Z280-1,"")</f>
        <v/>
      </c>
      <c r="AA278" s="59" t="str">
        <f>IFERROR(Inv_SY!O280/Inv_SY!$Z280-1,"")</f>
        <v/>
      </c>
      <c r="AB278" s="59" t="str">
        <f>IFERROR(Inv_SY!P280/Inv_SY!$Z280-1,"")</f>
        <v/>
      </c>
      <c r="AC278" s="59" t="str">
        <f>IFERROR(Inv_SY!Q280/Inv_SY!$Z280-1,"")</f>
        <v/>
      </c>
      <c r="AD278" s="59" t="str">
        <f>IFERROR(Inv_SY!R280/Inv_SY!$Z280-1,"")</f>
        <v/>
      </c>
      <c r="AE278" s="59" t="str">
        <f>IFERROR(Inv_SY!S280/Inv_SY!$Z280-1,"")</f>
        <v/>
      </c>
      <c r="AF278" s="59" t="str">
        <f>IFERROR(Inv_SY!T280/Inv_SY!$Z280-1,"")</f>
        <v/>
      </c>
      <c r="AG278" s="59" t="str">
        <f>IFERROR(Inv_SY!U280/Inv_SY!$Z280-1,"")</f>
        <v/>
      </c>
      <c r="AH278" s="59" t="str">
        <f>IFERROR(Inv_SY!V280/Inv_SY!$Y280-1,"")</f>
        <v/>
      </c>
      <c r="AI278" s="59" t="str">
        <f>IFERROR(Inv_SY!W280/Inv_SY!$Y280-1,"")</f>
        <v/>
      </c>
      <c r="AJ278" s="59" t="str">
        <f>IFERROR(Inv_SY!X280/Inv_SY!$Y280-1,"")</f>
        <v/>
      </c>
      <c r="AK278" s="59" t="str">
        <f>IFERROR(Inv_SY!V280/Inv_SY!$Z280-1,"")</f>
        <v/>
      </c>
      <c r="AL278" s="59" t="str">
        <f>IFERROR(Inv_SY!W280/Inv_SY!$Z280-1,"")</f>
        <v/>
      </c>
      <c r="AM278" s="59" t="str">
        <f>IFERROR(Inv_SY!X280/Inv_SY!$Z280-1,"")</f>
        <v/>
      </c>
    </row>
    <row r="279" spans="1:39" x14ac:dyDescent="0.3">
      <c r="A279" s="55">
        <f>YEAR(Table5[[#This Row],[Date]])+IF(MONTH(Table5[[#This Row],[Date]])&gt;=4,1,0)</f>
        <v>2026</v>
      </c>
      <c r="B279" s="55">
        <v>239</v>
      </c>
      <c r="C279" s="124">
        <f>YEAR(Table5[[#This Row],[Date]])</f>
        <v>2025</v>
      </c>
      <c r="D279" s="55" t="s">
        <v>329</v>
      </c>
      <c r="E279" s="55" t="s">
        <v>329</v>
      </c>
      <c r="F279" s="126" t="str">
        <f>TEXT(Table5[[#This Row],[Date]],"mmm-yy")</f>
        <v>Dec-25</v>
      </c>
      <c r="G279" s="124">
        <f t="shared" si="11"/>
        <v>31</v>
      </c>
      <c r="H279" s="125">
        <f t="shared" si="12"/>
        <v>46022</v>
      </c>
      <c r="I279" s="55">
        <v>8.02</v>
      </c>
      <c r="J279" s="59" t="str">
        <f>IFERROR(Inv_SY!J281/Inv_SY!$Y281-1,"")</f>
        <v/>
      </c>
      <c r="K279" s="59" t="str">
        <f>IFERROR(Inv_SY!K281/Inv_SY!$Y281-1,"")</f>
        <v/>
      </c>
      <c r="L279" s="59" t="str">
        <f>IFERROR(Inv_SY!L281/Inv_SY!$Y281-1,"")</f>
        <v/>
      </c>
      <c r="M279" s="59" t="str">
        <f>IFERROR(Inv_SY!M281/Inv_SY!$Y281-1,"")</f>
        <v/>
      </c>
      <c r="N279" s="59" t="str">
        <f>IFERROR(Inv_SY!N281/Inv_SY!$Y281-1,"")</f>
        <v/>
      </c>
      <c r="O279" s="59" t="str">
        <f>IFERROR(Inv_SY!O281/Inv_SY!$Y281-1,"")</f>
        <v/>
      </c>
      <c r="P279" s="59" t="str">
        <f>IFERROR(Inv_SY!P281/Inv_SY!$Y281-1,"")</f>
        <v/>
      </c>
      <c r="Q279" s="59" t="str">
        <f>IFERROR(Inv_SY!Q281/Inv_SY!$Y281-1,"")</f>
        <v/>
      </c>
      <c r="R279" s="59" t="str">
        <f>IFERROR(Inv_SY!R281/Inv_SY!$Y281-1,"")</f>
        <v/>
      </c>
      <c r="S279" s="59" t="str">
        <f>IFERROR(Inv_SY!S281/Inv_SY!$Y281-1,"")</f>
        <v/>
      </c>
      <c r="T279" s="59" t="str">
        <f>IFERROR(Inv_SY!T281/Inv_SY!$Y281-1,"")</f>
        <v/>
      </c>
      <c r="U279" s="59" t="str">
        <f>IFERROR(Inv_SY!U281/Inv_SY!$Y281-1,"")</f>
        <v/>
      </c>
      <c r="V279" s="59" t="str">
        <f>IFERROR(Inv_SY!J281/Inv_SY!$Z281-1,"")</f>
        <v/>
      </c>
      <c r="W279" s="59" t="str">
        <f>IFERROR(Inv_SY!K281/Inv_SY!$Z281-1,"")</f>
        <v/>
      </c>
      <c r="X279" s="59" t="str">
        <f>IFERROR(Inv_SY!L281/Inv_SY!$Z281-1,"")</f>
        <v/>
      </c>
      <c r="Y279" s="59" t="str">
        <f>IFERROR(Inv_SY!M281/Inv_SY!$Z281-1,"")</f>
        <v/>
      </c>
      <c r="Z279" s="59" t="str">
        <f>IFERROR(Inv_SY!N281/Inv_SY!$Z281-1,"")</f>
        <v/>
      </c>
      <c r="AA279" s="59" t="str">
        <f>IFERROR(Inv_SY!O281/Inv_SY!$Z281-1,"")</f>
        <v/>
      </c>
      <c r="AB279" s="59" t="str">
        <f>IFERROR(Inv_SY!P281/Inv_SY!$Z281-1,"")</f>
        <v/>
      </c>
      <c r="AC279" s="59" t="str">
        <f>IFERROR(Inv_SY!Q281/Inv_SY!$Z281-1,"")</f>
        <v/>
      </c>
      <c r="AD279" s="59" t="str">
        <f>IFERROR(Inv_SY!R281/Inv_SY!$Z281-1,"")</f>
        <v/>
      </c>
      <c r="AE279" s="59" t="str">
        <f>IFERROR(Inv_SY!S281/Inv_SY!$Z281-1,"")</f>
        <v/>
      </c>
      <c r="AF279" s="59" t="str">
        <f>IFERROR(Inv_SY!T281/Inv_SY!$Z281-1,"")</f>
        <v/>
      </c>
      <c r="AG279" s="59" t="str">
        <f>IFERROR(Inv_SY!U281/Inv_SY!$Z281-1,"")</f>
        <v/>
      </c>
      <c r="AH279" s="59" t="str">
        <f>IFERROR(Inv_SY!V281/Inv_SY!$Y281-1,"")</f>
        <v/>
      </c>
      <c r="AI279" s="59" t="str">
        <f>IFERROR(Inv_SY!W281/Inv_SY!$Y281-1,"")</f>
        <v/>
      </c>
      <c r="AJ279" s="59" t="str">
        <f>IFERROR(Inv_SY!X281/Inv_SY!$Y281-1,"")</f>
        <v/>
      </c>
      <c r="AK279" s="59" t="str">
        <f>IFERROR(Inv_SY!V281/Inv_SY!$Z281-1,"")</f>
        <v/>
      </c>
      <c r="AL279" s="59" t="str">
        <f>IFERROR(Inv_SY!W281/Inv_SY!$Z281-1,"")</f>
        <v/>
      </c>
      <c r="AM279" s="59" t="str">
        <f>IFERROR(Inv_SY!X281/Inv_SY!$Z281-1,"")</f>
        <v/>
      </c>
    </row>
    <row r="280" spans="1:39" x14ac:dyDescent="0.3">
      <c r="A280" s="55">
        <f>YEAR(Table5[[#This Row],[Date]])+IF(MONTH(Table5[[#This Row],[Date]])&gt;=4,1,0)</f>
        <v>2026</v>
      </c>
      <c r="B280" s="55">
        <v>240</v>
      </c>
      <c r="C280" s="124">
        <f>YEAR(Table5[[#This Row],[Date]])</f>
        <v>2026</v>
      </c>
      <c r="D280" s="55" t="s">
        <v>329</v>
      </c>
      <c r="E280" s="55" t="s">
        <v>329</v>
      </c>
      <c r="F280" s="126" t="str">
        <f>TEXT(Table5[[#This Row],[Date]],"mmm-yy")</f>
        <v>Jan-26</v>
      </c>
      <c r="G280" s="124">
        <f t="shared" si="11"/>
        <v>31</v>
      </c>
      <c r="H280" s="125">
        <f t="shared" si="12"/>
        <v>46023</v>
      </c>
      <c r="I280" s="55">
        <v>8.02</v>
      </c>
      <c r="J280" s="59" t="str">
        <f>IFERROR(Inv_SY!J282/Inv_SY!$Y282-1,"")</f>
        <v/>
      </c>
      <c r="K280" s="59" t="str">
        <f>IFERROR(Inv_SY!K282/Inv_SY!$Y282-1,"")</f>
        <v/>
      </c>
      <c r="L280" s="59" t="str">
        <f>IFERROR(Inv_SY!L282/Inv_SY!$Y282-1,"")</f>
        <v/>
      </c>
      <c r="M280" s="59" t="str">
        <f>IFERROR(Inv_SY!M282/Inv_SY!$Y282-1,"")</f>
        <v/>
      </c>
      <c r="N280" s="59" t="str">
        <f>IFERROR(Inv_SY!N282/Inv_SY!$Y282-1,"")</f>
        <v/>
      </c>
      <c r="O280" s="59" t="str">
        <f>IFERROR(Inv_SY!O282/Inv_SY!$Y282-1,"")</f>
        <v/>
      </c>
      <c r="P280" s="59" t="str">
        <f>IFERROR(Inv_SY!P282/Inv_SY!$Y282-1,"")</f>
        <v/>
      </c>
      <c r="Q280" s="59" t="str">
        <f>IFERROR(Inv_SY!Q282/Inv_SY!$Y282-1,"")</f>
        <v/>
      </c>
      <c r="R280" s="59" t="str">
        <f>IFERROR(Inv_SY!R282/Inv_SY!$Y282-1,"")</f>
        <v/>
      </c>
      <c r="S280" s="59" t="str">
        <f>IFERROR(Inv_SY!S282/Inv_SY!$Y282-1,"")</f>
        <v/>
      </c>
      <c r="T280" s="59" t="str">
        <f>IFERROR(Inv_SY!T282/Inv_SY!$Y282-1,"")</f>
        <v/>
      </c>
      <c r="U280" s="59" t="str">
        <f>IFERROR(Inv_SY!U282/Inv_SY!$Y282-1,"")</f>
        <v/>
      </c>
      <c r="V280" s="59" t="str">
        <f>IFERROR(Inv_SY!J282/Inv_SY!$Z282-1,"")</f>
        <v/>
      </c>
      <c r="W280" s="59" t="str">
        <f>IFERROR(Inv_SY!K282/Inv_SY!$Z282-1,"")</f>
        <v/>
      </c>
      <c r="X280" s="59" t="str">
        <f>IFERROR(Inv_SY!L282/Inv_SY!$Z282-1,"")</f>
        <v/>
      </c>
      <c r="Y280" s="59" t="str">
        <f>IFERROR(Inv_SY!M282/Inv_SY!$Z282-1,"")</f>
        <v/>
      </c>
      <c r="Z280" s="59" t="str">
        <f>IFERROR(Inv_SY!N282/Inv_SY!$Z282-1,"")</f>
        <v/>
      </c>
      <c r="AA280" s="59" t="str">
        <f>IFERROR(Inv_SY!O282/Inv_SY!$Z282-1,"")</f>
        <v/>
      </c>
      <c r="AB280" s="59" t="str">
        <f>IFERROR(Inv_SY!P282/Inv_SY!$Z282-1,"")</f>
        <v/>
      </c>
      <c r="AC280" s="59" t="str">
        <f>IFERROR(Inv_SY!Q282/Inv_SY!$Z282-1,"")</f>
        <v/>
      </c>
      <c r="AD280" s="59" t="str">
        <f>IFERROR(Inv_SY!R282/Inv_SY!$Z282-1,"")</f>
        <v/>
      </c>
      <c r="AE280" s="59" t="str">
        <f>IFERROR(Inv_SY!S282/Inv_SY!$Z282-1,"")</f>
        <v/>
      </c>
      <c r="AF280" s="59" t="str">
        <f>IFERROR(Inv_SY!T282/Inv_SY!$Z282-1,"")</f>
        <v/>
      </c>
      <c r="AG280" s="59" t="str">
        <f>IFERROR(Inv_SY!U282/Inv_SY!$Z282-1,"")</f>
        <v/>
      </c>
      <c r="AH280" s="59" t="str">
        <f>IFERROR(Inv_SY!V282/Inv_SY!$Y282-1,"")</f>
        <v/>
      </c>
      <c r="AI280" s="59" t="str">
        <f>IFERROR(Inv_SY!W282/Inv_SY!$Y282-1,"")</f>
        <v/>
      </c>
      <c r="AJ280" s="59" t="str">
        <f>IFERROR(Inv_SY!X282/Inv_SY!$Y282-1,"")</f>
        <v/>
      </c>
      <c r="AK280" s="59" t="str">
        <f>IFERROR(Inv_SY!V282/Inv_SY!$Z282-1,"")</f>
        <v/>
      </c>
      <c r="AL280" s="59" t="str">
        <f>IFERROR(Inv_SY!W282/Inv_SY!$Z282-1,"")</f>
        <v/>
      </c>
      <c r="AM280" s="59" t="str">
        <f>IFERROR(Inv_SY!X282/Inv_SY!$Z282-1,"")</f>
        <v/>
      </c>
    </row>
    <row r="281" spans="1:39" x14ac:dyDescent="0.3">
      <c r="A281" s="55">
        <f>YEAR(Table5[[#This Row],[Date]])+IF(MONTH(Table5[[#This Row],[Date]])&gt;=4,1,0)</f>
        <v>2026</v>
      </c>
      <c r="B281" s="55">
        <v>241</v>
      </c>
      <c r="C281" s="124">
        <f>YEAR(Table5[[#This Row],[Date]])</f>
        <v>2026</v>
      </c>
      <c r="D281" s="55" t="s">
        <v>329</v>
      </c>
      <c r="E281" s="55" t="s">
        <v>329</v>
      </c>
      <c r="F281" s="126" t="str">
        <f>TEXT(Table5[[#This Row],[Date]],"mmm-yy")</f>
        <v>Jan-26</v>
      </c>
      <c r="G281" s="124">
        <f t="shared" si="11"/>
        <v>31</v>
      </c>
      <c r="H281" s="125">
        <f t="shared" si="12"/>
        <v>46024</v>
      </c>
      <c r="I281" s="55">
        <v>8.02</v>
      </c>
      <c r="J281" s="59" t="str">
        <f>IFERROR(Inv_SY!J283/Inv_SY!$Y283-1,"")</f>
        <v/>
      </c>
      <c r="K281" s="59" t="str">
        <f>IFERROR(Inv_SY!K283/Inv_SY!$Y283-1,"")</f>
        <v/>
      </c>
      <c r="L281" s="59" t="str">
        <f>IFERROR(Inv_SY!L283/Inv_SY!$Y283-1,"")</f>
        <v/>
      </c>
      <c r="M281" s="59" t="str">
        <f>IFERROR(Inv_SY!M283/Inv_SY!$Y283-1,"")</f>
        <v/>
      </c>
      <c r="N281" s="59" t="str">
        <f>IFERROR(Inv_SY!N283/Inv_SY!$Y283-1,"")</f>
        <v/>
      </c>
      <c r="O281" s="59" t="str">
        <f>IFERROR(Inv_SY!O283/Inv_SY!$Y283-1,"")</f>
        <v/>
      </c>
      <c r="P281" s="59" t="str">
        <f>IFERROR(Inv_SY!P283/Inv_SY!$Y283-1,"")</f>
        <v/>
      </c>
      <c r="Q281" s="59" t="str">
        <f>IFERROR(Inv_SY!Q283/Inv_SY!$Y283-1,"")</f>
        <v/>
      </c>
      <c r="R281" s="59" t="str">
        <f>IFERROR(Inv_SY!R283/Inv_SY!$Y283-1,"")</f>
        <v/>
      </c>
      <c r="S281" s="59" t="str">
        <f>IFERROR(Inv_SY!S283/Inv_SY!$Y283-1,"")</f>
        <v/>
      </c>
      <c r="T281" s="59" t="str">
        <f>IFERROR(Inv_SY!T283/Inv_SY!$Y283-1,"")</f>
        <v/>
      </c>
      <c r="U281" s="59" t="str">
        <f>IFERROR(Inv_SY!U283/Inv_SY!$Y283-1,"")</f>
        <v/>
      </c>
      <c r="V281" s="59" t="str">
        <f>IFERROR(Inv_SY!J283/Inv_SY!$Z283-1,"")</f>
        <v/>
      </c>
      <c r="W281" s="59" t="str">
        <f>IFERROR(Inv_SY!K283/Inv_SY!$Z283-1,"")</f>
        <v/>
      </c>
      <c r="X281" s="59" t="str">
        <f>IFERROR(Inv_SY!L283/Inv_SY!$Z283-1,"")</f>
        <v/>
      </c>
      <c r="Y281" s="59" t="str">
        <f>IFERROR(Inv_SY!M283/Inv_SY!$Z283-1,"")</f>
        <v/>
      </c>
      <c r="Z281" s="59" t="str">
        <f>IFERROR(Inv_SY!N283/Inv_SY!$Z283-1,"")</f>
        <v/>
      </c>
      <c r="AA281" s="59" t="str">
        <f>IFERROR(Inv_SY!O283/Inv_SY!$Z283-1,"")</f>
        <v/>
      </c>
      <c r="AB281" s="59" t="str">
        <f>IFERROR(Inv_SY!P283/Inv_SY!$Z283-1,"")</f>
        <v/>
      </c>
      <c r="AC281" s="59" t="str">
        <f>IFERROR(Inv_SY!Q283/Inv_SY!$Z283-1,"")</f>
        <v/>
      </c>
      <c r="AD281" s="59" t="str">
        <f>IFERROR(Inv_SY!R283/Inv_SY!$Z283-1,"")</f>
        <v/>
      </c>
      <c r="AE281" s="59" t="str">
        <f>IFERROR(Inv_SY!S283/Inv_SY!$Z283-1,"")</f>
        <v/>
      </c>
      <c r="AF281" s="59" t="str">
        <f>IFERROR(Inv_SY!T283/Inv_SY!$Z283-1,"")</f>
        <v/>
      </c>
      <c r="AG281" s="59" t="str">
        <f>IFERROR(Inv_SY!U283/Inv_SY!$Z283-1,"")</f>
        <v/>
      </c>
      <c r="AH281" s="59" t="str">
        <f>IFERROR(Inv_SY!V283/Inv_SY!$Y283-1,"")</f>
        <v/>
      </c>
      <c r="AI281" s="59" t="str">
        <f>IFERROR(Inv_SY!W283/Inv_SY!$Y283-1,"")</f>
        <v/>
      </c>
      <c r="AJ281" s="59" t="str">
        <f>IFERROR(Inv_SY!X283/Inv_SY!$Y283-1,"")</f>
        <v/>
      </c>
      <c r="AK281" s="59" t="str">
        <f>IFERROR(Inv_SY!V283/Inv_SY!$Z283-1,"")</f>
        <v/>
      </c>
      <c r="AL281" s="59" t="str">
        <f>IFERROR(Inv_SY!W283/Inv_SY!$Z283-1,"")</f>
        <v/>
      </c>
      <c r="AM281" s="59" t="str">
        <f>IFERROR(Inv_SY!X283/Inv_SY!$Z283-1,"")</f>
        <v/>
      </c>
    </row>
    <row r="282" spans="1:39" x14ac:dyDescent="0.3">
      <c r="A282" s="55">
        <f>YEAR(Table5[[#This Row],[Date]])+IF(MONTH(Table5[[#This Row],[Date]])&gt;=4,1,0)</f>
        <v>2026</v>
      </c>
      <c r="B282" s="55">
        <v>242</v>
      </c>
      <c r="C282" s="124">
        <f>YEAR(Table5[[#This Row],[Date]])</f>
        <v>2026</v>
      </c>
      <c r="D282" s="55" t="s">
        <v>329</v>
      </c>
      <c r="E282" s="55" t="s">
        <v>329</v>
      </c>
      <c r="F282" s="126" t="str">
        <f>TEXT(Table5[[#This Row],[Date]],"mmm-yy")</f>
        <v>Jan-26</v>
      </c>
      <c r="G282" s="124">
        <f t="shared" si="11"/>
        <v>31</v>
      </c>
      <c r="H282" s="125">
        <f t="shared" si="12"/>
        <v>46025</v>
      </c>
      <c r="I282" s="55">
        <v>8.02</v>
      </c>
      <c r="J282" s="59" t="str">
        <f>IFERROR(Inv_SY!J284/Inv_SY!$Y284-1,"")</f>
        <v/>
      </c>
      <c r="K282" s="59" t="str">
        <f>IFERROR(Inv_SY!K284/Inv_SY!$Y284-1,"")</f>
        <v/>
      </c>
      <c r="L282" s="59" t="str">
        <f>IFERROR(Inv_SY!L284/Inv_SY!$Y284-1,"")</f>
        <v/>
      </c>
      <c r="M282" s="59" t="str">
        <f>IFERROR(Inv_SY!M284/Inv_SY!$Y284-1,"")</f>
        <v/>
      </c>
      <c r="N282" s="59" t="str">
        <f>IFERROR(Inv_SY!N284/Inv_SY!$Y284-1,"")</f>
        <v/>
      </c>
      <c r="O282" s="59" t="str">
        <f>IFERROR(Inv_SY!O284/Inv_SY!$Y284-1,"")</f>
        <v/>
      </c>
      <c r="P282" s="59" t="str">
        <f>IFERROR(Inv_SY!P284/Inv_SY!$Y284-1,"")</f>
        <v/>
      </c>
      <c r="Q282" s="59" t="str">
        <f>IFERROR(Inv_SY!Q284/Inv_SY!$Y284-1,"")</f>
        <v/>
      </c>
      <c r="R282" s="59" t="str">
        <f>IFERROR(Inv_SY!R284/Inv_SY!$Y284-1,"")</f>
        <v/>
      </c>
      <c r="S282" s="59" t="str">
        <f>IFERROR(Inv_SY!S284/Inv_SY!$Y284-1,"")</f>
        <v/>
      </c>
      <c r="T282" s="59" t="str">
        <f>IFERROR(Inv_SY!T284/Inv_SY!$Y284-1,"")</f>
        <v/>
      </c>
      <c r="U282" s="59" t="str">
        <f>IFERROR(Inv_SY!U284/Inv_SY!$Y284-1,"")</f>
        <v/>
      </c>
      <c r="V282" s="59" t="str">
        <f>IFERROR(Inv_SY!J284/Inv_SY!$Z284-1,"")</f>
        <v/>
      </c>
      <c r="W282" s="59" t="str">
        <f>IFERROR(Inv_SY!K284/Inv_SY!$Z284-1,"")</f>
        <v/>
      </c>
      <c r="X282" s="59" t="str">
        <f>IFERROR(Inv_SY!L284/Inv_SY!$Z284-1,"")</f>
        <v/>
      </c>
      <c r="Y282" s="59" t="str">
        <f>IFERROR(Inv_SY!M284/Inv_SY!$Z284-1,"")</f>
        <v/>
      </c>
      <c r="Z282" s="59" t="str">
        <f>IFERROR(Inv_SY!N284/Inv_SY!$Z284-1,"")</f>
        <v/>
      </c>
      <c r="AA282" s="59" t="str">
        <f>IFERROR(Inv_SY!O284/Inv_SY!$Z284-1,"")</f>
        <v/>
      </c>
      <c r="AB282" s="59" t="str">
        <f>IFERROR(Inv_SY!P284/Inv_SY!$Z284-1,"")</f>
        <v/>
      </c>
      <c r="AC282" s="59" t="str">
        <f>IFERROR(Inv_SY!Q284/Inv_SY!$Z284-1,"")</f>
        <v/>
      </c>
      <c r="AD282" s="59" t="str">
        <f>IFERROR(Inv_SY!R284/Inv_SY!$Z284-1,"")</f>
        <v/>
      </c>
      <c r="AE282" s="59" t="str">
        <f>IFERROR(Inv_SY!S284/Inv_SY!$Z284-1,"")</f>
        <v/>
      </c>
      <c r="AF282" s="59" t="str">
        <f>IFERROR(Inv_SY!T284/Inv_SY!$Z284-1,"")</f>
        <v/>
      </c>
      <c r="AG282" s="59" t="str">
        <f>IFERROR(Inv_SY!U284/Inv_SY!$Z284-1,"")</f>
        <v/>
      </c>
      <c r="AH282" s="59" t="str">
        <f>IFERROR(Inv_SY!V284/Inv_SY!$Y284-1,"")</f>
        <v/>
      </c>
      <c r="AI282" s="59" t="str">
        <f>IFERROR(Inv_SY!W284/Inv_SY!$Y284-1,"")</f>
        <v/>
      </c>
      <c r="AJ282" s="59" t="str">
        <f>IFERROR(Inv_SY!X284/Inv_SY!$Y284-1,"")</f>
        <v/>
      </c>
      <c r="AK282" s="59" t="str">
        <f>IFERROR(Inv_SY!V284/Inv_SY!$Z284-1,"")</f>
        <v/>
      </c>
      <c r="AL282" s="59" t="str">
        <f>IFERROR(Inv_SY!W284/Inv_SY!$Z284-1,"")</f>
        <v/>
      </c>
      <c r="AM282" s="59" t="str">
        <f>IFERROR(Inv_SY!X284/Inv_SY!$Z284-1,"")</f>
        <v/>
      </c>
    </row>
    <row r="283" spans="1:39" x14ac:dyDescent="0.3">
      <c r="A283" s="55">
        <f>YEAR(Table5[[#This Row],[Date]])+IF(MONTH(Table5[[#This Row],[Date]])&gt;=4,1,0)</f>
        <v>2026</v>
      </c>
      <c r="B283" s="55">
        <v>243</v>
      </c>
      <c r="C283" s="124">
        <f>YEAR(Table5[[#This Row],[Date]])</f>
        <v>2026</v>
      </c>
      <c r="D283" s="55" t="s">
        <v>329</v>
      </c>
      <c r="E283" s="55" t="s">
        <v>329</v>
      </c>
      <c r="F283" s="126" t="str">
        <f>TEXT(Table5[[#This Row],[Date]],"mmm-yy")</f>
        <v>Jan-26</v>
      </c>
      <c r="G283" s="124">
        <f t="shared" si="11"/>
        <v>31</v>
      </c>
      <c r="H283" s="125">
        <f t="shared" si="12"/>
        <v>46026</v>
      </c>
      <c r="I283" s="55">
        <v>8.02</v>
      </c>
      <c r="J283" s="59" t="str">
        <f>IFERROR(Inv_SY!J285/Inv_SY!$Y285-1,"")</f>
        <v/>
      </c>
      <c r="K283" s="59" t="str">
        <f>IFERROR(Inv_SY!K285/Inv_SY!$Y285-1,"")</f>
        <v/>
      </c>
      <c r="L283" s="59" t="str">
        <f>IFERROR(Inv_SY!L285/Inv_SY!$Y285-1,"")</f>
        <v/>
      </c>
      <c r="M283" s="59" t="str">
        <f>IFERROR(Inv_SY!M285/Inv_SY!$Y285-1,"")</f>
        <v/>
      </c>
      <c r="N283" s="59" t="str">
        <f>IFERROR(Inv_SY!N285/Inv_SY!$Y285-1,"")</f>
        <v/>
      </c>
      <c r="O283" s="59" t="str">
        <f>IFERROR(Inv_SY!O285/Inv_SY!$Y285-1,"")</f>
        <v/>
      </c>
      <c r="P283" s="59" t="str">
        <f>IFERROR(Inv_SY!P285/Inv_SY!$Y285-1,"")</f>
        <v/>
      </c>
      <c r="Q283" s="59" t="str">
        <f>IFERROR(Inv_SY!Q285/Inv_SY!$Y285-1,"")</f>
        <v/>
      </c>
      <c r="R283" s="59" t="str">
        <f>IFERROR(Inv_SY!R285/Inv_SY!$Y285-1,"")</f>
        <v/>
      </c>
      <c r="S283" s="59" t="str">
        <f>IFERROR(Inv_SY!S285/Inv_SY!$Y285-1,"")</f>
        <v/>
      </c>
      <c r="T283" s="59" t="str">
        <f>IFERROR(Inv_SY!T285/Inv_SY!$Y285-1,"")</f>
        <v/>
      </c>
      <c r="U283" s="59" t="str">
        <f>IFERROR(Inv_SY!U285/Inv_SY!$Y285-1,"")</f>
        <v/>
      </c>
      <c r="V283" s="59" t="str">
        <f>IFERROR(Inv_SY!J285/Inv_SY!$Z285-1,"")</f>
        <v/>
      </c>
      <c r="W283" s="59" t="str">
        <f>IFERROR(Inv_SY!K285/Inv_SY!$Z285-1,"")</f>
        <v/>
      </c>
      <c r="X283" s="59" t="str">
        <f>IFERROR(Inv_SY!L285/Inv_SY!$Z285-1,"")</f>
        <v/>
      </c>
      <c r="Y283" s="59" t="str">
        <f>IFERROR(Inv_SY!M285/Inv_SY!$Z285-1,"")</f>
        <v/>
      </c>
      <c r="Z283" s="59" t="str">
        <f>IFERROR(Inv_SY!N285/Inv_SY!$Z285-1,"")</f>
        <v/>
      </c>
      <c r="AA283" s="59" t="str">
        <f>IFERROR(Inv_SY!O285/Inv_SY!$Z285-1,"")</f>
        <v/>
      </c>
      <c r="AB283" s="59" t="str">
        <f>IFERROR(Inv_SY!P285/Inv_SY!$Z285-1,"")</f>
        <v/>
      </c>
      <c r="AC283" s="59" t="str">
        <f>IFERROR(Inv_SY!Q285/Inv_SY!$Z285-1,"")</f>
        <v/>
      </c>
      <c r="AD283" s="59" t="str">
        <f>IFERROR(Inv_SY!R285/Inv_SY!$Z285-1,"")</f>
        <v/>
      </c>
      <c r="AE283" s="59" t="str">
        <f>IFERROR(Inv_SY!S285/Inv_SY!$Z285-1,"")</f>
        <v/>
      </c>
      <c r="AF283" s="59" t="str">
        <f>IFERROR(Inv_SY!T285/Inv_SY!$Z285-1,"")</f>
        <v/>
      </c>
      <c r="AG283" s="59" t="str">
        <f>IFERROR(Inv_SY!U285/Inv_SY!$Z285-1,"")</f>
        <v/>
      </c>
      <c r="AH283" s="59" t="str">
        <f>IFERROR(Inv_SY!V285/Inv_SY!$Y285-1,"")</f>
        <v/>
      </c>
      <c r="AI283" s="59" t="str">
        <f>IFERROR(Inv_SY!W285/Inv_SY!$Y285-1,"")</f>
        <v/>
      </c>
      <c r="AJ283" s="59" t="str">
        <f>IFERROR(Inv_SY!X285/Inv_SY!$Y285-1,"")</f>
        <v/>
      </c>
      <c r="AK283" s="59" t="str">
        <f>IFERROR(Inv_SY!V285/Inv_SY!$Z285-1,"")</f>
        <v/>
      </c>
      <c r="AL283" s="59" t="str">
        <f>IFERROR(Inv_SY!W285/Inv_SY!$Z285-1,"")</f>
        <v/>
      </c>
      <c r="AM283" s="59" t="str">
        <f>IFERROR(Inv_SY!X285/Inv_SY!$Z285-1,"")</f>
        <v/>
      </c>
    </row>
    <row r="284" spans="1:39" x14ac:dyDescent="0.3">
      <c r="A284" s="55">
        <f>YEAR(Table5[[#This Row],[Date]])+IF(MONTH(Table5[[#This Row],[Date]])&gt;=4,1,0)</f>
        <v>2026</v>
      </c>
      <c r="B284" s="55">
        <v>244</v>
      </c>
      <c r="C284" s="124">
        <f>YEAR(Table5[[#This Row],[Date]])</f>
        <v>2026</v>
      </c>
      <c r="D284" s="55" t="s">
        <v>329</v>
      </c>
      <c r="E284" s="55" t="s">
        <v>329</v>
      </c>
      <c r="F284" s="126" t="str">
        <f>TEXT(Table5[[#This Row],[Date]],"mmm-yy")</f>
        <v>Jan-26</v>
      </c>
      <c r="G284" s="124">
        <f t="shared" si="11"/>
        <v>31</v>
      </c>
      <c r="H284" s="125">
        <f t="shared" si="12"/>
        <v>46027</v>
      </c>
      <c r="I284" s="55">
        <v>8.02</v>
      </c>
      <c r="J284" s="59" t="str">
        <f>IFERROR(Inv_SY!J286/Inv_SY!$Y286-1,"")</f>
        <v/>
      </c>
      <c r="K284" s="59" t="str">
        <f>IFERROR(Inv_SY!K286/Inv_SY!$Y286-1,"")</f>
        <v/>
      </c>
      <c r="L284" s="59" t="str">
        <f>IFERROR(Inv_SY!L286/Inv_SY!$Y286-1,"")</f>
        <v/>
      </c>
      <c r="M284" s="59" t="str">
        <f>IFERROR(Inv_SY!M286/Inv_SY!$Y286-1,"")</f>
        <v/>
      </c>
      <c r="N284" s="59" t="str">
        <f>IFERROR(Inv_SY!N286/Inv_SY!$Y286-1,"")</f>
        <v/>
      </c>
      <c r="O284" s="59" t="str">
        <f>IFERROR(Inv_SY!O286/Inv_SY!$Y286-1,"")</f>
        <v/>
      </c>
      <c r="P284" s="59" t="str">
        <f>IFERROR(Inv_SY!P286/Inv_SY!$Y286-1,"")</f>
        <v/>
      </c>
      <c r="Q284" s="59" t="str">
        <f>IFERROR(Inv_SY!Q286/Inv_SY!$Y286-1,"")</f>
        <v/>
      </c>
      <c r="R284" s="59" t="str">
        <f>IFERROR(Inv_SY!R286/Inv_SY!$Y286-1,"")</f>
        <v/>
      </c>
      <c r="S284" s="59" t="str">
        <f>IFERROR(Inv_SY!S286/Inv_SY!$Y286-1,"")</f>
        <v/>
      </c>
      <c r="T284" s="59" t="str">
        <f>IFERROR(Inv_SY!T286/Inv_SY!$Y286-1,"")</f>
        <v/>
      </c>
      <c r="U284" s="59" t="str">
        <f>IFERROR(Inv_SY!U286/Inv_SY!$Y286-1,"")</f>
        <v/>
      </c>
      <c r="V284" s="59" t="str">
        <f>IFERROR(Inv_SY!J286/Inv_SY!$Z286-1,"")</f>
        <v/>
      </c>
      <c r="W284" s="59" t="str">
        <f>IFERROR(Inv_SY!K286/Inv_SY!$Z286-1,"")</f>
        <v/>
      </c>
      <c r="X284" s="59" t="str">
        <f>IFERROR(Inv_SY!L286/Inv_SY!$Z286-1,"")</f>
        <v/>
      </c>
      <c r="Y284" s="59" t="str">
        <f>IFERROR(Inv_SY!M286/Inv_SY!$Z286-1,"")</f>
        <v/>
      </c>
      <c r="Z284" s="59" t="str">
        <f>IFERROR(Inv_SY!N286/Inv_SY!$Z286-1,"")</f>
        <v/>
      </c>
      <c r="AA284" s="59" t="str">
        <f>IFERROR(Inv_SY!O286/Inv_SY!$Z286-1,"")</f>
        <v/>
      </c>
      <c r="AB284" s="59" t="str">
        <f>IFERROR(Inv_SY!P286/Inv_SY!$Z286-1,"")</f>
        <v/>
      </c>
      <c r="AC284" s="59" t="str">
        <f>IFERROR(Inv_SY!Q286/Inv_SY!$Z286-1,"")</f>
        <v/>
      </c>
      <c r="AD284" s="59" t="str">
        <f>IFERROR(Inv_SY!R286/Inv_SY!$Z286-1,"")</f>
        <v/>
      </c>
      <c r="AE284" s="59" t="str">
        <f>IFERROR(Inv_SY!S286/Inv_SY!$Z286-1,"")</f>
        <v/>
      </c>
      <c r="AF284" s="59" t="str">
        <f>IFERROR(Inv_SY!T286/Inv_SY!$Z286-1,"")</f>
        <v/>
      </c>
      <c r="AG284" s="59" t="str">
        <f>IFERROR(Inv_SY!U286/Inv_SY!$Z286-1,"")</f>
        <v/>
      </c>
      <c r="AH284" s="59" t="str">
        <f>IFERROR(Inv_SY!V286/Inv_SY!$Y286-1,"")</f>
        <v/>
      </c>
      <c r="AI284" s="59" t="str">
        <f>IFERROR(Inv_SY!W286/Inv_SY!$Y286-1,"")</f>
        <v/>
      </c>
      <c r="AJ284" s="59" t="str">
        <f>IFERROR(Inv_SY!X286/Inv_SY!$Y286-1,"")</f>
        <v/>
      </c>
      <c r="AK284" s="59" t="str">
        <f>IFERROR(Inv_SY!V286/Inv_SY!$Z286-1,"")</f>
        <v/>
      </c>
      <c r="AL284" s="59" t="str">
        <f>IFERROR(Inv_SY!W286/Inv_SY!$Z286-1,"")</f>
        <v/>
      </c>
      <c r="AM284" s="59" t="str">
        <f>IFERROR(Inv_SY!X286/Inv_SY!$Z286-1,"")</f>
        <v/>
      </c>
    </row>
    <row r="285" spans="1:39" x14ac:dyDescent="0.3">
      <c r="A285" s="55">
        <f>YEAR(Table5[[#This Row],[Date]])+IF(MONTH(Table5[[#This Row],[Date]])&gt;=4,1,0)</f>
        <v>2026</v>
      </c>
      <c r="B285" s="55">
        <v>245</v>
      </c>
      <c r="C285" s="124">
        <f>YEAR(Table5[[#This Row],[Date]])</f>
        <v>2026</v>
      </c>
      <c r="D285" s="55" t="s">
        <v>329</v>
      </c>
      <c r="E285" s="55" t="s">
        <v>329</v>
      </c>
      <c r="F285" s="126" t="str">
        <f>TEXT(Table5[[#This Row],[Date]],"mmm-yy")</f>
        <v>Jan-26</v>
      </c>
      <c r="G285" s="124">
        <f t="shared" si="11"/>
        <v>31</v>
      </c>
      <c r="H285" s="125">
        <f t="shared" si="12"/>
        <v>46028</v>
      </c>
      <c r="I285" s="55">
        <v>8.02</v>
      </c>
      <c r="J285" s="59" t="str">
        <f>IFERROR(Inv_SY!J287/Inv_SY!$Y287-1,"")</f>
        <v/>
      </c>
      <c r="K285" s="59" t="str">
        <f>IFERROR(Inv_SY!K287/Inv_SY!$Y287-1,"")</f>
        <v/>
      </c>
      <c r="L285" s="59" t="str">
        <f>IFERROR(Inv_SY!L287/Inv_SY!$Y287-1,"")</f>
        <v/>
      </c>
      <c r="M285" s="59" t="str">
        <f>IFERROR(Inv_SY!M287/Inv_SY!$Y287-1,"")</f>
        <v/>
      </c>
      <c r="N285" s="59" t="str">
        <f>IFERROR(Inv_SY!N287/Inv_SY!$Y287-1,"")</f>
        <v/>
      </c>
      <c r="O285" s="59" t="str">
        <f>IFERROR(Inv_SY!O287/Inv_SY!$Y287-1,"")</f>
        <v/>
      </c>
      <c r="P285" s="59" t="str">
        <f>IFERROR(Inv_SY!P287/Inv_SY!$Y287-1,"")</f>
        <v/>
      </c>
      <c r="Q285" s="59" t="str">
        <f>IFERROR(Inv_SY!Q287/Inv_SY!$Y287-1,"")</f>
        <v/>
      </c>
      <c r="R285" s="59" t="str">
        <f>IFERROR(Inv_SY!R287/Inv_SY!$Y287-1,"")</f>
        <v/>
      </c>
      <c r="S285" s="59" t="str">
        <f>IFERROR(Inv_SY!S287/Inv_SY!$Y287-1,"")</f>
        <v/>
      </c>
      <c r="T285" s="59" t="str">
        <f>IFERROR(Inv_SY!T287/Inv_SY!$Y287-1,"")</f>
        <v/>
      </c>
      <c r="U285" s="59" t="str">
        <f>IFERROR(Inv_SY!U287/Inv_SY!$Y287-1,"")</f>
        <v/>
      </c>
      <c r="V285" s="59" t="str">
        <f>IFERROR(Inv_SY!J287/Inv_SY!$Z287-1,"")</f>
        <v/>
      </c>
      <c r="W285" s="59" t="str">
        <f>IFERROR(Inv_SY!K287/Inv_SY!$Z287-1,"")</f>
        <v/>
      </c>
      <c r="X285" s="59" t="str">
        <f>IFERROR(Inv_SY!L287/Inv_SY!$Z287-1,"")</f>
        <v/>
      </c>
      <c r="Y285" s="59" t="str">
        <f>IFERROR(Inv_SY!M287/Inv_SY!$Z287-1,"")</f>
        <v/>
      </c>
      <c r="Z285" s="59" t="str">
        <f>IFERROR(Inv_SY!N287/Inv_SY!$Z287-1,"")</f>
        <v/>
      </c>
      <c r="AA285" s="59" t="str">
        <f>IFERROR(Inv_SY!O287/Inv_SY!$Z287-1,"")</f>
        <v/>
      </c>
      <c r="AB285" s="59" t="str">
        <f>IFERROR(Inv_SY!P287/Inv_SY!$Z287-1,"")</f>
        <v/>
      </c>
      <c r="AC285" s="59" t="str">
        <f>IFERROR(Inv_SY!Q287/Inv_SY!$Z287-1,"")</f>
        <v/>
      </c>
      <c r="AD285" s="59" t="str">
        <f>IFERROR(Inv_SY!R287/Inv_SY!$Z287-1,"")</f>
        <v/>
      </c>
      <c r="AE285" s="59" t="str">
        <f>IFERROR(Inv_SY!S287/Inv_SY!$Z287-1,"")</f>
        <v/>
      </c>
      <c r="AF285" s="59" t="str">
        <f>IFERROR(Inv_SY!T287/Inv_SY!$Z287-1,"")</f>
        <v/>
      </c>
      <c r="AG285" s="59" t="str">
        <f>IFERROR(Inv_SY!U287/Inv_SY!$Z287-1,"")</f>
        <v/>
      </c>
      <c r="AH285" s="59" t="str">
        <f>IFERROR(Inv_SY!V287/Inv_SY!$Y287-1,"")</f>
        <v/>
      </c>
      <c r="AI285" s="59" t="str">
        <f>IFERROR(Inv_SY!W287/Inv_SY!$Y287-1,"")</f>
        <v/>
      </c>
      <c r="AJ285" s="59" t="str">
        <f>IFERROR(Inv_SY!X287/Inv_SY!$Y287-1,"")</f>
        <v/>
      </c>
      <c r="AK285" s="59" t="str">
        <f>IFERROR(Inv_SY!V287/Inv_SY!$Z287-1,"")</f>
        <v/>
      </c>
      <c r="AL285" s="59" t="str">
        <f>IFERROR(Inv_SY!W287/Inv_SY!$Z287-1,"")</f>
        <v/>
      </c>
      <c r="AM285" s="59" t="str">
        <f>IFERROR(Inv_SY!X287/Inv_SY!$Z287-1,"")</f>
        <v/>
      </c>
    </row>
    <row r="286" spans="1:39" x14ac:dyDescent="0.3">
      <c r="A286" s="55">
        <f>YEAR(Table5[[#This Row],[Date]])+IF(MONTH(Table5[[#This Row],[Date]])&gt;=4,1,0)</f>
        <v>2026</v>
      </c>
      <c r="B286" s="55">
        <v>246</v>
      </c>
      <c r="C286" s="124">
        <f>YEAR(Table5[[#This Row],[Date]])</f>
        <v>2026</v>
      </c>
      <c r="D286" s="55" t="s">
        <v>329</v>
      </c>
      <c r="E286" s="55" t="s">
        <v>329</v>
      </c>
      <c r="F286" s="126" t="str">
        <f>TEXT(Table5[[#This Row],[Date]],"mmm-yy")</f>
        <v>Jan-26</v>
      </c>
      <c r="G286" s="124">
        <f t="shared" si="11"/>
        <v>31</v>
      </c>
      <c r="H286" s="125">
        <f t="shared" si="12"/>
        <v>46029</v>
      </c>
      <c r="I286" s="55">
        <v>8.02</v>
      </c>
      <c r="J286" s="59" t="str">
        <f>IFERROR(Inv_SY!J288/Inv_SY!$Y288-1,"")</f>
        <v/>
      </c>
      <c r="K286" s="59" t="str">
        <f>IFERROR(Inv_SY!K288/Inv_SY!$Y288-1,"")</f>
        <v/>
      </c>
      <c r="L286" s="59" t="str">
        <f>IFERROR(Inv_SY!L288/Inv_SY!$Y288-1,"")</f>
        <v/>
      </c>
      <c r="M286" s="59" t="str">
        <f>IFERROR(Inv_SY!M288/Inv_SY!$Y288-1,"")</f>
        <v/>
      </c>
      <c r="N286" s="59" t="str">
        <f>IFERROR(Inv_SY!N288/Inv_SY!$Y288-1,"")</f>
        <v/>
      </c>
      <c r="O286" s="59" t="str">
        <f>IFERROR(Inv_SY!O288/Inv_SY!$Y288-1,"")</f>
        <v/>
      </c>
      <c r="P286" s="59" t="str">
        <f>IFERROR(Inv_SY!P288/Inv_SY!$Y288-1,"")</f>
        <v/>
      </c>
      <c r="Q286" s="59" t="str">
        <f>IFERROR(Inv_SY!Q288/Inv_SY!$Y288-1,"")</f>
        <v/>
      </c>
      <c r="R286" s="59" t="str">
        <f>IFERROR(Inv_SY!R288/Inv_SY!$Y288-1,"")</f>
        <v/>
      </c>
      <c r="S286" s="59" t="str">
        <f>IFERROR(Inv_SY!S288/Inv_SY!$Y288-1,"")</f>
        <v/>
      </c>
      <c r="T286" s="59" t="str">
        <f>IFERROR(Inv_SY!T288/Inv_SY!$Y288-1,"")</f>
        <v/>
      </c>
      <c r="U286" s="59" t="str">
        <f>IFERROR(Inv_SY!U288/Inv_SY!$Y288-1,"")</f>
        <v/>
      </c>
      <c r="V286" s="59" t="str">
        <f>IFERROR(Inv_SY!J288/Inv_SY!$Z288-1,"")</f>
        <v/>
      </c>
      <c r="W286" s="59" t="str">
        <f>IFERROR(Inv_SY!K288/Inv_SY!$Z288-1,"")</f>
        <v/>
      </c>
      <c r="X286" s="59" t="str">
        <f>IFERROR(Inv_SY!L288/Inv_SY!$Z288-1,"")</f>
        <v/>
      </c>
      <c r="Y286" s="59" t="str">
        <f>IFERROR(Inv_SY!M288/Inv_SY!$Z288-1,"")</f>
        <v/>
      </c>
      <c r="Z286" s="59" t="str">
        <f>IFERROR(Inv_SY!N288/Inv_SY!$Z288-1,"")</f>
        <v/>
      </c>
      <c r="AA286" s="59" t="str">
        <f>IFERROR(Inv_SY!O288/Inv_SY!$Z288-1,"")</f>
        <v/>
      </c>
      <c r="AB286" s="59" t="str">
        <f>IFERROR(Inv_SY!P288/Inv_SY!$Z288-1,"")</f>
        <v/>
      </c>
      <c r="AC286" s="59" t="str">
        <f>IFERROR(Inv_SY!Q288/Inv_SY!$Z288-1,"")</f>
        <v/>
      </c>
      <c r="AD286" s="59" t="str">
        <f>IFERROR(Inv_SY!R288/Inv_SY!$Z288-1,"")</f>
        <v/>
      </c>
      <c r="AE286" s="59" t="str">
        <f>IFERROR(Inv_SY!S288/Inv_SY!$Z288-1,"")</f>
        <v/>
      </c>
      <c r="AF286" s="59" t="str">
        <f>IFERROR(Inv_SY!T288/Inv_SY!$Z288-1,"")</f>
        <v/>
      </c>
      <c r="AG286" s="59" t="str">
        <f>IFERROR(Inv_SY!U288/Inv_SY!$Z288-1,"")</f>
        <v/>
      </c>
      <c r="AH286" s="59" t="str">
        <f>IFERROR(Inv_SY!V288/Inv_SY!$Y288-1,"")</f>
        <v/>
      </c>
      <c r="AI286" s="59" t="str">
        <f>IFERROR(Inv_SY!W288/Inv_SY!$Y288-1,"")</f>
        <v/>
      </c>
      <c r="AJ286" s="59" t="str">
        <f>IFERROR(Inv_SY!X288/Inv_SY!$Y288-1,"")</f>
        <v/>
      </c>
      <c r="AK286" s="59" t="str">
        <f>IFERROR(Inv_SY!V288/Inv_SY!$Z288-1,"")</f>
        <v/>
      </c>
      <c r="AL286" s="59" t="str">
        <f>IFERROR(Inv_SY!W288/Inv_SY!$Z288-1,"")</f>
        <v/>
      </c>
      <c r="AM286" s="59" t="str">
        <f>IFERROR(Inv_SY!X288/Inv_SY!$Z288-1,"")</f>
        <v/>
      </c>
    </row>
    <row r="287" spans="1:39" x14ac:dyDescent="0.3">
      <c r="A287" s="55">
        <f>YEAR(Table5[[#This Row],[Date]])+IF(MONTH(Table5[[#This Row],[Date]])&gt;=4,1,0)</f>
        <v>2026</v>
      </c>
      <c r="B287" s="55">
        <v>247</v>
      </c>
      <c r="C287" s="124">
        <f>YEAR(Table5[[#This Row],[Date]])</f>
        <v>2026</v>
      </c>
      <c r="D287" s="55" t="s">
        <v>329</v>
      </c>
      <c r="E287" s="55" t="s">
        <v>329</v>
      </c>
      <c r="F287" s="126" t="str">
        <f>TEXT(Table5[[#This Row],[Date]],"mmm-yy")</f>
        <v>Jan-26</v>
      </c>
      <c r="G287" s="124">
        <f t="shared" si="11"/>
        <v>31</v>
      </c>
      <c r="H287" s="125">
        <f t="shared" si="12"/>
        <v>46030</v>
      </c>
      <c r="I287" s="55">
        <v>8.02</v>
      </c>
      <c r="J287" s="59" t="str">
        <f>IFERROR(Inv_SY!J289/Inv_SY!$Y289-1,"")</f>
        <v/>
      </c>
      <c r="K287" s="59" t="str">
        <f>IFERROR(Inv_SY!K289/Inv_SY!$Y289-1,"")</f>
        <v/>
      </c>
      <c r="L287" s="59" t="str">
        <f>IFERROR(Inv_SY!L289/Inv_SY!$Y289-1,"")</f>
        <v/>
      </c>
      <c r="M287" s="59" t="str">
        <f>IFERROR(Inv_SY!M289/Inv_SY!$Y289-1,"")</f>
        <v/>
      </c>
      <c r="N287" s="59" t="str">
        <f>IFERROR(Inv_SY!N289/Inv_SY!$Y289-1,"")</f>
        <v/>
      </c>
      <c r="O287" s="59" t="str">
        <f>IFERROR(Inv_SY!O289/Inv_SY!$Y289-1,"")</f>
        <v/>
      </c>
      <c r="P287" s="59" t="str">
        <f>IFERROR(Inv_SY!P289/Inv_SY!$Y289-1,"")</f>
        <v/>
      </c>
      <c r="Q287" s="59" t="str">
        <f>IFERROR(Inv_SY!Q289/Inv_SY!$Y289-1,"")</f>
        <v/>
      </c>
      <c r="R287" s="59" t="str">
        <f>IFERROR(Inv_SY!R289/Inv_SY!$Y289-1,"")</f>
        <v/>
      </c>
      <c r="S287" s="59" t="str">
        <f>IFERROR(Inv_SY!S289/Inv_SY!$Y289-1,"")</f>
        <v/>
      </c>
      <c r="T287" s="59" t="str">
        <f>IFERROR(Inv_SY!T289/Inv_SY!$Y289-1,"")</f>
        <v/>
      </c>
      <c r="U287" s="59" t="str">
        <f>IFERROR(Inv_SY!U289/Inv_SY!$Y289-1,"")</f>
        <v/>
      </c>
      <c r="V287" s="59" t="str">
        <f>IFERROR(Inv_SY!J289/Inv_SY!$Z289-1,"")</f>
        <v/>
      </c>
      <c r="W287" s="59" t="str">
        <f>IFERROR(Inv_SY!K289/Inv_SY!$Z289-1,"")</f>
        <v/>
      </c>
      <c r="X287" s="59" t="str">
        <f>IFERROR(Inv_SY!L289/Inv_SY!$Z289-1,"")</f>
        <v/>
      </c>
      <c r="Y287" s="59" t="str">
        <f>IFERROR(Inv_SY!M289/Inv_SY!$Z289-1,"")</f>
        <v/>
      </c>
      <c r="Z287" s="59" t="str">
        <f>IFERROR(Inv_SY!N289/Inv_SY!$Z289-1,"")</f>
        <v/>
      </c>
      <c r="AA287" s="59" t="str">
        <f>IFERROR(Inv_SY!O289/Inv_SY!$Z289-1,"")</f>
        <v/>
      </c>
      <c r="AB287" s="59" t="str">
        <f>IFERROR(Inv_SY!P289/Inv_SY!$Z289-1,"")</f>
        <v/>
      </c>
      <c r="AC287" s="59" t="str">
        <f>IFERROR(Inv_SY!Q289/Inv_SY!$Z289-1,"")</f>
        <v/>
      </c>
      <c r="AD287" s="59" t="str">
        <f>IFERROR(Inv_SY!R289/Inv_SY!$Z289-1,"")</f>
        <v/>
      </c>
      <c r="AE287" s="59" t="str">
        <f>IFERROR(Inv_SY!S289/Inv_SY!$Z289-1,"")</f>
        <v/>
      </c>
      <c r="AF287" s="59" t="str">
        <f>IFERROR(Inv_SY!T289/Inv_SY!$Z289-1,"")</f>
        <v/>
      </c>
      <c r="AG287" s="59" t="str">
        <f>IFERROR(Inv_SY!U289/Inv_SY!$Z289-1,"")</f>
        <v/>
      </c>
      <c r="AH287" s="59" t="str">
        <f>IFERROR(Inv_SY!V289/Inv_SY!$Y289-1,"")</f>
        <v/>
      </c>
      <c r="AI287" s="59" t="str">
        <f>IFERROR(Inv_SY!W289/Inv_SY!$Y289-1,"")</f>
        <v/>
      </c>
      <c r="AJ287" s="59" t="str">
        <f>IFERROR(Inv_SY!X289/Inv_SY!$Y289-1,"")</f>
        <v/>
      </c>
      <c r="AK287" s="59" t="str">
        <f>IFERROR(Inv_SY!V289/Inv_SY!$Z289-1,"")</f>
        <v/>
      </c>
      <c r="AL287" s="59" t="str">
        <f>IFERROR(Inv_SY!W289/Inv_SY!$Z289-1,"")</f>
        <v/>
      </c>
      <c r="AM287" s="59" t="str">
        <f>IFERROR(Inv_SY!X289/Inv_SY!$Z289-1,"")</f>
        <v/>
      </c>
    </row>
    <row r="288" spans="1:39" x14ac:dyDescent="0.3">
      <c r="A288" s="55">
        <f>YEAR(Table5[[#This Row],[Date]])+IF(MONTH(Table5[[#This Row],[Date]])&gt;=4,1,0)</f>
        <v>2026</v>
      </c>
      <c r="B288" s="55">
        <v>248</v>
      </c>
      <c r="C288" s="124">
        <f>YEAR(Table5[[#This Row],[Date]])</f>
        <v>2026</v>
      </c>
      <c r="D288" s="55" t="s">
        <v>329</v>
      </c>
      <c r="E288" s="55" t="s">
        <v>329</v>
      </c>
      <c r="F288" s="126" t="str">
        <f>TEXT(Table5[[#This Row],[Date]],"mmm-yy")</f>
        <v>Jan-26</v>
      </c>
      <c r="G288" s="124">
        <f t="shared" si="11"/>
        <v>31</v>
      </c>
      <c r="H288" s="125">
        <f t="shared" si="12"/>
        <v>46031</v>
      </c>
      <c r="I288" s="55">
        <v>8.02</v>
      </c>
      <c r="J288" s="59" t="str">
        <f>IFERROR(Inv_SY!J290/Inv_SY!$Y290-1,"")</f>
        <v/>
      </c>
      <c r="K288" s="59" t="str">
        <f>IFERROR(Inv_SY!K290/Inv_SY!$Y290-1,"")</f>
        <v/>
      </c>
      <c r="L288" s="59" t="str">
        <f>IFERROR(Inv_SY!L290/Inv_SY!$Y290-1,"")</f>
        <v/>
      </c>
      <c r="M288" s="59" t="str">
        <f>IFERROR(Inv_SY!M290/Inv_SY!$Y290-1,"")</f>
        <v/>
      </c>
      <c r="N288" s="59" t="str">
        <f>IFERROR(Inv_SY!N290/Inv_SY!$Y290-1,"")</f>
        <v/>
      </c>
      <c r="O288" s="59" t="str">
        <f>IFERROR(Inv_SY!O290/Inv_SY!$Y290-1,"")</f>
        <v/>
      </c>
      <c r="P288" s="59" t="str">
        <f>IFERROR(Inv_SY!P290/Inv_SY!$Y290-1,"")</f>
        <v/>
      </c>
      <c r="Q288" s="59" t="str">
        <f>IFERROR(Inv_SY!Q290/Inv_SY!$Y290-1,"")</f>
        <v/>
      </c>
      <c r="R288" s="59" t="str">
        <f>IFERROR(Inv_SY!R290/Inv_SY!$Y290-1,"")</f>
        <v/>
      </c>
      <c r="S288" s="59" t="str">
        <f>IFERROR(Inv_SY!S290/Inv_SY!$Y290-1,"")</f>
        <v/>
      </c>
      <c r="T288" s="59" t="str">
        <f>IFERROR(Inv_SY!T290/Inv_SY!$Y290-1,"")</f>
        <v/>
      </c>
      <c r="U288" s="59" t="str">
        <f>IFERROR(Inv_SY!U290/Inv_SY!$Y290-1,"")</f>
        <v/>
      </c>
      <c r="V288" s="59" t="str">
        <f>IFERROR(Inv_SY!J290/Inv_SY!$Z290-1,"")</f>
        <v/>
      </c>
      <c r="W288" s="59" t="str">
        <f>IFERROR(Inv_SY!K290/Inv_SY!$Z290-1,"")</f>
        <v/>
      </c>
      <c r="X288" s="59" t="str">
        <f>IFERROR(Inv_SY!L290/Inv_SY!$Z290-1,"")</f>
        <v/>
      </c>
      <c r="Y288" s="59" t="str">
        <f>IFERROR(Inv_SY!M290/Inv_SY!$Z290-1,"")</f>
        <v/>
      </c>
      <c r="Z288" s="59" t="str">
        <f>IFERROR(Inv_SY!N290/Inv_SY!$Z290-1,"")</f>
        <v/>
      </c>
      <c r="AA288" s="59" t="str">
        <f>IFERROR(Inv_SY!O290/Inv_SY!$Z290-1,"")</f>
        <v/>
      </c>
      <c r="AB288" s="59" t="str">
        <f>IFERROR(Inv_SY!P290/Inv_SY!$Z290-1,"")</f>
        <v/>
      </c>
      <c r="AC288" s="59" t="str">
        <f>IFERROR(Inv_SY!Q290/Inv_SY!$Z290-1,"")</f>
        <v/>
      </c>
      <c r="AD288" s="59" t="str">
        <f>IFERROR(Inv_SY!R290/Inv_SY!$Z290-1,"")</f>
        <v/>
      </c>
      <c r="AE288" s="59" t="str">
        <f>IFERROR(Inv_SY!S290/Inv_SY!$Z290-1,"")</f>
        <v/>
      </c>
      <c r="AF288" s="59" t="str">
        <f>IFERROR(Inv_SY!T290/Inv_SY!$Z290-1,"")</f>
        <v/>
      </c>
      <c r="AG288" s="59" t="str">
        <f>IFERROR(Inv_SY!U290/Inv_SY!$Z290-1,"")</f>
        <v/>
      </c>
      <c r="AH288" s="59" t="str">
        <f>IFERROR(Inv_SY!V290/Inv_SY!$Y290-1,"")</f>
        <v/>
      </c>
      <c r="AI288" s="59" t="str">
        <f>IFERROR(Inv_SY!W290/Inv_SY!$Y290-1,"")</f>
        <v/>
      </c>
      <c r="AJ288" s="59" t="str">
        <f>IFERROR(Inv_SY!X290/Inv_SY!$Y290-1,"")</f>
        <v/>
      </c>
      <c r="AK288" s="59" t="str">
        <f>IFERROR(Inv_SY!V290/Inv_SY!$Z290-1,"")</f>
        <v/>
      </c>
      <c r="AL288" s="59" t="str">
        <f>IFERROR(Inv_SY!W290/Inv_SY!$Z290-1,"")</f>
        <v/>
      </c>
      <c r="AM288" s="59" t="str">
        <f>IFERROR(Inv_SY!X290/Inv_SY!$Z290-1,"")</f>
        <v/>
      </c>
    </row>
    <row r="289" spans="1:39" x14ac:dyDescent="0.3">
      <c r="A289" s="55">
        <f>YEAR(Table5[[#This Row],[Date]])+IF(MONTH(Table5[[#This Row],[Date]])&gt;=4,1,0)</f>
        <v>2026</v>
      </c>
      <c r="B289" s="55">
        <v>249</v>
      </c>
      <c r="C289" s="124">
        <f>YEAR(Table5[[#This Row],[Date]])</f>
        <v>2026</v>
      </c>
      <c r="D289" s="55" t="s">
        <v>329</v>
      </c>
      <c r="E289" s="55" t="s">
        <v>329</v>
      </c>
      <c r="F289" s="126" t="str">
        <f>TEXT(Table5[[#This Row],[Date]],"mmm-yy")</f>
        <v>Jan-26</v>
      </c>
      <c r="G289" s="124">
        <f t="shared" si="11"/>
        <v>31</v>
      </c>
      <c r="H289" s="125">
        <f t="shared" si="12"/>
        <v>46032</v>
      </c>
      <c r="I289" s="55">
        <v>8.02</v>
      </c>
      <c r="J289" s="59" t="str">
        <f>IFERROR(Inv_SY!J291/Inv_SY!$Y291-1,"")</f>
        <v/>
      </c>
      <c r="K289" s="59" t="str">
        <f>IFERROR(Inv_SY!K291/Inv_SY!$Y291-1,"")</f>
        <v/>
      </c>
      <c r="L289" s="59" t="str">
        <f>IFERROR(Inv_SY!L291/Inv_SY!$Y291-1,"")</f>
        <v/>
      </c>
      <c r="M289" s="59" t="str">
        <f>IFERROR(Inv_SY!M291/Inv_SY!$Y291-1,"")</f>
        <v/>
      </c>
      <c r="N289" s="59" t="str">
        <f>IFERROR(Inv_SY!N291/Inv_SY!$Y291-1,"")</f>
        <v/>
      </c>
      <c r="O289" s="59" t="str">
        <f>IFERROR(Inv_SY!O291/Inv_SY!$Y291-1,"")</f>
        <v/>
      </c>
      <c r="P289" s="59" t="str">
        <f>IFERROR(Inv_SY!P291/Inv_SY!$Y291-1,"")</f>
        <v/>
      </c>
      <c r="Q289" s="59" t="str">
        <f>IFERROR(Inv_SY!Q291/Inv_SY!$Y291-1,"")</f>
        <v/>
      </c>
      <c r="R289" s="59" t="str">
        <f>IFERROR(Inv_SY!R291/Inv_SY!$Y291-1,"")</f>
        <v/>
      </c>
      <c r="S289" s="59" t="str">
        <f>IFERROR(Inv_SY!S291/Inv_SY!$Y291-1,"")</f>
        <v/>
      </c>
      <c r="T289" s="59" t="str">
        <f>IFERROR(Inv_SY!T291/Inv_SY!$Y291-1,"")</f>
        <v/>
      </c>
      <c r="U289" s="59" t="str">
        <f>IFERROR(Inv_SY!U291/Inv_SY!$Y291-1,"")</f>
        <v/>
      </c>
      <c r="V289" s="59" t="str">
        <f>IFERROR(Inv_SY!J291/Inv_SY!$Z291-1,"")</f>
        <v/>
      </c>
      <c r="W289" s="59" t="str">
        <f>IFERROR(Inv_SY!K291/Inv_SY!$Z291-1,"")</f>
        <v/>
      </c>
      <c r="X289" s="59" t="str">
        <f>IFERROR(Inv_SY!L291/Inv_SY!$Z291-1,"")</f>
        <v/>
      </c>
      <c r="Y289" s="59" t="str">
        <f>IFERROR(Inv_SY!M291/Inv_SY!$Z291-1,"")</f>
        <v/>
      </c>
      <c r="Z289" s="59" t="str">
        <f>IFERROR(Inv_SY!N291/Inv_SY!$Z291-1,"")</f>
        <v/>
      </c>
      <c r="AA289" s="59" t="str">
        <f>IFERROR(Inv_SY!O291/Inv_SY!$Z291-1,"")</f>
        <v/>
      </c>
      <c r="AB289" s="59" t="str">
        <f>IFERROR(Inv_SY!P291/Inv_SY!$Z291-1,"")</f>
        <v/>
      </c>
      <c r="AC289" s="59" t="str">
        <f>IFERROR(Inv_SY!Q291/Inv_SY!$Z291-1,"")</f>
        <v/>
      </c>
      <c r="AD289" s="59" t="str">
        <f>IFERROR(Inv_SY!R291/Inv_SY!$Z291-1,"")</f>
        <v/>
      </c>
      <c r="AE289" s="59" t="str">
        <f>IFERROR(Inv_SY!S291/Inv_SY!$Z291-1,"")</f>
        <v/>
      </c>
      <c r="AF289" s="59" t="str">
        <f>IFERROR(Inv_SY!T291/Inv_SY!$Z291-1,"")</f>
        <v/>
      </c>
      <c r="AG289" s="59" t="str">
        <f>IFERROR(Inv_SY!U291/Inv_SY!$Z291-1,"")</f>
        <v/>
      </c>
      <c r="AH289" s="59" t="str">
        <f>IFERROR(Inv_SY!V291/Inv_SY!$Y291-1,"")</f>
        <v/>
      </c>
      <c r="AI289" s="59" t="str">
        <f>IFERROR(Inv_SY!W291/Inv_SY!$Y291-1,"")</f>
        <v/>
      </c>
      <c r="AJ289" s="59" t="str">
        <f>IFERROR(Inv_SY!X291/Inv_SY!$Y291-1,"")</f>
        <v/>
      </c>
      <c r="AK289" s="59" t="str">
        <f>IFERROR(Inv_SY!V291/Inv_SY!$Z291-1,"")</f>
        <v/>
      </c>
      <c r="AL289" s="59" t="str">
        <f>IFERROR(Inv_SY!W291/Inv_SY!$Z291-1,"")</f>
        <v/>
      </c>
      <c r="AM289" s="59" t="str">
        <f>IFERROR(Inv_SY!X291/Inv_SY!$Z291-1,"")</f>
        <v/>
      </c>
    </row>
    <row r="290" spans="1:39" x14ac:dyDescent="0.3">
      <c r="A290" s="55">
        <f>YEAR(Table5[[#This Row],[Date]])+IF(MONTH(Table5[[#This Row],[Date]])&gt;=4,1,0)</f>
        <v>2026</v>
      </c>
      <c r="B290" s="55">
        <v>250</v>
      </c>
      <c r="C290" s="124">
        <f>YEAR(Table5[[#This Row],[Date]])</f>
        <v>2026</v>
      </c>
      <c r="D290" s="55" t="s">
        <v>329</v>
      </c>
      <c r="E290" s="55" t="s">
        <v>329</v>
      </c>
      <c r="F290" s="126" t="str">
        <f>TEXT(Table5[[#This Row],[Date]],"mmm-yy")</f>
        <v>Jan-26</v>
      </c>
      <c r="G290" s="124">
        <f t="shared" si="11"/>
        <v>31</v>
      </c>
      <c r="H290" s="125">
        <f t="shared" si="12"/>
        <v>46033</v>
      </c>
      <c r="I290" s="55">
        <v>8.02</v>
      </c>
      <c r="J290" s="59" t="str">
        <f>IFERROR(Inv_SY!J292/Inv_SY!$Y292-1,"")</f>
        <v/>
      </c>
      <c r="K290" s="59" t="str">
        <f>IFERROR(Inv_SY!K292/Inv_SY!$Y292-1,"")</f>
        <v/>
      </c>
      <c r="L290" s="59" t="str">
        <f>IFERROR(Inv_SY!L292/Inv_SY!$Y292-1,"")</f>
        <v/>
      </c>
      <c r="M290" s="59" t="str">
        <f>IFERROR(Inv_SY!M292/Inv_SY!$Y292-1,"")</f>
        <v/>
      </c>
      <c r="N290" s="59" t="str">
        <f>IFERROR(Inv_SY!N292/Inv_SY!$Y292-1,"")</f>
        <v/>
      </c>
      <c r="O290" s="59" t="str">
        <f>IFERROR(Inv_SY!O292/Inv_SY!$Y292-1,"")</f>
        <v/>
      </c>
      <c r="P290" s="59" t="str">
        <f>IFERROR(Inv_SY!P292/Inv_SY!$Y292-1,"")</f>
        <v/>
      </c>
      <c r="Q290" s="59" t="str">
        <f>IFERROR(Inv_SY!Q292/Inv_SY!$Y292-1,"")</f>
        <v/>
      </c>
      <c r="R290" s="59" t="str">
        <f>IFERROR(Inv_SY!R292/Inv_SY!$Y292-1,"")</f>
        <v/>
      </c>
      <c r="S290" s="59" t="str">
        <f>IFERROR(Inv_SY!S292/Inv_SY!$Y292-1,"")</f>
        <v/>
      </c>
      <c r="T290" s="59" t="str">
        <f>IFERROR(Inv_SY!T292/Inv_SY!$Y292-1,"")</f>
        <v/>
      </c>
      <c r="U290" s="59" t="str">
        <f>IFERROR(Inv_SY!U292/Inv_SY!$Y292-1,"")</f>
        <v/>
      </c>
      <c r="V290" s="59" t="str">
        <f>IFERROR(Inv_SY!J292/Inv_SY!$Z292-1,"")</f>
        <v/>
      </c>
      <c r="W290" s="59" t="str">
        <f>IFERROR(Inv_SY!K292/Inv_SY!$Z292-1,"")</f>
        <v/>
      </c>
      <c r="X290" s="59" t="str">
        <f>IFERROR(Inv_SY!L292/Inv_SY!$Z292-1,"")</f>
        <v/>
      </c>
      <c r="Y290" s="59" t="str">
        <f>IFERROR(Inv_SY!M292/Inv_SY!$Z292-1,"")</f>
        <v/>
      </c>
      <c r="Z290" s="59" t="str">
        <f>IFERROR(Inv_SY!N292/Inv_SY!$Z292-1,"")</f>
        <v/>
      </c>
      <c r="AA290" s="59" t="str">
        <f>IFERROR(Inv_SY!O292/Inv_SY!$Z292-1,"")</f>
        <v/>
      </c>
      <c r="AB290" s="59" t="str">
        <f>IFERROR(Inv_SY!P292/Inv_SY!$Z292-1,"")</f>
        <v/>
      </c>
      <c r="AC290" s="59" t="str">
        <f>IFERROR(Inv_SY!Q292/Inv_SY!$Z292-1,"")</f>
        <v/>
      </c>
      <c r="AD290" s="59" t="str">
        <f>IFERROR(Inv_SY!R292/Inv_SY!$Z292-1,"")</f>
        <v/>
      </c>
      <c r="AE290" s="59" t="str">
        <f>IFERROR(Inv_SY!S292/Inv_SY!$Z292-1,"")</f>
        <v/>
      </c>
      <c r="AF290" s="59" t="str">
        <f>IFERROR(Inv_SY!T292/Inv_SY!$Z292-1,"")</f>
        <v/>
      </c>
      <c r="AG290" s="59" t="str">
        <f>IFERROR(Inv_SY!U292/Inv_SY!$Z292-1,"")</f>
        <v/>
      </c>
      <c r="AH290" s="59" t="str">
        <f>IFERROR(Inv_SY!V292/Inv_SY!$Y292-1,"")</f>
        <v/>
      </c>
      <c r="AI290" s="59" t="str">
        <f>IFERROR(Inv_SY!W292/Inv_SY!$Y292-1,"")</f>
        <v/>
      </c>
      <c r="AJ290" s="59" t="str">
        <f>IFERROR(Inv_SY!X292/Inv_SY!$Y292-1,"")</f>
        <v/>
      </c>
      <c r="AK290" s="59" t="str">
        <f>IFERROR(Inv_SY!V292/Inv_SY!$Z292-1,"")</f>
        <v/>
      </c>
      <c r="AL290" s="59" t="str">
        <f>IFERROR(Inv_SY!W292/Inv_SY!$Z292-1,"")</f>
        <v/>
      </c>
      <c r="AM290" s="59" t="str">
        <f>IFERROR(Inv_SY!X292/Inv_SY!$Z292-1,"")</f>
        <v/>
      </c>
    </row>
    <row r="291" spans="1:39" x14ac:dyDescent="0.3">
      <c r="A291" s="55">
        <f>YEAR(Table5[[#This Row],[Date]])+IF(MONTH(Table5[[#This Row],[Date]])&gt;=4,1,0)</f>
        <v>2026</v>
      </c>
      <c r="B291" s="55">
        <v>251</v>
      </c>
      <c r="C291" s="124">
        <f>YEAR(Table5[[#This Row],[Date]])</f>
        <v>2026</v>
      </c>
      <c r="D291" s="55" t="s">
        <v>329</v>
      </c>
      <c r="E291" s="55" t="s">
        <v>329</v>
      </c>
      <c r="F291" s="126" t="str">
        <f>TEXT(Table5[[#This Row],[Date]],"mmm-yy")</f>
        <v>Jan-26</v>
      </c>
      <c r="G291" s="124">
        <f t="shared" si="11"/>
        <v>31</v>
      </c>
      <c r="H291" s="125">
        <f t="shared" si="12"/>
        <v>46034</v>
      </c>
      <c r="I291" s="55">
        <v>8.02</v>
      </c>
      <c r="J291" s="59" t="str">
        <f>IFERROR(Inv_SY!J293/Inv_SY!$Y293-1,"")</f>
        <v/>
      </c>
      <c r="K291" s="59" t="str">
        <f>IFERROR(Inv_SY!K293/Inv_SY!$Y293-1,"")</f>
        <v/>
      </c>
      <c r="L291" s="59" t="str">
        <f>IFERROR(Inv_SY!L293/Inv_SY!$Y293-1,"")</f>
        <v/>
      </c>
      <c r="M291" s="59" t="str">
        <f>IFERROR(Inv_SY!M293/Inv_SY!$Y293-1,"")</f>
        <v/>
      </c>
      <c r="N291" s="59" t="str">
        <f>IFERROR(Inv_SY!N293/Inv_SY!$Y293-1,"")</f>
        <v/>
      </c>
      <c r="O291" s="59" t="str">
        <f>IFERROR(Inv_SY!O293/Inv_SY!$Y293-1,"")</f>
        <v/>
      </c>
      <c r="P291" s="59" t="str">
        <f>IFERROR(Inv_SY!P293/Inv_SY!$Y293-1,"")</f>
        <v/>
      </c>
      <c r="Q291" s="59" t="str">
        <f>IFERROR(Inv_SY!Q293/Inv_SY!$Y293-1,"")</f>
        <v/>
      </c>
      <c r="R291" s="59" t="str">
        <f>IFERROR(Inv_SY!R293/Inv_SY!$Y293-1,"")</f>
        <v/>
      </c>
      <c r="S291" s="59" t="str">
        <f>IFERROR(Inv_SY!S293/Inv_SY!$Y293-1,"")</f>
        <v/>
      </c>
      <c r="T291" s="59" t="str">
        <f>IFERROR(Inv_SY!T293/Inv_SY!$Y293-1,"")</f>
        <v/>
      </c>
      <c r="U291" s="59" t="str">
        <f>IFERROR(Inv_SY!U293/Inv_SY!$Y293-1,"")</f>
        <v/>
      </c>
      <c r="V291" s="59" t="str">
        <f>IFERROR(Inv_SY!J293/Inv_SY!$Z293-1,"")</f>
        <v/>
      </c>
      <c r="W291" s="59" t="str">
        <f>IFERROR(Inv_SY!K293/Inv_SY!$Z293-1,"")</f>
        <v/>
      </c>
      <c r="X291" s="59" t="str">
        <f>IFERROR(Inv_SY!L293/Inv_SY!$Z293-1,"")</f>
        <v/>
      </c>
      <c r="Y291" s="59" t="str">
        <f>IFERROR(Inv_SY!M293/Inv_SY!$Z293-1,"")</f>
        <v/>
      </c>
      <c r="Z291" s="59" t="str">
        <f>IFERROR(Inv_SY!N293/Inv_SY!$Z293-1,"")</f>
        <v/>
      </c>
      <c r="AA291" s="59" t="str">
        <f>IFERROR(Inv_SY!O293/Inv_SY!$Z293-1,"")</f>
        <v/>
      </c>
      <c r="AB291" s="59" t="str">
        <f>IFERROR(Inv_SY!P293/Inv_SY!$Z293-1,"")</f>
        <v/>
      </c>
      <c r="AC291" s="59" t="str">
        <f>IFERROR(Inv_SY!Q293/Inv_SY!$Z293-1,"")</f>
        <v/>
      </c>
      <c r="AD291" s="59" t="str">
        <f>IFERROR(Inv_SY!R293/Inv_SY!$Z293-1,"")</f>
        <v/>
      </c>
      <c r="AE291" s="59" t="str">
        <f>IFERROR(Inv_SY!S293/Inv_SY!$Z293-1,"")</f>
        <v/>
      </c>
      <c r="AF291" s="59" t="str">
        <f>IFERROR(Inv_SY!T293/Inv_SY!$Z293-1,"")</f>
        <v/>
      </c>
      <c r="AG291" s="59" t="str">
        <f>IFERROR(Inv_SY!U293/Inv_SY!$Z293-1,"")</f>
        <v/>
      </c>
      <c r="AH291" s="59" t="str">
        <f>IFERROR(Inv_SY!V293/Inv_SY!$Y293-1,"")</f>
        <v/>
      </c>
      <c r="AI291" s="59" t="str">
        <f>IFERROR(Inv_SY!W293/Inv_SY!$Y293-1,"")</f>
        <v/>
      </c>
      <c r="AJ291" s="59" t="str">
        <f>IFERROR(Inv_SY!X293/Inv_SY!$Y293-1,"")</f>
        <v/>
      </c>
      <c r="AK291" s="59" t="str">
        <f>IFERROR(Inv_SY!V293/Inv_SY!$Z293-1,"")</f>
        <v/>
      </c>
      <c r="AL291" s="59" t="str">
        <f>IFERROR(Inv_SY!W293/Inv_SY!$Z293-1,"")</f>
        <v/>
      </c>
      <c r="AM291" s="59" t="str">
        <f>IFERROR(Inv_SY!X293/Inv_SY!$Z293-1,"")</f>
        <v/>
      </c>
    </row>
    <row r="292" spans="1:39" x14ac:dyDescent="0.3">
      <c r="A292" s="55">
        <f>YEAR(Table5[[#This Row],[Date]])+IF(MONTH(Table5[[#This Row],[Date]])&gt;=4,1,0)</f>
        <v>2026</v>
      </c>
      <c r="B292" s="55">
        <v>252</v>
      </c>
      <c r="C292" s="124">
        <f>YEAR(Table5[[#This Row],[Date]])</f>
        <v>2026</v>
      </c>
      <c r="D292" s="55" t="s">
        <v>329</v>
      </c>
      <c r="E292" s="55" t="s">
        <v>329</v>
      </c>
      <c r="F292" s="126" t="str">
        <f>TEXT(Table5[[#This Row],[Date]],"mmm-yy")</f>
        <v>Jan-26</v>
      </c>
      <c r="G292" s="124">
        <f t="shared" si="11"/>
        <v>31</v>
      </c>
      <c r="H292" s="125">
        <f t="shared" si="12"/>
        <v>46035</v>
      </c>
      <c r="I292" s="55">
        <v>8.02</v>
      </c>
      <c r="J292" s="59" t="str">
        <f>IFERROR(Inv_SY!J294/Inv_SY!$Y294-1,"")</f>
        <v/>
      </c>
      <c r="K292" s="59" t="str">
        <f>IFERROR(Inv_SY!K294/Inv_SY!$Y294-1,"")</f>
        <v/>
      </c>
      <c r="L292" s="59" t="str">
        <f>IFERROR(Inv_SY!L294/Inv_SY!$Y294-1,"")</f>
        <v/>
      </c>
      <c r="M292" s="59" t="str">
        <f>IFERROR(Inv_SY!M294/Inv_SY!$Y294-1,"")</f>
        <v/>
      </c>
      <c r="N292" s="59" t="str">
        <f>IFERROR(Inv_SY!N294/Inv_SY!$Y294-1,"")</f>
        <v/>
      </c>
      <c r="O292" s="59" t="str">
        <f>IFERROR(Inv_SY!O294/Inv_SY!$Y294-1,"")</f>
        <v/>
      </c>
      <c r="P292" s="59" t="str">
        <f>IFERROR(Inv_SY!P294/Inv_SY!$Y294-1,"")</f>
        <v/>
      </c>
      <c r="Q292" s="59" t="str">
        <f>IFERROR(Inv_SY!Q294/Inv_SY!$Y294-1,"")</f>
        <v/>
      </c>
      <c r="R292" s="59" t="str">
        <f>IFERROR(Inv_SY!R294/Inv_SY!$Y294-1,"")</f>
        <v/>
      </c>
      <c r="S292" s="59" t="str">
        <f>IFERROR(Inv_SY!S294/Inv_SY!$Y294-1,"")</f>
        <v/>
      </c>
      <c r="T292" s="59" t="str">
        <f>IFERROR(Inv_SY!T294/Inv_SY!$Y294-1,"")</f>
        <v/>
      </c>
      <c r="U292" s="59" t="str">
        <f>IFERROR(Inv_SY!U294/Inv_SY!$Y294-1,"")</f>
        <v/>
      </c>
      <c r="V292" s="59" t="str">
        <f>IFERROR(Inv_SY!J294/Inv_SY!$Z294-1,"")</f>
        <v/>
      </c>
      <c r="W292" s="59" t="str">
        <f>IFERROR(Inv_SY!K294/Inv_SY!$Z294-1,"")</f>
        <v/>
      </c>
      <c r="X292" s="59" t="str">
        <f>IFERROR(Inv_SY!L294/Inv_SY!$Z294-1,"")</f>
        <v/>
      </c>
      <c r="Y292" s="59" t="str">
        <f>IFERROR(Inv_SY!M294/Inv_SY!$Z294-1,"")</f>
        <v/>
      </c>
      <c r="Z292" s="59" t="str">
        <f>IFERROR(Inv_SY!N294/Inv_SY!$Z294-1,"")</f>
        <v/>
      </c>
      <c r="AA292" s="59" t="str">
        <f>IFERROR(Inv_SY!O294/Inv_SY!$Z294-1,"")</f>
        <v/>
      </c>
      <c r="AB292" s="59" t="str">
        <f>IFERROR(Inv_SY!P294/Inv_SY!$Z294-1,"")</f>
        <v/>
      </c>
      <c r="AC292" s="59" t="str">
        <f>IFERROR(Inv_SY!Q294/Inv_SY!$Z294-1,"")</f>
        <v/>
      </c>
      <c r="AD292" s="59" t="str">
        <f>IFERROR(Inv_SY!R294/Inv_SY!$Z294-1,"")</f>
        <v/>
      </c>
      <c r="AE292" s="59" t="str">
        <f>IFERROR(Inv_SY!S294/Inv_SY!$Z294-1,"")</f>
        <v/>
      </c>
      <c r="AF292" s="59" t="str">
        <f>IFERROR(Inv_SY!T294/Inv_SY!$Z294-1,"")</f>
        <v/>
      </c>
      <c r="AG292" s="59" t="str">
        <f>IFERROR(Inv_SY!U294/Inv_SY!$Z294-1,"")</f>
        <v/>
      </c>
      <c r="AH292" s="59" t="str">
        <f>IFERROR(Inv_SY!V294/Inv_SY!$Y294-1,"")</f>
        <v/>
      </c>
      <c r="AI292" s="59" t="str">
        <f>IFERROR(Inv_SY!W294/Inv_SY!$Y294-1,"")</f>
        <v/>
      </c>
      <c r="AJ292" s="59" t="str">
        <f>IFERROR(Inv_SY!X294/Inv_SY!$Y294-1,"")</f>
        <v/>
      </c>
      <c r="AK292" s="59" t="str">
        <f>IFERROR(Inv_SY!V294/Inv_SY!$Z294-1,"")</f>
        <v/>
      </c>
      <c r="AL292" s="59" t="str">
        <f>IFERROR(Inv_SY!W294/Inv_SY!$Z294-1,"")</f>
        <v/>
      </c>
      <c r="AM292" s="59" t="str">
        <f>IFERROR(Inv_SY!X294/Inv_SY!$Z294-1,"")</f>
        <v/>
      </c>
    </row>
    <row r="293" spans="1:39" x14ac:dyDescent="0.3">
      <c r="A293" s="55">
        <f>YEAR(Table5[[#This Row],[Date]])+IF(MONTH(Table5[[#This Row],[Date]])&gt;=4,1,0)</f>
        <v>2026</v>
      </c>
      <c r="B293" s="55">
        <v>253</v>
      </c>
      <c r="C293" s="124">
        <f>YEAR(Table5[[#This Row],[Date]])</f>
        <v>2026</v>
      </c>
      <c r="D293" s="55" t="s">
        <v>329</v>
      </c>
      <c r="E293" s="55" t="s">
        <v>329</v>
      </c>
      <c r="F293" s="126" t="str">
        <f>TEXT(Table5[[#This Row],[Date]],"mmm-yy")</f>
        <v>Jan-26</v>
      </c>
      <c r="G293" s="124">
        <f t="shared" si="11"/>
        <v>31</v>
      </c>
      <c r="H293" s="125">
        <f t="shared" si="12"/>
        <v>46036</v>
      </c>
      <c r="I293" s="55">
        <v>8.02</v>
      </c>
      <c r="J293" s="59" t="str">
        <f>IFERROR(Inv_SY!J295/Inv_SY!$Y295-1,"")</f>
        <v/>
      </c>
      <c r="K293" s="59" t="str">
        <f>IFERROR(Inv_SY!K295/Inv_SY!$Y295-1,"")</f>
        <v/>
      </c>
      <c r="L293" s="59" t="str">
        <f>IFERROR(Inv_SY!L295/Inv_SY!$Y295-1,"")</f>
        <v/>
      </c>
      <c r="M293" s="59" t="str">
        <f>IFERROR(Inv_SY!M295/Inv_SY!$Y295-1,"")</f>
        <v/>
      </c>
      <c r="N293" s="59" t="str">
        <f>IFERROR(Inv_SY!N295/Inv_SY!$Y295-1,"")</f>
        <v/>
      </c>
      <c r="O293" s="59" t="str">
        <f>IFERROR(Inv_SY!O295/Inv_SY!$Y295-1,"")</f>
        <v/>
      </c>
      <c r="P293" s="59" t="str">
        <f>IFERROR(Inv_SY!P295/Inv_SY!$Y295-1,"")</f>
        <v/>
      </c>
      <c r="Q293" s="59" t="str">
        <f>IFERROR(Inv_SY!Q295/Inv_SY!$Y295-1,"")</f>
        <v/>
      </c>
      <c r="R293" s="59" t="str">
        <f>IFERROR(Inv_SY!R295/Inv_SY!$Y295-1,"")</f>
        <v/>
      </c>
      <c r="S293" s="59" t="str">
        <f>IFERROR(Inv_SY!S295/Inv_SY!$Y295-1,"")</f>
        <v/>
      </c>
      <c r="T293" s="59" t="str">
        <f>IFERROR(Inv_SY!T295/Inv_SY!$Y295-1,"")</f>
        <v/>
      </c>
      <c r="U293" s="59" t="str">
        <f>IFERROR(Inv_SY!U295/Inv_SY!$Y295-1,"")</f>
        <v/>
      </c>
      <c r="V293" s="59" t="str">
        <f>IFERROR(Inv_SY!J295/Inv_SY!$Z295-1,"")</f>
        <v/>
      </c>
      <c r="W293" s="59" t="str">
        <f>IFERROR(Inv_SY!K295/Inv_SY!$Z295-1,"")</f>
        <v/>
      </c>
      <c r="X293" s="59" t="str">
        <f>IFERROR(Inv_SY!L295/Inv_SY!$Z295-1,"")</f>
        <v/>
      </c>
      <c r="Y293" s="59" t="str">
        <f>IFERROR(Inv_SY!M295/Inv_SY!$Z295-1,"")</f>
        <v/>
      </c>
      <c r="Z293" s="59" t="str">
        <f>IFERROR(Inv_SY!N295/Inv_SY!$Z295-1,"")</f>
        <v/>
      </c>
      <c r="AA293" s="59" t="str">
        <f>IFERROR(Inv_SY!O295/Inv_SY!$Z295-1,"")</f>
        <v/>
      </c>
      <c r="AB293" s="59" t="str">
        <f>IFERROR(Inv_SY!P295/Inv_SY!$Z295-1,"")</f>
        <v/>
      </c>
      <c r="AC293" s="59" t="str">
        <f>IFERROR(Inv_SY!Q295/Inv_SY!$Z295-1,"")</f>
        <v/>
      </c>
      <c r="AD293" s="59" t="str">
        <f>IFERROR(Inv_SY!R295/Inv_SY!$Z295-1,"")</f>
        <v/>
      </c>
      <c r="AE293" s="59" t="str">
        <f>IFERROR(Inv_SY!S295/Inv_SY!$Z295-1,"")</f>
        <v/>
      </c>
      <c r="AF293" s="59" t="str">
        <f>IFERROR(Inv_SY!T295/Inv_SY!$Z295-1,"")</f>
        <v/>
      </c>
      <c r="AG293" s="59" t="str">
        <f>IFERROR(Inv_SY!U295/Inv_SY!$Z295-1,"")</f>
        <v/>
      </c>
      <c r="AH293" s="59" t="str">
        <f>IFERROR(Inv_SY!V295/Inv_SY!$Y295-1,"")</f>
        <v/>
      </c>
      <c r="AI293" s="59" t="str">
        <f>IFERROR(Inv_SY!W295/Inv_SY!$Y295-1,"")</f>
        <v/>
      </c>
      <c r="AJ293" s="59" t="str">
        <f>IFERROR(Inv_SY!X295/Inv_SY!$Y295-1,"")</f>
        <v/>
      </c>
      <c r="AK293" s="59" t="str">
        <f>IFERROR(Inv_SY!V295/Inv_SY!$Z295-1,"")</f>
        <v/>
      </c>
      <c r="AL293" s="59" t="str">
        <f>IFERROR(Inv_SY!W295/Inv_SY!$Z295-1,"")</f>
        <v/>
      </c>
      <c r="AM293" s="59" t="str">
        <f>IFERROR(Inv_SY!X295/Inv_SY!$Z295-1,"")</f>
        <v/>
      </c>
    </row>
    <row r="294" spans="1:39" x14ac:dyDescent="0.3">
      <c r="A294" s="55">
        <f>YEAR(Table5[[#This Row],[Date]])+IF(MONTH(Table5[[#This Row],[Date]])&gt;=4,1,0)</f>
        <v>2026</v>
      </c>
      <c r="B294" s="55">
        <v>254</v>
      </c>
      <c r="C294" s="124">
        <f>YEAR(Table5[[#This Row],[Date]])</f>
        <v>2026</v>
      </c>
      <c r="D294" s="55" t="s">
        <v>329</v>
      </c>
      <c r="E294" s="55" t="s">
        <v>329</v>
      </c>
      <c r="F294" s="126" t="str">
        <f>TEXT(Table5[[#This Row],[Date]],"mmm-yy")</f>
        <v>Jan-26</v>
      </c>
      <c r="G294" s="124">
        <f t="shared" si="11"/>
        <v>31</v>
      </c>
      <c r="H294" s="125">
        <f t="shared" si="12"/>
        <v>46037</v>
      </c>
      <c r="I294" s="55">
        <v>8.02</v>
      </c>
      <c r="J294" s="59" t="str">
        <f>IFERROR(Inv_SY!J296/Inv_SY!$Y296-1,"")</f>
        <v/>
      </c>
      <c r="K294" s="59" t="str">
        <f>IFERROR(Inv_SY!K296/Inv_SY!$Y296-1,"")</f>
        <v/>
      </c>
      <c r="L294" s="59" t="str">
        <f>IFERROR(Inv_SY!L296/Inv_SY!$Y296-1,"")</f>
        <v/>
      </c>
      <c r="M294" s="59" t="str">
        <f>IFERROR(Inv_SY!M296/Inv_SY!$Y296-1,"")</f>
        <v/>
      </c>
      <c r="N294" s="59" t="str">
        <f>IFERROR(Inv_SY!N296/Inv_SY!$Y296-1,"")</f>
        <v/>
      </c>
      <c r="O294" s="59" t="str">
        <f>IFERROR(Inv_SY!O296/Inv_SY!$Y296-1,"")</f>
        <v/>
      </c>
      <c r="P294" s="59" t="str">
        <f>IFERROR(Inv_SY!P296/Inv_SY!$Y296-1,"")</f>
        <v/>
      </c>
      <c r="Q294" s="59" t="str">
        <f>IFERROR(Inv_SY!Q296/Inv_SY!$Y296-1,"")</f>
        <v/>
      </c>
      <c r="R294" s="59" t="str">
        <f>IFERROR(Inv_SY!R296/Inv_SY!$Y296-1,"")</f>
        <v/>
      </c>
      <c r="S294" s="59" t="str">
        <f>IFERROR(Inv_SY!S296/Inv_SY!$Y296-1,"")</f>
        <v/>
      </c>
      <c r="T294" s="59" t="str">
        <f>IFERROR(Inv_SY!T296/Inv_SY!$Y296-1,"")</f>
        <v/>
      </c>
      <c r="U294" s="59" t="str">
        <f>IFERROR(Inv_SY!U296/Inv_SY!$Y296-1,"")</f>
        <v/>
      </c>
      <c r="V294" s="59" t="str">
        <f>IFERROR(Inv_SY!J296/Inv_SY!$Z296-1,"")</f>
        <v/>
      </c>
      <c r="W294" s="59" t="str">
        <f>IFERROR(Inv_SY!K296/Inv_SY!$Z296-1,"")</f>
        <v/>
      </c>
      <c r="X294" s="59" t="str">
        <f>IFERROR(Inv_SY!L296/Inv_SY!$Z296-1,"")</f>
        <v/>
      </c>
      <c r="Y294" s="59" t="str">
        <f>IFERROR(Inv_SY!M296/Inv_SY!$Z296-1,"")</f>
        <v/>
      </c>
      <c r="Z294" s="59" t="str">
        <f>IFERROR(Inv_SY!N296/Inv_SY!$Z296-1,"")</f>
        <v/>
      </c>
      <c r="AA294" s="59" t="str">
        <f>IFERROR(Inv_SY!O296/Inv_SY!$Z296-1,"")</f>
        <v/>
      </c>
      <c r="AB294" s="59" t="str">
        <f>IFERROR(Inv_SY!P296/Inv_SY!$Z296-1,"")</f>
        <v/>
      </c>
      <c r="AC294" s="59" t="str">
        <f>IFERROR(Inv_SY!Q296/Inv_SY!$Z296-1,"")</f>
        <v/>
      </c>
      <c r="AD294" s="59" t="str">
        <f>IFERROR(Inv_SY!R296/Inv_SY!$Z296-1,"")</f>
        <v/>
      </c>
      <c r="AE294" s="59" t="str">
        <f>IFERROR(Inv_SY!S296/Inv_SY!$Z296-1,"")</f>
        <v/>
      </c>
      <c r="AF294" s="59" t="str">
        <f>IFERROR(Inv_SY!T296/Inv_SY!$Z296-1,"")</f>
        <v/>
      </c>
      <c r="AG294" s="59" t="str">
        <f>IFERROR(Inv_SY!U296/Inv_SY!$Z296-1,"")</f>
        <v/>
      </c>
      <c r="AH294" s="59" t="str">
        <f>IFERROR(Inv_SY!V296/Inv_SY!$Y296-1,"")</f>
        <v/>
      </c>
      <c r="AI294" s="59" t="str">
        <f>IFERROR(Inv_SY!W296/Inv_SY!$Y296-1,"")</f>
        <v/>
      </c>
      <c r="AJ294" s="59" t="str">
        <f>IFERROR(Inv_SY!X296/Inv_SY!$Y296-1,"")</f>
        <v/>
      </c>
      <c r="AK294" s="59" t="str">
        <f>IFERROR(Inv_SY!V296/Inv_SY!$Z296-1,"")</f>
        <v/>
      </c>
      <c r="AL294" s="59" t="str">
        <f>IFERROR(Inv_SY!W296/Inv_SY!$Z296-1,"")</f>
        <v/>
      </c>
      <c r="AM294" s="59" t="str">
        <f>IFERROR(Inv_SY!X296/Inv_SY!$Z296-1,"")</f>
        <v/>
      </c>
    </row>
    <row r="295" spans="1:39" x14ac:dyDescent="0.3">
      <c r="A295" s="55">
        <f>YEAR(Table5[[#This Row],[Date]])+IF(MONTH(Table5[[#This Row],[Date]])&gt;=4,1,0)</f>
        <v>2026</v>
      </c>
      <c r="B295" s="55">
        <v>255</v>
      </c>
      <c r="C295" s="124">
        <f>YEAR(Table5[[#This Row],[Date]])</f>
        <v>2026</v>
      </c>
      <c r="D295" s="55" t="s">
        <v>329</v>
      </c>
      <c r="E295" s="55" t="s">
        <v>329</v>
      </c>
      <c r="F295" s="126" t="str">
        <f>TEXT(Table5[[#This Row],[Date]],"mmm-yy")</f>
        <v>Jan-26</v>
      </c>
      <c r="G295" s="124">
        <f t="shared" si="11"/>
        <v>31</v>
      </c>
      <c r="H295" s="125">
        <f t="shared" si="12"/>
        <v>46038</v>
      </c>
      <c r="I295" s="55">
        <v>8.02</v>
      </c>
      <c r="J295" s="59" t="str">
        <f>IFERROR(Inv_SY!J297/Inv_SY!$Y297-1,"")</f>
        <v/>
      </c>
      <c r="K295" s="59" t="str">
        <f>IFERROR(Inv_SY!K297/Inv_SY!$Y297-1,"")</f>
        <v/>
      </c>
      <c r="L295" s="59" t="str">
        <f>IFERROR(Inv_SY!L297/Inv_SY!$Y297-1,"")</f>
        <v/>
      </c>
      <c r="M295" s="59" t="str">
        <f>IFERROR(Inv_SY!M297/Inv_SY!$Y297-1,"")</f>
        <v/>
      </c>
      <c r="N295" s="59" t="str">
        <f>IFERROR(Inv_SY!N297/Inv_SY!$Y297-1,"")</f>
        <v/>
      </c>
      <c r="O295" s="59" t="str">
        <f>IFERROR(Inv_SY!O297/Inv_SY!$Y297-1,"")</f>
        <v/>
      </c>
      <c r="P295" s="59" t="str">
        <f>IFERROR(Inv_SY!P297/Inv_SY!$Y297-1,"")</f>
        <v/>
      </c>
      <c r="Q295" s="59" t="str">
        <f>IFERROR(Inv_SY!Q297/Inv_SY!$Y297-1,"")</f>
        <v/>
      </c>
      <c r="R295" s="59" t="str">
        <f>IFERROR(Inv_SY!R297/Inv_SY!$Y297-1,"")</f>
        <v/>
      </c>
      <c r="S295" s="59" t="str">
        <f>IFERROR(Inv_SY!S297/Inv_SY!$Y297-1,"")</f>
        <v/>
      </c>
      <c r="T295" s="59" t="str">
        <f>IFERROR(Inv_SY!T297/Inv_SY!$Y297-1,"")</f>
        <v/>
      </c>
      <c r="U295" s="59" t="str">
        <f>IFERROR(Inv_SY!U297/Inv_SY!$Y297-1,"")</f>
        <v/>
      </c>
      <c r="V295" s="59" t="str">
        <f>IFERROR(Inv_SY!J297/Inv_SY!$Z297-1,"")</f>
        <v/>
      </c>
      <c r="W295" s="59" t="str">
        <f>IFERROR(Inv_SY!K297/Inv_SY!$Z297-1,"")</f>
        <v/>
      </c>
      <c r="X295" s="59" t="str">
        <f>IFERROR(Inv_SY!L297/Inv_SY!$Z297-1,"")</f>
        <v/>
      </c>
      <c r="Y295" s="59" t="str">
        <f>IFERROR(Inv_SY!M297/Inv_SY!$Z297-1,"")</f>
        <v/>
      </c>
      <c r="Z295" s="59" t="str">
        <f>IFERROR(Inv_SY!N297/Inv_SY!$Z297-1,"")</f>
        <v/>
      </c>
      <c r="AA295" s="59" t="str">
        <f>IFERROR(Inv_SY!O297/Inv_SY!$Z297-1,"")</f>
        <v/>
      </c>
      <c r="AB295" s="59" t="str">
        <f>IFERROR(Inv_SY!P297/Inv_SY!$Z297-1,"")</f>
        <v/>
      </c>
      <c r="AC295" s="59" t="str">
        <f>IFERROR(Inv_SY!Q297/Inv_SY!$Z297-1,"")</f>
        <v/>
      </c>
      <c r="AD295" s="59" t="str">
        <f>IFERROR(Inv_SY!R297/Inv_SY!$Z297-1,"")</f>
        <v/>
      </c>
      <c r="AE295" s="59" t="str">
        <f>IFERROR(Inv_SY!S297/Inv_SY!$Z297-1,"")</f>
        <v/>
      </c>
      <c r="AF295" s="59" t="str">
        <f>IFERROR(Inv_SY!T297/Inv_SY!$Z297-1,"")</f>
        <v/>
      </c>
      <c r="AG295" s="59" t="str">
        <f>IFERROR(Inv_SY!U297/Inv_SY!$Z297-1,"")</f>
        <v/>
      </c>
      <c r="AH295" s="59" t="str">
        <f>IFERROR(Inv_SY!V297/Inv_SY!$Y297-1,"")</f>
        <v/>
      </c>
      <c r="AI295" s="59" t="str">
        <f>IFERROR(Inv_SY!W297/Inv_SY!$Y297-1,"")</f>
        <v/>
      </c>
      <c r="AJ295" s="59" t="str">
        <f>IFERROR(Inv_SY!X297/Inv_SY!$Y297-1,"")</f>
        <v/>
      </c>
      <c r="AK295" s="59" t="str">
        <f>IFERROR(Inv_SY!V297/Inv_SY!$Z297-1,"")</f>
        <v/>
      </c>
      <c r="AL295" s="59" t="str">
        <f>IFERROR(Inv_SY!W297/Inv_SY!$Z297-1,"")</f>
        <v/>
      </c>
      <c r="AM295" s="59" t="str">
        <f>IFERROR(Inv_SY!X297/Inv_SY!$Z297-1,"")</f>
        <v/>
      </c>
    </row>
    <row r="296" spans="1:39" x14ac:dyDescent="0.3">
      <c r="A296" s="55">
        <f>YEAR(Table5[[#This Row],[Date]])+IF(MONTH(Table5[[#This Row],[Date]])&gt;=4,1,0)</f>
        <v>2026</v>
      </c>
      <c r="B296" s="55">
        <v>256</v>
      </c>
      <c r="C296" s="124">
        <f>YEAR(Table5[[#This Row],[Date]])</f>
        <v>2026</v>
      </c>
      <c r="D296" s="55" t="s">
        <v>329</v>
      </c>
      <c r="E296" s="55" t="s">
        <v>329</v>
      </c>
      <c r="F296" s="126" t="str">
        <f>TEXT(Table5[[#This Row],[Date]],"mmm-yy")</f>
        <v>Jan-26</v>
      </c>
      <c r="G296" s="124">
        <f t="shared" si="11"/>
        <v>31</v>
      </c>
      <c r="H296" s="125">
        <f t="shared" si="12"/>
        <v>46039</v>
      </c>
      <c r="I296" s="55">
        <v>8.02</v>
      </c>
      <c r="J296" s="59" t="str">
        <f>IFERROR(Inv_SY!J298/Inv_SY!$Y298-1,"")</f>
        <v/>
      </c>
      <c r="K296" s="59" t="str">
        <f>IFERROR(Inv_SY!K298/Inv_SY!$Y298-1,"")</f>
        <v/>
      </c>
      <c r="L296" s="59" t="str">
        <f>IFERROR(Inv_SY!L298/Inv_SY!$Y298-1,"")</f>
        <v/>
      </c>
      <c r="M296" s="59" t="str">
        <f>IFERROR(Inv_SY!M298/Inv_SY!$Y298-1,"")</f>
        <v/>
      </c>
      <c r="N296" s="59" t="str">
        <f>IFERROR(Inv_SY!N298/Inv_SY!$Y298-1,"")</f>
        <v/>
      </c>
      <c r="O296" s="59" t="str">
        <f>IFERROR(Inv_SY!O298/Inv_SY!$Y298-1,"")</f>
        <v/>
      </c>
      <c r="P296" s="59" t="str">
        <f>IFERROR(Inv_SY!P298/Inv_SY!$Y298-1,"")</f>
        <v/>
      </c>
      <c r="Q296" s="59" t="str">
        <f>IFERROR(Inv_SY!Q298/Inv_SY!$Y298-1,"")</f>
        <v/>
      </c>
      <c r="R296" s="59" t="str">
        <f>IFERROR(Inv_SY!R298/Inv_SY!$Y298-1,"")</f>
        <v/>
      </c>
      <c r="S296" s="59" t="str">
        <f>IFERROR(Inv_SY!S298/Inv_SY!$Y298-1,"")</f>
        <v/>
      </c>
      <c r="T296" s="59" t="str">
        <f>IFERROR(Inv_SY!T298/Inv_SY!$Y298-1,"")</f>
        <v/>
      </c>
      <c r="U296" s="59" t="str">
        <f>IFERROR(Inv_SY!U298/Inv_SY!$Y298-1,"")</f>
        <v/>
      </c>
      <c r="V296" s="59" t="str">
        <f>IFERROR(Inv_SY!J298/Inv_SY!$Z298-1,"")</f>
        <v/>
      </c>
      <c r="W296" s="59" t="str">
        <f>IFERROR(Inv_SY!K298/Inv_SY!$Z298-1,"")</f>
        <v/>
      </c>
      <c r="X296" s="59" t="str">
        <f>IFERROR(Inv_SY!L298/Inv_SY!$Z298-1,"")</f>
        <v/>
      </c>
      <c r="Y296" s="59" t="str">
        <f>IFERROR(Inv_SY!M298/Inv_SY!$Z298-1,"")</f>
        <v/>
      </c>
      <c r="Z296" s="59" t="str">
        <f>IFERROR(Inv_SY!N298/Inv_SY!$Z298-1,"")</f>
        <v/>
      </c>
      <c r="AA296" s="59" t="str">
        <f>IFERROR(Inv_SY!O298/Inv_SY!$Z298-1,"")</f>
        <v/>
      </c>
      <c r="AB296" s="59" t="str">
        <f>IFERROR(Inv_SY!P298/Inv_SY!$Z298-1,"")</f>
        <v/>
      </c>
      <c r="AC296" s="59" t="str">
        <f>IFERROR(Inv_SY!Q298/Inv_SY!$Z298-1,"")</f>
        <v/>
      </c>
      <c r="AD296" s="59" t="str">
        <f>IFERROR(Inv_SY!R298/Inv_SY!$Z298-1,"")</f>
        <v/>
      </c>
      <c r="AE296" s="59" t="str">
        <f>IFERROR(Inv_SY!S298/Inv_SY!$Z298-1,"")</f>
        <v/>
      </c>
      <c r="AF296" s="59" t="str">
        <f>IFERROR(Inv_SY!T298/Inv_SY!$Z298-1,"")</f>
        <v/>
      </c>
      <c r="AG296" s="59" t="str">
        <f>IFERROR(Inv_SY!U298/Inv_SY!$Z298-1,"")</f>
        <v/>
      </c>
      <c r="AH296" s="59" t="str">
        <f>IFERROR(Inv_SY!V298/Inv_SY!$Y298-1,"")</f>
        <v/>
      </c>
      <c r="AI296" s="59" t="str">
        <f>IFERROR(Inv_SY!W298/Inv_SY!$Y298-1,"")</f>
        <v/>
      </c>
      <c r="AJ296" s="59" t="str">
        <f>IFERROR(Inv_SY!X298/Inv_SY!$Y298-1,"")</f>
        <v/>
      </c>
      <c r="AK296" s="59" t="str">
        <f>IFERROR(Inv_SY!V298/Inv_SY!$Z298-1,"")</f>
        <v/>
      </c>
      <c r="AL296" s="59" t="str">
        <f>IFERROR(Inv_SY!W298/Inv_SY!$Z298-1,"")</f>
        <v/>
      </c>
      <c r="AM296" s="59" t="str">
        <f>IFERROR(Inv_SY!X298/Inv_SY!$Z298-1,"")</f>
        <v/>
      </c>
    </row>
    <row r="297" spans="1:39" x14ac:dyDescent="0.3">
      <c r="A297" s="55">
        <f>YEAR(Table5[[#This Row],[Date]])+IF(MONTH(Table5[[#This Row],[Date]])&gt;=4,1,0)</f>
        <v>2026</v>
      </c>
      <c r="B297" s="55">
        <v>257</v>
      </c>
      <c r="C297" s="124">
        <f>YEAR(Table5[[#This Row],[Date]])</f>
        <v>2026</v>
      </c>
      <c r="D297" s="55" t="s">
        <v>329</v>
      </c>
      <c r="E297" s="55" t="s">
        <v>329</v>
      </c>
      <c r="F297" s="126" t="str">
        <f>TEXT(Table5[[#This Row],[Date]],"mmm-yy")</f>
        <v>Jan-26</v>
      </c>
      <c r="G297" s="124">
        <f t="shared" si="11"/>
        <v>31</v>
      </c>
      <c r="H297" s="125">
        <f t="shared" si="12"/>
        <v>46040</v>
      </c>
      <c r="I297" s="55">
        <v>8.02</v>
      </c>
      <c r="J297" s="59" t="str">
        <f>IFERROR(Inv_SY!J299/Inv_SY!$Y299-1,"")</f>
        <v/>
      </c>
      <c r="K297" s="59" t="str">
        <f>IFERROR(Inv_SY!K299/Inv_SY!$Y299-1,"")</f>
        <v/>
      </c>
      <c r="L297" s="59" t="str">
        <f>IFERROR(Inv_SY!L299/Inv_SY!$Y299-1,"")</f>
        <v/>
      </c>
      <c r="M297" s="59" t="str">
        <f>IFERROR(Inv_SY!M299/Inv_SY!$Y299-1,"")</f>
        <v/>
      </c>
      <c r="N297" s="59" t="str">
        <f>IFERROR(Inv_SY!N299/Inv_SY!$Y299-1,"")</f>
        <v/>
      </c>
      <c r="O297" s="59" t="str">
        <f>IFERROR(Inv_SY!O299/Inv_SY!$Y299-1,"")</f>
        <v/>
      </c>
      <c r="P297" s="59" t="str">
        <f>IFERROR(Inv_SY!P299/Inv_SY!$Y299-1,"")</f>
        <v/>
      </c>
      <c r="Q297" s="59" t="str">
        <f>IFERROR(Inv_SY!Q299/Inv_SY!$Y299-1,"")</f>
        <v/>
      </c>
      <c r="R297" s="59" t="str">
        <f>IFERROR(Inv_SY!R299/Inv_SY!$Y299-1,"")</f>
        <v/>
      </c>
      <c r="S297" s="59" t="str">
        <f>IFERROR(Inv_SY!S299/Inv_SY!$Y299-1,"")</f>
        <v/>
      </c>
      <c r="T297" s="59" t="str">
        <f>IFERROR(Inv_SY!T299/Inv_SY!$Y299-1,"")</f>
        <v/>
      </c>
      <c r="U297" s="59" t="str">
        <f>IFERROR(Inv_SY!U299/Inv_SY!$Y299-1,"")</f>
        <v/>
      </c>
      <c r="V297" s="59" t="str">
        <f>IFERROR(Inv_SY!J299/Inv_SY!$Z299-1,"")</f>
        <v/>
      </c>
      <c r="W297" s="59" t="str">
        <f>IFERROR(Inv_SY!K299/Inv_SY!$Z299-1,"")</f>
        <v/>
      </c>
      <c r="X297" s="59" t="str">
        <f>IFERROR(Inv_SY!L299/Inv_SY!$Z299-1,"")</f>
        <v/>
      </c>
      <c r="Y297" s="59" t="str">
        <f>IFERROR(Inv_SY!M299/Inv_SY!$Z299-1,"")</f>
        <v/>
      </c>
      <c r="Z297" s="59" t="str">
        <f>IFERROR(Inv_SY!N299/Inv_SY!$Z299-1,"")</f>
        <v/>
      </c>
      <c r="AA297" s="59" t="str">
        <f>IFERROR(Inv_SY!O299/Inv_SY!$Z299-1,"")</f>
        <v/>
      </c>
      <c r="AB297" s="59" t="str">
        <f>IFERROR(Inv_SY!P299/Inv_SY!$Z299-1,"")</f>
        <v/>
      </c>
      <c r="AC297" s="59" t="str">
        <f>IFERROR(Inv_SY!Q299/Inv_SY!$Z299-1,"")</f>
        <v/>
      </c>
      <c r="AD297" s="59" t="str">
        <f>IFERROR(Inv_SY!R299/Inv_SY!$Z299-1,"")</f>
        <v/>
      </c>
      <c r="AE297" s="59" t="str">
        <f>IFERROR(Inv_SY!S299/Inv_SY!$Z299-1,"")</f>
        <v/>
      </c>
      <c r="AF297" s="59" t="str">
        <f>IFERROR(Inv_SY!T299/Inv_SY!$Z299-1,"")</f>
        <v/>
      </c>
      <c r="AG297" s="59" t="str">
        <f>IFERROR(Inv_SY!U299/Inv_SY!$Z299-1,"")</f>
        <v/>
      </c>
      <c r="AH297" s="59" t="str">
        <f>IFERROR(Inv_SY!V299/Inv_SY!$Y299-1,"")</f>
        <v/>
      </c>
      <c r="AI297" s="59" t="str">
        <f>IFERROR(Inv_SY!W299/Inv_SY!$Y299-1,"")</f>
        <v/>
      </c>
      <c r="AJ297" s="59" t="str">
        <f>IFERROR(Inv_SY!X299/Inv_SY!$Y299-1,"")</f>
        <v/>
      </c>
      <c r="AK297" s="59" t="str">
        <f>IFERROR(Inv_SY!V299/Inv_SY!$Z299-1,"")</f>
        <v/>
      </c>
      <c r="AL297" s="59" t="str">
        <f>IFERROR(Inv_SY!W299/Inv_SY!$Z299-1,"")</f>
        <v/>
      </c>
      <c r="AM297" s="59" t="str">
        <f>IFERROR(Inv_SY!X299/Inv_SY!$Z299-1,"")</f>
        <v/>
      </c>
    </row>
    <row r="298" spans="1:39" x14ac:dyDescent="0.3">
      <c r="A298" s="55">
        <f>YEAR(Table5[[#This Row],[Date]])+IF(MONTH(Table5[[#This Row],[Date]])&gt;=4,1,0)</f>
        <v>2026</v>
      </c>
      <c r="B298" s="55">
        <v>258</v>
      </c>
      <c r="C298" s="124">
        <f>YEAR(Table5[[#This Row],[Date]])</f>
        <v>2026</v>
      </c>
      <c r="D298" s="55" t="s">
        <v>329</v>
      </c>
      <c r="E298" s="55" t="s">
        <v>329</v>
      </c>
      <c r="F298" s="126" t="str">
        <f>TEXT(Table5[[#This Row],[Date]],"mmm-yy")</f>
        <v>Jan-26</v>
      </c>
      <c r="G298" s="124">
        <f t="shared" si="11"/>
        <v>31</v>
      </c>
      <c r="H298" s="125">
        <f t="shared" si="12"/>
        <v>46041</v>
      </c>
      <c r="I298" s="55">
        <v>8.02</v>
      </c>
      <c r="J298" s="59" t="str">
        <f>IFERROR(Inv_SY!J300/Inv_SY!$Y300-1,"")</f>
        <v/>
      </c>
      <c r="K298" s="59" t="str">
        <f>IFERROR(Inv_SY!K300/Inv_SY!$Y300-1,"")</f>
        <v/>
      </c>
      <c r="L298" s="59" t="str">
        <f>IFERROR(Inv_SY!L300/Inv_SY!$Y300-1,"")</f>
        <v/>
      </c>
      <c r="M298" s="59" t="str">
        <f>IFERROR(Inv_SY!M300/Inv_SY!$Y300-1,"")</f>
        <v/>
      </c>
      <c r="N298" s="59" t="str">
        <f>IFERROR(Inv_SY!N300/Inv_SY!$Y300-1,"")</f>
        <v/>
      </c>
      <c r="O298" s="59" t="str">
        <f>IFERROR(Inv_SY!O300/Inv_SY!$Y300-1,"")</f>
        <v/>
      </c>
      <c r="P298" s="59" t="str">
        <f>IFERROR(Inv_SY!P300/Inv_SY!$Y300-1,"")</f>
        <v/>
      </c>
      <c r="Q298" s="59" t="str">
        <f>IFERROR(Inv_SY!Q300/Inv_SY!$Y300-1,"")</f>
        <v/>
      </c>
      <c r="R298" s="59" t="str">
        <f>IFERROR(Inv_SY!R300/Inv_SY!$Y300-1,"")</f>
        <v/>
      </c>
      <c r="S298" s="59" t="str">
        <f>IFERROR(Inv_SY!S300/Inv_SY!$Y300-1,"")</f>
        <v/>
      </c>
      <c r="T298" s="59" t="str">
        <f>IFERROR(Inv_SY!T300/Inv_SY!$Y300-1,"")</f>
        <v/>
      </c>
      <c r="U298" s="59" t="str">
        <f>IFERROR(Inv_SY!U300/Inv_SY!$Y300-1,"")</f>
        <v/>
      </c>
      <c r="V298" s="59" t="str">
        <f>IFERROR(Inv_SY!J300/Inv_SY!$Z300-1,"")</f>
        <v/>
      </c>
      <c r="W298" s="59" t="str">
        <f>IFERROR(Inv_SY!K300/Inv_SY!$Z300-1,"")</f>
        <v/>
      </c>
      <c r="X298" s="59" t="str">
        <f>IFERROR(Inv_SY!L300/Inv_SY!$Z300-1,"")</f>
        <v/>
      </c>
      <c r="Y298" s="59" t="str">
        <f>IFERROR(Inv_SY!M300/Inv_SY!$Z300-1,"")</f>
        <v/>
      </c>
      <c r="Z298" s="59" t="str">
        <f>IFERROR(Inv_SY!N300/Inv_SY!$Z300-1,"")</f>
        <v/>
      </c>
      <c r="AA298" s="59" t="str">
        <f>IFERROR(Inv_SY!O300/Inv_SY!$Z300-1,"")</f>
        <v/>
      </c>
      <c r="AB298" s="59" t="str">
        <f>IFERROR(Inv_SY!P300/Inv_SY!$Z300-1,"")</f>
        <v/>
      </c>
      <c r="AC298" s="59" t="str">
        <f>IFERROR(Inv_SY!Q300/Inv_SY!$Z300-1,"")</f>
        <v/>
      </c>
      <c r="AD298" s="59" t="str">
        <f>IFERROR(Inv_SY!R300/Inv_SY!$Z300-1,"")</f>
        <v/>
      </c>
      <c r="AE298" s="59" t="str">
        <f>IFERROR(Inv_SY!S300/Inv_SY!$Z300-1,"")</f>
        <v/>
      </c>
      <c r="AF298" s="59" t="str">
        <f>IFERROR(Inv_SY!T300/Inv_SY!$Z300-1,"")</f>
        <v/>
      </c>
      <c r="AG298" s="59" t="str">
        <f>IFERROR(Inv_SY!U300/Inv_SY!$Z300-1,"")</f>
        <v/>
      </c>
      <c r="AH298" s="59" t="str">
        <f>IFERROR(Inv_SY!V300/Inv_SY!$Y300-1,"")</f>
        <v/>
      </c>
      <c r="AI298" s="59" t="str">
        <f>IFERROR(Inv_SY!W300/Inv_SY!$Y300-1,"")</f>
        <v/>
      </c>
      <c r="AJ298" s="59" t="str">
        <f>IFERROR(Inv_SY!X300/Inv_SY!$Y300-1,"")</f>
        <v/>
      </c>
      <c r="AK298" s="59" t="str">
        <f>IFERROR(Inv_SY!V300/Inv_SY!$Z300-1,"")</f>
        <v/>
      </c>
      <c r="AL298" s="59" t="str">
        <f>IFERROR(Inv_SY!W300/Inv_SY!$Z300-1,"")</f>
        <v/>
      </c>
      <c r="AM298" s="59" t="str">
        <f>IFERROR(Inv_SY!X300/Inv_SY!$Z300-1,"")</f>
        <v/>
      </c>
    </row>
    <row r="299" spans="1:39" x14ac:dyDescent="0.3">
      <c r="A299" s="55">
        <f>YEAR(Table5[[#This Row],[Date]])+IF(MONTH(Table5[[#This Row],[Date]])&gt;=4,1,0)</f>
        <v>2026</v>
      </c>
      <c r="B299" s="55">
        <v>259</v>
      </c>
      <c r="C299" s="124">
        <f>YEAR(Table5[[#This Row],[Date]])</f>
        <v>2026</v>
      </c>
      <c r="D299" s="55" t="s">
        <v>329</v>
      </c>
      <c r="E299" s="55" t="s">
        <v>329</v>
      </c>
      <c r="F299" s="126" t="str">
        <f>TEXT(Table5[[#This Row],[Date]],"mmm-yy")</f>
        <v>Jan-26</v>
      </c>
      <c r="G299" s="124">
        <f t="shared" si="11"/>
        <v>31</v>
      </c>
      <c r="H299" s="125">
        <f t="shared" si="12"/>
        <v>46042</v>
      </c>
      <c r="I299" s="55">
        <v>8.02</v>
      </c>
      <c r="J299" s="59" t="str">
        <f>IFERROR(Inv_SY!J301/Inv_SY!$Y301-1,"")</f>
        <v/>
      </c>
      <c r="K299" s="59" t="str">
        <f>IFERROR(Inv_SY!K301/Inv_SY!$Y301-1,"")</f>
        <v/>
      </c>
      <c r="L299" s="59" t="str">
        <f>IFERROR(Inv_SY!L301/Inv_SY!$Y301-1,"")</f>
        <v/>
      </c>
      <c r="M299" s="59" t="str">
        <f>IFERROR(Inv_SY!M301/Inv_SY!$Y301-1,"")</f>
        <v/>
      </c>
      <c r="N299" s="59" t="str">
        <f>IFERROR(Inv_SY!N301/Inv_SY!$Y301-1,"")</f>
        <v/>
      </c>
      <c r="O299" s="59" t="str">
        <f>IFERROR(Inv_SY!O301/Inv_SY!$Y301-1,"")</f>
        <v/>
      </c>
      <c r="P299" s="59" t="str">
        <f>IFERROR(Inv_SY!P301/Inv_SY!$Y301-1,"")</f>
        <v/>
      </c>
      <c r="Q299" s="59" t="str">
        <f>IFERROR(Inv_SY!Q301/Inv_SY!$Y301-1,"")</f>
        <v/>
      </c>
      <c r="R299" s="59" t="str">
        <f>IFERROR(Inv_SY!R301/Inv_SY!$Y301-1,"")</f>
        <v/>
      </c>
      <c r="S299" s="59" t="str">
        <f>IFERROR(Inv_SY!S301/Inv_SY!$Y301-1,"")</f>
        <v/>
      </c>
      <c r="T299" s="59" t="str">
        <f>IFERROR(Inv_SY!T301/Inv_SY!$Y301-1,"")</f>
        <v/>
      </c>
      <c r="U299" s="59" t="str">
        <f>IFERROR(Inv_SY!U301/Inv_SY!$Y301-1,"")</f>
        <v/>
      </c>
      <c r="V299" s="59" t="str">
        <f>IFERROR(Inv_SY!J301/Inv_SY!$Z301-1,"")</f>
        <v/>
      </c>
      <c r="W299" s="59" t="str">
        <f>IFERROR(Inv_SY!K301/Inv_SY!$Z301-1,"")</f>
        <v/>
      </c>
      <c r="X299" s="59" t="str">
        <f>IFERROR(Inv_SY!L301/Inv_SY!$Z301-1,"")</f>
        <v/>
      </c>
      <c r="Y299" s="59" t="str">
        <f>IFERROR(Inv_SY!M301/Inv_SY!$Z301-1,"")</f>
        <v/>
      </c>
      <c r="Z299" s="59" t="str">
        <f>IFERROR(Inv_SY!N301/Inv_SY!$Z301-1,"")</f>
        <v/>
      </c>
      <c r="AA299" s="59" t="str">
        <f>IFERROR(Inv_SY!O301/Inv_SY!$Z301-1,"")</f>
        <v/>
      </c>
      <c r="AB299" s="59" t="str">
        <f>IFERROR(Inv_SY!P301/Inv_SY!$Z301-1,"")</f>
        <v/>
      </c>
      <c r="AC299" s="59" t="str">
        <f>IFERROR(Inv_SY!Q301/Inv_SY!$Z301-1,"")</f>
        <v/>
      </c>
      <c r="AD299" s="59" t="str">
        <f>IFERROR(Inv_SY!R301/Inv_SY!$Z301-1,"")</f>
        <v/>
      </c>
      <c r="AE299" s="59" t="str">
        <f>IFERROR(Inv_SY!S301/Inv_SY!$Z301-1,"")</f>
        <v/>
      </c>
      <c r="AF299" s="59" t="str">
        <f>IFERROR(Inv_SY!T301/Inv_SY!$Z301-1,"")</f>
        <v/>
      </c>
      <c r="AG299" s="59" t="str">
        <f>IFERROR(Inv_SY!U301/Inv_SY!$Z301-1,"")</f>
        <v/>
      </c>
      <c r="AH299" s="59" t="str">
        <f>IFERROR(Inv_SY!V301/Inv_SY!$Y301-1,"")</f>
        <v/>
      </c>
      <c r="AI299" s="59" t="str">
        <f>IFERROR(Inv_SY!W301/Inv_SY!$Y301-1,"")</f>
        <v/>
      </c>
      <c r="AJ299" s="59" t="str">
        <f>IFERROR(Inv_SY!X301/Inv_SY!$Y301-1,"")</f>
        <v/>
      </c>
      <c r="AK299" s="59" t="str">
        <f>IFERROR(Inv_SY!V301/Inv_SY!$Z301-1,"")</f>
        <v/>
      </c>
      <c r="AL299" s="59" t="str">
        <f>IFERROR(Inv_SY!W301/Inv_SY!$Z301-1,"")</f>
        <v/>
      </c>
      <c r="AM299" s="59" t="str">
        <f>IFERROR(Inv_SY!X301/Inv_SY!$Z301-1,"")</f>
        <v/>
      </c>
    </row>
    <row r="300" spans="1:39" x14ac:dyDescent="0.3">
      <c r="A300" s="55">
        <f>YEAR(Table5[[#This Row],[Date]])+IF(MONTH(Table5[[#This Row],[Date]])&gt;=4,1,0)</f>
        <v>2026</v>
      </c>
      <c r="B300" s="55">
        <v>260</v>
      </c>
      <c r="C300" s="124">
        <f>YEAR(Table5[[#This Row],[Date]])</f>
        <v>2026</v>
      </c>
      <c r="D300" s="55" t="s">
        <v>329</v>
      </c>
      <c r="E300" s="55" t="s">
        <v>329</v>
      </c>
      <c r="F300" s="126" t="str">
        <f>TEXT(Table5[[#This Row],[Date]],"mmm-yy")</f>
        <v>Jan-26</v>
      </c>
      <c r="G300" s="124">
        <f t="shared" si="11"/>
        <v>31</v>
      </c>
      <c r="H300" s="125">
        <f t="shared" si="12"/>
        <v>46043</v>
      </c>
      <c r="I300" s="55">
        <v>8.02</v>
      </c>
      <c r="J300" s="59" t="str">
        <f>IFERROR(Inv_SY!J302/Inv_SY!$Y302-1,"")</f>
        <v/>
      </c>
      <c r="K300" s="59" t="str">
        <f>IFERROR(Inv_SY!K302/Inv_SY!$Y302-1,"")</f>
        <v/>
      </c>
      <c r="L300" s="59" t="str">
        <f>IFERROR(Inv_SY!L302/Inv_SY!$Y302-1,"")</f>
        <v/>
      </c>
      <c r="M300" s="59" t="str">
        <f>IFERROR(Inv_SY!M302/Inv_SY!$Y302-1,"")</f>
        <v/>
      </c>
      <c r="N300" s="59" t="str">
        <f>IFERROR(Inv_SY!N302/Inv_SY!$Y302-1,"")</f>
        <v/>
      </c>
      <c r="O300" s="59" t="str">
        <f>IFERROR(Inv_SY!O302/Inv_SY!$Y302-1,"")</f>
        <v/>
      </c>
      <c r="P300" s="59" t="str">
        <f>IFERROR(Inv_SY!P302/Inv_SY!$Y302-1,"")</f>
        <v/>
      </c>
      <c r="Q300" s="59" t="str">
        <f>IFERROR(Inv_SY!Q302/Inv_SY!$Y302-1,"")</f>
        <v/>
      </c>
      <c r="R300" s="59" t="str">
        <f>IFERROR(Inv_SY!R302/Inv_SY!$Y302-1,"")</f>
        <v/>
      </c>
      <c r="S300" s="59" t="str">
        <f>IFERROR(Inv_SY!S302/Inv_SY!$Y302-1,"")</f>
        <v/>
      </c>
      <c r="T300" s="59" t="str">
        <f>IFERROR(Inv_SY!T302/Inv_SY!$Y302-1,"")</f>
        <v/>
      </c>
      <c r="U300" s="59" t="str">
        <f>IFERROR(Inv_SY!U302/Inv_SY!$Y302-1,"")</f>
        <v/>
      </c>
      <c r="V300" s="59" t="str">
        <f>IFERROR(Inv_SY!J302/Inv_SY!$Z302-1,"")</f>
        <v/>
      </c>
      <c r="W300" s="59" t="str">
        <f>IFERROR(Inv_SY!K302/Inv_SY!$Z302-1,"")</f>
        <v/>
      </c>
      <c r="X300" s="59" t="str">
        <f>IFERROR(Inv_SY!L302/Inv_SY!$Z302-1,"")</f>
        <v/>
      </c>
      <c r="Y300" s="59" t="str">
        <f>IFERROR(Inv_SY!M302/Inv_SY!$Z302-1,"")</f>
        <v/>
      </c>
      <c r="Z300" s="59" t="str">
        <f>IFERROR(Inv_SY!N302/Inv_SY!$Z302-1,"")</f>
        <v/>
      </c>
      <c r="AA300" s="59" t="str">
        <f>IFERROR(Inv_SY!O302/Inv_SY!$Z302-1,"")</f>
        <v/>
      </c>
      <c r="AB300" s="59" t="str">
        <f>IFERROR(Inv_SY!P302/Inv_SY!$Z302-1,"")</f>
        <v/>
      </c>
      <c r="AC300" s="59" t="str">
        <f>IFERROR(Inv_SY!Q302/Inv_SY!$Z302-1,"")</f>
        <v/>
      </c>
      <c r="AD300" s="59" t="str">
        <f>IFERROR(Inv_SY!R302/Inv_SY!$Z302-1,"")</f>
        <v/>
      </c>
      <c r="AE300" s="59" t="str">
        <f>IFERROR(Inv_SY!S302/Inv_SY!$Z302-1,"")</f>
        <v/>
      </c>
      <c r="AF300" s="59" t="str">
        <f>IFERROR(Inv_SY!T302/Inv_SY!$Z302-1,"")</f>
        <v/>
      </c>
      <c r="AG300" s="59" t="str">
        <f>IFERROR(Inv_SY!U302/Inv_SY!$Z302-1,"")</f>
        <v/>
      </c>
      <c r="AH300" s="59" t="str">
        <f>IFERROR(Inv_SY!V302/Inv_SY!$Y302-1,"")</f>
        <v/>
      </c>
      <c r="AI300" s="59" t="str">
        <f>IFERROR(Inv_SY!W302/Inv_SY!$Y302-1,"")</f>
        <v/>
      </c>
      <c r="AJ300" s="59" t="str">
        <f>IFERROR(Inv_SY!X302/Inv_SY!$Y302-1,"")</f>
        <v/>
      </c>
      <c r="AK300" s="59" t="str">
        <f>IFERROR(Inv_SY!V302/Inv_SY!$Z302-1,"")</f>
        <v/>
      </c>
      <c r="AL300" s="59" t="str">
        <f>IFERROR(Inv_SY!W302/Inv_SY!$Z302-1,"")</f>
        <v/>
      </c>
      <c r="AM300" s="59" t="str">
        <f>IFERROR(Inv_SY!X302/Inv_SY!$Z302-1,"")</f>
        <v/>
      </c>
    </row>
    <row r="301" spans="1:39" x14ac:dyDescent="0.3">
      <c r="A301" s="55">
        <f>YEAR(Table5[[#This Row],[Date]])+IF(MONTH(Table5[[#This Row],[Date]])&gt;=4,1,0)</f>
        <v>2026</v>
      </c>
      <c r="B301" s="55">
        <v>261</v>
      </c>
      <c r="C301" s="124">
        <f>YEAR(Table5[[#This Row],[Date]])</f>
        <v>2026</v>
      </c>
      <c r="D301" s="55" t="s">
        <v>329</v>
      </c>
      <c r="E301" s="55" t="s">
        <v>329</v>
      </c>
      <c r="F301" s="126" t="str">
        <f>TEXT(Table5[[#This Row],[Date]],"mmm-yy")</f>
        <v>Jan-26</v>
      </c>
      <c r="G301" s="124">
        <f t="shared" ref="G301:G364" si="13">DAY(EOMONTH(F301,0))</f>
        <v>31</v>
      </c>
      <c r="H301" s="125">
        <f t="shared" si="12"/>
        <v>46044</v>
      </c>
      <c r="I301" s="55">
        <v>8.02</v>
      </c>
      <c r="J301" s="59" t="str">
        <f>IFERROR(Inv_SY!J303/Inv_SY!$Y303-1,"")</f>
        <v/>
      </c>
      <c r="K301" s="59" t="str">
        <f>IFERROR(Inv_SY!K303/Inv_SY!$Y303-1,"")</f>
        <v/>
      </c>
      <c r="L301" s="59" t="str">
        <f>IFERROR(Inv_SY!L303/Inv_SY!$Y303-1,"")</f>
        <v/>
      </c>
      <c r="M301" s="59" t="str">
        <f>IFERROR(Inv_SY!M303/Inv_SY!$Y303-1,"")</f>
        <v/>
      </c>
      <c r="N301" s="59" t="str">
        <f>IFERROR(Inv_SY!N303/Inv_SY!$Y303-1,"")</f>
        <v/>
      </c>
      <c r="O301" s="59" t="str">
        <f>IFERROR(Inv_SY!O303/Inv_SY!$Y303-1,"")</f>
        <v/>
      </c>
      <c r="P301" s="59" t="str">
        <f>IFERROR(Inv_SY!P303/Inv_SY!$Y303-1,"")</f>
        <v/>
      </c>
      <c r="Q301" s="59" t="str">
        <f>IFERROR(Inv_SY!Q303/Inv_SY!$Y303-1,"")</f>
        <v/>
      </c>
      <c r="R301" s="59" t="str">
        <f>IFERROR(Inv_SY!R303/Inv_SY!$Y303-1,"")</f>
        <v/>
      </c>
      <c r="S301" s="59" t="str">
        <f>IFERROR(Inv_SY!S303/Inv_SY!$Y303-1,"")</f>
        <v/>
      </c>
      <c r="T301" s="59" t="str">
        <f>IFERROR(Inv_SY!T303/Inv_SY!$Y303-1,"")</f>
        <v/>
      </c>
      <c r="U301" s="59" t="str">
        <f>IFERROR(Inv_SY!U303/Inv_SY!$Y303-1,"")</f>
        <v/>
      </c>
      <c r="V301" s="59" t="str">
        <f>IFERROR(Inv_SY!J303/Inv_SY!$Z303-1,"")</f>
        <v/>
      </c>
      <c r="W301" s="59" t="str">
        <f>IFERROR(Inv_SY!K303/Inv_SY!$Z303-1,"")</f>
        <v/>
      </c>
      <c r="X301" s="59" t="str">
        <f>IFERROR(Inv_SY!L303/Inv_SY!$Z303-1,"")</f>
        <v/>
      </c>
      <c r="Y301" s="59" t="str">
        <f>IFERROR(Inv_SY!M303/Inv_SY!$Z303-1,"")</f>
        <v/>
      </c>
      <c r="Z301" s="59" t="str">
        <f>IFERROR(Inv_SY!N303/Inv_SY!$Z303-1,"")</f>
        <v/>
      </c>
      <c r="AA301" s="59" t="str">
        <f>IFERROR(Inv_SY!O303/Inv_SY!$Z303-1,"")</f>
        <v/>
      </c>
      <c r="AB301" s="59" t="str">
        <f>IFERROR(Inv_SY!P303/Inv_SY!$Z303-1,"")</f>
        <v/>
      </c>
      <c r="AC301" s="59" t="str">
        <f>IFERROR(Inv_SY!Q303/Inv_SY!$Z303-1,"")</f>
        <v/>
      </c>
      <c r="AD301" s="59" t="str">
        <f>IFERROR(Inv_SY!R303/Inv_SY!$Z303-1,"")</f>
        <v/>
      </c>
      <c r="AE301" s="59" t="str">
        <f>IFERROR(Inv_SY!S303/Inv_SY!$Z303-1,"")</f>
        <v/>
      </c>
      <c r="AF301" s="59" t="str">
        <f>IFERROR(Inv_SY!T303/Inv_SY!$Z303-1,"")</f>
        <v/>
      </c>
      <c r="AG301" s="59" t="str">
        <f>IFERROR(Inv_SY!U303/Inv_SY!$Z303-1,"")</f>
        <v/>
      </c>
      <c r="AH301" s="59" t="str">
        <f>IFERROR(Inv_SY!V303/Inv_SY!$Y303-1,"")</f>
        <v/>
      </c>
      <c r="AI301" s="59" t="str">
        <f>IFERROR(Inv_SY!W303/Inv_SY!$Y303-1,"")</f>
        <v/>
      </c>
      <c r="AJ301" s="59" t="str">
        <f>IFERROR(Inv_SY!X303/Inv_SY!$Y303-1,"")</f>
        <v/>
      </c>
      <c r="AK301" s="59" t="str">
        <f>IFERROR(Inv_SY!V303/Inv_SY!$Z303-1,"")</f>
        <v/>
      </c>
      <c r="AL301" s="59" t="str">
        <f>IFERROR(Inv_SY!W303/Inv_SY!$Z303-1,"")</f>
        <v/>
      </c>
      <c r="AM301" s="59" t="str">
        <f>IFERROR(Inv_SY!X303/Inv_SY!$Z303-1,"")</f>
        <v/>
      </c>
    </row>
    <row r="302" spans="1:39" x14ac:dyDescent="0.3">
      <c r="A302" s="55">
        <f>YEAR(Table5[[#This Row],[Date]])+IF(MONTH(Table5[[#This Row],[Date]])&gt;=4,1,0)</f>
        <v>2026</v>
      </c>
      <c r="B302" s="55">
        <v>262</v>
      </c>
      <c r="C302" s="124">
        <f>YEAR(Table5[[#This Row],[Date]])</f>
        <v>2026</v>
      </c>
      <c r="D302" s="55" t="s">
        <v>329</v>
      </c>
      <c r="E302" s="55" t="s">
        <v>329</v>
      </c>
      <c r="F302" s="126" t="str">
        <f>TEXT(Table5[[#This Row],[Date]],"mmm-yy")</f>
        <v>Jan-26</v>
      </c>
      <c r="G302" s="124">
        <f t="shared" si="13"/>
        <v>31</v>
      </c>
      <c r="H302" s="125">
        <f t="shared" si="12"/>
        <v>46045</v>
      </c>
      <c r="I302" s="55">
        <v>8.02</v>
      </c>
      <c r="J302" s="59" t="str">
        <f>IFERROR(Inv_SY!J304/Inv_SY!$Y304-1,"")</f>
        <v/>
      </c>
      <c r="K302" s="59" t="str">
        <f>IFERROR(Inv_SY!K304/Inv_SY!$Y304-1,"")</f>
        <v/>
      </c>
      <c r="L302" s="59" t="str">
        <f>IFERROR(Inv_SY!L304/Inv_SY!$Y304-1,"")</f>
        <v/>
      </c>
      <c r="M302" s="59" t="str">
        <f>IFERROR(Inv_SY!M304/Inv_SY!$Y304-1,"")</f>
        <v/>
      </c>
      <c r="N302" s="59" t="str">
        <f>IFERROR(Inv_SY!N304/Inv_SY!$Y304-1,"")</f>
        <v/>
      </c>
      <c r="O302" s="59" t="str">
        <f>IFERROR(Inv_SY!O304/Inv_SY!$Y304-1,"")</f>
        <v/>
      </c>
      <c r="P302" s="59" t="str">
        <f>IFERROR(Inv_SY!P304/Inv_SY!$Y304-1,"")</f>
        <v/>
      </c>
      <c r="Q302" s="59" t="str">
        <f>IFERROR(Inv_SY!Q304/Inv_SY!$Y304-1,"")</f>
        <v/>
      </c>
      <c r="R302" s="59" t="str">
        <f>IFERROR(Inv_SY!R304/Inv_SY!$Y304-1,"")</f>
        <v/>
      </c>
      <c r="S302" s="59" t="str">
        <f>IFERROR(Inv_SY!S304/Inv_SY!$Y304-1,"")</f>
        <v/>
      </c>
      <c r="T302" s="59" t="str">
        <f>IFERROR(Inv_SY!T304/Inv_SY!$Y304-1,"")</f>
        <v/>
      </c>
      <c r="U302" s="59" t="str">
        <f>IFERROR(Inv_SY!U304/Inv_SY!$Y304-1,"")</f>
        <v/>
      </c>
      <c r="V302" s="59" t="str">
        <f>IFERROR(Inv_SY!J304/Inv_SY!$Z304-1,"")</f>
        <v/>
      </c>
      <c r="W302" s="59" t="str">
        <f>IFERROR(Inv_SY!K304/Inv_SY!$Z304-1,"")</f>
        <v/>
      </c>
      <c r="X302" s="59" t="str">
        <f>IFERROR(Inv_SY!L304/Inv_SY!$Z304-1,"")</f>
        <v/>
      </c>
      <c r="Y302" s="59" t="str">
        <f>IFERROR(Inv_SY!M304/Inv_SY!$Z304-1,"")</f>
        <v/>
      </c>
      <c r="Z302" s="59" t="str">
        <f>IFERROR(Inv_SY!N304/Inv_SY!$Z304-1,"")</f>
        <v/>
      </c>
      <c r="AA302" s="59" t="str">
        <f>IFERROR(Inv_SY!O304/Inv_SY!$Z304-1,"")</f>
        <v/>
      </c>
      <c r="AB302" s="59" t="str">
        <f>IFERROR(Inv_SY!P304/Inv_SY!$Z304-1,"")</f>
        <v/>
      </c>
      <c r="AC302" s="59" t="str">
        <f>IFERROR(Inv_SY!Q304/Inv_SY!$Z304-1,"")</f>
        <v/>
      </c>
      <c r="AD302" s="59" t="str">
        <f>IFERROR(Inv_SY!R304/Inv_SY!$Z304-1,"")</f>
        <v/>
      </c>
      <c r="AE302" s="59" t="str">
        <f>IFERROR(Inv_SY!S304/Inv_SY!$Z304-1,"")</f>
        <v/>
      </c>
      <c r="AF302" s="59" t="str">
        <f>IFERROR(Inv_SY!T304/Inv_SY!$Z304-1,"")</f>
        <v/>
      </c>
      <c r="AG302" s="59" t="str">
        <f>IFERROR(Inv_SY!U304/Inv_SY!$Z304-1,"")</f>
        <v/>
      </c>
      <c r="AH302" s="59" t="str">
        <f>IFERROR(Inv_SY!V304/Inv_SY!$Y304-1,"")</f>
        <v/>
      </c>
      <c r="AI302" s="59" t="str">
        <f>IFERROR(Inv_SY!W304/Inv_SY!$Y304-1,"")</f>
        <v/>
      </c>
      <c r="AJ302" s="59" t="str">
        <f>IFERROR(Inv_SY!X304/Inv_SY!$Y304-1,"")</f>
        <v/>
      </c>
      <c r="AK302" s="59" t="str">
        <f>IFERROR(Inv_SY!V304/Inv_SY!$Z304-1,"")</f>
        <v/>
      </c>
      <c r="AL302" s="59" t="str">
        <f>IFERROR(Inv_SY!W304/Inv_SY!$Z304-1,"")</f>
        <v/>
      </c>
      <c r="AM302" s="59" t="str">
        <f>IFERROR(Inv_SY!X304/Inv_SY!$Z304-1,"")</f>
        <v/>
      </c>
    </row>
    <row r="303" spans="1:39" x14ac:dyDescent="0.3">
      <c r="A303" s="55">
        <f>YEAR(Table5[[#This Row],[Date]])+IF(MONTH(Table5[[#This Row],[Date]])&gt;=4,1,0)</f>
        <v>2026</v>
      </c>
      <c r="B303" s="55">
        <v>263</v>
      </c>
      <c r="C303" s="124">
        <f>YEAR(Table5[[#This Row],[Date]])</f>
        <v>2026</v>
      </c>
      <c r="D303" s="55" t="s">
        <v>329</v>
      </c>
      <c r="E303" s="55" t="s">
        <v>329</v>
      </c>
      <c r="F303" s="126" t="str">
        <f>TEXT(Table5[[#This Row],[Date]],"mmm-yy")</f>
        <v>Jan-26</v>
      </c>
      <c r="G303" s="124">
        <f t="shared" si="13"/>
        <v>31</v>
      </c>
      <c r="H303" s="125">
        <f t="shared" si="12"/>
        <v>46046</v>
      </c>
      <c r="I303" s="55">
        <v>8.02</v>
      </c>
      <c r="J303" s="59" t="str">
        <f>IFERROR(Inv_SY!J305/Inv_SY!$Y305-1,"")</f>
        <v/>
      </c>
      <c r="K303" s="59" t="str">
        <f>IFERROR(Inv_SY!K305/Inv_SY!$Y305-1,"")</f>
        <v/>
      </c>
      <c r="L303" s="59" t="str">
        <f>IFERROR(Inv_SY!L305/Inv_SY!$Y305-1,"")</f>
        <v/>
      </c>
      <c r="M303" s="59" t="str">
        <f>IFERROR(Inv_SY!M305/Inv_SY!$Y305-1,"")</f>
        <v/>
      </c>
      <c r="N303" s="59" t="str">
        <f>IFERROR(Inv_SY!N305/Inv_SY!$Y305-1,"")</f>
        <v/>
      </c>
      <c r="O303" s="59" t="str">
        <f>IFERROR(Inv_SY!O305/Inv_SY!$Y305-1,"")</f>
        <v/>
      </c>
      <c r="P303" s="59" t="str">
        <f>IFERROR(Inv_SY!P305/Inv_SY!$Y305-1,"")</f>
        <v/>
      </c>
      <c r="Q303" s="59" t="str">
        <f>IFERROR(Inv_SY!Q305/Inv_SY!$Y305-1,"")</f>
        <v/>
      </c>
      <c r="R303" s="59" t="str">
        <f>IFERROR(Inv_SY!R305/Inv_SY!$Y305-1,"")</f>
        <v/>
      </c>
      <c r="S303" s="59" t="str">
        <f>IFERROR(Inv_SY!S305/Inv_SY!$Y305-1,"")</f>
        <v/>
      </c>
      <c r="T303" s="59" t="str">
        <f>IFERROR(Inv_SY!T305/Inv_SY!$Y305-1,"")</f>
        <v/>
      </c>
      <c r="U303" s="59" t="str">
        <f>IFERROR(Inv_SY!U305/Inv_SY!$Y305-1,"")</f>
        <v/>
      </c>
      <c r="V303" s="59" t="str">
        <f>IFERROR(Inv_SY!J305/Inv_SY!$Z305-1,"")</f>
        <v/>
      </c>
      <c r="W303" s="59" t="str">
        <f>IFERROR(Inv_SY!K305/Inv_SY!$Z305-1,"")</f>
        <v/>
      </c>
      <c r="X303" s="59" t="str">
        <f>IFERROR(Inv_SY!L305/Inv_SY!$Z305-1,"")</f>
        <v/>
      </c>
      <c r="Y303" s="59" t="str">
        <f>IFERROR(Inv_SY!M305/Inv_SY!$Z305-1,"")</f>
        <v/>
      </c>
      <c r="Z303" s="59" t="str">
        <f>IFERROR(Inv_SY!N305/Inv_SY!$Z305-1,"")</f>
        <v/>
      </c>
      <c r="AA303" s="59" t="str">
        <f>IFERROR(Inv_SY!O305/Inv_SY!$Z305-1,"")</f>
        <v/>
      </c>
      <c r="AB303" s="59" t="str">
        <f>IFERROR(Inv_SY!P305/Inv_SY!$Z305-1,"")</f>
        <v/>
      </c>
      <c r="AC303" s="59" t="str">
        <f>IFERROR(Inv_SY!Q305/Inv_SY!$Z305-1,"")</f>
        <v/>
      </c>
      <c r="AD303" s="59" t="str">
        <f>IFERROR(Inv_SY!R305/Inv_SY!$Z305-1,"")</f>
        <v/>
      </c>
      <c r="AE303" s="59" t="str">
        <f>IFERROR(Inv_SY!S305/Inv_SY!$Z305-1,"")</f>
        <v/>
      </c>
      <c r="AF303" s="59" t="str">
        <f>IFERROR(Inv_SY!T305/Inv_SY!$Z305-1,"")</f>
        <v/>
      </c>
      <c r="AG303" s="59" t="str">
        <f>IFERROR(Inv_SY!U305/Inv_SY!$Z305-1,"")</f>
        <v/>
      </c>
      <c r="AH303" s="59" t="str">
        <f>IFERROR(Inv_SY!V305/Inv_SY!$Y305-1,"")</f>
        <v/>
      </c>
      <c r="AI303" s="59" t="str">
        <f>IFERROR(Inv_SY!W305/Inv_SY!$Y305-1,"")</f>
        <v/>
      </c>
      <c r="AJ303" s="59" t="str">
        <f>IFERROR(Inv_SY!X305/Inv_SY!$Y305-1,"")</f>
        <v/>
      </c>
      <c r="AK303" s="59" t="str">
        <f>IFERROR(Inv_SY!V305/Inv_SY!$Z305-1,"")</f>
        <v/>
      </c>
      <c r="AL303" s="59" t="str">
        <f>IFERROR(Inv_SY!W305/Inv_SY!$Z305-1,"")</f>
        <v/>
      </c>
      <c r="AM303" s="59" t="str">
        <f>IFERROR(Inv_SY!X305/Inv_SY!$Z305-1,"")</f>
        <v/>
      </c>
    </row>
    <row r="304" spans="1:39" x14ac:dyDescent="0.3">
      <c r="A304" s="55">
        <f>YEAR(Table5[[#This Row],[Date]])+IF(MONTH(Table5[[#This Row],[Date]])&gt;=4,1,0)</f>
        <v>2026</v>
      </c>
      <c r="B304" s="55">
        <v>264</v>
      </c>
      <c r="C304" s="124">
        <f>YEAR(Table5[[#This Row],[Date]])</f>
        <v>2026</v>
      </c>
      <c r="D304" s="55" t="s">
        <v>329</v>
      </c>
      <c r="E304" s="55" t="s">
        <v>329</v>
      </c>
      <c r="F304" s="126" t="str">
        <f>TEXT(Table5[[#This Row],[Date]],"mmm-yy")</f>
        <v>Jan-26</v>
      </c>
      <c r="G304" s="124">
        <f t="shared" si="13"/>
        <v>31</v>
      </c>
      <c r="H304" s="125">
        <f t="shared" si="12"/>
        <v>46047</v>
      </c>
      <c r="I304" s="55">
        <v>8.02</v>
      </c>
      <c r="J304" s="59" t="str">
        <f>IFERROR(Inv_SY!J306/Inv_SY!$Y306-1,"")</f>
        <v/>
      </c>
      <c r="K304" s="59" t="str">
        <f>IFERROR(Inv_SY!K306/Inv_SY!$Y306-1,"")</f>
        <v/>
      </c>
      <c r="L304" s="59" t="str">
        <f>IFERROR(Inv_SY!L306/Inv_SY!$Y306-1,"")</f>
        <v/>
      </c>
      <c r="M304" s="59" t="str">
        <f>IFERROR(Inv_SY!M306/Inv_SY!$Y306-1,"")</f>
        <v/>
      </c>
      <c r="N304" s="59" t="str">
        <f>IFERROR(Inv_SY!N306/Inv_SY!$Y306-1,"")</f>
        <v/>
      </c>
      <c r="O304" s="59" t="str">
        <f>IFERROR(Inv_SY!O306/Inv_SY!$Y306-1,"")</f>
        <v/>
      </c>
      <c r="P304" s="59" t="str">
        <f>IFERROR(Inv_SY!P306/Inv_SY!$Y306-1,"")</f>
        <v/>
      </c>
      <c r="Q304" s="59" t="str">
        <f>IFERROR(Inv_SY!Q306/Inv_SY!$Y306-1,"")</f>
        <v/>
      </c>
      <c r="R304" s="59" t="str">
        <f>IFERROR(Inv_SY!R306/Inv_SY!$Y306-1,"")</f>
        <v/>
      </c>
      <c r="S304" s="59" t="str">
        <f>IFERROR(Inv_SY!S306/Inv_SY!$Y306-1,"")</f>
        <v/>
      </c>
      <c r="T304" s="59" t="str">
        <f>IFERROR(Inv_SY!T306/Inv_SY!$Y306-1,"")</f>
        <v/>
      </c>
      <c r="U304" s="59" t="str">
        <f>IFERROR(Inv_SY!U306/Inv_SY!$Y306-1,"")</f>
        <v/>
      </c>
      <c r="V304" s="59" t="str">
        <f>IFERROR(Inv_SY!J306/Inv_SY!$Z306-1,"")</f>
        <v/>
      </c>
      <c r="W304" s="59" t="str">
        <f>IFERROR(Inv_SY!K306/Inv_SY!$Z306-1,"")</f>
        <v/>
      </c>
      <c r="X304" s="59" t="str">
        <f>IFERROR(Inv_SY!L306/Inv_SY!$Z306-1,"")</f>
        <v/>
      </c>
      <c r="Y304" s="59" t="str">
        <f>IFERROR(Inv_SY!M306/Inv_SY!$Z306-1,"")</f>
        <v/>
      </c>
      <c r="Z304" s="59" t="str">
        <f>IFERROR(Inv_SY!N306/Inv_SY!$Z306-1,"")</f>
        <v/>
      </c>
      <c r="AA304" s="59" t="str">
        <f>IFERROR(Inv_SY!O306/Inv_SY!$Z306-1,"")</f>
        <v/>
      </c>
      <c r="AB304" s="59" t="str">
        <f>IFERROR(Inv_SY!P306/Inv_SY!$Z306-1,"")</f>
        <v/>
      </c>
      <c r="AC304" s="59" t="str">
        <f>IFERROR(Inv_SY!Q306/Inv_SY!$Z306-1,"")</f>
        <v/>
      </c>
      <c r="AD304" s="59" t="str">
        <f>IFERROR(Inv_SY!R306/Inv_SY!$Z306-1,"")</f>
        <v/>
      </c>
      <c r="AE304" s="59" t="str">
        <f>IFERROR(Inv_SY!S306/Inv_SY!$Z306-1,"")</f>
        <v/>
      </c>
      <c r="AF304" s="59" t="str">
        <f>IFERROR(Inv_SY!T306/Inv_SY!$Z306-1,"")</f>
        <v/>
      </c>
      <c r="AG304" s="59" t="str">
        <f>IFERROR(Inv_SY!U306/Inv_SY!$Z306-1,"")</f>
        <v/>
      </c>
      <c r="AH304" s="59" t="str">
        <f>IFERROR(Inv_SY!V306/Inv_SY!$Y306-1,"")</f>
        <v/>
      </c>
      <c r="AI304" s="59" t="str">
        <f>IFERROR(Inv_SY!W306/Inv_SY!$Y306-1,"")</f>
        <v/>
      </c>
      <c r="AJ304" s="59" t="str">
        <f>IFERROR(Inv_SY!X306/Inv_SY!$Y306-1,"")</f>
        <v/>
      </c>
      <c r="AK304" s="59" t="str">
        <f>IFERROR(Inv_SY!V306/Inv_SY!$Z306-1,"")</f>
        <v/>
      </c>
      <c r="AL304" s="59" t="str">
        <f>IFERROR(Inv_SY!W306/Inv_SY!$Z306-1,"")</f>
        <v/>
      </c>
      <c r="AM304" s="59" t="str">
        <f>IFERROR(Inv_SY!X306/Inv_SY!$Z306-1,"")</f>
        <v/>
      </c>
    </row>
    <row r="305" spans="1:39" x14ac:dyDescent="0.3">
      <c r="A305" s="55">
        <f>YEAR(Table5[[#This Row],[Date]])+IF(MONTH(Table5[[#This Row],[Date]])&gt;=4,1,0)</f>
        <v>2026</v>
      </c>
      <c r="B305" s="55">
        <v>265</v>
      </c>
      <c r="C305" s="124">
        <f>YEAR(Table5[[#This Row],[Date]])</f>
        <v>2026</v>
      </c>
      <c r="D305" s="55" t="s">
        <v>329</v>
      </c>
      <c r="E305" s="55" t="s">
        <v>329</v>
      </c>
      <c r="F305" s="126" t="str">
        <f>TEXT(Table5[[#This Row],[Date]],"mmm-yy")</f>
        <v>Jan-26</v>
      </c>
      <c r="G305" s="124">
        <f t="shared" si="13"/>
        <v>31</v>
      </c>
      <c r="H305" s="125">
        <f t="shared" si="12"/>
        <v>46048</v>
      </c>
      <c r="I305" s="55">
        <v>8.02</v>
      </c>
      <c r="J305" s="59" t="str">
        <f>IFERROR(Inv_SY!J307/Inv_SY!$Y307-1,"")</f>
        <v/>
      </c>
      <c r="K305" s="59" t="str">
        <f>IFERROR(Inv_SY!K307/Inv_SY!$Y307-1,"")</f>
        <v/>
      </c>
      <c r="L305" s="59" t="str">
        <f>IFERROR(Inv_SY!L307/Inv_SY!$Y307-1,"")</f>
        <v/>
      </c>
      <c r="M305" s="59" t="str">
        <f>IFERROR(Inv_SY!M307/Inv_SY!$Y307-1,"")</f>
        <v/>
      </c>
      <c r="N305" s="59" t="str">
        <f>IFERROR(Inv_SY!N307/Inv_SY!$Y307-1,"")</f>
        <v/>
      </c>
      <c r="O305" s="59" t="str">
        <f>IFERROR(Inv_SY!O307/Inv_SY!$Y307-1,"")</f>
        <v/>
      </c>
      <c r="P305" s="59" t="str">
        <f>IFERROR(Inv_SY!P307/Inv_SY!$Y307-1,"")</f>
        <v/>
      </c>
      <c r="Q305" s="59" t="str">
        <f>IFERROR(Inv_SY!Q307/Inv_SY!$Y307-1,"")</f>
        <v/>
      </c>
      <c r="R305" s="59" t="str">
        <f>IFERROR(Inv_SY!R307/Inv_SY!$Y307-1,"")</f>
        <v/>
      </c>
      <c r="S305" s="59" t="str">
        <f>IFERROR(Inv_SY!S307/Inv_SY!$Y307-1,"")</f>
        <v/>
      </c>
      <c r="T305" s="59" t="str">
        <f>IFERROR(Inv_SY!T307/Inv_SY!$Y307-1,"")</f>
        <v/>
      </c>
      <c r="U305" s="59" t="str">
        <f>IFERROR(Inv_SY!U307/Inv_SY!$Y307-1,"")</f>
        <v/>
      </c>
      <c r="V305" s="59" t="str">
        <f>IFERROR(Inv_SY!J307/Inv_SY!$Z307-1,"")</f>
        <v/>
      </c>
      <c r="W305" s="59" t="str">
        <f>IFERROR(Inv_SY!K307/Inv_SY!$Z307-1,"")</f>
        <v/>
      </c>
      <c r="X305" s="59" t="str">
        <f>IFERROR(Inv_SY!L307/Inv_SY!$Z307-1,"")</f>
        <v/>
      </c>
      <c r="Y305" s="59" t="str">
        <f>IFERROR(Inv_SY!M307/Inv_SY!$Z307-1,"")</f>
        <v/>
      </c>
      <c r="Z305" s="59" t="str">
        <f>IFERROR(Inv_SY!N307/Inv_SY!$Z307-1,"")</f>
        <v/>
      </c>
      <c r="AA305" s="59" t="str">
        <f>IFERROR(Inv_SY!O307/Inv_SY!$Z307-1,"")</f>
        <v/>
      </c>
      <c r="AB305" s="59" t="str">
        <f>IFERROR(Inv_SY!P307/Inv_SY!$Z307-1,"")</f>
        <v/>
      </c>
      <c r="AC305" s="59" t="str">
        <f>IFERROR(Inv_SY!Q307/Inv_SY!$Z307-1,"")</f>
        <v/>
      </c>
      <c r="AD305" s="59" t="str">
        <f>IFERROR(Inv_SY!R307/Inv_SY!$Z307-1,"")</f>
        <v/>
      </c>
      <c r="AE305" s="59" t="str">
        <f>IFERROR(Inv_SY!S307/Inv_SY!$Z307-1,"")</f>
        <v/>
      </c>
      <c r="AF305" s="59" t="str">
        <f>IFERROR(Inv_SY!T307/Inv_SY!$Z307-1,"")</f>
        <v/>
      </c>
      <c r="AG305" s="59" t="str">
        <f>IFERROR(Inv_SY!U307/Inv_SY!$Z307-1,"")</f>
        <v/>
      </c>
      <c r="AH305" s="59" t="str">
        <f>IFERROR(Inv_SY!V307/Inv_SY!$Y307-1,"")</f>
        <v/>
      </c>
      <c r="AI305" s="59" t="str">
        <f>IFERROR(Inv_SY!W307/Inv_SY!$Y307-1,"")</f>
        <v/>
      </c>
      <c r="AJ305" s="59" t="str">
        <f>IFERROR(Inv_SY!X307/Inv_SY!$Y307-1,"")</f>
        <v/>
      </c>
      <c r="AK305" s="59" t="str">
        <f>IFERROR(Inv_SY!V307/Inv_SY!$Z307-1,"")</f>
        <v/>
      </c>
      <c r="AL305" s="59" t="str">
        <f>IFERROR(Inv_SY!W307/Inv_SY!$Z307-1,"")</f>
        <v/>
      </c>
      <c r="AM305" s="59" t="str">
        <f>IFERROR(Inv_SY!X307/Inv_SY!$Z307-1,"")</f>
        <v/>
      </c>
    </row>
    <row r="306" spans="1:39" x14ac:dyDescent="0.3">
      <c r="A306" s="55">
        <f>YEAR(Table5[[#This Row],[Date]])+IF(MONTH(Table5[[#This Row],[Date]])&gt;=4,1,0)</f>
        <v>2026</v>
      </c>
      <c r="B306" s="55">
        <v>266</v>
      </c>
      <c r="C306" s="124">
        <f>YEAR(Table5[[#This Row],[Date]])</f>
        <v>2026</v>
      </c>
      <c r="D306" s="55" t="s">
        <v>329</v>
      </c>
      <c r="E306" s="55" t="s">
        <v>329</v>
      </c>
      <c r="F306" s="126" t="str">
        <f>TEXT(Table5[[#This Row],[Date]],"mmm-yy")</f>
        <v>Jan-26</v>
      </c>
      <c r="G306" s="124">
        <f t="shared" si="13"/>
        <v>31</v>
      </c>
      <c r="H306" s="125">
        <f t="shared" si="12"/>
        <v>46049</v>
      </c>
      <c r="I306" s="55">
        <v>8.02</v>
      </c>
      <c r="J306" s="59" t="str">
        <f>IFERROR(Inv_SY!J308/Inv_SY!$Y308-1,"")</f>
        <v/>
      </c>
      <c r="K306" s="59" t="str">
        <f>IFERROR(Inv_SY!K308/Inv_SY!$Y308-1,"")</f>
        <v/>
      </c>
      <c r="L306" s="59" t="str">
        <f>IFERROR(Inv_SY!L308/Inv_SY!$Y308-1,"")</f>
        <v/>
      </c>
      <c r="M306" s="59" t="str">
        <f>IFERROR(Inv_SY!M308/Inv_SY!$Y308-1,"")</f>
        <v/>
      </c>
      <c r="N306" s="59" t="str">
        <f>IFERROR(Inv_SY!N308/Inv_SY!$Y308-1,"")</f>
        <v/>
      </c>
      <c r="O306" s="59" t="str">
        <f>IFERROR(Inv_SY!O308/Inv_SY!$Y308-1,"")</f>
        <v/>
      </c>
      <c r="P306" s="59" t="str">
        <f>IFERROR(Inv_SY!P308/Inv_SY!$Y308-1,"")</f>
        <v/>
      </c>
      <c r="Q306" s="59" t="str">
        <f>IFERROR(Inv_SY!Q308/Inv_SY!$Y308-1,"")</f>
        <v/>
      </c>
      <c r="R306" s="59" t="str">
        <f>IFERROR(Inv_SY!R308/Inv_SY!$Y308-1,"")</f>
        <v/>
      </c>
      <c r="S306" s="59" t="str">
        <f>IFERROR(Inv_SY!S308/Inv_SY!$Y308-1,"")</f>
        <v/>
      </c>
      <c r="T306" s="59" t="str">
        <f>IFERROR(Inv_SY!T308/Inv_SY!$Y308-1,"")</f>
        <v/>
      </c>
      <c r="U306" s="59" t="str">
        <f>IFERROR(Inv_SY!U308/Inv_SY!$Y308-1,"")</f>
        <v/>
      </c>
      <c r="V306" s="59" t="str">
        <f>IFERROR(Inv_SY!J308/Inv_SY!$Z308-1,"")</f>
        <v/>
      </c>
      <c r="W306" s="59" t="str">
        <f>IFERROR(Inv_SY!K308/Inv_SY!$Z308-1,"")</f>
        <v/>
      </c>
      <c r="X306" s="59" t="str">
        <f>IFERROR(Inv_SY!L308/Inv_SY!$Z308-1,"")</f>
        <v/>
      </c>
      <c r="Y306" s="59" t="str">
        <f>IFERROR(Inv_SY!M308/Inv_SY!$Z308-1,"")</f>
        <v/>
      </c>
      <c r="Z306" s="59" t="str">
        <f>IFERROR(Inv_SY!N308/Inv_SY!$Z308-1,"")</f>
        <v/>
      </c>
      <c r="AA306" s="59" t="str">
        <f>IFERROR(Inv_SY!O308/Inv_SY!$Z308-1,"")</f>
        <v/>
      </c>
      <c r="AB306" s="59" t="str">
        <f>IFERROR(Inv_SY!P308/Inv_SY!$Z308-1,"")</f>
        <v/>
      </c>
      <c r="AC306" s="59" t="str">
        <f>IFERROR(Inv_SY!Q308/Inv_SY!$Z308-1,"")</f>
        <v/>
      </c>
      <c r="AD306" s="59" t="str">
        <f>IFERROR(Inv_SY!R308/Inv_SY!$Z308-1,"")</f>
        <v/>
      </c>
      <c r="AE306" s="59" t="str">
        <f>IFERROR(Inv_SY!S308/Inv_SY!$Z308-1,"")</f>
        <v/>
      </c>
      <c r="AF306" s="59" t="str">
        <f>IFERROR(Inv_SY!T308/Inv_SY!$Z308-1,"")</f>
        <v/>
      </c>
      <c r="AG306" s="59" t="str">
        <f>IFERROR(Inv_SY!U308/Inv_SY!$Z308-1,"")</f>
        <v/>
      </c>
      <c r="AH306" s="59" t="str">
        <f>IFERROR(Inv_SY!V308/Inv_SY!$Y308-1,"")</f>
        <v/>
      </c>
      <c r="AI306" s="59" t="str">
        <f>IFERROR(Inv_SY!W308/Inv_SY!$Y308-1,"")</f>
        <v/>
      </c>
      <c r="AJ306" s="59" t="str">
        <f>IFERROR(Inv_SY!X308/Inv_SY!$Y308-1,"")</f>
        <v/>
      </c>
      <c r="AK306" s="59" t="str">
        <f>IFERROR(Inv_SY!V308/Inv_SY!$Z308-1,"")</f>
        <v/>
      </c>
      <c r="AL306" s="59" t="str">
        <f>IFERROR(Inv_SY!W308/Inv_SY!$Z308-1,"")</f>
        <v/>
      </c>
      <c r="AM306" s="59" t="str">
        <f>IFERROR(Inv_SY!X308/Inv_SY!$Z308-1,"")</f>
        <v/>
      </c>
    </row>
    <row r="307" spans="1:39" x14ac:dyDescent="0.3">
      <c r="A307" s="55">
        <f>YEAR(Table5[[#This Row],[Date]])+IF(MONTH(Table5[[#This Row],[Date]])&gt;=4,1,0)</f>
        <v>2026</v>
      </c>
      <c r="B307" s="55">
        <v>267</v>
      </c>
      <c r="C307" s="124">
        <f>YEAR(Table5[[#This Row],[Date]])</f>
        <v>2026</v>
      </c>
      <c r="D307" s="55" t="s">
        <v>329</v>
      </c>
      <c r="E307" s="55" t="s">
        <v>329</v>
      </c>
      <c r="F307" s="126" t="str">
        <f>TEXT(Table5[[#This Row],[Date]],"mmm-yy")</f>
        <v>Jan-26</v>
      </c>
      <c r="G307" s="124">
        <f t="shared" si="13"/>
        <v>31</v>
      </c>
      <c r="H307" s="125">
        <f t="shared" si="12"/>
        <v>46050</v>
      </c>
      <c r="I307" s="55">
        <v>8.02</v>
      </c>
      <c r="J307" s="59" t="str">
        <f>IFERROR(Inv_SY!J309/Inv_SY!$Y309-1,"")</f>
        <v/>
      </c>
      <c r="K307" s="59" t="str">
        <f>IFERROR(Inv_SY!K309/Inv_SY!$Y309-1,"")</f>
        <v/>
      </c>
      <c r="L307" s="59" t="str">
        <f>IFERROR(Inv_SY!L309/Inv_SY!$Y309-1,"")</f>
        <v/>
      </c>
      <c r="M307" s="59" t="str">
        <f>IFERROR(Inv_SY!M309/Inv_SY!$Y309-1,"")</f>
        <v/>
      </c>
      <c r="N307" s="59" t="str">
        <f>IFERROR(Inv_SY!N309/Inv_SY!$Y309-1,"")</f>
        <v/>
      </c>
      <c r="O307" s="59" t="str">
        <f>IFERROR(Inv_SY!O309/Inv_SY!$Y309-1,"")</f>
        <v/>
      </c>
      <c r="P307" s="59" t="str">
        <f>IFERROR(Inv_SY!P309/Inv_SY!$Y309-1,"")</f>
        <v/>
      </c>
      <c r="Q307" s="59" t="str">
        <f>IFERROR(Inv_SY!Q309/Inv_SY!$Y309-1,"")</f>
        <v/>
      </c>
      <c r="R307" s="59" t="str">
        <f>IFERROR(Inv_SY!R309/Inv_SY!$Y309-1,"")</f>
        <v/>
      </c>
      <c r="S307" s="59" t="str">
        <f>IFERROR(Inv_SY!S309/Inv_SY!$Y309-1,"")</f>
        <v/>
      </c>
      <c r="T307" s="59" t="str">
        <f>IFERROR(Inv_SY!T309/Inv_SY!$Y309-1,"")</f>
        <v/>
      </c>
      <c r="U307" s="59" t="str">
        <f>IFERROR(Inv_SY!U309/Inv_SY!$Y309-1,"")</f>
        <v/>
      </c>
      <c r="V307" s="59" t="str">
        <f>IFERROR(Inv_SY!J309/Inv_SY!$Z309-1,"")</f>
        <v/>
      </c>
      <c r="W307" s="59" t="str">
        <f>IFERROR(Inv_SY!K309/Inv_SY!$Z309-1,"")</f>
        <v/>
      </c>
      <c r="X307" s="59" t="str">
        <f>IFERROR(Inv_SY!L309/Inv_SY!$Z309-1,"")</f>
        <v/>
      </c>
      <c r="Y307" s="59" t="str">
        <f>IFERROR(Inv_SY!M309/Inv_SY!$Z309-1,"")</f>
        <v/>
      </c>
      <c r="Z307" s="59" t="str">
        <f>IFERROR(Inv_SY!N309/Inv_SY!$Z309-1,"")</f>
        <v/>
      </c>
      <c r="AA307" s="59" t="str">
        <f>IFERROR(Inv_SY!O309/Inv_SY!$Z309-1,"")</f>
        <v/>
      </c>
      <c r="AB307" s="59" t="str">
        <f>IFERROR(Inv_SY!P309/Inv_SY!$Z309-1,"")</f>
        <v/>
      </c>
      <c r="AC307" s="59" t="str">
        <f>IFERROR(Inv_SY!Q309/Inv_SY!$Z309-1,"")</f>
        <v/>
      </c>
      <c r="AD307" s="59" t="str">
        <f>IFERROR(Inv_SY!R309/Inv_SY!$Z309-1,"")</f>
        <v/>
      </c>
      <c r="AE307" s="59" t="str">
        <f>IFERROR(Inv_SY!S309/Inv_SY!$Z309-1,"")</f>
        <v/>
      </c>
      <c r="AF307" s="59" t="str">
        <f>IFERROR(Inv_SY!T309/Inv_SY!$Z309-1,"")</f>
        <v/>
      </c>
      <c r="AG307" s="59" t="str">
        <f>IFERROR(Inv_SY!U309/Inv_SY!$Z309-1,"")</f>
        <v/>
      </c>
      <c r="AH307" s="59" t="str">
        <f>IFERROR(Inv_SY!V309/Inv_SY!$Y309-1,"")</f>
        <v/>
      </c>
      <c r="AI307" s="59" t="str">
        <f>IFERROR(Inv_SY!W309/Inv_SY!$Y309-1,"")</f>
        <v/>
      </c>
      <c r="AJ307" s="59" t="str">
        <f>IFERROR(Inv_SY!X309/Inv_SY!$Y309-1,"")</f>
        <v/>
      </c>
      <c r="AK307" s="59" t="str">
        <f>IFERROR(Inv_SY!V309/Inv_SY!$Z309-1,"")</f>
        <v/>
      </c>
      <c r="AL307" s="59" t="str">
        <f>IFERROR(Inv_SY!W309/Inv_SY!$Z309-1,"")</f>
        <v/>
      </c>
      <c r="AM307" s="59" t="str">
        <f>IFERROR(Inv_SY!X309/Inv_SY!$Z309-1,"")</f>
        <v/>
      </c>
    </row>
    <row r="308" spans="1:39" x14ac:dyDescent="0.3">
      <c r="A308" s="55">
        <f>YEAR(Table5[[#This Row],[Date]])+IF(MONTH(Table5[[#This Row],[Date]])&gt;=4,1,0)</f>
        <v>2026</v>
      </c>
      <c r="B308" s="55">
        <v>268</v>
      </c>
      <c r="C308" s="124">
        <f>YEAR(Table5[[#This Row],[Date]])</f>
        <v>2026</v>
      </c>
      <c r="D308" s="55" t="s">
        <v>329</v>
      </c>
      <c r="E308" s="55" t="s">
        <v>329</v>
      </c>
      <c r="F308" s="126" t="str">
        <f>TEXT(Table5[[#This Row],[Date]],"mmm-yy")</f>
        <v>Jan-26</v>
      </c>
      <c r="G308" s="124">
        <f t="shared" si="13"/>
        <v>31</v>
      </c>
      <c r="H308" s="125">
        <f t="shared" si="12"/>
        <v>46051</v>
      </c>
      <c r="I308" s="55">
        <v>8.02</v>
      </c>
      <c r="J308" s="59" t="str">
        <f>IFERROR(Inv_SY!J310/Inv_SY!$Y310-1,"")</f>
        <v/>
      </c>
      <c r="K308" s="59" t="str">
        <f>IFERROR(Inv_SY!K310/Inv_SY!$Y310-1,"")</f>
        <v/>
      </c>
      <c r="L308" s="59" t="str">
        <f>IFERROR(Inv_SY!L310/Inv_SY!$Y310-1,"")</f>
        <v/>
      </c>
      <c r="M308" s="59" t="str">
        <f>IFERROR(Inv_SY!M310/Inv_SY!$Y310-1,"")</f>
        <v/>
      </c>
      <c r="N308" s="59" t="str">
        <f>IFERROR(Inv_SY!N310/Inv_SY!$Y310-1,"")</f>
        <v/>
      </c>
      <c r="O308" s="59" t="str">
        <f>IFERROR(Inv_SY!O310/Inv_SY!$Y310-1,"")</f>
        <v/>
      </c>
      <c r="P308" s="59" t="str">
        <f>IFERROR(Inv_SY!P310/Inv_SY!$Y310-1,"")</f>
        <v/>
      </c>
      <c r="Q308" s="59" t="str">
        <f>IFERROR(Inv_SY!Q310/Inv_SY!$Y310-1,"")</f>
        <v/>
      </c>
      <c r="R308" s="59" t="str">
        <f>IFERROR(Inv_SY!R310/Inv_SY!$Y310-1,"")</f>
        <v/>
      </c>
      <c r="S308" s="59" t="str">
        <f>IFERROR(Inv_SY!S310/Inv_SY!$Y310-1,"")</f>
        <v/>
      </c>
      <c r="T308" s="59" t="str">
        <f>IFERROR(Inv_SY!T310/Inv_SY!$Y310-1,"")</f>
        <v/>
      </c>
      <c r="U308" s="59" t="str">
        <f>IFERROR(Inv_SY!U310/Inv_SY!$Y310-1,"")</f>
        <v/>
      </c>
      <c r="V308" s="59" t="str">
        <f>IFERROR(Inv_SY!J310/Inv_SY!$Z310-1,"")</f>
        <v/>
      </c>
      <c r="W308" s="59" t="str">
        <f>IFERROR(Inv_SY!K310/Inv_SY!$Z310-1,"")</f>
        <v/>
      </c>
      <c r="X308" s="59" t="str">
        <f>IFERROR(Inv_SY!L310/Inv_SY!$Z310-1,"")</f>
        <v/>
      </c>
      <c r="Y308" s="59" t="str">
        <f>IFERROR(Inv_SY!M310/Inv_SY!$Z310-1,"")</f>
        <v/>
      </c>
      <c r="Z308" s="59" t="str">
        <f>IFERROR(Inv_SY!N310/Inv_SY!$Z310-1,"")</f>
        <v/>
      </c>
      <c r="AA308" s="59" t="str">
        <f>IFERROR(Inv_SY!O310/Inv_SY!$Z310-1,"")</f>
        <v/>
      </c>
      <c r="AB308" s="59" t="str">
        <f>IFERROR(Inv_SY!P310/Inv_SY!$Z310-1,"")</f>
        <v/>
      </c>
      <c r="AC308" s="59" t="str">
        <f>IFERROR(Inv_SY!Q310/Inv_SY!$Z310-1,"")</f>
        <v/>
      </c>
      <c r="AD308" s="59" t="str">
        <f>IFERROR(Inv_SY!R310/Inv_SY!$Z310-1,"")</f>
        <v/>
      </c>
      <c r="AE308" s="59" t="str">
        <f>IFERROR(Inv_SY!S310/Inv_SY!$Z310-1,"")</f>
        <v/>
      </c>
      <c r="AF308" s="59" t="str">
        <f>IFERROR(Inv_SY!T310/Inv_SY!$Z310-1,"")</f>
        <v/>
      </c>
      <c r="AG308" s="59" t="str">
        <f>IFERROR(Inv_SY!U310/Inv_SY!$Z310-1,"")</f>
        <v/>
      </c>
      <c r="AH308" s="59" t="str">
        <f>IFERROR(Inv_SY!V310/Inv_SY!$Y310-1,"")</f>
        <v/>
      </c>
      <c r="AI308" s="59" t="str">
        <f>IFERROR(Inv_SY!W310/Inv_SY!$Y310-1,"")</f>
        <v/>
      </c>
      <c r="AJ308" s="59" t="str">
        <f>IFERROR(Inv_SY!X310/Inv_SY!$Y310-1,"")</f>
        <v/>
      </c>
      <c r="AK308" s="59" t="str">
        <f>IFERROR(Inv_SY!V310/Inv_SY!$Z310-1,"")</f>
        <v/>
      </c>
      <c r="AL308" s="59" t="str">
        <f>IFERROR(Inv_SY!W310/Inv_SY!$Z310-1,"")</f>
        <v/>
      </c>
      <c r="AM308" s="59" t="str">
        <f>IFERROR(Inv_SY!X310/Inv_SY!$Z310-1,"")</f>
        <v/>
      </c>
    </row>
    <row r="309" spans="1:39" x14ac:dyDescent="0.3">
      <c r="A309" s="55">
        <f>YEAR(Table5[[#This Row],[Date]])+IF(MONTH(Table5[[#This Row],[Date]])&gt;=4,1,0)</f>
        <v>2026</v>
      </c>
      <c r="B309" s="55">
        <v>269</v>
      </c>
      <c r="C309" s="124">
        <f>YEAR(Table5[[#This Row],[Date]])</f>
        <v>2026</v>
      </c>
      <c r="D309" s="55" t="s">
        <v>329</v>
      </c>
      <c r="E309" s="55" t="s">
        <v>329</v>
      </c>
      <c r="F309" s="126" t="str">
        <f>TEXT(Table5[[#This Row],[Date]],"mmm-yy")</f>
        <v>Jan-26</v>
      </c>
      <c r="G309" s="124">
        <f t="shared" si="13"/>
        <v>31</v>
      </c>
      <c r="H309" s="125">
        <f t="shared" si="12"/>
        <v>46052</v>
      </c>
      <c r="I309" s="55">
        <v>8.02</v>
      </c>
      <c r="J309" s="59" t="str">
        <f>IFERROR(Inv_SY!J311/Inv_SY!$Y311-1,"")</f>
        <v/>
      </c>
      <c r="K309" s="59" t="str">
        <f>IFERROR(Inv_SY!K311/Inv_SY!$Y311-1,"")</f>
        <v/>
      </c>
      <c r="L309" s="59" t="str">
        <f>IFERROR(Inv_SY!L311/Inv_SY!$Y311-1,"")</f>
        <v/>
      </c>
      <c r="M309" s="59" t="str">
        <f>IFERROR(Inv_SY!M311/Inv_SY!$Y311-1,"")</f>
        <v/>
      </c>
      <c r="N309" s="59" t="str">
        <f>IFERROR(Inv_SY!N311/Inv_SY!$Y311-1,"")</f>
        <v/>
      </c>
      <c r="O309" s="59" t="str">
        <f>IFERROR(Inv_SY!O311/Inv_SY!$Y311-1,"")</f>
        <v/>
      </c>
      <c r="P309" s="59" t="str">
        <f>IFERROR(Inv_SY!P311/Inv_SY!$Y311-1,"")</f>
        <v/>
      </c>
      <c r="Q309" s="59" t="str">
        <f>IFERROR(Inv_SY!Q311/Inv_SY!$Y311-1,"")</f>
        <v/>
      </c>
      <c r="R309" s="59" t="str">
        <f>IFERROR(Inv_SY!R311/Inv_SY!$Y311-1,"")</f>
        <v/>
      </c>
      <c r="S309" s="59" t="str">
        <f>IFERROR(Inv_SY!S311/Inv_SY!$Y311-1,"")</f>
        <v/>
      </c>
      <c r="T309" s="59" t="str">
        <f>IFERROR(Inv_SY!T311/Inv_SY!$Y311-1,"")</f>
        <v/>
      </c>
      <c r="U309" s="59" t="str">
        <f>IFERROR(Inv_SY!U311/Inv_SY!$Y311-1,"")</f>
        <v/>
      </c>
      <c r="V309" s="59" t="str">
        <f>IFERROR(Inv_SY!J311/Inv_SY!$Z311-1,"")</f>
        <v/>
      </c>
      <c r="W309" s="59" t="str">
        <f>IFERROR(Inv_SY!K311/Inv_SY!$Z311-1,"")</f>
        <v/>
      </c>
      <c r="X309" s="59" t="str">
        <f>IFERROR(Inv_SY!L311/Inv_SY!$Z311-1,"")</f>
        <v/>
      </c>
      <c r="Y309" s="59" t="str">
        <f>IFERROR(Inv_SY!M311/Inv_SY!$Z311-1,"")</f>
        <v/>
      </c>
      <c r="Z309" s="59" t="str">
        <f>IFERROR(Inv_SY!N311/Inv_SY!$Z311-1,"")</f>
        <v/>
      </c>
      <c r="AA309" s="59" t="str">
        <f>IFERROR(Inv_SY!O311/Inv_SY!$Z311-1,"")</f>
        <v/>
      </c>
      <c r="AB309" s="59" t="str">
        <f>IFERROR(Inv_SY!P311/Inv_SY!$Z311-1,"")</f>
        <v/>
      </c>
      <c r="AC309" s="59" t="str">
        <f>IFERROR(Inv_SY!Q311/Inv_SY!$Z311-1,"")</f>
        <v/>
      </c>
      <c r="AD309" s="59" t="str">
        <f>IFERROR(Inv_SY!R311/Inv_SY!$Z311-1,"")</f>
        <v/>
      </c>
      <c r="AE309" s="59" t="str">
        <f>IFERROR(Inv_SY!S311/Inv_SY!$Z311-1,"")</f>
        <v/>
      </c>
      <c r="AF309" s="59" t="str">
        <f>IFERROR(Inv_SY!T311/Inv_SY!$Z311-1,"")</f>
        <v/>
      </c>
      <c r="AG309" s="59" t="str">
        <f>IFERROR(Inv_SY!U311/Inv_SY!$Z311-1,"")</f>
        <v/>
      </c>
      <c r="AH309" s="59" t="str">
        <f>IFERROR(Inv_SY!V311/Inv_SY!$Y311-1,"")</f>
        <v/>
      </c>
      <c r="AI309" s="59" t="str">
        <f>IFERROR(Inv_SY!W311/Inv_SY!$Y311-1,"")</f>
        <v/>
      </c>
      <c r="AJ309" s="59" t="str">
        <f>IFERROR(Inv_SY!X311/Inv_SY!$Y311-1,"")</f>
        <v/>
      </c>
      <c r="AK309" s="59" t="str">
        <f>IFERROR(Inv_SY!V311/Inv_SY!$Z311-1,"")</f>
        <v/>
      </c>
      <c r="AL309" s="59" t="str">
        <f>IFERROR(Inv_SY!W311/Inv_SY!$Z311-1,"")</f>
        <v/>
      </c>
      <c r="AM309" s="59" t="str">
        <f>IFERROR(Inv_SY!X311/Inv_SY!$Z311-1,"")</f>
        <v/>
      </c>
    </row>
    <row r="310" spans="1:39" x14ac:dyDescent="0.3">
      <c r="A310" s="55">
        <f>YEAR(Table5[[#This Row],[Date]])+IF(MONTH(Table5[[#This Row],[Date]])&gt;=4,1,0)</f>
        <v>2026</v>
      </c>
      <c r="B310" s="55">
        <v>270</v>
      </c>
      <c r="C310" s="124">
        <f>YEAR(Table5[[#This Row],[Date]])</f>
        <v>2026</v>
      </c>
      <c r="D310" s="55" t="s">
        <v>329</v>
      </c>
      <c r="E310" s="55" t="s">
        <v>329</v>
      </c>
      <c r="F310" s="126" t="str">
        <f>TEXT(Table5[[#This Row],[Date]],"mmm-yy")</f>
        <v>Jan-26</v>
      </c>
      <c r="G310" s="124">
        <f t="shared" si="13"/>
        <v>31</v>
      </c>
      <c r="H310" s="125">
        <f t="shared" si="12"/>
        <v>46053</v>
      </c>
      <c r="I310" s="55">
        <v>8.02</v>
      </c>
      <c r="J310" s="59" t="str">
        <f>IFERROR(Inv_SY!J312/Inv_SY!$Y312-1,"")</f>
        <v/>
      </c>
      <c r="K310" s="59" t="str">
        <f>IFERROR(Inv_SY!K312/Inv_SY!$Y312-1,"")</f>
        <v/>
      </c>
      <c r="L310" s="59" t="str">
        <f>IFERROR(Inv_SY!L312/Inv_SY!$Y312-1,"")</f>
        <v/>
      </c>
      <c r="M310" s="59" t="str">
        <f>IFERROR(Inv_SY!M312/Inv_SY!$Y312-1,"")</f>
        <v/>
      </c>
      <c r="N310" s="59" t="str">
        <f>IFERROR(Inv_SY!N312/Inv_SY!$Y312-1,"")</f>
        <v/>
      </c>
      <c r="O310" s="59" t="str">
        <f>IFERROR(Inv_SY!O312/Inv_SY!$Y312-1,"")</f>
        <v/>
      </c>
      <c r="P310" s="59" t="str">
        <f>IFERROR(Inv_SY!P312/Inv_SY!$Y312-1,"")</f>
        <v/>
      </c>
      <c r="Q310" s="59" t="str">
        <f>IFERROR(Inv_SY!Q312/Inv_SY!$Y312-1,"")</f>
        <v/>
      </c>
      <c r="R310" s="59" t="str">
        <f>IFERROR(Inv_SY!R312/Inv_SY!$Y312-1,"")</f>
        <v/>
      </c>
      <c r="S310" s="59" t="str">
        <f>IFERROR(Inv_SY!S312/Inv_SY!$Y312-1,"")</f>
        <v/>
      </c>
      <c r="T310" s="59" t="str">
        <f>IFERROR(Inv_SY!T312/Inv_SY!$Y312-1,"")</f>
        <v/>
      </c>
      <c r="U310" s="59" t="str">
        <f>IFERROR(Inv_SY!U312/Inv_SY!$Y312-1,"")</f>
        <v/>
      </c>
      <c r="V310" s="59" t="str">
        <f>IFERROR(Inv_SY!J312/Inv_SY!$Z312-1,"")</f>
        <v/>
      </c>
      <c r="W310" s="59" t="str">
        <f>IFERROR(Inv_SY!K312/Inv_SY!$Z312-1,"")</f>
        <v/>
      </c>
      <c r="X310" s="59" t="str">
        <f>IFERROR(Inv_SY!L312/Inv_SY!$Z312-1,"")</f>
        <v/>
      </c>
      <c r="Y310" s="59" t="str">
        <f>IFERROR(Inv_SY!M312/Inv_SY!$Z312-1,"")</f>
        <v/>
      </c>
      <c r="Z310" s="59" t="str">
        <f>IFERROR(Inv_SY!N312/Inv_SY!$Z312-1,"")</f>
        <v/>
      </c>
      <c r="AA310" s="59" t="str">
        <f>IFERROR(Inv_SY!O312/Inv_SY!$Z312-1,"")</f>
        <v/>
      </c>
      <c r="AB310" s="59" t="str">
        <f>IFERROR(Inv_SY!P312/Inv_SY!$Z312-1,"")</f>
        <v/>
      </c>
      <c r="AC310" s="59" t="str">
        <f>IFERROR(Inv_SY!Q312/Inv_SY!$Z312-1,"")</f>
        <v/>
      </c>
      <c r="AD310" s="59" t="str">
        <f>IFERROR(Inv_SY!R312/Inv_SY!$Z312-1,"")</f>
        <v/>
      </c>
      <c r="AE310" s="59" t="str">
        <f>IFERROR(Inv_SY!S312/Inv_SY!$Z312-1,"")</f>
        <v/>
      </c>
      <c r="AF310" s="59" t="str">
        <f>IFERROR(Inv_SY!T312/Inv_SY!$Z312-1,"")</f>
        <v/>
      </c>
      <c r="AG310" s="59" t="str">
        <f>IFERROR(Inv_SY!U312/Inv_SY!$Z312-1,"")</f>
        <v/>
      </c>
      <c r="AH310" s="59" t="str">
        <f>IFERROR(Inv_SY!V312/Inv_SY!$Y312-1,"")</f>
        <v/>
      </c>
      <c r="AI310" s="59" t="str">
        <f>IFERROR(Inv_SY!W312/Inv_SY!$Y312-1,"")</f>
        <v/>
      </c>
      <c r="AJ310" s="59" t="str">
        <f>IFERROR(Inv_SY!X312/Inv_SY!$Y312-1,"")</f>
        <v/>
      </c>
      <c r="AK310" s="59" t="str">
        <f>IFERROR(Inv_SY!V312/Inv_SY!$Z312-1,"")</f>
        <v/>
      </c>
      <c r="AL310" s="59" t="str">
        <f>IFERROR(Inv_SY!W312/Inv_SY!$Z312-1,"")</f>
        <v/>
      </c>
      <c r="AM310" s="59" t="str">
        <f>IFERROR(Inv_SY!X312/Inv_SY!$Z312-1,"")</f>
        <v/>
      </c>
    </row>
    <row r="311" spans="1:39" x14ac:dyDescent="0.3">
      <c r="A311" s="55">
        <f>YEAR(Table5[[#This Row],[Date]])+IF(MONTH(Table5[[#This Row],[Date]])&gt;=4,1,0)</f>
        <v>2026</v>
      </c>
      <c r="B311" s="55">
        <v>271</v>
      </c>
      <c r="C311" s="124">
        <f>YEAR(Table5[[#This Row],[Date]])</f>
        <v>2026</v>
      </c>
      <c r="D311" s="55" t="s">
        <v>329</v>
      </c>
      <c r="E311" s="55" t="s">
        <v>329</v>
      </c>
      <c r="F311" s="126" t="str">
        <f>TEXT(Table5[[#This Row],[Date]],"mmm-yy")</f>
        <v>Feb-26</v>
      </c>
      <c r="G311" s="124">
        <f t="shared" si="13"/>
        <v>28</v>
      </c>
      <c r="H311" s="125">
        <f t="shared" si="12"/>
        <v>46054</v>
      </c>
      <c r="I311" s="55">
        <v>8.02</v>
      </c>
      <c r="J311" s="59" t="str">
        <f>IFERROR(Inv_SY!J313/Inv_SY!$Y313-1,"")</f>
        <v/>
      </c>
      <c r="K311" s="59" t="str">
        <f>IFERROR(Inv_SY!K313/Inv_SY!$Y313-1,"")</f>
        <v/>
      </c>
      <c r="L311" s="59" t="str">
        <f>IFERROR(Inv_SY!L313/Inv_SY!$Y313-1,"")</f>
        <v/>
      </c>
      <c r="M311" s="59" t="str">
        <f>IFERROR(Inv_SY!M313/Inv_SY!$Y313-1,"")</f>
        <v/>
      </c>
      <c r="N311" s="59" t="str">
        <f>IFERROR(Inv_SY!N313/Inv_SY!$Y313-1,"")</f>
        <v/>
      </c>
      <c r="O311" s="59" t="str">
        <f>IFERROR(Inv_SY!O313/Inv_SY!$Y313-1,"")</f>
        <v/>
      </c>
      <c r="P311" s="59" t="str">
        <f>IFERROR(Inv_SY!P313/Inv_SY!$Y313-1,"")</f>
        <v/>
      </c>
      <c r="Q311" s="59" t="str">
        <f>IFERROR(Inv_SY!Q313/Inv_SY!$Y313-1,"")</f>
        <v/>
      </c>
      <c r="R311" s="59" t="str">
        <f>IFERROR(Inv_SY!R313/Inv_SY!$Y313-1,"")</f>
        <v/>
      </c>
      <c r="S311" s="59" t="str">
        <f>IFERROR(Inv_SY!S313/Inv_SY!$Y313-1,"")</f>
        <v/>
      </c>
      <c r="T311" s="59" t="str">
        <f>IFERROR(Inv_SY!T313/Inv_SY!$Y313-1,"")</f>
        <v/>
      </c>
      <c r="U311" s="59" t="str">
        <f>IFERROR(Inv_SY!U313/Inv_SY!$Y313-1,"")</f>
        <v/>
      </c>
      <c r="V311" s="59" t="str">
        <f>IFERROR(Inv_SY!J313/Inv_SY!$Z313-1,"")</f>
        <v/>
      </c>
      <c r="W311" s="59" t="str">
        <f>IFERROR(Inv_SY!K313/Inv_SY!$Z313-1,"")</f>
        <v/>
      </c>
      <c r="X311" s="59" t="str">
        <f>IFERROR(Inv_SY!L313/Inv_SY!$Z313-1,"")</f>
        <v/>
      </c>
      <c r="Y311" s="59" t="str">
        <f>IFERROR(Inv_SY!M313/Inv_SY!$Z313-1,"")</f>
        <v/>
      </c>
      <c r="Z311" s="59" t="str">
        <f>IFERROR(Inv_SY!N313/Inv_SY!$Z313-1,"")</f>
        <v/>
      </c>
      <c r="AA311" s="59" t="str">
        <f>IFERROR(Inv_SY!O313/Inv_SY!$Z313-1,"")</f>
        <v/>
      </c>
      <c r="AB311" s="59" t="str">
        <f>IFERROR(Inv_SY!P313/Inv_SY!$Z313-1,"")</f>
        <v/>
      </c>
      <c r="AC311" s="59" t="str">
        <f>IFERROR(Inv_SY!Q313/Inv_SY!$Z313-1,"")</f>
        <v/>
      </c>
      <c r="AD311" s="59" t="str">
        <f>IFERROR(Inv_SY!R313/Inv_SY!$Z313-1,"")</f>
        <v/>
      </c>
      <c r="AE311" s="59" t="str">
        <f>IFERROR(Inv_SY!S313/Inv_SY!$Z313-1,"")</f>
        <v/>
      </c>
      <c r="AF311" s="59" t="str">
        <f>IFERROR(Inv_SY!T313/Inv_SY!$Z313-1,"")</f>
        <v/>
      </c>
      <c r="AG311" s="59" t="str">
        <f>IFERROR(Inv_SY!U313/Inv_SY!$Z313-1,"")</f>
        <v/>
      </c>
      <c r="AH311" s="59" t="str">
        <f>IFERROR(Inv_SY!V313/Inv_SY!$Y313-1,"")</f>
        <v/>
      </c>
      <c r="AI311" s="59" t="str">
        <f>IFERROR(Inv_SY!W313/Inv_SY!$Y313-1,"")</f>
        <v/>
      </c>
      <c r="AJ311" s="59" t="str">
        <f>IFERROR(Inv_SY!X313/Inv_SY!$Y313-1,"")</f>
        <v/>
      </c>
      <c r="AK311" s="59" t="str">
        <f>IFERROR(Inv_SY!V313/Inv_SY!$Z313-1,"")</f>
        <v/>
      </c>
      <c r="AL311" s="59" t="str">
        <f>IFERROR(Inv_SY!W313/Inv_SY!$Z313-1,"")</f>
        <v/>
      </c>
      <c r="AM311" s="59" t="str">
        <f>IFERROR(Inv_SY!X313/Inv_SY!$Z313-1,"")</f>
        <v/>
      </c>
    </row>
    <row r="312" spans="1:39" x14ac:dyDescent="0.3">
      <c r="A312" s="55">
        <f>YEAR(Table5[[#This Row],[Date]])+IF(MONTH(Table5[[#This Row],[Date]])&gt;=4,1,0)</f>
        <v>2026</v>
      </c>
      <c r="B312" s="55">
        <v>272</v>
      </c>
      <c r="C312" s="124">
        <f>YEAR(Table5[[#This Row],[Date]])</f>
        <v>2026</v>
      </c>
      <c r="D312" s="55" t="s">
        <v>329</v>
      </c>
      <c r="E312" s="55" t="s">
        <v>329</v>
      </c>
      <c r="F312" s="126" t="str">
        <f>TEXT(Table5[[#This Row],[Date]],"mmm-yy")</f>
        <v>Feb-26</v>
      </c>
      <c r="G312" s="124">
        <f t="shared" si="13"/>
        <v>28</v>
      </c>
      <c r="H312" s="125">
        <f t="shared" si="12"/>
        <v>46055</v>
      </c>
      <c r="I312" s="55">
        <v>8.02</v>
      </c>
      <c r="J312" s="59" t="str">
        <f>IFERROR(Inv_SY!J314/Inv_SY!$Y314-1,"")</f>
        <v/>
      </c>
      <c r="K312" s="59" t="str">
        <f>IFERROR(Inv_SY!K314/Inv_SY!$Y314-1,"")</f>
        <v/>
      </c>
      <c r="L312" s="59" t="str">
        <f>IFERROR(Inv_SY!L314/Inv_SY!$Y314-1,"")</f>
        <v/>
      </c>
      <c r="M312" s="59" t="str">
        <f>IFERROR(Inv_SY!M314/Inv_SY!$Y314-1,"")</f>
        <v/>
      </c>
      <c r="N312" s="59" t="str">
        <f>IFERROR(Inv_SY!N314/Inv_SY!$Y314-1,"")</f>
        <v/>
      </c>
      <c r="O312" s="59" t="str">
        <f>IFERROR(Inv_SY!O314/Inv_SY!$Y314-1,"")</f>
        <v/>
      </c>
      <c r="P312" s="59" t="str">
        <f>IFERROR(Inv_SY!P314/Inv_SY!$Y314-1,"")</f>
        <v/>
      </c>
      <c r="Q312" s="59" t="str">
        <f>IFERROR(Inv_SY!Q314/Inv_SY!$Y314-1,"")</f>
        <v/>
      </c>
      <c r="R312" s="59" t="str">
        <f>IFERROR(Inv_SY!R314/Inv_SY!$Y314-1,"")</f>
        <v/>
      </c>
      <c r="S312" s="59" t="str">
        <f>IFERROR(Inv_SY!S314/Inv_SY!$Y314-1,"")</f>
        <v/>
      </c>
      <c r="T312" s="59" t="str">
        <f>IFERROR(Inv_SY!T314/Inv_SY!$Y314-1,"")</f>
        <v/>
      </c>
      <c r="U312" s="59" t="str">
        <f>IFERROR(Inv_SY!U314/Inv_SY!$Y314-1,"")</f>
        <v/>
      </c>
      <c r="V312" s="59" t="str">
        <f>IFERROR(Inv_SY!J314/Inv_SY!$Z314-1,"")</f>
        <v/>
      </c>
      <c r="W312" s="59" t="str">
        <f>IFERROR(Inv_SY!K314/Inv_SY!$Z314-1,"")</f>
        <v/>
      </c>
      <c r="X312" s="59" t="str">
        <f>IFERROR(Inv_SY!L314/Inv_SY!$Z314-1,"")</f>
        <v/>
      </c>
      <c r="Y312" s="59" t="str">
        <f>IFERROR(Inv_SY!M314/Inv_SY!$Z314-1,"")</f>
        <v/>
      </c>
      <c r="Z312" s="59" t="str">
        <f>IFERROR(Inv_SY!N314/Inv_SY!$Z314-1,"")</f>
        <v/>
      </c>
      <c r="AA312" s="59" t="str">
        <f>IFERROR(Inv_SY!O314/Inv_SY!$Z314-1,"")</f>
        <v/>
      </c>
      <c r="AB312" s="59" t="str">
        <f>IFERROR(Inv_SY!P314/Inv_SY!$Z314-1,"")</f>
        <v/>
      </c>
      <c r="AC312" s="59" t="str">
        <f>IFERROR(Inv_SY!Q314/Inv_SY!$Z314-1,"")</f>
        <v/>
      </c>
      <c r="AD312" s="59" t="str">
        <f>IFERROR(Inv_SY!R314/Inv_SY!$Z314-1,"")</f>
        <v/>
      </c>
      <c r="AE312" s="59" t="str">
        <f>IFERROR(Inv_SY!S314/Inv_SY!$Z314-1,"")</f>
        <v/>
      </c>
      <c r="AF312" s="59" t="str">
        <f>IFERROR(Inv_SY!T314/Inv_SY!$Z314-1,"")</f>
        <v/>
      </c>
      <c r="AG312" s="59" t="str">
        <f>IFERROR(Inv_SY!U314/Inv_SY!$Z314-1,"")</f>
        <v/>
      </c>
      <c r="AH312" s="59" t="str">
        <f>IFERROR(Inv_SY!V314/Inv_SY!$Y314-1,"")</f>
        <v/>
      </c>
      <c r="AI312" s="59" t="str">
        <f>IFERROR(Inv_SY!W314/Inv_SY!$Y314-1,"")</f>
        <v/>
      </c>
      <c r="AJ312" s="59" t="str">
        <f>IFERROR(Inv_SY!X314/Inv_SY!$Y314-1,"")</f>
        <v/>
      </c>
      <c r="AK312" s="59" t="str">
        <f>IFERROR(Inv_SY!V314/Inv_SY!$Z314-1,"")</f>
        <v/>
      </c>
      <c r="AL312" s="59" t="str">
        <f>IFERROR(Inv_SY!W314/Inv_SY!$Z314-1,"")</f>
        <v/>
      </c>
      <c r="AM312" s="59" t="str">
        <f>IFERROR(Inv_SY!X314/Inv_SY!$Z314-1,"")</f>
        <v/>
      </c>
    </row>
    <row r="313" spans="1:39" x14ac:dyDescent="0.3">
      <c r="A313" s="55">
        <f>YEAR(Table5[[#This Row],[Date]])+IF(MONTH(Table5[[#This Row],[Date]])&gt;=4,1,0)</f>
        <v>2026</v>
      </c>
      <c r="B313" s="55">
        <v>273</v>
      </c>
      <c r="C313" s="124">
        <f>YEAR(Table5[[#This Row],[Date]])</f>
        <v>2026</v>
      </c>
      <c r="D313" s="55" t="s">
        <v>329</v>
      </c>
      <c r="E313" s="55" t="s">
        <v>329</v>
      </c>
      <c r="F313" s="126" t="str">
        <f>TEXT(Table5[[#This Row],[Date]],"mmm-yy")</f>
        <v>Feb-26</v>
      </c>
      <c r="G313" s="124">
        <f t="shared" si="13"/>
        <v>28</v>
      </c>
      <c r="H313" s="125">
        <f t="shared" si="12"/>
        <v>46056</v>
      </c>
      <c r="I313" s="55">
        <v>8.02</v>
      </c>
      <c r="J313" s="59" t="str">
        <f>IFERROR(Inv_SY!J315/Inv_SY!$Y315-1,"")</f>
        <v/>
      </c>
      <c r="K313" s="59" t="str">
        <f>IFERROR(Inv_SY!K315/Inv_SY!$Y315-1,"")</f>
        <v/>
      </c>
      <c r="L313" s="59" t="str">
        <f>IFERROR(Inv_SY!L315/Inv_SY!$Y315-1,"")</f>
        <v/>
      </c>
      <c r="M313" s="59" t="str">
        <f>IFERROR(Inv_SY!M315/Inv_SY!$Y315-1,"")</f>
        <v/>
      </c>
      <c r="N313" s="59" t="str">
        <f>IFERROR(Inv_SY!N315/Inv_SY!$Y315-1,"")</f>
        <v/>
      </c>
      <c r="O313" s="59" t="str">
        <f>IFERROR(Inv_SY!O315/Inv_SY!$Y315-1,"")</f>
        <v/>
      </c>
      <c r="P313" s="59" t="str">
        <f>IFERROR(Inv_SY!P315/Inv_SY!$Y315-1,"")</f>
        <v/>
      </c>
      <c r="Q313" s="59" t="str">
        <f>IFERROR(Inv_SY!Q315/Inv_SY!$Y315-1,"")</f>
        <v/>
      </c>
      <c r="R313" s="59" t="str">
        <f>IFERROR(Inv_SY!R315/Inv_SY!$Y315-1,"")</f>
        <v/>
      </c>
      <c r="S313" s="59" t="str">
        <f>IFERROR(Inv_SY!S315/Inv_SY!$Y315-1,"")</f>
        <v/>
      </c>
      <c r="T313" s="59" t="str">
        <f>IFERROR(Inv_SY!T315/Inv_SY!$Y315-1,"")</f>
        <v/>
      </c>
      <c r="U313" s="59" t="str">
        <f>IFERROR(Inv_SY!U315/Inv_SY!$Y315-1,"")</f>
        <v/>
      </c>
      <c r="V313" s="59" t="str">
        <f>IFERROR(Inv_SY!J315/Inv_SY!$Z315-1,"")</f>
        <v/>
      </c>
      <c r="W313" s="59" t="str">
        <f>IFERROR(Inv_SY!K315/Inv_SY!$Z315-1,"")</f>
        <v/>
      </c>
      <c r="X313" s="59" t="str">
        <f>IFERROR(Inv_SY!L315/Inv_SY!$Z315-1,"")</f>
        <v/>
      </c>
      <c r="Y313" s="59" t="str">
        <f>IFERROR(Inv_SY!M315/Inv_SY!$Z315-1,"")</f>
        <v/>
      </c>
      <c r="Z313" s="59" t="str">
        <f>IFERROR(Inv_SY!N315/Inv_SY!$Z315-1,"")</f>
        <v/>
      </c>
      <c r="AA313" s="59" t="str">
        <f>IFERROR(Inv_SY!O315/Inv_SY!$Z315-1,"")</f>
        <v/>
      </c>
      <c r="AB313" s="59" t="str">
        <f>IFERROR(Inv_SY!P315/Inv_SY!$Z315-1,"")</f>
        <v/>
      </c>
      <c r="AC313" s="59" t="str">
        <f>IFERROR(Inv_SY!Q315/Inv_SY!$Z315-1,"")</f>
        <v/>
      </c>
      <c r="AD313" s="59" t="str">
        <f>IFERROR(Inv_SY!R315/Inv_SY!$Z315-1,"")</f>
        <v/>
      </c>
      <c r="AE313" s="59" t="str">
        <f>IFERROR(Inv_SY!S315/Inv_SY!$Z315-1,"")</f>
        <v/>
      </c>
      <c r="AF313" s="59" t="str">
        <f>IFERROR(Inv_SY!T315/Inv_SY!$Z315-1,"")</f>
        <v/>
      </c>
      <c r="AG313" s="59" t="str">
        <f>IFERROR(Inv_SY!U315/Inv_SY!$Z315-1,"")</f>
        <v/>
      </c>
      <c r="AH313" s="59" t="str">
        <f>IFERROR(Inv_SY!V315/Inv_SY!$Y315-1,"")</f>
        <v/>
      </c>
      <c r="AI313" s="59" t="str">
        <f>IFERROR(Inv_SY!W315/Inv_SY!$Y315-1,"")</f>
        <v/>
      </c>
      <c r="AJ313" s="59" t="str">
        <f>IFERROR(Inv_SY!X315/Inv_SY!$Y315-1,"")</f>
        <v/>
      </c>
      <c r="AK313" s="59" t="str">
        <f>IFERROR(Inv_SY!V315/Inv_SY!$Z315-1,"")</f>
        <v/>
      </c>
      <c r="AL313" s="59" t="str">
        <f>IFERROR(Inv_SY!W315/Inv_SY!$Z315-1,"")</f>
        <v/>
      </c>
      <c r="AM313" s="59" t="str">
        <f>IFERROR(Inv_SY!X315/Inv_SY!$Z315-1,"")</f>
        <v/>
      </c>
    </row>
    <row r="314" spans="1:39" x14ac:dyDescent="0.3">
      <c r="A314" s="55">
        <f>YEAR(Table5[[#This Row],[Date]])+IF(MONTH(Table5[[#This Row],[Date]])&gt;=4,1,0)</f>
        <v>2026</v>
      </c>
      <c r="B314" s="55">
        <v>274</v>
      </c>
      <c r="C314" s="124">
        <f>YEAR(Table5[[#This Row],[Date]])</f>
        <v>2026</v>
      </c>
      <c r="D314" s="55" t="s">
        <v>329</v>
      </c>
      <c r="E314" s="55" t="s">
        <v>329</v>
      </c>
      <c r="F314" s="126" t="str">
        <f>TEXT(Table5[[#This Row],[Date]],"mmm-yy")</f>
        <v>Feb-26</v>
      </c>
      <c r="G314" s="124">
        <f t="shared" si="13"/>
        <v>28</v>
      </c>
      <c r="H314" s="125">
        <f t="shared" si="12"/>
        <v>46057</v>
      </c>
      <c r="I314" s="55">
        <v>8.02</v>
      </c>
      <c r="J314" s="59" t="str">
        <f>IFERROR(Inv_SY!J316/Inv_SY!$Y316-1,"")</f>
        <v/>
      </c>
      <c r="K314" s="59" t="str">
        <f>IFERROR(Inv_SY!K316/Inv_SY!$Y316-1,"")</f>
        <v/>
      </c>
      <c r="L314" s="59" t="str">
        <f>IFERROR(Inv_SY!L316/Inv_SY!$Y316-1,"")</f>
        <v/>
      </c>
      <c r="M314" s="59" t="str">
        <f>IFERROR(Inv_SY!M316/Inv_SY!$Y316-1,"")</f>
        <v/>
      </c>
      <c r="N314" s="59" t="str">
        <f>IFERROR(Inv_SY!N316/Inv_SY!$Y316-1,"")</f>
        <v/>
      </c>
      <c r="O314" s="59" t="str">
        <f>IFERROR(Inv_SY!O316/Inv_SY!$Y316-1,"")</f>
        <v/>
      </c>
      <c r="P314" s="59" t="str">
        <f>IFERROR(Inv_SY!P316/Inv_SY!$Y316-1,"")</f>
        <v/>
      </c>
      <c r="Q314" s="59" t="str">
        <f>IFERROR(Inv_SY!Q316/Inv_SY!$Y316-1,"")</f>
        <v/>
      </c>
      <c r="R314" s="59" t="str">
        <f>IFERROR(Inv_SY!R316/Inv_SY!$Y316-1,"")</f>
        <v/>
      </c>
      <c r="S314" s="59" t="str">
        <f>IFERROR(Inv_SY!S316/Inv_SY!$Y316-1,"")</f>
        <v/>
      </c>
      <c r="T314" s="59" t="str">
        <f>IFERROR(Inv_SY!T316/Inv_SY!$Y316-1,"")</f>
        <v/>
      </c>
      <c r="U314" s="59" t="str">
        <f>IFERROR(Inv_SY!U316/Inv_SY!$Y316-1,"")</f>
        <v/>
      </c>
      <c r="V314" s="59" t="str">
        <f>IFERROR(Inv_SY!J316/Inv_SY!$Z316-1,"")</f>
        <v/>
      </c>
      <c r="W314" s="59" t="str">
        <f>IFERROR(Inv_SY!K316/Inv_SY!$Z316-1,"")</f>
        <v/>
      </c>
      <c r="X314" s="59" t="str">
        <f>IFERROR(Inv_SY!L316/Inv_SY!$Z316-1,"")</f>
        <v/>
      </c>
      <c r="Y314" s="59" t="str">
        <f>IFERROR(Inv_SY!M316/Inv_SY!$Z316-1,"")</f>
        <v/>
      </c>
      <c r="Z314" s="59" t="str">
        <f>IFERROR(Inv_SY!N316/Inv_SY!$Z316-1,"")</f>
        <v/>
      </c>
      <c r="AA314" s="59" t="str">
        <f>IFERROR(Inv_SY!O316/Inv_SY!$Z316-1,"")</f>
        <v/>
      </c>
      <c r="AB314" s="59" t="str">
        <f>IFERROR(Inv_SY!P316/Inv_SY!$Z316-1,"")</f>
        <v/>
      </c>
      <c r="AC314" s="59" t="str">
        <f>IFERROR(Inv_SY!Q316/Inv_SY!$Z316-1,"")</f>
        <v/>
      </c>
      <c r="AD314" s="59" t="str">
        <f>IFERROR(Inv_SY!R316/Inv_SY!$Z316-1,"")</f>
        <v/>
      </c>
      <c r="AE314" s="59" t="str">
        <f>IFERROR(Inv_SY!S316/Inv_SY!$Z316-1,"")</f>
        <v/>
      </c>
      <c r="AF314" s="59" t="str">
        <f>IFERROR(Inv_SY!T316/Inv_SY!$Z316-1,"")</f>
        <v/>
      </c>
      <c r="AG314" s="59" t="str">
        <f>IFERROR(Inv_SY!U316/Inv_SY!$Z316-1,"")</f>
        <v/>
      </c>
      <c r="AH314" s="59" t="str">
        <f>IFERROR(Inv_SY!V316/Inv_SY!$Y316-1,"")</f>
        <v/>
      </c>
      <c r="AI314" s="59" t="str">
        <f>IFERROR(Inv_SY!W316/Inv_SY!$Y316-1,"")</f>
        <v/>
      </c>
      <c r="AJ314" s="59" t="str">
        <f>IFERROR(Inv_SY!X316/Inv_SY!$Y316-1,"")</f>
        <v/>
      </c>
      <c r="AK314" s="59" t="str">
        <f>IFERROR(Inv_SY!V316/Inv_SY!$Z316-1,"")</f>
        <v/>
      </c>
      <c r="AL314" s="59" t="str">
        <f>IFERROR(Inv_SY!W316/Inv_SY!$Z316-1,"")</f>
        <v/>
      </c>
      <c r="AM314" s="59" t="str">
        <f>IFERROR(Inv_SY!X316/Inv_SY!$Z316-1,"")</f>
        <v/>
      </c>
    </row>
    <row r="315" spans="1:39" x14ac:dyDescent="0.3">
      <c r="A315" s="55">
        <f>YEAR(Table5[[#This Row],[Date]])+IF(MONTH(Table5[[#This Row],[Date]])&gt;=4,1,0)</f>
        <v>2026</v>
      </c>
      <c r="B315" s="55">
        <v>275</v>
      </c>
      <c r="C315" s="124">
        <f>YEAR(Table5[[#This Row],[Date]])</f>
        <v>2026</v>
      </c>
      <c r="D315" s="55" t="s">
        <v>329</v>
      </c>
      <c r="E315" s="55" t="s">
        <v>329</v>
      </c>
      <c r="F315" s="126" t="str">
        <f>TEXT(Table5[[#This Row],[Date]],"mmm-yy")</f>
        <v>Feb-26</v>
      </c>
      <c r="G315" s="124">
        <f t="shared" si="13"/>
        <v>28</v>
      </c>
      <c r="H315" s="125">
        <f t="shared" si="12"/>
        <v>46058</v>
      </c>
      <c r="I315" s="55">
        <v>8.02</v>
      </c>
      <c r="J315" s="59" t="str">
        <f>IFERROR(Inv_SY!J317/Inv_SY!$Y317-1,"")</f>
        <v/>
      </c>
      <c r="K315" s="59" t="str">
        <f>IFERROR(Inv_SY!K317/Inv_SY!$Y317-1,"")</f>
        <v/>
      </c>
      <c r="L315" s="59" t="str">
        <f>IFERROR(Inv_SY!L317/Inv_SY!$Y317-1,"")</f>
        <v/>
      </c>
      <c r="M315" s="59" t="str">
        <f>IFERROR(Inv_SY!M317/Inv_SY!$Y317-1,"")</f>
        <v/>
      </c>
      <c r="N315" s="59" t="str">
        <f>IFERROR(Inv_SY!N317/Inv_SY!$Y317-1,"")</f>
        <v/>
      </c>
      <c r="O315" s="59" t="str">
        <f>IFERROR(Inv_SY!O317/Inv_SY!$Y317-1,"")</f>
        <v/>
      </c>
      <c r="P315" s="59" t="str">
        <f>IFERROR(Inv_SY!P317/Inv_SY!$Y317-1,"")</f>
        <v/>
      </c>
      <c r="Q315" s="59" t="str">
        <f>IFERROR(Inv_SY!Q317/Inv_SY!$Y317-1,"")</f>
        <v/>
      </c>
      <c r="R315" s="59" t="str">
        <f>IFERROR(Inv_SY!R317/Inv_SY!$Y317-1,"")</f>
        <v/>
      </c>
      <c r="S315" s="59" t="str">
        <f>IFERROR(Inv_SY!S317/Inv_SY!$Y317-1,"")</f>
        <v/>
      </c>
      <c r="T315" s="59" t="str">
        <f>IFERROR(Inv_SY!T317/Inv_SY!$Y317-1,"")</f>
        <v/>
      </c>
      <c r="U315" s="59" t="str">
        <f>IFERROR(Inv_SY!U317/Inv_SY!$Y317-1,"")</f>
        <v/>
      </c>
      <c r="V315" s="59" t="str">
        <f>IFERROR(Inv_SY!J317/Inv_SY!$Z317-1,"")</f>
        <v/>
      </c>
      <c r="W315" s="59" t="str">
        <f>IFERROR(Inv_SY!K317/Inv_SY!$Z317-1,"")</f>
        <v/>
      </c>
      <c r="X315" s="59" t="str">
        <f>IFERROR(Inv_SY!L317/Inv_SY!$Z317-1,"")</f>
        <v/>
      </c>
      <c r="Y315" s="59" t="str">
        <f>IFERROR(Inv_SY!M317/Inv_SY!$Z317-1,"")</f>
        <v/>
      </c>
      <c r="Z315" s="59" t="str">
        <f>IFERROR(Inv_SY!N317/Inv_SY!$Z317-1,"")</f>
        <v/>
      </c>
      <c r="AA315" s="59" t="str">
        <f>IFERROR(Inv_SY!O317/Inv_SY!$Z317-1,"")</f>
        <v/>
      </c>
      <c r="AB315" s="59" t="str">
        <f>IFERROR(Inv_SY!P317/Inv_SY!$Z317-1,"")</f>
        <v/>
      </c>
      <c r="AC315" s="59" t="str">
        <f>IFERROR(Inv_SY!Q317/Inv_SY!$Z317-1,"")</f>
        <v/>
      </c>
      <c r="AD315" s="59" t="str">
        <f>IFERROR(Inv_SY!R317/Inv_SY!$Z317-1,"")</f>
        <v/>
      </c>
      <c r="AE315" s="59" t="str">
        <f>IFERROR(Inv_SY!S317/Inv_SY!$Z317-1,"")</f>
        <v/>
      </c>
      <c r="AF315" s="59" t="str">
        <f>IFERROR(Inv_SY!T317/Inv_SY!$Z317-1,"")</f>
        <v/>
      </c>
      <c r="AG315" s="59" t="str">
        <f>IFERROR(Inv_SY!U317/Inv_SY!$Z317-1,"")</f>
        <v/>
      </c>
      <c r="AH315" s="59" t="str">
        <f>IFERROR(Inv_SY!V317/Inv_SY!$Y317-1,"")</f>
        <v/>
      </c>
      <c r="AI315" s="59" t="str">
        <f>IFERROR(Inv_SY!W317/Inv_SY!$Y317-1,"")</f>
        <v/>
      </c>
      <c r="AJ315" s="59" t="str">
        <f>IFERROR(Inv_SY!X317/Inv_SY!$Y317-1,"")</f>
        <v/>
      </c>
      <c r="AK315" s="59" t="str">
        <f>IFERROR(Inv_SY!V317/Inv_SY!$Z317-1,"")</f>
        <v/>
      </c>
      <c r="AL315" s="59" t="str">
        <f>IFERROR(Inv_SY!W317/Inv_SY!$Z317-1,"")</f>
        <v/>
      </c>
      <c r="AM315" s="59" t="str">
        <f>IFERROR(Inv_SY!X317/Inv_SY!$Z317-1,"")</f>
        <v/>
      </c>
    </row>
    <row r="316" spans="1:39" x14ac:dyDescent="0.3">
      <c r="A316" s="55">
        <f>YEAR(Table5[[#This Row],[Date]])+IF(MONTH(Table5[[#This Row],[Date]])&gt;=4,1,0)</f>
        <v>2026</v>
      </c>
      <c r="B316" s="55">
        <v>276</v>
      </c>
      <c r="C316" s="124">
        <f>YEAR(Table5[[#This Row],[Date]])</f>
        <v>2026</v>
      </c>
      <c r="D316" s="55" t="s">
        <v>329</v>
      </c>
      <c r="E316" s="55" t="s">
        <v>329</v>
      </c>
      <c r="F316" s="126" t="str">
        <f>TEXT(Table5[[#This Row],[Date]],"mmm-yy")</f>
        <v>Feb-26</v>
      </c>
      <c r="G316" s="124">
        <f t="shared" si="13"/>
        <v>28</v>
      </c>
      <c r="H316" s="125">
        <f t="shared" si="12"/>
        <v>46059</v>
      </c>
      <c r="I316" s="55">
        <v>8.02</v>
      </c>
      <c r="J316" s="59" t="str">
        <f>IFERROR(Inv_SY!J318/Inv_SY!$Y318-1,"")</f>
        <v/>
      </c>
      <c r="K316" s="59" t="str">
        <f>IFERROR(Inv_SY!K318/Inv_SY!$Y318-1,"")</f>
        <v/>
      </c>
      <c r="L316" s="59" t="str">
        <f>IFERROR(Inv_SY!L318/Inv_SY!$Y318-1,"")</f>
        <v/>
      </c>
      <c r="M316" s="59" t="str">
        <f>IFERROR(Inv_SY!M318/Inv_SY!$Y318-1,"")</f>
        <v/>
      </c>
      <c r="N316" s="59" t="str">
        <f>IFERROR(Inv_SY!N318/Inv_SY!$Y318-1,"")</f>
        <v/>
      </c>
      <c r="O316" s="59" t="str">
        <f>IFERROR(Inv_SY!O318/Inv_SY!$Y318-1,"")</f>
        <v/>
      </c>
      <c r="P316" s="59" t="str">
        <f>IFERROR(Inv_SY!P318/Inv_SY!$Y318-1,"")</f>
        <v/>
      </c>
      <c r="Q316" s="59" t="str">
        <f>IFERROR(Inv_SY!Q318/Inv_SY!$Y318-1,"")</f>
        <v/>
      </c>
      <c r="R316" s="59" t="str">
        <f>IFERROR(Inv_SY!R318/Inv_SY!$Y318-1,"")</f>
        <v/>
      </c>
      <c r="S316" s="59" t="str">
        <f>IFERROR(Inv_SY!S318/Inv_SY!$Y318-1,"")</f>
        <v/>
      </c>
      <c r="T316" s="59" t="str">
        <f>IFERROR(Inv_SY!T318/Inv_SY!$Y318-1,"")</f>
        <v/>
      </c>
      <c r="U316" s="59" t="str">
        <f>IFERROR(Inv_SY!U318/Inv_SY!$Y318-1,"")</f>
        <v/>
      </c>
      <c r="V316" s="59" t="str">
        <f>IFERROR(Inv_SY!J318/Inv_SY!$Z318-1,"")</f>
        <v/>
      </c>
      <c r="W316" s="59" t="str">
        <f>IFERROR(Inv_SY!K318/Inv_SY!$Z318-1,"")</f>
        <v/>
      </c>
      <c r="X316" s="59" t="str">
        <f>IFERROR(Inv_SY!L318/Inv_SY!$Z318-1,"")</f>
        <v/>
      </c>
      <c r="Y316" s="59" t="str">
        <f>IFERROR(Inv_SY!M318/Inv_SY!$Z318-1,"")</f>
        <v/>
      </c>
      <c r="Z316" s="59" t="str">
        <f>IFERROR(Inv_SY!N318/Inv_SY!$Z318-1,"")</f>
        <v/>
      </c>
      <c r="AA316" s="59" t="str">
        <f>IFERROR(Inv_SY!O318/Inv_SY!$Z318-1,"")</f>
        <v/>
      </c>
      <c r="AB316" s="59" t="str">
        <f>IFERROR(Inv_SY!P318/Inv_SY!$Z318-1,"")</f>
        <v/>
      </c>
      <c r="AC316" s="59" t="str">
        <f>IFERROR(Inv_SY!Q318/Inv_SY!$Z318-1,"")</f>
        <v/>
      </c>
      <c r="AD316" s="59" t="str">
        <f>IFERROR(Inv_SY!R318/Inv_SY!$Z318-1,"")</f>
        <v/>
      </c>
      <c r="AE316" s="59" t="str">
        <f>IFERROR(Inv_SY!S318/Inv_SY!$Z318-1,"")</f>
        <v/>
      </c>
      <c r="AF316" s="59" t="str">
        <f>IFERROR(Inv_SY!T318/Inv_SY!$Z318-1,"")</f>
        <v/>
      </c>
      <c r="AG316" s="59" t="str">
        <f>IFERROR(Inv_SY!U318/Inv_SY!$Z318-1,"")</f>
        <v/>
      </c>
      <c r="AH316" s="59" t="str">
        <f>IFERROR(Inv_SY!V318/Inv_SY!$Y318-1,"")</f>
        <v/>
      </c>
      <c r="AI316" s="59" t="str">
        <f>IFERROR(Inv_SY!W318/Inv_SY!$Y318-1,"")</f>
        <v/>
      </c>
      <c r="AJ316" s="59" t="str">
        <f>IFERROR(Inv_SY!X318/Inv_SY!$Y318-1,"")</f>
        <v/>
      </c>
      <c r="AK316" s="59" t="str">
        <f>IFERROR(Inv_SY!V318/Inv_SY!$Z318-1,"")</f>
        <v/>
      </c>
      <c r="AL316" s="59" t="str">
        <f>IFERROR(Inv_SY!W318/Inv_SY!$Z318-1,"")</f>
        <v/>
      </c>
      <c r="AM316" s="59" t="str">
        <f>IFERROR(Inv_SY!X318/Inv_SY!$Z318-1,"")</f>
        <v/>
      </c>
    </row>
    <row r="317" spans="1:39" x14ac:dyDescent="0.3">
      <c r="A317" s="55">
        <f>YEAR(Table5[[#This Row],[Date]])+IF(MONTH(Table5[[#This Row],[Date]])&gt;=4,1,0)</f>
        <v>2026</v>
      </c>
      <c r="B317" s="55">
        <v>277</v>
      </c>
      <c r="C317" s="124">
        <f>YEAR(Table5[[#This Row],[Date]])</f>
        <v>2026</v>
      </c>
      <c r="D317" s="55" t="s">
        <v>329</v>
      </c>
      <c r="E317" s="55" t="s">
        <v>329</v>
      </c>
      <c r="F317" s="126" t="str">
        <f>TEXT(Table5[[#This Row],[Date]],"mmm-yy")</f>
        <v>Feb-26</v>
      </c>
      <c r="G317" s="124">
        <f t="shared" si="13"/>
        <v>28</v>
      </c>
      <c r="H317" s="125">
        <f t="shared" si="12"/>
        <v>46060</v>
      </c>
      <c r="I317" s="55">
        <v>8.02</v>
      </c>
      <c r="J317" s="59" t="str">
        <f>IFERROR(Inv_SY!J319/Inv_SY!$Y319-1,"")</f>
        <v/>
      </c>
      <c r="K317" s="59" t="str">
        <f>IFERROR(Inv_SY!K319/Inv_SY!$Y319-1,"")</f>
        <v/>
      </c>
      <c r="L317" s="59" t="str">
        <f>IFERROR(Inv_SY!L319/Inv_SY!$Y319-1,"")</f>
        <v/>
      </c>
      <c r="M317" s="59" t="str">
        <f>IFERROR(Inv_SY!M319/Inv_SY!$Y319-1,"")</f>
        <v/>
      </c>
      <c r="N317" s="59" t="str">
        <f>IFERROR(Inv_SY!N319/Inv_SY!$Y319-1,"")</f>
        <v/>
      </c>
      <c r="O317" s="59" t="str">
        <f>IFERROR(Inv_SY!O319/Inv_SY!$Y319-1,"")</f>
        <v/>
      </c>
      <c r="P317" s="59" t="str">
        <f>IFERROR(Inv_SY!P319/Inv_SY!$Y319-1,"")</f>
        <v/>
      </c>
      <c r="Q317" s="59" t="str">
        <f>IFERROR(Inv_SY!Q319/Inv_SY!$Y319-1,"")</f>
        <v/>
      </c>
      <c r="R317" s="59" t="str">
        <f>IFERROR(Inv_SY!R319/Inv_SY!$Y319-1,"")</f>
        <v/>
      </c>
      <c r="S317" s="59" t="str">
        <f>IFERROR(Inv_SY!S319/Inv_SY!$Y319-1,"")</f>
        <v/>
      </c>
      <c r="T317" s="59" t="str">
        <f>IFERROR(Inv_SY!T319/Inv_SY!$Y319-1,"")</f>
        <v/>
      </c>
      <c r="U317" s="59" t="str">
        <f>IFERROR(Inv_SY!U319/Inv_SY!$Y319-1,"")</f>
        <v/>
      </c>
      <c r="V317" s="59" t="str">
        <f>IFERROR(Inv_SY!J319/Inv_SY!$Z319-1,"")</f>
        <v/>
      </c>
      <c r="W317" s="59" t="str">
        <f>IFERROR(Inv_SY!K319/Inv_SY!$Z319-1,"")</f>
        <v/>
      </c>
      <c r="X317" s="59" t="str">
        <f>IFERROR(Inv_SY!L319/Inv_SY!$Z319-1,"")</f>
        <v/>
      </c>
      <c r="Y317" s="59" t="str">
        <f>IFERROR(Inv_SY!M319/Inv_SY!$Z319-1,"")</f>
        <v/>
      </c>
      <c r="Z317" s="59" t="str">
        <f>IFERROR(Inv_SY!N319/Inv_SY!$Z319-1,"")</f>
        <v/>
      </c>
      <c r="AA317" s="59" t="str">
        <f>IFERROR(Inv_SY!O319/Inv_SY!$Z319-1,"")</f>
        <v/>
      </c>
      <c r="AB317" s="59" t="str">
        <f>IFERROR(Inv_SY!P319/Inv_SY!$Z319-1,"")</f>
        <v/>
      </c>
      <c r="AC317" s="59" t="str">
        <f>IFERROR(Inv_SY!Q319/Inv_SY!$Z319-1,"")</f>
        <v/>
      </c>
      <c r="AD317" s="59" t="str">
        <f>IFERROR(Inv_SY!R319/Inv_SY!$Z319-1,"")</f>
        <v/>
      </c>
      <c r="AE317" s="59" t="str">
        <f>IFERROR(Inv_SY!S319/Inv_SY!$Z319-1,"")</f>
        <v/>
      </c>
      <c r="AF317" s="59" t="str">
        <f>IFERROR(Inv_SY!T319/Inv_SY!$Z319-1,"")</f>
        <v/>
      </c>
      <c r="AG317" s="59" t="str">
        <f>IFERROR(Inv_SY!U319/Inv_SY!$Z319-1,"")</f>
        <v/>
      </c>
      <c r="AH317" s="59" t="str">
        <f>IFERROR(Inv_SY!V319/Inv_SY!$Y319-1,"")</f>
        <v/>
      </c>
      <c r="AI317" s="59" t="str">
        <f>IFERROR(Inv_SY!W319/Inv_SY!$Y319-1,"")</f>
        <v/>
      </c>
      <c r="AJ317" s="59" t="str">
        <f>IFERROR(Inv_SY!X319/Inv_SY!$Y319-1,"")</f>
        <v/>
      </c>
      <c r="AK317" s="59" t="str">
        <f>IFERROR(Inv_SY!V319/Inv_SY!$Z319-1,"")</f>
        <v/>
      </c>
      <c r="AL317" s="59" t="str">
        <f>IFERROR(Inv_SY!W319/Inv_SY!$Z319-1,"")</f>
        <v/>
      </c>
      <c r="AM317" s="59" t="str">
        <f>IFERROR(Inv_SY!X319/Inv_SY!$Z319-1,"")</f>
        <v/>
      </c>
    </row>
    <row r="318" spans="1:39" x14ac:dyDescent="0.3">
      <c r="A318" s="55">
        <f>YEAR(Table5[[#This Row],[Date]])+IF(MONTH(Table5[[#This Row],[Date]])&gt;=4,1,0)</f>
        <v>2026</v>
      </c>
      <c r="B318" s="55">
        <v>278</v>
      </c>
      <c r="C318" s="124">
        <f>YEAR(Table5[[#This Row],[Date]])</f>
        <v>2026</v>
      </c>
      <c r="D318" s="55" t="s">
        <v>329</v>
      </c>
      <c r="E318" s="55" t="s">
        <v>329</v>
      </c>
      <c r="F318" s="126" t="str">
        <f>TEXT(Table5[[#This Row],[Date]],"mmm-yy")</f>
        <v>Feb-26</v>
      </c>
      <c r="G318" s="124">
        <f t="shared" si="13"/>
        <v>28</v>
      </c>
      <c r="H318" s="125">
        <f t="shared" si="12"/>
        <v>46061</v>
      </c>
      <c r="I318" s="55">
        <v>8.02</v>
      </c>
      <c r="J318" s="59" t="str">
        <f>IFERROR(Inv_SY!J320/Inv_SY!$Y320-1,"")</f>
        <v/>
      </c>
      <c r="K318" s="59" t="str">
        <f>IFERROR(Inv_SY!K320/Inv_SY!$Y320-1,"")</f>
        <v/>
      </c>
      <c r="L318" s="59" t="str">
        <f>IFERROR(Inv_SY!L320/Inv_SY!$Y320-1,"")</f>
        <v/>
      </c>
      <c r="M318" s="59" t="str">
        <f>IFERROR(Inv_SY!M320/Inv_SY!$Y320-1,"")</f>
        <v/>
      </c>
      <c r="N318" s="59" t="str">
        <f>IFERROR(Inv_SY!N320/Inv_SY!$Y320-1,"")</f>
        <v/>
      </c>
      <c r="O318" s="59" t="str">
        <f>IFERROR(Inv_SY!O320/Inv_SY!$Y320-1,"")</f>
        <v/>
      </c>
      <c r="P318" s="59" t="str">
        <f>IFERROR(Inv_SY!P320/Inv_SY!$Y320-1,"")</f>
        <v/>
      </c>
      <c r="Q318" s="59" t="str">
        <f>IFERROR(Inv_SY!Q320/Inv_SY!$Y320-1,"")</f>
        <v/>
      </c>
      <c r="R318" s="59" t="str">
        <f>IFERROR(Inv_SY!R320/Inv_SY!$Y320-1,"")</f>
        <v/>
      </c>
      <c r="S318" s="59" t="str">
        <f>IFERROR(Inv_SY!S320/Inv_SY!$Y320-1,"")</f>
        <v/>
      </c>
      <c r="T318" s="59" t="str">
        <f>IFERROR(Inv_SY!T320/Inv_SY!$Y320-1,"")</f>
        <v/>
      </c>
      <c r="U318" s="59" t="str">
        <f>IFERROR(Inv_SY!U320/Inv_SY!$Y320-1,"")</f>
        <v/>
      </c>
      <c r="V318" s="59" t="str">
        <f>IFERROR(Inv_SY!J320/Inv_SY!$Z320-1,"")</f>
        <v/>
      </c>
      <c r="W318" s="59" t="str">
        <f>IFERROR(Inv_SY!K320/Inv_SY!$Z320-1,"")</f>
        <v/>
      </c>
      <c r="X318" s="59" t="str">
        <f>IFERROR(Inv_SY!L320/Inv_SY!$Z320-1,"")</f>
        <v/>
      </c>
      <c r="Y318" s="59" t="str">
        <f>IFERROR(Inv_SY!M320/Inv_SY!$Z320-1,"")</f>
        <v/>
      </c>
      <c r="Z318" s="59" t="str">
        <f>IFERROR(Inv_SY!N320/Inv_SY!$Z320-1,"")</f>
        <v/>
      </c>
      <c r="AA318" s="59" t="str">
        <f>IFERROR(Inv_SY!O320/Inv_SY!$Z320-1,"")</f>
        <v/>
      </c>
      <c r="AB318" s="59" t="str">
        <f>IFERROR(Inv_SY!P320/Inv_SY!$Z320-1,"")</f>
        <v/>
      </c>
      <c r="AC318" s="59" t="str">
        <f>IFERROR(Inv_SY!Q320/Inv_SY!$Z320-1,"")</f>
        <v/>
      </c>
      <c r="AD318" s="59" t="str">
        <f>IFERROR(Inv_SY!R320/Inv_SY!$Z320-1,"")</f>
        <v/>
      </c>
      <c r="AE318" s="59" t="str">
        <f>IFERROR(Inv_SY!S320/Inv_SY!$Z320-1,"")</f>
        <v/>
      </c>
      <c r="AF318" s="59" t="str">
        <f>IFERROR(Inv_SY!T320/Inv_SY!$Z320-1,"")</f>
        <v/>
      </c>
      <c r="AG318" s="59" t="str">
        <f>IFERROR(Inv_SY!U320/Inv_SY!$Z320-1,"")</f>
        <v/>
      </c>
      <c r="AH318" s="59" t="str">
        <f>IFERROR(Inv_SY!V320/Inv_SY!$Y320-1,"")</f>
        <v/>
      </c>
      <c r="AI318" s="59" t="str">
        <f>IFERROR(Inv_SY!W320/Inv_SY!$Y320-1,"")</f>
        <v/>
      </c>
      <c r="AJ318" s="59" t="str">
        <f>IFERROR(Inv_SY!X320/Inv_SY!$Y320-1,"")</f>
        <v/>
      </c>
      <c r="AK318" s="59" t="str">
        <f>IFERROR(Inv_SY!V320/Inv_SY!$Z320-1,"")</f>
        <v/>
      </c>
      <c r="AL318" s="59" t="str">
        <f>IFERROR(Inv_SY!W320/Inv_SY!$Z320-1,"")</f>
        <v/>
      </c>
      <c r="AM318" s="59" t="str">
        <f>IFERROR(Inv_SY!X320/Inv_SY!$Z320-1,"")</f>
        <v/>
      </c>
    </row>
    <row r="319" spans="1:39" x14ac:dyDescent="0.3">
      <c r="A319" s="55">
        <f>YEAR(Table5[[#This Row],[Date]])+IF(MONTH(Table5[[#This Row],[Date]])&gt;=4,1,0)</f>
        <v>2026</v>
      </c>
      <c r="B319" s="55">
        <v>279</v>
      </c>
      <c r="C319" s="124">
        <f>YEAR(Table5[[#This Row],[Date]])</f>
        <v>2026</v>
      </c>
      <c r="D319" s="55" t="s">
        <v>329</v>
      </c>
      <c r="E319" s="55" t="s">
        <v>329</v>
      </c>
      <c r="F319" s="126" t="str">
        <f>TEXT(Table5[[#This Row],[Date]],"mmm-yy")</f>
        <v>Feb-26</v>
      </c>
      <c r="G319" s="124">
        <f t="shared" si="13"/>
        <v>28</v>
      </c>
      <c r="H319" s="125">
        <f t="shared" si="12"/>
        <v>46062</v>
      </c>
      <c r="I319" s="55">
        <v>8.02</v>
      </c>
      <c r="J319" s="59" t="str">
        <f>IFERROR(Inv_SY!J321/Inv_SY!$Y321-1,"")</f>
        <v/>
      </c>
      <c r="K319" s="59" t="str">
        <f>IFERROR(Inv_SY!K321/Inv_SY!$Y321-1,"")</f>
        <v/>
      </c>
      <c r="L319" s="59" t="str">
        <f>IFERROR(Inv_SY!L321/Inv_SY!$Y321-1,"")</f>
        <v/>
      </c>
      <c r="M319" s="59" t="str">
        <f>IFERROR(Inv_SY!M321/Inv_SY!$Y321-1,"")</f>
        <v/>
      </c>
      <c r="N319" s="59" t="str">
        <f>IFERROR(Inv_SY!N321/Inv_SY!$Y321-1,"")</f>
        <v/>
      </c>
      <c r="O319" s="59" t="str">
        <f>IFERROR(Inv_SY!O321/Inv_SY!$Y321-1,"")</f>
        <v/>
      </c>
      <c r="P319" s="59" t="str">
        <f>IFERROR(Inv_SY!P321/Inv_SY!$Y321-1,"")</f>
        <v/>
      </c>
      <c r="Q319" s="59" t="str">
        <f>IFERROR(Inv_SY!Q321/Inv_SY!$Y321-1,"")</f>
        <v/>
      </c>
      <c r="R319" s="59" t="str">
        <f>IFERROR(Inv_SY!R321/Inv_SY!$Y321-1,"")</f>
        <v/>
      </c>
      <c r="S319" s="59" t="str">
        <f>IFERROR(Inv_SY!S321/Inv_SY!$Y321-1,"")</f>
        <v/>
      </c>
      <c r="T319" s="59" t="str">
        <f>IFERROR(Inv_SY!T321/Inv_SY!$Y321-1,"")</f>
        <v/>
      </c>
      <c r="U319" s="59" t="str">
        <f>IFERROR(Inv_SY!U321/Inv_SY!$Y321-1,"")</f>
        <v/>
      </c>
      <c r="V319" s="59" t="str">
        <f>IFERROR(Inv_SY!J321/Inv_SY!$Z321-1,"")</f>
        <v/>
      </c>
      <c r="W319" s="59" t="str">
        <f>IFERROR(Inv_SY!K321/Inv_SY!$Z321-1,"")</f>
        <v/>
      </c>
      <c r="X319" s="59" t="str">
        <f>IFERROR(Inv_SY!L321/Inv_SY!$Z321-1,"")</f>
        <v/>
      </c>
      <c r="Y319" s="59" t="str">
        <f>IFERROR(Inv_SY!M321/Inv_SY!$Z321-1,"")</f>
        <v/>
      </c>
      <c r="Z319" s="59" t="str">
        <f>IFERROR(Inv_SY!N321/Inv_SY!$Z321-1,"")</f>
        <v/>
      </c>
      <c r="AA319" s="59" t="str">
        <f>IFERROR(Inv_SY!O321/Inv_SY!$Z321-1,"")</f>
        <v/>
      </c>
      <c r="AB319" s="59" t="str">
        <f>IFERROR(Inv_SY!P321/Inv_SY!$Z321-1,"")</f>
        <v/>
      </c>
      <c r="AC319" s="59" t="str">
        <f>IFERROR(Inv_SY!Q321/Inv_SY!$Z321-1,"")</f>
        <v/>
      </c>
      <c r="AD319" s="59" t="str">
        <f>IFERROR(Inv_SY!R321/Inv_SY!$Z321-1,"")</f>
        <v/>
      </c>
      <c r="AE319" s="59" t="str">
        <f>IFERROR(Inv_SY!S321/Inv_SY!$Z321-1,"")</f>
        <v/>
      </c>
      <c r="AF319" s="59" t="str">
        <f>IFERROR(Inv_SY!T321/Inv_SY!$Z321-1,"")</f>
        <v/>
      </c>
      <c r="AG319" s="59" t="str">
        <f>IFERROR(Inv_SY!U321/Inv_SY!$Z321-1,"")</f>
        <v/>
      </c>
      <c r="AH319" s="59" t="str">
        <f>IFERROR(Inv_SY!V321/Inv_SY!$Y321-1,"")</f>
        <v/>
      </c>
      <c r="AI319" s="59" t="str">
        <f>IFERROR(Inv_SY!W321/Inv_SY!$Y321-1,"")</f>
        <v/>
      </c>
      <c r="AJ319" s="59" t="str">
        <f>IFERROR(Inv_SY!X321/Inv_SY!$Y321-1,"")</f>
        <v/>
      </c>
      <c r="AK319" s="59" t="str">
        <f>IFERROR(Inv_SY!V321/Inv_SY!$Z321-1,"")</f>
        <v/>
      </c>
      <c r="AL319" s="59" t="str">
        <f>IFERROR(Inv_SY!W321/Inv_SY!$Z321-1,"")</f>
        <v/>
      </c>
      <c r="AM319" s="59" t="str">
        <f>IFERROR(Inv_SY!X321/Inv_SY!$Z321-1,"")</f>
        <v/>
      </c>
    </row>
    <row r="320" spans="1:39" x14ac:dyDescent="0.3">
      <c r="A320" s="55">
        <f>YEAR(Table5[[#This Row],[Date]])+IF(MONTH(Table5[[#This Row],[Date]])&gt;=4,1,0)</f>
        <v>2026</v>
      </c>
      <c r="B320" s="55">
        <v>280</v>
      </c>
      <c r="C320" s="124">
        <f>YEAR(Table5[[#This Row],[Date]])</f>
        <v>2026</v>
      </c>
      <c r="D320" s="55" t="s">
        <v>329</v>
      </c>
      <c r="E320" s="55" t="s">
        <v>329</v>
      </c>
      <c r="F320" s="126" t="str">
        <f>TEXT(Table5[[#This Row],[Date]],"mmm-yy")</f>
        <v>Feb-26</v>
      </c>
      <c r="G320" s="124">
        <f t="shared" si="13"/>
        <v>28</v>
      </c>
      <c r="H320" s="125">
        <f t="shared" si="12"/>
        <v>46063</v>
      </c>
      <c r="I320" s="55">
        <v>8.02</v>
      </c>
      <c r="J320" s="59" t="str">
        <f>IFERROR(Inv_SY!J322/Inv_SY!$Y322-1,"")</f>
        <v/>
      </c>
      <c r="K320" s="59" t="str">
        <f>IFERROR(Inv_SY!K322/Inv_SY!$Y322-1,"")</f>
        <v/>
      </c>
      <c r="L320" s="59" t="str">
        <f>IFERROR(Inv_SY!L322/Inv_SY!$Y322-1,"")</f>
        <v/>
      </c>
      <c r="M320" s="59" t="str">
        <f>IFERROR(Inv_SY!M322/Inv_SY!$Y322-1,"")</f>
        <v/>
      </c>
      <c r="N320" s="59" t="str">
        <f>IFERROR(Inv_SY!N322/Inv_SY!$Y322-1,"")</f>
        <v/>
      </c>
      <c r="O320" s="59" t="str">
        <f>IFERROR(Inv_SY!O322/Inv_SY!$Y322-1,"")</f>
        <v/>
      </c>
      <c r="P320" s="59" t="str">
        <f>IFERROR(Inv_SY!P322/Inv_SY!$Y322-1,"")</f>
        <v/>
      </c>
      <c r="Q320" s="59" t="str">
        <f>IFERROR(Inv_SY!Q322/Inv_SY!$Y322-1,"")</f>
        <v/>
      </c>
      <c r="R320" s="59" t="str">
        <f>IFERROR(Inv_SY!R322/Inv_SY!$Y322-1,"")</f>
        <v/>
      </c>
      <c r="S320" s="59" t="str">
        <f>IFERROR(Inv_SY!S322/Inv_SY!$Y322-1,"")</f>
        <v/>
      </c>
      <c r="T320" s="59" t="str">
        <f>IFERROR(Inv_SY!T322/Inv_SY!$Y322-1,"")</f>
        <v/>
      </c>
      <c r="U320" s="59" t="str">
        <f>IFERROR(Inv_SY!U322/Inv_SY!$Y322-1,"")</f>
        <v/>
      </c>
      <c r="V320" s="59" t="str">
        <f>IFERROR(Inv_SY!J322/Inv_SY!$Z322-1,"")</f>
        <v/>
      </c>
      <c r="W320" s="59" t="str">
        <f>IFERROR(Inv_SY!K322/Inv_SY!$Z322-1,"")</f>
        <v/>
      </c>
      <c r="X320" s="59" t="str">
        <f>IFERROR(Inv_SY!L322/Inv_SY!$Z322-1,"")</f>
        <v/>
      </c>
      <c r="Y320" s="59" t="str">
        <f>IFERROR(Inv_SY!M322/Inv_SY!$Z322-1,"")</f>
        <v/>
      </c>
      <c r="Z320" s="59" t="str">
        <f>IFERROR(Inv_SY!N322/Inv_SY!$Z322-1,"")</f>
        <v/>
      </c>
      <c r="AA320" s="59" t="str">
        <f>IFERROR(Inv_SY!O322/Inv_SY!$Z322-1,"")</f>
        <v/>
      </c>
      <c r="AB320" s="59" t="str">
        <f>IFERROR(Inv_SY!P322/Inv_SY!$Z322-1,"")</f>
        <v/>
      </c>
      <c r="AC320" s="59" t="str">
        <f>IFERROR(Inv_SY!Q322/Inv_SY!$Z322-1,"")</f>
        <v/>
      </c>
      <c r="AD320" s="59" t="str">
        <f>IFERROR(Inv_SY!R322/Inv_SY!$Z322-1,"")</f>
        <v/>
      </c>
      <c r="AE320" s="59" t="str">
        <f>IFERROR(Inv_SY!S322/Inv_SY!$Z322-1,"")</f>
        <v/>
      </c>
      <c r="AF320" s="59" t="str">
        <f>IFERROR(Inv_SY!T322/Inv_SY!$Z322-1,"")</f>
        <v/>
      </c>
      <c r="AG320" s="59" t="str">
        <f>IFERROR(Inv_SY!U322/Inv_SY!$Z322-1,"")</f>
        <v/>
      </c>
      <c r="AH320" s="59" t="str">
        <f>IFERROR(Inv_SY!V322/Inv_SY!$Y322-1,"")</f>
        <v/>
      </c>
      <c r="AI320" s="59" t="str">
        <f>IFERROR(Inv_SY!W322/Inv_SY!$Y322-1,"")</f>
        <v/>
      </c>
      <c r="AJ320" s="59" t="str">
        <f>IFERROR(Inv_SY!X322/Inv_SY!$Y322-1,"")</f>
        <v/>
      </c>
      <c r="AK320" s="59" t="str">
        <f>IFERROR(Inv_SY!V322/Inv_SY!$Z322-1,"")</f>
        <v/>
      </c>
      <c r="AL320" s="59" t="str">
        <f>IFERROR(Inv_SY!W322/Inv_SY!$Z322-1,"")</f>
        <v/>
      </c>
      <c r="AM320" s="59" t="str">
        <f>IFERROR(Inv_SY!X322/Inv_SY!$Z322-1,"")</f>
        <v/>
      </c>
    </row>
    <row r="321" spans="1:39" x14ac:dyDescent="0.3">
      <c r="A321" s="55">
        <f>YEAR(Table5[[#This Row],[Date]])+IF(MONTH(Table5[[#This Row],[Date]])&gt;=4,1,0)</f>
        <v>2026</v>
      </c>
      <c r="B321" s="55">
        <v>281</v>
      </c>
      <c r="C321" s="124">
        <f>YEAR(Table5[[#This Row],[Date]])</f>
        <v>2026</v>
      </c>
      <c r="D321" s="55" t="s">
        <v>329</v>
      </c>
      <c r="E321" s="55" t="s">
        <v>329</v>
      </c>
      <c r="F321" s="126" t="str">
        <f>TEXT(Table5[[#This Row],[Date]],"mmm-yy")</f>
        <v>Feb-26</v>
      </c>
      <c r="G321" s="124">
        <f t="shared" si="13"/>
        <v>28</v>
      </c>
      <c r="H321" s="125">
        <f t="shared" si="12"/>
        <v>46064</v>
      </c>
      <c r="I321" s="55">
        <v>8.02</v>
      </c>
      <c r="J321" s="59" t="str">
        <f>IFERROR(Inv_SY!J323/Inv_SY!$Y323-1,"")</f>
        <v/>
      </c>
      <c r="K321" s="59" t="str">
        <f>IFERROR(Inv_SY!K323/Inv_SY!$Y323-1,"")</f>
        <v/>
      </c>
      <c r="L321" s="59" t="str">
        <f>IFERROR(Inv_SY!L323/Inv_SY!$Y323-1,"")</f>
        <v/>
      </c>
      <c r="M321" s="59" t="str">
        <f>IFERROR(Inv_SY!M323/Inv_SY!$Y323-1,"")</f>
        <v/>
      </c>
      <c r="N321" s="59" t="str">
        <f>IFERROR(Inv_SY!N323/Inv_SY!$Y323-1,"")</f>
        <v/>
      </c>
      <c r="O321" s="59" t="str">
        <f>IFERROR(Inv_SY!O323/Inv_SY!$Y323-1,"")</f>
        <v/>
      </c>
      <c r="P321" s="59" t="str">
        <f>IFERROR(Inv_SY!P323/Inv_SY!$Y323-1,"")</f>
        <v/>
      </c>
      <c r="Q321" s="59" t="str">
        <f>IFERROR(Inv_SY!Q323/Inv_SY!$Y323-1,"")</f>
        <v/>
      </c>
      <c r="R321" s="59" t="str">
        <f>IFERROR(Inv_SY!R323/Inv_SY!$Y323-1,"")</f>
        <v/>
      </c>
      <c r="S321" s="59" t="str">
        <f>IFERROR(Inv_SY!S323/Inv_SY!$Y323-1,"")</f>
        <v/>
      </c>
      <c r="T321" s="59" t="str">
        <f>IFERROR(Inv_SY!T323/Inv_SY!$Y323-1,"")</f>
        <v/>
      </c>
      <c r="U321" s="59" t="str">
        <f>IFERROR(Inv_SY!U323/Inv_SY!$Y323-1,"")</f>
        <v/>
      </c>
      <c r="V321" s="59" t="str">
        <f>IFERROR(Inv_SY!J323/Inv_SY!$Z323-1,"")</f>
        <v/>
      </c>
      <c r="W321" s="59" t="str">
        <f>IFERROR(Inv_SY!K323/Inv_SY!$Z323-1,"")</f>
        <v/>
      </c>
      <c r="X321" s="59" t="str">
        <f>IFERROR(Inv_SY!L323/Inv_SY!$Z323-1,"")</f>
        <v/>
      </c>
      <c r="Y321" s="59" t="str">
        <f>IFERROR(Inv_SY!M323/Inv_SY!$Z323-1,"")</f>
        <v/>
      </c>
      <c r="Z321" s="59" t="str">
        <f>IFERROR(Inv_SY!N323/Inv_SY!$Z323-1,"")</f>
        <v/>
      </c>
      <c r="AA321" s="59" t="str">
        <f>IFERROR(Inv_SY!O323/Inv_SY!$Z323-1,"")</f>
        <v/>
      </c>
      <c r="AB321" s="59" t="str">
        <f>IFERROR(Inv_SY!P323/Inv_SY!$Z323-1,"")</f>
        <v/>
      </c>
      <c r="AC321" s="59" t="str">
        <f>IFERROR(Inv_SY!Q323/Inv_SY!$Z323-1,"")</f>
        <v/>
      </c>
      <c r="AD321" s="59" t="str">
        <f>IFERROR(Inv_SY!R323/Inv_SY!$Z323-1,"")</f>
        <v/>
      </c>
      <c r="AE321" s="59" t="str">
        <f>IFERROR(Inv_SY!S323/Inv_SY!$Z323-1,"")</f>
        <v/>
      </c>
      <c r="AF321" s="59" t="str">
        <f>IFERROR(Inv_SY!T323/Inv_SY!$Z323-1,"")</f>
        <v/>
      </c>
      <c r="AG321" s="59" t="str">
        <f>IFERROR(Inv_SY!U323/Inv_SY!$Z323-1,"")</f>
        <v/>
      </c>
      <c r="AH321" s="59" t="str">
        <f>IFERROR(Inv_SY!V323/Inv_SY!$Y323-1,"")</f>
        <v/>
      </c>
      <c r="AI321" s="59" t="str">
        <f>IFERROR(Inv_SY!W323/Inv_SY!$Y323-1,"")</f>
        <v/>
      </c>
      <c r="AJ321" s="59" t="str">
        <f>IFERROR(Inv_SY!X323/Inv_SY!$Y323-1,"")</f>
        <v/>
      </c>
      <c r="AK321" s="59" t="str">
        <f>IFERROR(Inv_SY!V323/Inv_SY!$Z323-1,"")</f>
        <v/>
      </c>
      <c r="AL321" s="59" t="str">
        <f>IFERROR(Inv_SY!W323/Inv_SY!$Z323-1,"")</f>
        <v/>
      </c>
      <c r="AM321" s="59" t="str">
        <f>IFERROR(Inv_SY!X323/Inv_SY!$Z323-1,"")</f>
        <v/>
      </c>
    </row>
    <row r="322" spans="1:39" x14ac:dyDescent="0.3">
      <c r="A322" s="55">
        <f>YEAR(Table5[[#This Row],[Date]])+IF(MONTH(Table5[[#This Row],[Date]])&gt;=4,1,0)</f>
        <v>2026</v>
      </c>
      <c r="B322" s="55">
        <v>282</v>
      </c>
      <c r="C322" s="124">
        <f>YEAR(Table5[[#This Row],[Date]])</f>
        <v>2026</v>
      </c>
      <c r="D322" s="55" t="s">
        <v>329</v>
      </c>
      <c r="E322" s="55" t="s">
        <v>329</v>
      </c>
      <c r="F322" s="126" t="str">
        <f>TEXT(Table5[[#This Row],[Date]],"mmm-yy")</f>
        <v>Feb-26</v>
      </c>
      <c r="G322" s="124">
        <f t="shared" si="13"/>
        <v>28</v>
      </c>
      <c r="H322" s="125">
        <f t="shared" si="12"/>
        <v>46065</v>
      </c>
      <c r="I322" s="55">
        <v>8.02</v>
      </c>
      <c r="J322" s="59" t="str">
        <f>IFERROR(Inv_SY!J324/Inv_SY!$Y324-1,"")</f>
        <v/>
      </c>
      <c r="K322" s="59" t="str">
        <f>IFERROR(Inv_SY!K324/Inv_SY!$Y324-1,"")</f>
        <v/>
      </c>
      <c r="L322" s="59" t="str">
        <f>IFERROR(Inv_SY!L324/Inv_SY!$Y324-1,"")</f>
        <v/>
      </c>
      <c r="M322" s="59" t="str">
        <f>IFERROR(Inv_SY!M324/Inv_SY!$Y324-1,"")</f>
        <v/>
      </c>
      <c r="N322" s="59" t="str">
        <f>IFERROR(Inv_SY!N324/Inv_SY!$Y324-1,"")</f>
        <v/>
      </c>
      <c r="O322" s="59" t="str">
        <f>IFERROR(Inv_SY!O324/Inv_SY!$Y324-1,"")</f>
        <v/>
      </c>
      <c r="P322" s="59" t="str">
        <f>IFERROR(Inv_SY!P324/Inv_SY!$Y324-1,"")</f>
        <v/>
      </c>
      <c r="Q322" s="59" t="str">
        <f>IFERROR(Inv_SY!Q324/Inv_SY!$Y324-1,"")</f>
        <v/>
      </c>
      <c r="R322" s="59" t="str">
        <f>IFERROR(Inv_SY!R324/Inv_SY!$Y324-1,"")</f>
        <v/>
      </c>
      <c r="S322" s="59" t="str">
        <f>IFERROR(Inv_SY!S324/Inv_SY!$Y324-1,"")</f>
        <v/>
      </c>
      <c r="T322" s="59" t="str">
        <f>IFERROR(Inv_SY!T324/Inv_SY!$Y324-1,"")</f>
        <v/>
      </c>
      <c r="U322" s="59" t="str">
        <f>IFERROR(Inv_SY!U324/Inv_SY!$Y324-1,"")</f>
        <v/>
      </c>
      <c r="V322" s="59" t="str">
        <f>IFERROR(Inv_SY!J324/Inv_SY!$Z324-1,"")</f>
        <v/>
      </c>
      <c r="W322" s="59" t="str">
        <f>IFERROR(Inv_SY!K324/Inv_SY!$Z324-1,"")</f>
        <v/>
      </c>
      <c r="X322" s="59" t="str">
        <f>IFERROR(Inv_SY!L324/Inv_SY!$Z324-1,"")</f>
        <v/>
      </c>
      <c r="Y322" s="59" t="str">
        <f>IFERROR(Inv_SY!M324/Inv_SY!$Z324-1,"")</f>
        <v/>
      </c>
      <c r="Z322" s="59" t="str">
        <f>IFERROR(Inv_SY!N324/Inv_SY!$Z324-1,"")</f>
        <v/>
      </c>
      <c r="AA322" s="59" t="str">
        <f>IFERROR(Inv_SY!O324/Inv_SY!$Z324-1,"")</f>
        <v/>
      </c>
      <c r="AB322" s="59" t="str">
        <f>IFERROR(Inv_SY!P324/Inv_SY!$Z324-1,"")</f>
        <v/>
      </c>
      <c r="AC322" s="59" t="str">
        <f>IFERROR(Inv_SY!Q324/Inv_SY!$Z324-1,"")</f>
        <v/>
      </c>
      <c r="AD322" s="59" t="str">
        <f>IFERROR(Inv_SY!R324/Inv_SY!$Z324-1,"")</f>
        <v/>
      </c>
      <c r="AE322" s="59" t="str">
        <f>IFERROR(Inv_SY!S324/Inv_SY!$Z324-1,"")</f>
        <v/>
      </c>
      <c r="AF322" s="59" t="str">
        <f>IFERROR(Inv_SY!T324/Inv_SY!$Z324-1,"")</f>
        <v/>
      </c>
      <c r="AG322" s="59" t="str">
        <f>IFERROR(Inv_SY!U324/Inv_SY!$Z324-1,"")</f>
        <v/>
      </c>
      <c r="AH322" s="59" t="str">
        <f>IFERROR(Inv_SY!V324/Inv_SY!$Y324-1,"")</f>
        <v/>
      </c>
      <c r="AI322" s="59" t="str">
        <f>IFERROR(Inv_SY!W324/Inv_SY!$Y324-1,"")</f>
        <v/>
      </c>
      <c r="AJ322" s="59" t="str">
        <f>IFERROR(Inv_SY!X324/Inv_SY!$Y324-1,"")</f>
        <v/>
      </c>
      <c r="AK322" s="59" t="str">
        <f>IFERROR(Inv_SY!V324/Inv_SY!$Z324-1,"")</f>
        <v/>
      </c>
      <c r="AL322" s="59" t="str">
        <f>IFERROR(Inv_SY!W324/Inv_SY!$Z324-1,"")</f>
        <v/>
      </c>
      <c r="AM322" s="59" t="str">
        <f>IFERROR(Inv_SY!X324/Inv_SY!$Z324-1,"")</f>
        <v/>
      </c>
    </row>
    <row r="323" spans="1:39" x14ac:dyDescent="0.3">
      <c r="A323" s="55">
        <f>YEAR(Table5[[#This Row],[Date]])+IF(MONTH(Table5[[#This Row],[Date]])&gt;=4,1,0)</f>
        <v>2026</v>
      </c>
      <c r="B323" s="55">
        <v>283</v>
      </c>
      <c r="C323" s="124">
        <f>YEAR(Table5[[#This Row],[Date]])</f>
        <v>2026</v>
      </c>
      <c r="D323" s="55" t="s">
        <v>329</v>
      </c>
      <c r="E323" s="55" t="s">
        <v>329</v>
      </c>
      <c r="F323" s="126" t="str">
        <f>TEXT(Table5[[#This Row],[Date]],"mmm-yy")</f>
        <v>Feb-26</v>
      </c>
      <c r="G323" s="124">
        <f t="shared" si="13"/>
        <v>28</v>
      </c>
      <c r="H323" s="125">
        <f t="shared" si="12"/>
        <v>46066</v>
      </c>
      <c r="I323" s="55">
        <v>8.02</v>
      </c>
      <c r="J323" s="59" t="str">
        <f>IFERROR(Inv_SY!J325/Inv_SY!$Y325-1,"")</f>
        <v/>
      </c>
      <c r="K323" s="59" t="str">
        <f>IFERROR(Inv_SY!K325/Inv_SY!$Y325-1,"")</f>
        <v/>
      </c>
      <c r="L323" s="59" t="str">
        <f>IFERROR(Inv_SY!L325/Inv_SY!$Y325-1,"")</f>
        <v/>
      </c>
      <c r="M323" s="59" t="str">
        <f>IFERROR(Inv_SY!M325/Inv_SY!$Y325-1,"")</f>
        <v/>
      </c>
      <c r="N323" s="59" t="str">
        <f>IFERROR(Inv_SY!N325/Inv_SY!$Y325-1,"")</f>
        <v/>
      </c>
      <c r="O323" s="59" t="str">
        <f>IFERROR(Inv_SY!O325/Inv_SY!$Y325-1,"")</f>
        <v/>
      </c>
      <c r="P323" s="59" t="str">
        <f>IFERROR(Inv_SY!P325/Inv_SY!$Y325-1,"")</f>
        <v/>
      </c>
      <c r="Q323" s="59" t="str">
        <f>IFERROR(Inv_SY!Q325/Inv_SY!$Y325-1,"")</f>
        <v/>
      </c>
      <c r="R323" s="59" t="str">
        <f>IFERROR(Inv_SY!R325/Inv_SY!$Y325-1,"")</f>
        <v/>
      </c>
      <c r="S323" s="59" t="str">
        <f>IFERROR(Inv_SY!S325/Inv_SY!$Y325-1,"")</f>
        <v/>
      </c>
      <c r="T323" s="59" t="str">
        <f>IFERROR(Inv_SY!T325/Inv_SY!$Y325-1,"")</f>
        <v/>
      </c>
      <c r="U323" s="59" t="str">
        <f>IFERROR(Inv_SY!U325/Inv_SY!$Y325-1,"")</f>
        <v/>
      </c>
      <c r="V323" s="59" t="str">
        <f>IFERROR(Inv_SY!J325/Inv_SY!$Z325-1,"")</f>
        <v/>
      </c>
      <c r="W323" s="59" t="str">
        <f>IFERROR(Inv_SY!K325/Inv_SY!$Z325-1,"")</f>
        <v/>
      </c>
      <c r="X323" s="59" t="str">
        <f>IFERROR(Inv_SY!L325/Inv_SY!$Z325-1,"")</f>
        <v/>
      </c>
      <c r="Y323" s="59" t="str">
        <f>IFERROR(Inv_SY!M325/Inv_SY!$Z325-1,"")</f>
        <v/>
      </c>
      <c r="Z323" s="59" t="str">
        <f>IFERROR(Inv_SY!N325/Inv_SY!$Z325-1,"")</f>
        <v/>
      </c>
      <c r="AA323" s="59" t="str">
        <f>IFERROR(Inv_SY!O325/Inv_SY!$Z325-1,"")</f>
        <v/>
      </c>
      <c r="AB323" s="59" t="str">
        <f>IFERROR(Inv_SY!P325/Inv_SY!$Z325-1,"")</f>
        <v/>
      </c>
      <c r="AC323" s="59" t="str">
        <f>IFERROR(Inv_SY!Q325/Inv_SY!$Z325-1,"")</f>
        <v/>
      </c>
      <c r="AD323" s="59" t="str">
        <f>IFERROR(Inv_SY!R325/Inv_SY!$Z325-1,"")</f>
        <v/>
      </c>
      <c r="AE323" s="59" t="str">
        <f>IFERROR(Inv_SY!S325/Inv_SY!$Z325-1,"")</f>
        <v/>
      </c>
      <c r="AF323" s="59" t="str">
        <f>IFERROR(Inv_SY!T325/Inv_SY!$Z325-1,"")</f>
        <v/>
      </c>
      <c r="AG323" s="59" t="str">
        <f>IFERROR(Inv_SY!U325/Inv_SY!$Z325-1,"")</f>
        <v/>
      </c>
      <c r="AH323" s="59" t="str">
        <f>IFERROR(Inv_SY!V325/Inv_SY!$Y325-1,"")</f>
        <v/>
      </c>
      <c r="AI323" s="59" t="str">
        <f>IFERROR(Inv_SY!W325/Inv_SY!$Y325-1,"")</f>
        <v/>
      </c>
      <c r="AJ323" s="59" t="str">
        <f>IFERROR(Inv_SY!X325/Inv_SY!$Y325-1,"")</f>
        <v/>
      </c>
      <c r="AK323" s="59" t="str">
        <f>IFERROR(Inv_SY!V325/Inv_SY!$Z325-1,"")</f>
        <v/>
      </c>
      <c r="AL323" s="59" t="str">
        <f>IFERROR(Inv_SY!W325/Inv_SY!$Z325-1,"")</f>
        <v/>
      </c>
      <c r="AM323" s="59" t="str">
        <f>IFERROR(Inv_SY!X325/Inv_SY!$Z325-1,"")</f>
        <v/>
      </c>
    </row>
    <row r="324" spans="1:39" x14ac:dyDescent="0.3">
      <c r="A324" s="55">
        <f>YEAR(Table5[[#This Row],[Date]])+IF(MONTH(Table5[[#This Row],[Date]])&gt;=4,1,0)</f>
        <v>2026</v>
      </c>
      <c r="B324" s="55">
        <v>284</v>
      </c>
      <c r="C324" s="124">
        <f>YEAR(Table5[[#This Row],[Date]])</f>
        <v>2026</v>
      </c>
      <c r="D324" s="55" t="s">
        <v>329</v>
      </c>
      <c r="E324" s="55" t="s">
        <v>329</v>
      </c>
      <c r="F324" s="126" t="str">
        <f>TEXT(Table5[[#This Row],[Date]],"mmm-yy")</f>
        <v>Feb-26</v>
      </c>
      <c r="G324" s="124">
        <f t="shared" si="13"/>
        <v>28</v>
      </c>
      <c r="H324" s="125">
        <f t="shared" si="12"/>
        <v>46067</v>
      </c>
      <c r="I324" s="55">
        <v>8.02</v>
      </c>
      <c r="J324" s="59" t="str">
        <f>IFERROR(Inv_SY!J326/Inv_SY!$Y326-1,"")</f>
        <v/>
      </c>
      <c r="K324" s="59" t="str">
        <f>IFERROR(Inv_SY!K326/Inv_SY!$Y326-1,"")</f>
        <v/>
      </c>
      <c r="L324" s="59" t="str">
        <f>IFERROR(Inv_SY!L326/Inv_SY!$Y326-1,"")</f>
        <v/>
      </c>
      <c r="M324" s="59" t="str">
        <f>IFERROR(Inv_SY!M326/Inv_SY!$Y326-1,"")</f>
        <v/>
      </c>
      <c r="N324" s="59" t="str">
        <f>IFERROR(Inv_SY!N326/Inv_SY!$Y326-1,"")</f>
        <v/>
      </c>
      <c r="O324" s="59" t="str">
        <f>IFERROR(Inv_SY!O326/Inv_SY!$Y326-1,"")</f>
        <v/>
      </c>
      <c r="P324" s="59" t="str">
        <f>IFERROR(Inv_SY!P326/Inv_SY!$Y326-1,"")</f>
        <v/>
      </c>
      <c r="Q324" s="59" t="str">
        <f>IFERROR(Inv_SY!Q326/Inv_SY!$Y326-1,"")</f>
        <v/>
      </c>
      <c r="R324" s="59" t="str">
        <f>IFERROR(Inv_SY!R326/Inv_SY!$Y326-1,"")</f>
        <v/>
      </c>
      <c r="S324" s="59" t="str">
        <f>IFERROR(Inv_SY!S326/Inv_SY!$Y326-1,"")</f>
        <v/>
      </c>
      <c r="T324" s="59" t="str">
        <f>IFERROR(Inv_SY!T326/Inv_SY!$Y326-1,"")</f>
        <v/>
      </c>
      <c r="U324" s="59" t="str">
        <f>IFERROR(Inv_SY!U326/Inv_SY!$Y326-1,"")</f>
        <v/>
      </c>
      <c r="V324" s="59" t="str">
        <f>IFERROR(Inv_SY!J326/Inv_SY!$Z326-1,"")</f>
        <v/>
      </c>
      <c r="W324" s="59" t="str">
        <f>IFERROR(Inv_SY!K326/Inv_SY!$Z326-1,"")</f>
        <v/>
      </c>
      <c r="X324" s="59" t="str">
        <f>IFERROR(Inv_SY!L326/Inv_SY!$Z326-1,"")</f>
        <v/>
      </c>
      <c r="Y324" s="59" t="str">
        <f>IFERROR(Inv_SY!M326/Inv_SY!$Z326-1,"")</f>
        <v/>
      </c>
      <c r="Z324" s="59" t="str">
        <f>IFERROR(Inv_SY!N326/Inv_SY!$Z326-1,"")</f>
        <v/>
      </c>
      <c r="AA324" s="59" t="str">
        <f>IFERROR(Inv_SY!O326/Inv_SY!$Z326-1,"")</f>
        <v/>
      </c>
      <c r="AB324" s="59" t="str">
        <f>IFERROR(Inv_SY!P326/Inv_SY!$Z326-1,"")</f>
        <v/>
      </c>
      <c r="AC324" s="59" t="str">
        <f>IFERROR(Inv_SY!Q326/Inv_SY!$Z326-1,"")</f>
        <v/>
      </c>
      <c r="AD324" s="59" t="str">
        <f>IFERROR(Inv_SY!R326/Inv_SY!$Z326-1,"")</f>
        <v/>
      </c>
      <c r="AE324" s="59" t="str">
        <f>IFERROR(Inv_SY!S326/Inv_SY!$Z326-1,"")</f>
        <v/>
      </c>
      <c r="AF324" s="59" t="str">
        <f>IFERROR(Inv_SY!T326/Inv_SY!$Z326-1,"")</f>
        <v/>
      </c>
      <c r="AG324" s="59" t="str">
        <f>IFERROR(Inv_SY!U326/Inv_SY!$Z326-1,"")</f>
        <v/>
      </c>
      <c r="AH324" s="59" t="str">
        <f>IFERROR(Inv_SY!V326/Inv_SY!$Y326-1,"")</f>
        <v/>
      </c>
      <c r="AI324" s="59" t="str">
        <f>IFERROR(Inv_SY!W326/Inv_SY!$Y326-1,"")</f>
        <v/>
      </c>
      <c r="AJ324" s="59" t="str">
        <f>IFERROR(Inv_SY!X326/Inv_SY!$Y326-1,"")</f>
        <v/>
      </c>
      <c r="AK324" s="59" t="str">
        <f>IFERROR(Inv_SY!V326/Inv_SY!$Z326-1,"")</f>
        <v/>
      </c>
      <c r="AL324" s="59" t="str">
        <f>IFERROR(Inv_SY!W326/Inv_SY!$Z326-1,"")</f>
        <v/>
      </c>
      <c r="AM324" s="59" t="str">
        <f>IFERROR(Inv_SY!X326/Inv_SY!$Z326-1,"")</f>
        <v/>
      </c>
    </row>
    <row r="325" spans="1:39" x14ac:dyDescent="0.3">
      <c r="A325" s="55">
        <f>YEAR(Table5[[#This Row],[Date]])+IF(MONTH(Table5[[#This Row],[Date]])&gt;=4,1,0)</f>
        <v>2026</v>
      </c>
      <c r="B325" s="55">
        <v>285</v>
      </c>
      <c r="C325" s="124">
        <f>YEAR(Table5[[#This Row],[Date]])</f>
        <v>2026</v>
      </c>
      <c r="D325" s="55" t="s">
        <v>329</v>
      </c>
      <c r="E325" s="55" t="s">
        <v>329</v>
      </c>
      <c r="F325" s="126" t="str">
        <f>TEXT(Table5[[#This Row],[Date]],"mmm-yy")</f>
        <v>Feb-26</v>
      </c>
      <c r="G325" s="124">
        <f t="shared" si="13"/>
        <v>28</v>
      </c>
      <c r="H325" s="125">
        <f t="shared" ref="H325:H388" si="14">H324+1</f>
        <v>46068</v>
      </c>
      <c r="I325" s="55">
        <v>8.02</v>
      </c>
      <c r="J325" s="59" t="str">
        <f>IFERROR(Inv_SY!J327/Inv_SY!$Y327-1,"")</f>
        <v/>
      </c>
      <c r="K325" s="59" t="str">
        <f>IFERROR(Inv_SY!K327/Inv_SY!$Y327-1,"")</f>
        <v/>
      </c>
      <c r="L325" s="59" t="str">
        <f>IFERROR(Inv_SY!L327/Inv_SY!$Y327-1,"")</f>
        <v/>
      </c>
      <c r="M325" s="59" t="str">
        <f>IFERROR(Inv_SY!M327/Inv_SY!$Y327-1,"")</f>
        <v/>
      </c>
      <c r="N325" s="59" t="str">
        <f>IFERROR(Inv_SY!N327/Inv_SY!$Y327-1,"")</f>
        <v/>
      </c>
      <c r="O325" s="59" t="str">
        <f>IFERROR(Inv_SY!O327/Inv_SY!$Y327-1,"")</f>
        <v/>
      </c>
      <c r="P325" s="59" t="str">
        <f>IFERROR(Inv_SY!P327/Inv_SY!$Y327-1,"")</f>
        <v/>
      </c>
      <c r="Q325" s="59" t="str">
        <f>IFERROR(Inv_SY!Q327/Inv_SY!$Y327-1,"")</f>
        <v/>
      </c>
      <c r="R325" s="59" t="str">
        <f>IFERROR(Inv_SY!R327/Inv_SY!$Y327-1,"")</f>
        <v/>
      </c>
      <c r="S325" s="59" t="str">
        <f>IFERROR(Inv_SY!S327/Inv_SY!$Y327-1,"")</f>
        <v/>
      </c>
      <c r="T325" s="59" t="str">
        <f>IFERROR(Inv_SY!T327/Inv_SY!$Y327-1,"")</f>
        <v/>
      </c>
      <c r="U325" s="59" t="str">
        <f>IFERROR(Inv_SY!U327/Inv_SY!$Y327-1,"")</f>
        <v/>
      </c>
      <c r="V325" s="59" t="str">
        <f>IFERROR(Inv_SY!J327/Inv_SY!$Z327-1,"")</f>
        <v/>
      </c>
      <c r="W325" s="59" t="str">
        <f>IFERROR(Inv_SY!K327/Inv_SY!$Z327-1,"")</f>
        <v/>
      </c>
      <c r="X325" s="59" t="str">
        <f>IFERROR(Inv_SY!L327/Inv_SY!$Z327-1,"")</f>
        <v/>
      </c>
      <c r="Y325" s="59" t="str">
        <f>IFERROR(Inv_SY!M327/Inv_SY!$Z327-1,"")</f>
        <v/>
      </c>
      <c r="Z325" s="59" t="str">
        <f>IFERROR(Inv_SY!N327/Inv_SY!$Z327-1,"")</f>
        <v/>
      </c>
      <c r="AA325" s="59" t="str">
        <f>IFERROR(Inv_SY!O327/Inv_SY!$Z327-1,"")</f>
        <v/>
      </c>
      <c r="AB325" s="59" t="str">
        <f>IFERROR(Inv_SY!P327/Inv_SY!$Z327-1,"")</f>
        <v/>
      </c>
      <c r="AC325" s="59" t="str">
        <f>IFERROR(Inv_SY!Q327/Inv_SY!$Z327-1,"")</f>
        <v/>
      </c>
      <c r="AD325" s="59" t="str">
        <f>IFERROR(Inv_SY!R327/Inv_SY!$Z327-1,"")</f>
        <v/>
      </c>
      <c r="AE325" s="59" t="str">
        <f>IFERROR(Inv_SY!S327/Inv_SY!$Z327-1,"")</f>
        <v/>
      </c>
      <c r="AF325" s="59" t="str">
        <f>IFERROR(Inv_SY!T327/Inv_SY!$Z327-1,"")</f>
        <v/>
      </c>
      <c r="AG325" s="59" t="str">
        <f>IFERROR(Inv_SY!U327/Inv_SY!$Z327-1,"")</f>
        <v/>
      </c>
      <c r="AH325" s="59" t="str">
        <f>IFERROR(Inv_SY!V327/Inv_SY!$Y327-1,"")</f>
        <v/>
      </c>
      <c r="AI325" s="59" t="str">
        <f>IFERROR(Inv_SY!W327/Inv_SY!$Y327-1,"")</f>
        <v/>
      </c>
      <c r="AJ325" s="59" t="str">
        <f>IFERROR(Inv_SY!X327/Inv_SY!$Y327-1,"")</f>
        <v/>
      </c>
      <c r="AK325" s="59" t="str">
        <f>IFERROR(Inv_SY!V327/Inv_SY!$Z327-1,"")</f>
        <v/>
      </c>
      <c r="AL325" s="59" t="str">
        <f>IFERROR(Inv_SY!W327/Inv_SY!$Z327-1,"")</f>
        <v/>
      </c>
      <c r="AM325" s="59" t="str">
        <f>IFERROR(Inv_SY!X327/Inv_SY!$Z327-1,"")</f>
        <v/>
      </c>
    </row>
    <row r="326" spans="1:39" x14ac:dyDescent="0.3">
      <c r="A326" s="55">
        <f>YEAR(Table5[[#This Row],[Date]])+IF(MONTH(Table5[[#This Row],[Date]])&gt;=4,1,0)</f>
        <v>2026</v>
      </c>
      <c r="B326" s="55">
        <v>286</v>
      </c>
      <c r="C326" s="124">
        <f>YEAR(Table5[[#This Row],[Date]])</f>
        <v>2026</v>
      </c>
      <c r="D326" s="55" t="s">
        <v>329</v>
      </c>
      <c r="E326" s="55" t="s">
        <v>329</v>
      </c>
      <c r="F326" s="126" t="str">
        <f>TEXT(Table5[[#This Row],[Date]],"mmm-yy")</f>
        <v>Feb-26</v>
      </c>
      <c r="G326" s="124">
        <f t="shared" si="13"/>
        <v>28</v>
      </c>
      <c r="H326" s="125">
        <f t="shared" si="14"/>
        <v>46069</v>
      </c>
      <c r="I326" s="55">
        <v>8.02</v>
      </c>
      <c r="J326" s="59" t="str">
        <f>IFERROR(Inv_SY!J328/Inv_SY!$Y328-1,"")</f>
        <v/>
      </c>
      <c r="K326" s="59" t="str">
        <f>IFERROR(Inv_SY!K328/Inv_SY!$Y328-1,"")</f>
        <v/>
      </c>
      <c r="L326" s="59" t="str">
        <f>IFERROR(Inv_SY!L328/Inv_SY!$Y328-1,"")</f>
        <v/>
      </c>
      <c r="M326" s="59" t="str">
        <f>IFERROR(Inv_SY!M328/Inv_SY!$Y328-1,"")</f>
        <v/>
      </c>
      <c r="N326" s="59" t="str">
        <f>IFERROR(Inv_SY!N328/Inv_SY!$Y328-1,"")</f>
        <v/>
      </c>
      <c r="O326" s="59" t="str">
        <f>IFERROR(Inv_SY!O328/Inv_SY!$Y328-1,"")</f>
        <v/>
      </c>
      <c r="P326" s="59" t="str">
        <f>IFERROR(Inv_SY!P328/Inv_SY!$Y328-1,"")</f>
        <v/>
      </c>
      <c r="Q326" s="59" t="str">
        <f>IFERROR(Inv_SY!Q328/Inv_SY!$Y328-1,"")</f>
        <v/>
      </c>
      <c r="R326" s="59" t="str">
        <f>IFERROR(Inv_SY!R328/Inv_SY!$Y328-1,"")</f>
        <v/>
      </c>
      <c r="S326" s="59" t="str">
        <f>IFERROR(Inv_SY!S328/Inv_SY!$Y328-1,"")</f>
        <v/>
      </c>
      <c r="T326" s="59" t="str">
        <f>IFERROR(Inv_SY!T328/Inv_SY!$Y328-1,"")</f>
        <v/>
      </c>
      <c r="U326" s="59" t="str">
        <f>IFERROR(Inv_SY!U328/Inv_SY!$Y328-1,"")</f>
        <v/>
      </c>
      <c r="V326" s="59" t="str">
        <f>IFERROR(Inv_SY!J328/Inv_SY!$Z328-1,"")</f>
        <v/>
      </c>
      <c r="W326" s="59" t="str">
        <f>IFERROR(Inv_SY!K328/Inv_SY!$Z328-1,"")</f>
        <v/>
      </c>
      <c r="X326" s="59" t="str">
        <f>IFERROR(Inv_SY!L328/Inv_SY!$Z328-1,"")</f>
        <v/>
      </c>
      <c r="Y326" s="59" t="str">
        <f>IFERROR(Inv_SY!M328/Inv_SY!$Z328-1,"")</f>
        <v/>
      </c>
      <c r="Z326" s="59" t="str">
        <f>IFERROR(Inv_SY!N328/Inv_SY!$Z328-1,"")</f>
        <v/>
      </c>
      <c r="AA326" s="59" t="str">
        <f>IFERROR(Inv_SY!O328/Inv_SY!$Z328-1,"")</f>
        <v/>
      </c>
      <c r="AB326" s="59" t="str">
        <f>IFERROR(Inv_SY!P328/Inv_SY!$Z328-1,"")</f>
        <v/>
      </c>
      <c r="AC326" s="59" t="str">
        <f>IFERROR(Inv_SY!Q328/Inv_SY!$Z328-1,"")</f>
        <v/>
      </c>
      <c r="AD326" s="59" t="str">
        <f>IFERROR(Inv_SY!R328/Inv_SY!$Z328-1,"")</f>
        <v/>
      </c>
      <c r="AE326" s="59" t="str">
        <f>IFERROR(Inv_SY!S328/Inv_SY!$Z328-1,"")</f>
        <v/>
      </c>
      <c r="AF326" s="59" t="str">
        <f>IFERROR(Inv_SY!T328/Inv_SY!$Z328-1,"")</f>
        <v/>
      </c>
      <c r="AG326" s="59" t="str">
        <f>IFERROR(Inv_SY!U328/Inv_SY!$Z328-1,"")</f>
        <v/>
      </c>
      <c r="AH326" s="59" t="str">
        <f>IFERROR(Inv_SY!V328/Inv_SY!$Y328-1,"")</f>
        <v/>
      </c>
      <c r="AI326" s="59" t="str">
        <f>IFERROR(Inv_SY!W328/Inv_SY!$Y328-1,"")</f>
        <v/>
      </c>
      <c r="AJ326" s="59" t="str">
        <f>IFERROR(Inv_SY!X328/Inv_SY!$Y328-1,"")</f>
        <v/>
      </c>
      <c r="AK326" s="59" t="str">
        <f>IFERROR(Inv_SY!V328/Inv_SY!$Z328-1,"")</f>
        <v/>
      </c>
      <c r="AL326" s="59" t="str">
        <f>IFERROR(Inv_SY!W328/Inv_SY!$Z328-1,"")</f>
        <v/>
      </c>
      <c r="AM326" s="59" t="str">
        <f>IFERROR(Inv_SY!X328/Inv_SY!$Z328-1,"")</f>
        <v/>
      </c>
    </row>
    <row r="327" spans="1:39" x14ac:dyDescent="0.3">
      <c r="A327" s="55">
        <f>YEAR(Table5[[#This Row],[Date]])+IF(MONTH(Table5[[#This Row],[Date]])&gt;=4,1,0)</f>
        <v>2026</v>
      </c>
      <c r="B327" s="55">
        <v>287</v>
      </c>
      <c r="C327" s="124">
        <f>YEAR(Table5[[#This Row],[Date]])</f>
        <v>2026</v>
      </c>
      <c r="D327" s="55" t="s">
        <v>329</v>
      </c>
      <c r="E327" s="55" t="s">
        <v>329</v>
      </c>
      <c r="F327" s="126" t="str">
        <f>TEXT(Table5[[#This Row],[Date]],"mmm-yy")</f>
        <v>Feb-26</v>
      </c>
      <c r="G327" s="124">
        <f t="shared" si="13"/>
        <v>28</v>
      </c>
      <c r="H327" s="125">
        <f t="shared" si="14"/>
        <v>46070</v>
      </c>
      <c r="I327" s="55">
        <v>8.02</v>
      </c>
      <c r="J327" s="59" t="str">
        <f>IFERROR(Inv_SY!J329/Inv_SY!$Y329-1,"")</f>
        <v/>
      </c>
      <c r="K327" s="59" t="str">
        <f>IFERROR(Inv_SY!K329/Inv_SY!$Y329-1,"")</f>
        <v/>
      </c>
      <c r="L327" s="59" t="str">
        <f>IFERROR(Inv_SY!L329/Inv_SY!$Y329-1,"")</f>
        <v/>
      </c>
      <c r="M327" s="59" t="str">
        <f>IFERROR(Inv_SY!M329/Inv_SY!$Y329-1,"")</f>
        <v/>
      </c>
      <c r="N327" s="59" t="str">
        <f>IFERROR(Inv_SY!N329/Inv_SY!$Y329-1,"")</f>
        <v/>
      </c>
      <c r="O327" s="59" t="str">
        <f>IFERROR(Inv_SY!O329/Inv_SY!$Y329-1,"")</f>
        <v/>
      </c>
      <c r="P327" s="59" t="str">
        <f>IFERROR(Inv_SY!P329/Inv_SY!$Y329-1,"")</f>
        <v/>
      </c>
      <c r="Q327" s="59" t="str">
        <f>IFERROR(Inv_SY!Q329/Inv_SY!$Y329-1,"")</f>
        <v/>
      </c>
      <c r="R327" s="59" t="str">
        <f>IFERROR(Inv_SY!R329/Inv_SY!$Y329-1,"")</f>
        <v/>
      </c>
      <c r="S327" s="59" t="str">
        <f>IFERROR(Inv_SY!S329/Inv_SY!$Y329-1,"")</f>
        <v/>
      </c>
      <c r="T327" s="59" t="str">
        <f>IFERROR(Inv_SY!T329/Inv_SY!$Y329-1,"")</f>
        <v/>
      </c>
      <c r="U327" s="59" t="str">
        <f>IFERROR(Inv_SY!U329/Inv_SY!$Y329-1,"")</f>
        <v/>
      </c>
      <c r="V327" s="59" t="str">
        <f>IFERROR(Inv_SY!J329/Inv_SY!$Z329-1,"")</f>
        <v/>
      </c>
      <c r="W327" s="59" t="str">
        <f>IFERROR(Inv_SY!K329/Inv_SY!$Z329-1,"")</f>
        <v/>
      </c>
      <c r="X327" s="59" t="str">
        <f>IFERROR(Inv_SY!L329/Inv_SY!$Z329-1,"")</f>
        <v/>
      </c>
      <c r="Y327" s="59" t="str">
        <f>IFERROR(Inv_SY!M329/Inv_SY!$Z329-1,"")</f>
        <v/>
      </c>
      <c r="Z327" s="59" t="str">
        <f>IFERROR(Inv_SY!N329/Inv_SY!$Z329-1,"")</f>
        <v/>
      </c>
      <c r="AA327" s="59" t="str">
        <f>IFERROR(Inv_SY!O329/Inv_SY!$Z329-1,"")</f>
        <v/>
      </c>
      <c r="AB327" s="59" t="str">
        <f>IFERROR(Inv_SY!P329/Inv_SY!$Z329-1,"")</f>
        <v/>
      </c>
      <c r="AC327" s="59" t="str">
        <f>IFERROR(Inv_SY!Q329/Inv_SY!$Z329-1,"")</f>
        <v/>
      </c>
      <c r="AD327" s="59" t="str">
        <f>IFERROR(Inv_SY!R329/Inv_SY!$Z329-1,"")</f>
        <v/>
      </c>
      <c r="AE327" s="59" t="str">
        <f>IFERROR(Inv_SY!S329/Inv_SY!$Z329-1,"")</f>
        <v/>
      </c>
      <c r="AF327" s="59" t="str">
        <f>IFERROR(Inv_SY!T329/Inv_SY!$Z329-1,"")</f>
        <v/>
      </c>
      <c r="AG327" s="59" t="str">
        <f>IFERROR(Inv_SY!U329/Inv_SY!$Z329-1,"")</f>
        <v/>
      </c>
      <c r="AH327" s="59" t="str">
        <f>IFERROR(Inv_SY!V329/Inv_SY!$Y329-1,"")</f>
        <v/>
      </c>
      <c r="AI327" s="59" t="str">
        <f>IFERROR(Inv_SY!W329/Inv_SY!$Y329-1,"")</f>
        <v/>
      </c>
      <c r="AJ327" s="59" t="str">
        <f>IFERROR(Inv_SY!X329/Inv_SY!$Y329-1,"")</f>
        <v/>
      </c>
      <c r="AK327" s="59" t="str">
        <f>IFERROR(Inv_SY!V329/Inv_SY!$Z329-1,"")</f>
        <v/>
      </c>
      <c r="AL327" s="59" t="str">
        <f>IFERROR(Inv_SY!W329/Inv_SY!$Z329-1,"")</f>
        <v/>
      </c>
      <c r="AM327" s="59" t="str">
        <f>IFERROR(Inv_SY!X329/Inv_SY!$Z329-1,"")</f>
        <v/>
      </c>
    </row>
    <row r="328" spans="1:39" x14ac:dyDescent="0.3">
      <c r="A328" s="55">
        <f>YEAR(Table5[[#This Row],[Date]])+IF(MONTH(Table5[[#This Row],[Date]])&gt;=4,1,0)</f>
        <v>2026</v>
      </c>
      <c r="B328" s="55">
        <v>288</v>
      </c>
      <c r="C328" s="124">
        <f>YEAR(Table5[[#This Row],[Date]])</f>
        <v>2026</v>
      </c>
      <c r="D328" s="55" t="s">
        <v>329</v>
      </c>
      <c r="E328" s="55" t="s">
        <v>329</v>
      </c>
      <c r="F328" s="126" t="str">
        <f>TEXT(Table5[[#This Row],[Date]],"mmm-yy")</f>
        <v>Feb-26</v>
      </c>
      <c r="G328" s="124">
        <f t="shared" si="13"/>
        <v>28</v>
      </c>
      <c r="H328" s="125">
        <f t="shared" si="14"/>
        <v>46071</v>
      </c>
      <c r="I328" s="55">
        <v>8.02</v>
      </c>
      <c r="J328" s="59" t="str">
        <f>IFERROR(Inv_SY!J330/Inv_SY!$Y330-1,"")</f>
        <v/>
      </c>
      <c r="K328" s="59" t="str">
        <f>IFERROR(Inv_SY!K330/Inv_SY!$Y330-1,"")</f>
        <v/>
      </c>
      <c r="L328" s="59" t="str">
        <f>IFERROR(Inv_SY!L330/Inv_SY!$Y330-1,"")</f>
        <v/>
      </c>
      <c r="M328" s="59" t="str">
        <f>IFERROR(Inv_SY!M330/Inv_SY!$Y330-1,"")</f>
        <v/>
      </c>
      <c r="N328" s="59" t="str">
        <f>IFERROR(Inv_SY!N330/Inv_SY!$Y330-1,"")</f>
        <v/>
      </c>
      <c r="O328" s="59" t="str">
        <f>IFERROR(Inv_SY!O330/Inv_SY!$Y330-1,"")</f>
        <v/>
      </c>
      <c r="P328" s="59" t="str">
        <f>IFERROR(Inv_SY!P330/Inv_SY!$Y330-1,"")</f>
        <v/>
      </c>
      <c r="Q328" s="59" t="str">
        <f>IFERROR(Inv_SY!Q330/Inv_SY!$Y330-1,"")</f>
        <v/>
      </c>
      <c r="R328" s="59" t="str">
        <f>IFERROR(Inv_SY!R330/Inv_SY!$Y330-1,"")</f>
        <v/>
      </c>
      <c r="S328" s="59" t="str">
        <f>IFERROR(Inv_SY!S330/Inv_SY!$Y330-1,"")</f>
        <v/>
      </c>
      <c r="T328" s="59" t="str">
        <f>IFERROR(Inv_SY!T330/Inv_SY!$Y330-1,"")</f>
        <v/>
      </c>
      <c r="U328" s="59" t="str">
        <f>IFERROR(Inv_SY!U330/Inv_SY!$Y330-1,"")</f>
        <v/>
      </c>
      <c r="V328" s="59" t="str">
        <f>IFERROR(Inv_SY!J330/Inv_SY!$Z330-1,"")</f>
        <v/>
      </c>
      <c r="W328" s="59" t="str">
        <f>IFERROR(Inv_SY!K330/Inv_SY!$Z330-1,"")</f>
        <v/>
      </c>
      <c r="X328" s="59" t="str">
        <f>IFERROR(Inv_SY!L330/Inv_SY!$Z330-1,"")</f>
        <v/>
      </c>
      <c r="Y328" s="59" t="str">
        <f>IFERROR(Inv_SY!M330/Inv_SY!$Z330-1,"")</f>
        <v/>
      </c>
      <c r="Z328" s="59" t="str">
        <f>IFERROR(Inv_SY!N330/Inv_SY!$Z330-1,"")</f>
        <v/>
      </c>
      <c r="AA328" s="59" t="str">
        <f>IFERROR(Inv_SY!O330/Inv_SY!$Z330-1,"")</f>
        <v/>
      </c>
      <c r="AB328" s="59" t="str">
        <f>IFERROR(Inv_SY!P330/Inv_SY!$Z330-1,"")</f>
        <v/>
      </c>
      <c r="AC328" s="59" t="str">
        <f>IFERROR(Inv_SY!Q330/Inv_SY!$Z330-1,"")</f>
        <v/>
      </c>
      <c r="AD328" s="59" t="str">
        <f>IFERROR(Inv_SY!R330/Inv_SY!$Z330-1,"")</f>
        <v/>
      </c>
      <c r="AE328" s="59" t="str">
        <f>IFERROR(Inv_SY!S330/Inv_SY!$Z330-1,"")</f>
        <v/>
      </c>
      <c r="AF328" s="59" t="str">
        <f>IFERROR(Inv_SY!T330/Inv_SY!$Z330-1,"")</f>
        <v/>
      </c>
      <c r="AG328" s="59" t="str">
        <f>IFERROR(Inv_SY!U330/Inv_SY!$Z330-1,"")</f>
        <v/>
      </c>
      <c r="AH328" s="59" t="str">
        <f>IFERROR(Inv_SY!V330/Inv_SY!$Y330-1,"")</f>
        <v/>
      </c>
      <c r="AI328" s="59" t="str">
        <f>IFERROR(Inv_SY!W330/Inv_SY!$Y330-1,"")</f>
        <v/>
      </c>
      <c r="AJ328" s="59" t="str">
        <f>IFERROR(Inv_SY!X330/Inv_SY!$Y330-1,"")</f>
        <v/>
      </c>
      <c r="AK328" s="59" t="str">
        <f>IFERROR(Inv_SY!V330/Inv_SY!$Z330-1,"")</f>
        <v/>
      </c>
      <c r="AL328" s="59" t="str">
        <f>IFERROR(Inv_SY!W330/Inv_SY!$Z330-1,"")</f>
        <v/>
      </c>
      <c r="AM328" s="59" t="str">
        <f>IFERROR(Inv_SY!X330/Inv_SY!$Z330-1,"")</f>
        <v/>
      </c>
    </row>
    <row r="329" spans="1:39" x14ac:dyDescent="0.3">
      <c r="A329" s="55">
        <f>YEAR(Table5[[#This Row],[Date]])+IF(MONTH(Table5[[#This Row],[Date]])&gt;=4,1,0)</f>
        <v>2026</v>
      </c>
      <c r="B329" s="55">
        <v>289</v>
      </c>
      <c r="C329" s="124">
        <f>YEAR(Table5[[#This Row],[Date]])</f>
        <v>2026</v>
      </c>
      <c r="D329" s="55" t="s">
        <v>329</v>
      </c>
      <c r="E329" s="55" t="s">
        <v>329</v>
      </c>
      <c r="F329" s="126" t="str">
        <f>TEXT(Table5[[#This Row],[Date]],"mmm-yy")</f>
        <v>Feb-26</v>
      </c>
      <c r="G329" s="124">
        <f t="shared" si="13"/>
        <v>28</v>
      </c>
      <c r="H329" s="125">
        <f t="shared" si="14"/>
        <v>46072</v>
      </c>
      <c r="I329" s="55">
        <v>8.02</v>
      </c>
      <c r="J329" s="59" t="str">
        <f>IFERROR(Inv_SY!J331/Inv_SY!$Y331-1,"")</f>
        <v/>
      </c>
      <c r="K329" s="59" t="str">
        <f>IFERROR(Inv_SY!K331/Inv_SY!$Y331-1,"")</f>
        <v/>
      </c>
      <c r="L329" s="59" t="str">
        <f>IFERROR(Inv_SY!L331/Inv_SY!$Y331-1,"")</f>
        <v/>
      </c>
      <c r="M329" s="59" t="str">
        <f>IFERROR(Inv_SY!M331/Inv_SY!$Y331-1,"")</f>
        <v/>
      </c>
      <c r="N329" s="59" t="str">
        <f>IFERROR(Inv_SY!N331/Inv_SY!$Y331-1,"")</f>
        <v/>
      </c>
      <c r="O329" s="59" t="str">
        <f>IFERROR(Inv_SY!O331/Inv_SY!$Y331-1,"")</f>
        <v/>
      </c>
      <c r="P329" s="59" t="str">
        <f>IFERROR(Inv_SY!P331/Inv_SY!$Y331-1,"")</f>
        <v/>
      </c>
      <c r="Q329" s="59" t="str">
        <f>IFERROR(Inv_SY!Q331/Inv_SY!$Y331-1,"")</f>
        <v/>
      </c>
      <c r="R329" s="59" t="str">
        <f>IFERROR(Inv_SY!R331/Inv_SY!$Y331-1,"")</f>
        <v/>
      </c>
      <c r="S329" s="59" t="str">
        <f>IFERROR(Inv_SY!S331/Inv_SY!$Y331-1,"")</f>
        <v/>
      </c>
      <c r="T329" s="59" t="str">
        <f>IFERROR(Inv_SY!T331/Inv_SY!$Y331-1,"")</f>
        <v/>
      </c>
      <c r="U329" s="59" t="str">
        <f>IFERROR(Inv_SY!U331/Inv_SY!$Y331-1,"")</f>
        <v/>
      </c>
      <c r="V329" s="59" t="str">
        <f>IFERROR(Inv_SY!J331/Inv_SY!$Z331-1,"")</f>
        <v/>
      </c>
      <c r="W329" s="59" t="str">
        <f>IFERROR(Inv_SY!K331/Inv_SY!$Z331-1,"")</f>
        <v/>
      </c>
      <c r="X329" s="59" t="str">
        <f>IFERROR(Inv_SY!L331/Inv_SY!$Z331-1,"")</f>
        <v/>
      </c>
      <c r="Y329" s="59" t="str">
        <f>IFERROR(Inv_SY!M331/Inv_SY!$Z331-1,"")</f>
        <v/>
      </c>
      <c r="Z329" s="59" t="str">
        <f>IFERROR(Inv_SY!N331/Inv_SY!$Z331-1,"")</f>
        <v/>
      </c>
      <c r="AA329" s="59" t="str">
        <f>IFERROR(Inv_SY!O331/Inv_SY!$Z331-1,"")</f>
        <v/>
      </c>
      <c r="AB329" s="59" t="str">
        <f>IFERROR(Inv_SY!P331/Inv_SY!$Z331-1,"")</f>
        <v/>
      </c>
      <c r="AC329" s="59" t="str">
        <f>IFERROR(Inv_SY!Q331/Inv_SY!$Z331-1,"")</f>
        <v/>
      </c>
      <c r="AD329" s="59" t="str">
        <f>IFERROR(Inv_SY!R331/Inv_SY!$Z331-1,"")</f>
        <v/>
      </c>
      <c r="AE329" s="59" t="str">
        <f>IFERROR(Inv_SY!S331/Inv_SY!$Z331-1,"")</f>
        <v/>
      </c>
      <c r="AF329" s="59" t="str">
        <f>IFERROR(Inv_SY!T331/Inv_SY!$Z331-1,"")</f>
        <v/>
      </c>
      <c r="AG329" s="59" t="str">
        <f>IFERROR(Inv_SY!U331/Inv_SY!$Z331-1,"")</f>
        <v/>
      </c>
      <c r="AH329" s="59" t="str">
        <f>IFERROR(Inv_SY!V331/Inv_SY!$Y331-1,"")</f>
        <v/>
      </c>
      <c r="AI329" s="59" t="str">
        <f>IFERROR(Inv_SY!W331/Inv_SY!$Y331-1,"")</f>
        <v/>
      </c>
      <c r="AJ329" s="59" t="str">
        <f>IFERROR(Inv_SY!X331/Inv_SY!$Y331-1,"")</f>
        <v/>
      </c>
      <c r="AK329" s="59" t="str">
        <f>IFERROR(Inv_SY!V331/Inv_SY!$Z331-1,"")</f>
        <v/>
      </c>
      <c r="AL329" s="59" t="str">
        <f>IFERROR(Inv_SY!W331/Inv_SY!$Z331-1,"")</f>
        <v/>
      </c>
      <c r="AM329" s="59" t="str">
        <f>IFERROR(Inv_SY!X331/Inv_SY!$Z331-1,"")</f>
        <v/>
      </c>
    </row>
    <row r="330" spans="1:39" x14ac:dyDescent="0.3">
      <c r="A330" s="55">
        <f>YEAR(Table5[[#This Row],[Date]])+IF(MONTH(Table5[[#This Row],[Date]])&gt;=4,1,0)</f>
        <v>2026</v>
      </c>
      <c r="B330" s="55">
        <v>290</v>
      </c>
      <c r="C330" s="124">
        <f>YEAR(Table5[[#This Row],[Date]])</f>
        <v>2026</v>
      </c>
      <c r="D330" s="55" t="s">
        <v>329</v>
      </c>
      <c r="E330" s="55" t="s">
        <v>329</v>
      </c>
      <c r="F330" s="126" t="str">
        <f>TEXT(Table5[[#This Row],[Date]],"mmm-yy")</f>
        <v>Feb-26</v>
      </c>
      <c r="G330" s="124">
        <f t="shared" si="13"/>
        <v>28</v>
      </c>
      <c r="H330" s="125">
        <f t="shared" si="14"/>
        <v>46073</v>
      </c>
      <c r="I330" s="55">
        <v>8.02</v>
      </c>
      <c r="J330" s="59" t="str">
        <f>IFERROR(Inv_SY!J332/Inv_SY!$Y332-1,"")</f>
        <v/>
      </c>
      <c r="K330" s="59" t="str">
        <f>IFERROR(Inv_SY!K332/Inv_SY!$Y332-1,"")</f>
        <v/>
      </c>
      <c r="L330" s="59" t="str">
        <f>IFERROR(Inv_SY!L332/Inv_SY!$Y332-1,"")</f>
        <v/>
      </c>
      <c r="M330" s="59" t="str">
        <f>IFERROR(Inv_SY!M332/Inv_SY!$Y332-1,"")</f>
        <v/>
      </c>
      <c r="N330" s="59" t="str">
        <f>IFERROR(Inv_SY!N332/Inv_SY!$Y332-1,"")</f>
        <v/>
      </c>
      <c r="O330" s="59" t="str">
        <f>IFERROR(Inv_SY!O332/Inv_SY!$Y332-1,"")</f>
        <v/>
      </c>
      <c r="P330" s="59" t="str">
        <f>IFERROR(Inv_SY!P332/Inv_SY!$Y332-1,"")</f>
        <v/>
      </c>
      <c r="Q330" s="59" t="str">
        <f>IFERROR(Inv_SY!Q332/Inv_SY!$Y332-1,"")</f>
        <v/>
      </c>
      <c r="R330" s="59" t="str">
        <f>IFERROR(Inv_SY!R332/Inv_SY!$Y332-1,"")</f>
        <v/>
      </c>
      <c r="S330" s="59" t="str">
        <f>IFERROR(Inv_SY!S332/Inv_SY!$Y332-1,"")</f>
        <v/>
      </c>
      <c r="T330" s="59" t="str">
        <f>IFERROR(Inv_SY!T332/Inv_SY!$Y332-1,"")</f>
        <v/>
      </c>
      <c r="U330" s="59" t="str">
        <f>IFERROR(Inv_SY!U332/Inv_SY!$Y332-1,"")</f>
        <v/>
      </c>
      <c r="V330" s="59" t="str">
        <f>IFERROR(Inv_SY!J332/Inv_SY!$Z332-1,"")</f>
        <v/>
      </c>
      <c r="W330" s="59" t="str">
        <f>IFERROR(Inv_SY!K332/Inv_SY!$Z332-1,"")</f>
        <v/>
      </c>
      <c r="X330" s="59" t="str">
        <f>IFERROR(Inv_SY!L332/Inv_SY!$Z332-1,"")</f>
        <v/>
      </c>
      <c r="Y330" s="59" t="str">
        <f>IFERROR(Inv_SY!M332/Inv_SY!$Z332-1,"")</f>
        <v/>
      </c>
      <c r="Z330" s="59" t="str">
        <f>IFERROR(Inv_SY!N332/Inv_SY!$Z332-1,"")</f>
        <v/>
      </c>
      <c r="AA330" s="59" t="str">
        <f>IFERROR(Inv_SY!O332/Inv_SY!$Z332-1,"")</f>
        <v/>
      </c>
      <c r="AB330" s="59" t="str">
        <f>IFERROR(Inv_SY!P332/Inv_SY!$Z332-1,"")</f>
        <v/>
      </c>
      <c r="AC330" s="59" t="str">
        <f>IFERROR(Inv_SY!Q332/Inv_SY!$Z332-1,"")</f>
        <v/>
      </c>
      <c r="AD330" s="59" t="str">
        <f>IFERROR(Inv_SY!R332/Inv_SY!$Z332-1,"")</f>
        <v/>
      </c>
      <c r="AE330" s="59" t="str">
        <f>IFERROR(Inv_SY!S332/Inv_SY!$Z332-1,"")</f>
        <v/>
      </c>
      <c r="AF330" s="59" t="str">
        <f>IFERROR(Inv_SY!T332/Inv_SY!$Z332-1,"")</f>
        <v/>
      </c>
      <c r="AG330" s="59" t="str">
        <f>IFERROR(Inv_SY!U332/Inv_SY!$Z332-1,"")</f>
        <v/>
      </c>
      <c r="AH330" s="59" t="str">
        <f>IFERROR(Inv_SY!V332/Inv_SY!$Y332-1,"")</f>
        <v/>
      </c>
      <c r="AI330" s="59" t="str">
        <f>IFERROR(Inv_SY!W332/Inv_SY!$Y332-1,"")</f>
        <v/>
      </c>
      <c r="AJ330" s="59" t="str">
        <f>IFERROR(Inv_SY!X332/Inv_SY!$Y332-1,"")</f>
        <v/>
      </c>
      <c r="AK330" s="59" t="str">
        <f>IFERROR(Inv_SY!V332/Inv_SY!$Z332-1,"")</f>
        <v/>
      </c>
      <c r="AL330" s="59" t="str">
        <f>IFERROR(Inv_SY!W332/Inv_SY!$Z332-1,"")</f>
        <v/>
      </c>
      <c r="AM330" s="59" t="str">
        <f>IFERROR(Inv_SY!X332/Inv_SY!$Z332-1,"")</f>
        <v/>
      </c>
    </row>
    <row r="331" spans="1:39" x14ac:dyDescent="0.3">
      <c r="A331" s="55">
        <f>YEAR(Table5[[#This Row],[Date]])+IF(MONTH(Table5[[#This Row],[Date]])&gt;=4,1,0)</f>
        <v>2026</v>
      </c>
      <c r="B331" s="55">
        <v>291</v>
      </c>
      <c r="C331" s="124">
        <f>YEAR(Table5[[#This Row],[Date]])</f>
        <v>2026</v>
      </c>
      <c r="D331" s="55" t="s">
        <v>329</v>
      </c>
      <c r="E331" s="55" t="s">
        <v>329</v>
      </c>
      <c r="F331" s="126" t="str">
        <f>TEXT(Table5[[#This Row],[Date]],"mmm-yy")</f>
        <v>Feb-26</v>
      </c>
      <c r="G331" s="124">
        <f t="shared" si="13"/>
        <v>28</v>
      </c>
      <c r="H331" s="125">
        <f t="shared" si="14"/>
        <v>46074</v>
      </c>
      <c r="I331" s="55">
        <v>8.02</v>
      </c>
      <c r="J331" s="59" t="str">
        <f>IFERROR(Inv_SY!J333/Inv_SY!$Y333-1,"")</f>
        <v/>
      </c>
      <c r="K331" s="59" t="str">
        <f>IFERROR(Inv_SY!K333/Inv_SY!$Y333-1,"")</f>
        <v/>
      </c>
      <c r="L331" s="59" t="str">
        <f>IFERROR(Inv_SY!L333/Inv_SY!$Y333-1,"")</f>
        <v/>
      </c>
      <c r="M331" s="59" t="str">
        <f>IFERROR(Inv_SY!M333/Inv_SY!$Y333-1,"")</f>
        <v/>
      </c>
      <c r="N331" s="59" t="str">
        <f>IFERROR(Inv_SY!N333/Inv_SY!$Y333-1,"")</f>
        <v/>
      </c>
      <c r="O331" s="59" t="str">
        <f>IFERROR(Inv_SY!O333/Inv_SY!$Y333-1,"")</f>
        <v/>
      </c>
      <c r="P331" s="59" t="str">
        <f>IFERROR(Inv_SY!P333/Inv_SY!$Y333-1,"")</f>
        <v/>
      </c>
      <c r="Q331" s="59" t="str">
        <f>IFERROR(Inv_SY!Q333/Inv_SY!$Y333-1,"")</f>
        <v/>
      </c>
      <c r="R331" s="59" t="str">
        <f>IFERROR(Inv_SY!R333/Inv_SY!$Y333-1,"")</f>
        <v/>
      </c>
      <c r="S331" s="59" t="str">
        <f>IFERROR(Inv_SY!S333/Inv_SY!$Y333-1,"")</f>
        <v/>
      </c>
      <c r="T331" s="59" t="str">
        <f>IFERROR(Inv_SY!T333/Inv_SY!$Y333-1,"")</f>
        <v/>
      </c>
      <c r="U331" s="59" t="str">
        <f>IFERROR(Inv_SY!U333/Inv_SY!$Y333-1,"")</f>
        <v/>
      </c>
      <c r="V331" s="59" t="str">
        <f>IFERROR(Inv_SY!J333/Inv_SY!$Z333-1,"")</f>
        <v/>
      </c>
      <c r="W331" s="59" t="str">
        <f>IFERROR(Inv_SY!K333/Inv_SY!$Z333-1,"")</f>
        <v/>
      </c>
      <c r="X331" s="59" t="str">
        <f>IFERROR(Inv_SY!L333/Inv_SY!$Z333-1,"")</f>
        <v/>
      </c>
      <c r="Y331" s="59" t="str">
        <f>IFERROR(Inv_SY!M333/Inv_SY!$Z333-1,"")</f>
        <v/>
      </c>
      <c r="Z331" s="59" t="str">
        <f>IFERROR(Inv_SY!N333/Inv_SY!$Z333-1,"")</f>
        <v/>
      </c>
      <c r="AA331" s="59" t="str">
        <f>IFERROR(Inv_SY!O333/Inv_SY!$Z333-1,"")</f>
        <v/>
      </c>
      <c r="AB331" s="59" t="str">
        <f>IFERROR(Inv_SY!P333/Inv_SY!$Z333-1,"")</f>
        <v/>
      </c>
      <c r="AC331" s="59" t="str">
        <f>IFERROR(Inv_SY!Q333/Inv_SY!$Z333-1,"")</f>
        <v/>
      </c>
      <c r="AD331" s="59" t="str">
        <f>IFERROR(Inv_SY!R333/Inv_SY!$Z333-1,"")</f>
        <v/>
      </c>
      <c r="AE331" s="59" t="str">
        <f>IFERROR(Inv_SY!S333/Inv_SY!$Z333-1,"")</f>
        <v/>
      </c>
      <c r="AF331" s="59" t="str">
        <f>IFERROR(Inv_SY!T333/Inv_SY!$Z333-1,"")</f>
        <v/>
      </c>
      <c r="AG331" s="59" t="str">
        <f>IFERROR(Inv_SY!U333/Inv_SY!$Z333-1,"")</f>
        <v/>
      </c>
      <c r="AH331" s="59" t="str">
        <f>IFERROR(Inv_SY!V333/Inv_SY!$Y333-1,"")</f>
        <v/>
      </c>
      <c r="AI331" s="59" t="str">
        <f>IFERROR(Inv_SY!W333/Inv_SY!$Y333-1,"")</f>
        <v/>
      </c>
      <c r="AJ331" s="59" t="str">
        <f>IFERROR(Inv_SY!X333/Inv_SY!$Y333-1,"")</f>
        <v/>
      </c>
      <c r="AK331" s="59" t="str">
        <f>IFERROR(Inv_SY!V333/Inv_SY!$Z333-1,"")</f>
        <v/>
      </c>
      <c r="AL331" s="59" t="str">
        <f>IFERROR(Inv_SY!W333/Inv_SY!$Z333-1,"")</f>
        <v/>
      </c>
      <c r="AM331" s="59" t="str">
        <f>IFERROR(Inv_SY!X333/Inv_SY!$Z333-1,"")</f>
        <v/>
      </c>
    </row>
    <row r="332" spans="1:39" x14ac:dyDescent="0.3">
      <c r="A332" s="55">
        <f>YEAR(Table5[[#This Row],[Date]])+IF(MONTH(Table5[[#This Row],[Date]])&gt;=4,1,0)</f>
        <v>2026</v>
      </c>
      <c r="B332" s="55">
        <v>292</v>
      </c>
      <c r="C332" s="124">
        <f>YEAR(Table5[[#This Row],[Date]])</f>
        <v>2026</v>
      </c>
      <c r="D332" s="55" t="s">
        <v>329</v>
      </c>
      <c r="E332" s="55" t="s">
        <v>329</v>
      </c>
      <c r="F332" s="126" t="str">
        <f>TEXT(Table5[[#This Row],[Date]],"mmm-yy")</f>
        <v>Feb-26</v>
      </c>
      <c r="G332" s="124">
        <f t="shared" si="13"/>
        <v>28</v>
      </c>
      <c r="H332" s="125">
        <f t="shared" si="14"/>
        <v>46075</v>
      </c>
      <c r="I332" s="55">
        <v>8.02</v>
      </c>
      <c r="J332" s="59" t="str">
        <f>IFERROR(Inv_SY!J334/Inv_SY!$Y334-1,"")</f>
        <v/>
      </c>
      <c r="K332" s="59" t="str">
        <f>IFERROR(Inv_SY!K334/Inv_SY!$Y334-1,"")</f>
        <v/>
      </c>
      <c r="L332" s="59" t="str">
        <f>IFERROR(Inv_SY!L334/Inv_SY!$Y334-1,"")</f>
        <v/>
      </c>
      <c r="M332" s="59" t="str">
        <f>IFERROR(Inv_SY!M334/Inv_SY!$Y334-1,"")</f>
        <v/>
      </c>
      <c r="N332" s="59" t="str">
        <f>IFERROR(Inv_SY!N334/Inv_SY!$Y334-1,"")</f>
        <v/>
      </c>
      <c r="O332" s="59" t="str">
        <f>IFERROR(Inv_SY!O334/Inv_SY!$Y334-1,"")</f>
        <v/>
      </c>
      <c r="P332" s="59" t="str">
        <f>IFERROR(Inv_SY!P334/Inv_SY!$Y334-1,"")</f>
        <v/>
      </c>
      <c r="Q332" s="59" t="str">
        <f>IFERROR(Inv_SY!Q334/Inv_SY!$Y334-1,"")</f>
        <v/>
      </c>
      <c r="R332" s="59" t="str">
        <f>IFERROR(Inv_SY!R334/Inv_SY!$Y334-1,"")</f>
        <v/>
      </c>
      <c r="S332" s="59" t="str">
        <f>IFERROR(Inv_SY!S334/Inv_SY!$Y334-1,"")</f>
        <v/>
      </c>
      <c r="T332" s="59" t="str">
        <f>IFERROR(Inv_SY!T334/Inv_SY!$Y334-1,"")</f>
        <v/>
      </c>
      <c r="U332" s="59" t="str">
        <f>IFERROR(Inv_SY!U334/Inv_SY!$Y334-1,"")</f>
        <v/>
      </c>
      <c r="V332" s="59" t="str">
        <f>IFERROR(Inv_SY!J334/Inv_SY!$Z334-1,"")</f>
        <v/>
      </c>
      <c r="W332" s="59" t="str">
        <f>IFERROR(Inv_SY!K334/Inv_SY!$Z334-1,"")</f>
        <v/>
      </c>
      <c r="X332" s="59" t="str">
        <f>IFERROR(Inv_SY!L334/Inv_SY!$Z334-1,"")</f>
        <v/>
      </c>
      <c r="Y332" s="59" t="str">
        <f>IFERROR(Inv_SY!M334/Inv_SY!$Z334-1,"")</f>
        <v/>
      </c>
      <c r="Z332" s="59" t="str">
        <f>IFERROR(Inv_SY!N334/Inv_SY!$Z334-1,"")</f>
        <v/>
      </c>
      <c r="AA332" s="59" t="str">
        <f>IFERROR(Inv_SY!O334/Inv_SY!$Z334-1,"")</f>
        <v/>
      </c>
      <c r="AB332" s="59" t="str">
        <f>IFERROR(Inv_SY!P334/Inv_SY!$Z334-1,"")</f>
        <v/>
      </c>
      <c r="AC332" s="59" t="str">
        <f>IFERROR(Inv_SY!Q334/Inv_SY!$Z334-1,"")</f>
        <v/>
      </c>
      <c r="AD332" s="59" t="str">
        <f>IFERROR(Inv_SY!R334/Inv_SY!$Z334-1,"")</f>
        <v/>
      </c>
      <c r="AE332" s="59" t="str">
        <f>IFERROR(Inv_SY!S334/Inv_SY!$Z334-1,"")</f>
        <v/>
      </c>
      <c r="AF332" s="59" t="str">
        <f>IFERROR(Inv_SY!T334/Inv_SY!$Z334-1,"")</f>
        <v/>
      </c>
      <c r="AG332" s="59" t="str">
        <f>IFERROR(Inv_SY!U334/Inv_SY!$Z334-1,"")</f>
        <v/>
      </c>
      <c r="AH332" s="59" t="str">
        <f>IFERROR(Inv_SY!V334/Inv_SY!$Y334-1,"")</f>
        <v/>
      </c>
      <c r="AI332" s="59" t="str">
        <f>IFERROR(Inv_SY!W334/Inv_SY!$Y334-1,"")</f>
        <v/>
      </c>
      <c r="AJ332" s="59" t="str">
        <f>IFERROR(Inv_SY!X334/Inv_SY!$Y334-1,"")</f>
        <v/>
      </c>
      <c r="AK332" s="59" t="str">
        <f>IFERROR(Inv_SY!V334/Inv_SY!$Z334-1,"")</f>
        <v/>
      </c>
      <c r="AL332" s="59" t="str">
        <f>IFERROR(Inv_SY!W334/Inv_SY!$Z334-1,"")</f>
        <v/>
      </c>
      <c r="AM332" s="59" t="str">
        <f>IFERROR(Inv_SY!X334/Inv_SY!$Z334-1,"")</f>
        <v/>
      </c>
    </row>
    <row r="333" spans="1:39" x14ac:dyDescent="0.3">
      <c r="A333" s="55">
        <f>YEAR(Table5[[#This Row],[Date]])+IF(MONTH(Table5[[#This Row],[Date]])&gt;=4,1,0)</f>
        <v>2026</v>
      </c>
      <c r="B333" s="55">
        <v>293</v>
      </c>
      <c r="C333" s="124">
        <f>YEAR(Table5[[#This Row],[Date]])</f>
        <v>2026</v>
      </c>
      <c r="D333" s="55" t="s">
        <v>329</v>
      </c>
      <c r="E333" s="55" t="s">
        <v>329</v>
      </c>
      <c r="F333" s="126" t="str">
        <f>TEXT(Table5[[#This Row],[Date]],"mmm-yy")</f>
        <v>Feb-26</v>
      </c>
      <c r="G333" s="124">
        <f t="shared" si="13"/>
        <v>28</v>
      </c>
      <c r="H333" s="125">
        <f t="shared" si="14"/>
        <v>46076</v>
      </c>
      <c r="I333" s="55">
        <v>8.02</v>
      </c>
      <c r="J333" s="59" t="str">
        <f>IFERROR(Inv_SY!J335/Inv_SY!$Y335-1,"")</f>
        <v/>
      </c>
      <c r="K333" s="59" t="str">
        <f>IFERROR(Inv_SY!K335/Inv_SY!$Y335-1,"")</f>
        <v/>
      </c>
      <c r="L333" s="59" t="str">
        <f>IFERROR(Inv_SY!L335/Inv_SY!$Y335-1,"")</f>
        <v/>
      </c>
      <c r="M333" s="59" t="str">
        <f>IFERROR(Inv_SY!M335/Inv_SY!$Y335-1,"")</f>
        <v/>
      </c>
      <c r="N333" s="59" t="str">
        <f>IFERROR(Inv_SY!N335/Inv_SY!$Y335-1,"")</f>
        <v/>
      </c>
      <c r="O333" s="59" t="str">
        <f>IFERROR(Inv_SY!O335/Inv_SY!$Y335-1,"")</f>
        <v/>
      </c>
      <c r="P333" s="59" t="str">
        <f>IFERROR(Inv_SY!P335/Inv_SY!$Y335-1,"")</f>
        <v/>
      </c>
      <c r="Q333" s="59" t="str">
        <f>IFERROR(Inv_SY!Q335/Inv_SY!$Y335-1,"")</f>
        <v/>
      </c>
      <c r="R333" s="59" t="str">
        <f>IFERROR(Inv_SY!R335/Inv_SY!$Y335-1,"")</f>
        <v/>
      </c>
      <c r="S333" s="59" t="str">
        <f>IFERROR(Inv_SY!S335/Inv_SY!$Y335-1,"")</f>
        <v/>
      </c>
      <c r="T333" s="59" t="str">
        <f>IFERROR(Inv_SY!T335/Inv_SY!$Y335-1,"")</f>
        <v/>
      </c>
      <c r="U333" s="59" t="str">
        <f>IFERROR(Inv_SY!U335/Inv_SY!$Y335-1,"")</f>
        <v/>
      </c>
      <c r="V333" s="59" t="str">
        <f>IFERROR(Inv_SY!J335/Inv_SY!$Z335-1,"")</f>
        <v/>
      </c>
      <c r="W333" s="59" t="str">
        <f>IFERROR(Inv_SY!K335/Inv_SY!$Z335-1,"")</f>
        <v/>
      </c>
      <c r="X333" s="59" t="str">
        <f>IFERROR(Inv_SY!L335/Inv_SY!$Z335-1,"")</f>
        <v/>
      </c>
      <c r="Y333" s="59" t="str">
        <f>IFERROR(Inv_SY!M335/Inv_SY!$Z335-1,"")</f>
        <v/>
      </c>
      <c r="Z333" s="59" t="str">
        <f>IFERROR(Inv_SY!N335/Inv_SY!$Z335-1,"")</f>
        <v/>
      </c>
      <c r="AA333" s="59" t="str">
        <f>IFERROR(Inv_SY!O335/Inv_SY!$Z335-1,"")</f>
        <v/>
      </c>
      <c r="AB333" s="59" t="str">
        <f>IFERROR(Inv_SY!P335/Inv_SY!$Z335-1,"")</f>
        <v/>
      </c>
      <c r="AC333" s="59" t="str">
        <f>IFERROR(Inv_SY!Q335/Inv_SY!$Z335-1,"")</f>
        <v/>
      </c>
      <c r="AD333" s="59" t="str">
        <f>IFERROR(Inv_SY!R335/Inv_SY!$Z335-1,"")</f>
        <v/>
      </c>
      <c r="AE333" s="59" t="str">
        <f>IFERROR(Inv_SY!S335/Inv_SY!$Z335-1,"")</f>
        <v/>
      </c>
      <c r="AF333" s="59" t="str">
        <f>IFERROR(Inv_SY!T335/Inv_SY!$Z335-1,"")</f>
        <v/>
      </c>
      <c r="AG333" s="59" t="str">
        <f>IFERROR(Inv_SY!U335/Inv_SY!$Z335-1,"")</f>
        <v/>
      </c>
      <c r="AH333" s="59" t="str">
        <f>IFERROR(Inv_SY!V335/Inv_SY!$Y335-1,"")</f>
        <v/>
      </c>
      <c r="AI333" s="59" t="str">
        <f>IFERROR(Inv_SY!W335/Inv_SY!$Y335-1,"")</f>
        <v/>
      </c>
      <c r="AJ333" s="59" t="str">
        <f>IFERROR(Inv_SY!X335/Inv_SY!$Y335-1,"")</f>
        <v/>
      </c>
      <c r="AK333" s="59" t="str">
        <f>IFERROR(Inv_SY!V335/Inv_SY!$Z335-1,"")</f>
        <v/>
      </c>
      <c r="AL333" s="59" t="str">
        <f>IFERROR(Inv_SY!W335/Inv_SY!$Z335-1,"")</f>
        <v/>
      </c>
      <c r="AM333" s="59" t="str">
        <f>IFERROR(Inv_SY!X335/Inv_SY!$Z335-1,"")</f>
        <v/>
      </c>
    </row>
    <row r="334" spans="1:39" x14ac:dyDescent="0.3">
      <c r="A334" s="55">
        <f>YEAR(Table5[[#This Row],[Date]])+IF(MONTH(Table5[[#This Row],[Date]])&gt;=4,1,0)</f>
        <v>2026</v>
      </c>
      <c r="B334" s="55">
        <v>294</v>
      </c>
      <c r="C334" s="124">
        <f>YEAR(Table5[[#This Row],[Date]])</f>
        <v>2026</v>
      </c>
      <c r="D334" s="55" t="s">
        <v>329</v>
      </c>
      <c r="E334" s="55" t="s">
        <v>329</v>
      </c>
      <c r="F334" s="126" t="str">
        <f>TEXT(Table5[[#This Row],[Date]],"mmm-yy")</f>
        <v>Feb-26</v>
      </c>
      <c r="G334" s="124">
        <f t="shared" si="13"/>
        <v>28</v>
      </c>
      <c r="H334" s="125">
        <f t="shared" si="14"/>
        <v>46077</v>
      </c>
      <c r="I334" s="55">
        <v>8.02</v>
      </c>
      <c r="J334" s="59" t="str">
        <f>IFERROR(Inv_SY!J336/Inv_SY!$Y336-1,"")</f>
        <v/>
      </c>
      <c r="K334" s="59" t="str">
        <f>IFERROR(Inv_SY!K336/Inv_SY!$Y336-1,"")</f>
        <v/>
      </c>
      <c r="L334" s="59" t="str">
        <f>IFERROR(Inv_SY!L336/Inv_SY!$Y336-1,"")</f>
        <v/>
      </c>
      <c r="M334" s="59" t="str">
        <f>IFERROR(Inv_SY!M336/Inv_SY!$Y336-1,"")</f>
        <v/>
      </c>
      <c r="N334" s="59" t="str">
        <f>IFERROR(Inv_SY!N336/Inv_SY!$Y336-1,"")</f>
        <v/>
      </c>
      <c r="O334" s="59" t="str">
        <f>IFERROR(Inv_SY!O336/Inv_SY!$Y336-1,"")</f>
        <v/>
      </c>
      <c r="P334" s="59" t="str">
        <f>IFERROR(Inv_SY!P336/Inv_SY!$Y336-1,"")</f>
        <v/>
      </c>
      <c r="Q334" s="59" t="str">
        <f>IFERROR(Inv_SY!Q336/Inv_SY!$Y336-1,"")</f>
        <v/>
      </c>
      <c r="R334" s="59" t="str">
        <f>IFERROR(Inv_SY!R336/Inv_SY!$Y336-1,"")</f>
        <v/>
      </c>
      <c r="S334" s="59" t="str">
        <f>IFERROR(Inv_SY!S336/Inv_SY!$Y336-1,"")</f>
        <v/>
      </c>
      <c r="T334" s="59" t="str">
        <f>IFERROR(Inv_SY!T336/Inv_SY!$Y336-1,"")</f>
        <v/>
      </c>
      <c r="U334" s="59" t="str">
        <f>IFERROR(Inv_SY!U336/Inv_SY!$Y336-1,"")</f>
        <v/>
      </c>
      <c r="V334" s="59" t="str">
        <f>IFERROR(Inv_SY!J336/Inv_SY!$Z336-1,"")</f>
        <v/>
      </c>
      <c r="W334" s="59" t="str">
        <f>IFERROR(Inv_SY!K336/Inv_SY!$Z336-1,"")</f>
        <v/>
      </c>
      <c r="X334" s="59" t="str">
        <f>IFERROR(Inv_SY!L336/Inv_SY!$Z336-1,"")</f>
        <v/>
      </c>
      <c r="Y334" s="59" t="str">
        <f>IFERROR(Inv_SY!M336/Inv_SY!$Z336-1,"")</f>
        <v/>
      </c>
      <c r="Z334" s="59" t="str">
        <f>IFERROR(Inv_SY!N336/Inv_SY!$Z336-1,"")</f>
        <v/>
      </c>
      <c r="AA334" s="59" t="str">
        <f>IFERROR(Inv_SY!O336/Inv_SY!$Z336-1,"")</f>
        <v/>
      </c>
      <c r="AB334" s="59" t="str">
        <f>IFERROR(Inv_SY!P336/Inv_SY!$Z336-1,"")</f>
        <v/>
      </c>
      <c r="AC334" s="59" t="str">
        <f>IFERROR(Inv_SY!Q336/Inv_SY!$Z336-1,"")</f>
        <v/>
      </c>
      <c r="AD334" s="59" t="str">
        <f>IFERROR(Inv_SY!R336/Inv_SY!$Z336-1,"")</f>
        <v/>
      </c>
      <c r="AE334" s="59" t="str">
        <f>IFERROR(Inv_SY!S336/Inv_SY!$Z336-1,"")</f>
        <v/>
      </c>
      <c r="AF334" s="59" t="str">
        <f>IFERROR(Inv_SY!T336/Inv_SY!$Z336-1,"")</f>
        <v/>
      </c>
      <c r="AG334" s="59" t="str">
        <f>IFERROR(Inv_SY!U336/Inv_SY!$Z336-1,"")</f>
        <v/>
      </c>
      <c r="AH334" s="59" t="str">
        <f>IFERROR(Inv_SY!V336/Inv_SY!$Y336-1,"")</f>
        <v/>
      </c>
      <c r="AI334" s="59" t="str">
        <f>IFERROR(Inv_SY!W336/Inv_SY!$Y336-1,"")</f>
        <v/>
      </c>
      <c r="AJ334" s="59" t="str">
        <f>IFERROR(Inv_SY!X336/Inv_SY!$Y336-1,"")</f>
        <v/>
      </c>
      <c r="AK334" s="59" t="str">
        <f>IFERROR(Inv_SY!V336/Inv_SY!$Z336-1,"")</f>
        <v/>
      </c>
      <c r="AL334" s="59" t="str">
        <f>IFERROR(Inv_SY!W336/Inv_SY!$Z336-1,"")</f>
        <v/>
      </c>
      <c r="AM334" s="59" t="str">
        <f>IFERROR(Inv_SY!X336/Inv_SY!$Z336-1,"")</f>
        <v/>
      </c>
    </row>
    <row r="335" spans="1:39" x14ac:dyDescent="0.3">
      <c r="A335" s="55">
        <f>YEAR(Table5[[#This Row],[Date]])+IF(MONTH(Table5[[#This Row],[Date]])&gt;=4,1,0)</f>
        <v>2026</v>
      </c>
      <c r="B335" s="55">
        <v>295</v>
      </c>
      <c r="C335" s="124">
        <f>YEAR(Table5[[#This Row],[Date]])</f>
        <v>2026</v>
      </c>
      <c r="D335" s="55" t="s">
        <v>329</v>
      </c>
      <c r="E335" s="55" t="s">
        <v>329</v>
      </c>
      <c r="F335" s="126" t="str">
        <f>TEXT(Table5[[#This Row],[Date]],"mmm-yy")</f>
        <v>Feb-26</v>
      </c>
      <c r="G335" s="124">
        <f t="shared" si="13"/>
        <v>28</v>
      </c>
      <c r="H335" s="125">
        <f t="shared" si="14"/>
        <v>46078</v>
      </c>
      <c r="I335" s="55">
        <v>8.02</v>
      </c>
      <c r="J335" s="59" t="str">
        <f>IFERROR(Inv_SY!J337/Inv_SY!$Y337-1,"")</f>
        <v/>
      </c>
      <c r="K335" s="59" t="str">
        <f>IFERROR(Inv_SY!K337/Inv_SY!$Y337-1,"")</f>
        <v/>
      </c>
      <c r="L335" s="59" t="str">
        <f>IFERROR(Inv_SY!L337/Inv_SY!$Y337-1,"")</f>
        <v/>
      </c>
      <c r="M335" s="59" t="str">
        <f>IFERROR(Inv_SY!M337/Inv_SY!$Y337-1,"")</f>
        <v/>
      </c>
      <c r="N335" s="59" t="str">
        <f>IFERROR(Inv_SY!N337/Inv_SY!$Y337-1,"")</f>
        <v/>
      </c>
      <c r="O335" s="59" t="str">
        <f>IFERROR(Inv_SY!O337/Inv_SY!$Y337-1,"")</f>
        <v/>
      </c>
      <c r="P335" s="59" t="str">
        <f>IFERROR(Inv_SY!P337/Inv_SY!$Y337-1,"")</f>
        <v/>
      </c>
      <c r="Q335" s="59" t="str">
        <f>IFERROR(Inv_SY!Q337/Inv_SY!$Y337-1,"")</f>
        <v/>
      </c>
      <c r="R335" s="59" t="str">
        <f>IFERROR(Inv_SY!R337/Inv_SY!$Y337-1,"")</f>
        <v/>
      </c>
      <c r="S335" s="59" t="str">
        <f>IFERROR(Inv_SY!S337/Inv_SY!$Y337-1,"")</f>
        <v/>
      </c>
      <c r="T335" s="59" t="str">
        <f>IFERROR(Inv_SY!T337/Inv_SY!$Y337-1,"")</f>
        <v/>
      </c>
      <c r="U335" s="59" t="str">
        <f>IFERROR(Inv_SY!U337/Inv_SY!$Y337-1,"")</f>
        <v/>
      </c>
      <c r="V335" s="59" t="str">
        <f>IFERROR(Inv_SY!J337/Inv_SY!$Z337-1,"")</f>
        <v/>
      </c>
      <c r="W335" s="59" t="str">
        <f>IFERROR(Inv_SY!K337/Inv_SY!$Z337-1,"")</f>
        <v/>
      </c>
      <c r="X335" s="59" t="str">
        <f>IFERROR(Inv_SY!L337/Inv_SY!$Z337-1,"")</f>
        <v/>
      </c>
      <c r="Y335" s="59" t="str">
        <f>IFERROR(Inv_SY!M337/Inv_SY!$Z337-1,"")</f>
        <v/>
      </c>
      <c r="Z335" s="59" t="str">
        <f>IFERROR(Inv_SY!N337/Inv_SY!$Z337-1,"")</f>
        <v/>
      </c>
      <c r="AA335" s="59" t="str">
        <f>IFERROR(Inv_SY!O337/Inv_SY!$Z337-1,"")</f>
        <v/>
      </c>
      <c r="AB335" s="59" t="str">
        <f>IFERROR(Inv_SY!P337/Inv_SY!$Z337-1,"")</f>
        <v/>
      </c>
      <c r="AC335" s="59" t="str">
        <f>IFERROR(Inv_SY!Q337/Inv_SY!$Z337-1,"")</f>
        <v/>
      </c>
      <c r="AD335" s="59" t="str">
        <f>IFERROR(Inv_SY!R337/Inv_SY!$Z337-1,"")</f>
        <v/>
      </c>
      <c r="AE335" s="59" t="str">
        <f>IFERROR(Inv_SY!S337/Inv_SY!$Z337-1,"")</f>
        <v/>
      </c>
      <c r="AF335" s="59" t="str">
        <f>IFERROR(Inv_SY!T337/Inv_SY!$Z337-1,"")</f>
        <v/>
      </c>
      <c r="AG335" s="59" t="str">
        <f>IFERROR(Inv_SY!U337/Inv_SY!$Z337-1,"")</f>
        <v/>
      </c>
      <c r="AH335" s="59" t="str">
        <f>IFERROR(Inv_SY!V337/Inv_SY!$Y337-1,"")</f>
        <v/>
      </c>
      <c r="AI335" s="59" t="str">
        <f>IFERROR(Inv_SY!W337/Inv_SY!$Y337-1,"")</f>
        <v/>
      </c>
      <c r="AJ335" s="59" t="str">
        <f>IFERROR(Inv_SY!X337/Inv_SY!$Y337-1,"")</f>
        <v/>
      </c>
      <c r="AK335" s="59" t="str">
        <f>IFERROR(Inv_SY!V337/Inv_SY!$Z337-1,"")</f>
        <v/>
      </c>
      <c r="AL335" s="59" t="str">
        <f>IFERROR(Inv_SY!W337/Inv_SY!$Z337-1,"")</f>
        <v/>
      </c>
      <c r="AM335" s="59" t="str">
        <f>IFERROR(Inv_SY!X337/Inv_SY!$Z337-1,"")</f>
        <v/>
      </c>
    </row>
    <row r="336" spans="1:39" x14ac:dyDescent="0.3">
      <c r="A336" s="55">
        <f>YEAR(Table5[[#This Row],[Date]])+IF(MONTH(Table5[[#This Row],[Date]])&gt;=4,1,0)</f>
        <v>2026</v>
      </c>
      <c r="B336" s="55">
        <v>296</v>
      </c>
      <c r="C336" s="124">
        <f>YEAR(Table5[[#This Row],[Date]])</f>
        <v>2026</v>
      </c>
      <c r="D336" s="55" t="s">
        <v>329</v>
      </c>
      <c r="E336" s="55" t="s">
        <v>329</v>
      </c>
      <c r="F336" s="126" t="str">
        <f>TEXT(Table5[[#This Row],[Date]],"mmm-yy")</f>
        <v>Feb-26</v>
      </c>
      <c r="G336" s="124">
        <f t="shared" si="13"/>
        <v>28</v>
      </c>
      <c r="H336" s="125">
        <f t="shared" si="14"/>
        <v>46079</v>
      </c>
      <c r="I336" s="55">
        <v>8.02</v>
      </c>
      <c r="J336" s="59" t="str">
        <f>IFERROR(Inv_SY!J338/Inv_SY!$Y338-1,"")</f>
        <v/>
      </c>
      <c r="K336" s="59" t="str">
        <f>IFERROR(Inv_SY!K338/Inv_SY!$Y338-1,"")</f>
        <v/>
      </c>
      <c r="L336" s="59" t="str">
        <f>IFERROR(Inv_SY!L338/Inv_SY!$Y338-1,"")</f>
        <v/>
      </c>
      <c r="M336" s="59" t="str">
        <f>IFERROR(Inv_SY!M338/Inv_SY!$Y338-1,"")</f>
        <v/>
      </c>
      <c r="N336" s="59" t="str">
        <f>IFERROR(Inv_SY!N338/Inv_SY!$Y338-1,"")</f>
        <v/>
      </c>
      <c r="O336" s="59" t="str">
        <f>IFERROR(Inv_SY!O338/Inv_SY!$Y338-1,"")</f>
        <v/>
      </c>
      <c r="P336" s="59" t="str">
        <f>IFERROR(Inv_SY!P338/Inv_SY!$Y338-1,"")</f>
        <v/>
      </c>
      <c r="Q336" s="59" t="str">
        <f>IFERROR(Inv_SY!Q338/Inv_SY!$Y338-1,"")</f>
        <v/>
      </c>
      <c r="R336" s="59" t="str">
        <f>IFERROR(Inv_SY!R338/Inv_SY!$Y338-1,"")</f>
        <v/>
      </c>
      <c r="S336" s="59" t="str">
        <f>IFERROR(Inv_SY!S338/Inv_SY!$Y338-1,"")</f>
        <v/>
      </c>
      <c r="T336" s="59" t="str">
        <f>IFERROR(Inv_SY!T338/Inv_SY!$Y338-1,"")</f>
        <v/>
      </c>
      <c r="U336" s="59" t="str">
        <f>IFERROR(Inv_SY!U338/Inv_SY!$Y338-1,"")</f>
        <v/>
      </c>
      <c r="V336" s="59" t="str">
        <f>IFERROR(Inv_SY!J338/Inv_SY!$Z338-1,"")</f>
        <v/>
      </c>
      <c r="W336" s="59" t="str">
        <f>IFERROR(Inv_SY!K338/Inv_SY!$Z338-1,"")</f>
        <v/>
      </c>
      <c r="X336" s="59" t="str">
        <f>IFERROR(Inv_SY!L338/Inv_SY!$Z338-1,"")</f>
        <v/>
      </c>
      <c r="Y336" s="59" t="str">
        <f>IFERROR(Inv_SY!M338/Inv_SY!$Z338-1,"")</f>
        <v/>
      </c>
      <c r="Z336" s="59" t="str">
        <f>IFERROR(Inv_SY!N338/Inv_SY!$Z338-1,"")</f>
        <v/>
      </c>
      <c r="AA336" s="59" t="str">
        <f>IFERROR(Inv_SY!O338/Inv_SY!$Z338-1,"")</f>
        <v/>
      </c>
      <c r="AB336" s="59" t="str">
        <f>IFERROR(Inv_SY!P338/Inv_SY!$Z338-1,"")</f>
        <v/>
      </c>
      <c r="AC336" s="59" t="str">
        <f>IFERROR(Inv_SY!Q338/Inv_SY!$Z338-1,"")</f>
        <v/>
      </c>
      <c r="AD336" s="59" t="str">
        <f>IFERROR(Inv_SY!R338/Inv_SY!$Z338-1,"")</f>
        <v/>
      </c>
      <c r="AE336" s="59" t="str">
        <f>IFERROR(Inv_SY!S338/Inv_SY!$Z338-1,"")</f>
        <v/>
      </c>
      <c r="AF336" s="59" t="str">
        <f>IFERROR(Inv_SY!T338/Inv_SY!$Z338-1,"")</f>
        <v/>
      </c>
      <c r="AG336" s="59" t="str">
        <f>IFERROR(Inv_SY!U338/Inv_SY!$Z338-1,"")</f>
        <v/>
      </c>
      <c r="AH336" s="59" t="str">
        <f>IFERROR(Inv_SY!V338/Inv_SY!$Y338-1,"")</f>
        <v/>
      </c>
      <c r="AI336" s="59" t="str">
        <f>IFERROR(Inv_SY!W338/Inv_SY!$Y338-1,"")</f>
        <v/>
      </c>
      <c r="AJ336" s="59" t="str">
        <f>IFERROR(Inv_SY!X338/Inv_SY!$Y338-1,"")</f>
        <v/>
      </c>
      <c r="AK336" s="59" t="str">
        <f>IFERROR(Inv_SY!V338/Inv_SY!$Z338-1,"")</f>
        <v/>
      </c>
      <c r="AL336" s="59" t="str">
        <f>IFERROR(Inv_SY!W338/Inv_SY!$Z338-1,"")</f>
        <v/>
      </c>
      <c r="AM336" s="59" t="str">
        <f>IFERROR(Inv_SY!X338/Inv_SY!$Z338-1,"")</f>
        <v/>
      </c>
    </row>
    <row r="337" spans="1:39" x14ac:dyDescent="0.3">
      <c r="A337" s="55">
        <f>YEAR(Table5[[#This Row],[Date]])+IF(MONTH(Table5[[#This Row],[Date]])&gt;=4,1,0)</f>
        <v>2026</v>
      </c>
      <c r="B337" s="55">
        <v>297</v>
      </c>
      <c r="C337" s="124">
        <f>YEAR(Table5[[#This Row],[Date]])</f>
        <v>2026</v>
      </c>
      <c r="D337" s="55" t="s">
        <v>329</v>
      </c>
      <c r="E337" s="55" t="s">
        <v>329</v>
      </c>
      <c r="F337" s="126" t="str">
        <f>TEXT(Table5[[#This Row],[Date]],"mmm-yy")</f>
        <v>Feb-26</v>
      </c>
      <c r="G337" s="124">
        <f t="shared" si="13"/>
        <v>28</v>
      </c>
      <c r="H337" s="125">
        <f t="shared" si="14"/>
        <v>46080</v>
      </c>
      <c r="I337" s="55">
        <v>8.02</v>
      </c>
      <c r="J337" s="59" t="str">
        <f>IFERROR(Inv_SY!J339/Inv_SY!$Y339-1,"")</f>
        <v/>
      </c>
      <c r="K337" s="59" t="str">
        <f>IFERROR(Inv_SY!K339/Inv_SY!$Y339-1,"")</f>
        <v/>
      </c>
      <c r="L337" s="59" t="str">
        <f>IFERROR(Inv_SY!L339/Inv_SY!$Y339-1,"")</f>
        <v/>
      </c>
      <c r="M337" s="59" t="str">
        <f>IFERROR(Inv_SY!M339/Inv_SY!$Y339-1,"")</f>
        <v/>
      </c>
      <c r="N337" s="59" t="str">
        <f>IFERROR(Inv_SY!N339/Inv_SY!$Y339-1,"")</f>
        <v/>
      </c>
      <c r="O337" s="59" t="str">
        <f>IFERROR(Inv_SY!O339/Inv_SY!$Y339-1,"")</f>
        <v/>
      </c>
      <c r="P337" s="59" t="str">
        <f>IFERROR(Inv_SY!P339/Inv_SY!$Y339-1,"")</f>
        <v/>
      </c>
      <c r="Q337" s="59" t="str">
        <f>IFERROR(Inv_SY!Q339/Inv_SY!$Y339-1,"")</f>
        <v/>
      </c>
      <c r="R337" s="59" t="str">
        <f>IFERROR(Inv_SY!R339/Inv_SY!$Y339-1,"")</f>
        <v/>
      </c>
      <c r="S337" s="59" t="str">
        <f>IFERROR(Inv_SY!S339/Inv_SY!$Y339-1,"")</f>
        <v/>
      </c>
      <c r="T337" s="59" t="str">
        <f>IFERROR(Inv_SY!T339/Inv_SY!$Y339-1,"")</f>
        <v/>
      </c>
      <c r="U337" s="59" t="str">
        <f>IFERROR(Inv_SY!U339/Inv_SY!$Y339-1,"")</f>
        <v/>
      </c>
      <c r="V337" s="59" t="str">
        <f>IFERROR(Inv_SY!J339/Inv_SY!$Z339-1,"")</f>
        <v/>
      </c>
      <c r="W337" s="59" t="str">
        <f>IFERROR(Inv_SY!K339/Inv_SY!$Z339-1,"")</f>
        <v/>
      </c>
      <c r="X337" s="59" t="str">
        <f>IFERROR(Inv_SY!L339/Inv_SY!$Z339-1,"")</f>
        <v/>
      </c>
      <c r="Y337" s="59" t="str">
        <f>IFERROR(Inv_SY!M339/Inv_SY!$Z339-1,"")</f>
        <v/>
      </c>
      <c r="Z337" s="59" t="str">
        <f>IFERROR(Inv_SY!N339/Inv_SY!$Z339-1,"")</f>
        <v/>
      </c>
      <c r="AA337" s="59" t="str">
        <f>IFERROR(Inv_SY!O339/Inv_SY!$Z339-1,"")</f>
        <v/>
      </c>
      <c r="AB337" s="59" t="str">
        <f>IFERROR(Inv_SY!P339/Inv_SY!$Z339-1,"")</f>
        <v/>
      </c>
      <c r="AC337" s="59" t="str">
        <f>IFERROR(Inv_SY!Q339/Inv_SY!$Z339-1,"")</f>
        <v/>
      </c>
      <c r="AD337" s="59" t="str">
        <f>IFERROR(Inv_SY!R339/Inv_SY!$Z339-1,"")</f>
        <v/>
      </c>
      <c r="AE337" s="59" t="str">
        <f>IFERROR(Inv_SY!S339/Inv_SY!$Z339-1,"")</f>
        <v/>
      </c>
      <c r="AF337" s="59" t="str">
        <f>IFERROR(Inv_SY!T339/Inv_SY!$Z339-1,"")</f>
        <v/>
      </c>
      <c r="AG337" s="59" t="str">
        <f>IFERROR(Inv_SY!U339/Inv_SY!$Z339-1,"")</f>
        <v/>
      </c>
      <c r="AH337" s="59" t="str">
        <f>IFERROR(Inv_SY!V339/Inv_SY!$Y339-1,"")</f>
        <v/>
      </c>
      <c r="AI337" s="59" t="str">
        <f>IFERROR(Inv_SY!W339/Inv_SY!$Y339-1,"")</f>
        <v/>
      </c>
      <c r="AJ337" s="59" t="str">
        <f>IFERROR(Inv_SY!X339/Inv_SY!$Y339-1,"")</f>
        <v/>
      </c>
      <c r="AK337" s="59" t="str">
        <f>IFERROR(Inv_SY!V339/Inv_SY!$Z339-1,"")</f>
        <v/>
      </c>
      <c r="AL337" s="59" t="str">
        <f>IFERROR(Inv_SY!W339/Inv_SY!$Z339-1,"")</f>
        <v/>
      </c>
      <c r="AM337" s="59" t="str">
        <f>IFERROR(Inv_SY!X339/Inv_SY!$Z339-1,"")</f>
        <v/>
      </c>
    </row>
    <row r="338" spans="1:39" x14ac:dyDescent="0.3">
      <c r="A338" s="55">
        <f>YEAR(Table5[[#This Row],[Date]])+IF(MONTH(Table5[[#This Row],[Date]])&gt;=4,1,0)</f>
        <v>2026</v>
      </c>
      <c r="B338" s="55">
        <v>298</v>
      </c>
      <c r="C338" s="124">
        <f>YEAR(Table5[[#This Row],[Date]])</f>
        <v>2026</v>
      </c>
      <c r="D338" s="55" t="s">
        <v>329</v>
      </c>
      <c r="E338" s="55" t="s">
        <v>329</v>
      </c>
      <c r="F338" s="126" t="str">
        <f>TEXT(Table5[[#This Row],[Date]],"mmm-yy")</f>
        <v>Feb-26</v>
      </c>
      <c r="G338" s="124">
        <f t="shared" si="13"/>
        <v>28</v>
      </c>
      <c r="H338" s="125">
        <f t="shared" si="14"/>
        <v>46081</v>
      </c>
      <c r="I338" s="55">
        <v>8.02</v>
      </c>
      <c r="J338" s="59" t="str">
        <f>IFERROR(Inv_SY!J340/Inv_SY!$Y340-1,"")</f>
        <v/>
      </c>
      <c r="K338" s="59" t="str">
        <f>IFERROR(Inv_SY!K340/Inv_SY!$Y340-1,"")</f>
        <v/>
      </c>
      <c r="L338" s="59" t="str">
        <f>IFERROR(Inv_SY!L340/Inv_SY!$Y340-1,"")</f>
        <v/>
      </c>
      <c r="M338" s="59" t="str">
        <f>IFERROR(Inv_SY!M340/Inv_SY!$Y340-1,"")</f>
        <v/>
      </c>
      <c r="N338" s="59" t="str">
        <f>IFERROR(Inv_SY!N340/Inv_SY!$Y340-1,"")</f>
        <v/>
      </c>
      <c r="O338" s="59" t="str">
        <f>IFERROR(Inv_SY!O340/Inv_SY!$Y340-1,"")</f>
        <v/>
      </c>
      <c r="P338" s="59" t="str">
        <f>IFERROR(Inv_SY!P340/Inv_SY!$Y340-1,"")</f>
        <v/>
      </c>
      <c r="Q338" s="59" t="str">
        <f>IFERROR(Inv_SY!Q340/Inv_SY!$Y340-1,"")</f>
        <v/>
      </c>
      <c r="R338" s="59" t="str">
        <f>IFERROR(Inv_SY!R340/Inv_SY!$Y340-1,"")</f>
        <v/>
      </c>
      <c r="S338" s="59" t="str">
        <f>IFERROR(Inv_SY!S340/Inv_SY!$Y340-1,"")</f>
        <v/>
      </c>
      <c r="T338" s="59" t="str">
        <f>IFERROR(Inv_SY!T340/Inv_SY!$Y340-1,"")</f>
        <v/>
      </c>
      <c r="U338" s="59" t="str">
        <f>IFERROR(Inv_SY!U340/Inv_SY!$Y340-1,"")</f>
        <v/>
      </c>
      <c r="V338" s="59" t="str">
        <f>IFERROR(Inv_SY!J340/Inv_SY!$Z340-1,"")</f>
        <v/>
      </c>
      <c r="W338" s="59" t="str">
        <f>IFERROR(Inv_SY!K340/Inv_SY!$Z340-1,"")</f>
        <v/>
      </c>
      <c r="X338" s="59" t="str">
        <f>IFERROR(Inv_SY!L340/Inv_SY!$Z340-1,"")</f>
        <v/>
      </c>
      <c r="Y338" s="59" t="str">
        <f>IFERROR(Inv_SY!M340/Inv_SY!$Z340-1,"")</f>
        <v/>
      </c>
      <c r="Z338" s="59" t="str">
        <f>IFERROR(Inv_SY!N340/Inv_SY!$Z340-1,"")</f>
        <v/>
      </c>
      <c r="AA338" s="59" t="str">
        <f>IFERROR(Inv_SY!O340/Inv_SY!$Z340-1,"")</f>
        <v/>
      </c>
      <c r="AB338" s="59" t="str">
        <f>IFERROR(Inv_SY!P340/Inv_SY!$Z340-1,"")</f>
        <v/>
      </c>
      <c r="AC338" s="59" t="str">
        <f>IFERROR(Inv_SY!Q340/Inv_SY!$Z340-1,"")</f>
        <v/>
      </c>
      <c r="AD338" s="59" t="str">
        <f>IFERROR(Inv_SY!R340/Inv_SY!$Z340-1,"")</f>
        <v/>
      </c>
      <c r="AE338" s="59" t="str">
        <f>IFERROR(Inv_SY!S340/Inv_SY!$Z340-1,"")</f>
        <v/>
      </c>
      <c r="AF338" s="59" t="str">
        <f>IFERROR(Inv_SY!T340/Inv_SY!$Z340-1,"")</f>
        <v/>
      </c>
      <c r="AG338" s="59" t="str">
        <f>IFERROR(Inv_SY!U340/Inv_SY!$Z340-1,"")</f>
        <v/>
      </c>
      <c r="AH338" s="59" t="str">
        <f>IFERROR(Inv_SY!V340/Inv_SY!$Y340-1,"")</f>
        <v/>
      </c>
      <c r="AI338" s="59" t="str">
        <f>IFERROR(Inv_SY!W340/Inv_SY!$Y340-1,"")</f>
        <v/>
      </c>
      <c r="AJ338" s="59" t="str">
        <f>IFERROR(Inv_SY!X340/Inv_SY!$Y340-1,"")</f>
        <v/>
      </c>
      <c r="AK338" s="59" t="str">
        <f>IFERROR(Inv_SY!V340/Inv_SY!$Z340-1,"")</f>
        <v/>
      </c>
      <c r="AL338" s="59" t="str">
        <f>IFERROR(Inv_SY!W340/Inv_SY!$Z340-1,"")</f>
        <v/>
      </c>
      <c r="AM338" s="59" t="str">
        <f>IFERROR(Inv_SY!X340/Inv_SY!$Z340-1,"")</f>
        <v/>
      </c>
    </row>
    <row r="339" spans="1:39" x14ac:dyDescent="0.3">
      <c r="A339" s="55">
        <f>YEAR(Table5[[#This Row],[Date]])+IF(MONTH(Table5[[#This Row],[Date]])&gt;=4,1,0)</f>
        <v>2026</v>
      </c>
      <c r="B339" s="55">
        <v>299</v>
      </c>
      <c r="C339" s="124">
        <f>YEAR(Table5[[#This Row],[Date]])</f>
        <v>2026</v>
      </c>
      <c r="D339" s="55" t="s">
        <v>329</v>
      </c>
      <c r="E339" s="55" t="s">
        <v>329</v>
      </c>
      <c r="F339" s="126" t="str">
        <f>TEXT(Table5[[#This Row],[Date]],"mmm-yy")</f>
        <v>Mar-26</v>
      </c>
      <c r="G339" s="124">
        <f t="shared" si="13"/>
        <v>31</v>
      </c>
      <c r="H339" s="125">
        <f t="shared" si="14"/>
        <v>46082</v>
      </c>
      <c r="I339" s="55">
        <v>8.02</v>
      </c>
      <c r="J339" s="59" t="str">
        <f>IFERROR(Inv_SY!J341/Inv_SY!$Y341-1,"")</f>
        <v/>
      </c>
      <c r="K339" s="59" t="str">
        <f>IFERROR(Inv_SY!K341/Inv_SY!$Y341-1,"")</f>
        <v/>
      </c>
      <c r="L339" s="59" t="str">
        <f>IFERROR(Inv_SY!L341/Inv_SY!$Y341-1,"")</f>
        <v/>
      </c>
      <c r="M339" s="59" t="str">
        <f>IFERROR(Inv_SY!M341/Inv_SY!$Y341-1,"")</f>
        <v/>
      </c>
      <c r="N339" s="59" t="str">
        <f>IFERROR(Inv_SY!N341/Inv_SY!$Y341-1,"")</f>
        <v/>
      </c>
      <c r="O339" s="59" t="str">
        <f>IFERROR(Inv_SY!O341/Inv_SY!$Y341-1,"")</f>
        <v/>
      </c>
      <c r="P339" s="59" t="str">
        <f>IFERROR(Inv_SY!P341/Inv_SY!$Y341-1,"")</f>
        <v/>
      </c>
      <c r="Q339" s="59" t="str">
        <f>IFERROR(Inv_SY!Q341/Inv_SY!$Y341-1,"")</f>
        <v/>
      </c>
      <c r="R339" s="59" t="str">
        <f>IFERROR(Inv_SY!R341/Inv_SY!$Y341-1,"")</f>
        <v/>
      </c>
      <c r="S339" s="59" t="str">
        <f>IFERROR(Inv_SY!S341/Inv_SY!$Y341-1,"")</f>
        <v/>
      </c>
      <c r="T339" s="59" t="str">
        <f>IFERROR(Inv_SY!T341/Inv_SY!$Y341-1,"")</f>
        <v/>
      </c>
      <c r="U339" s="59" t="str">
        <f>IFERROR(Inv_SY!U341/Inv_SY!$Y341-1,"")</f>
        <v/>
      </c>
      <c r="V339" s="59" t="str">
        <f>IFERROR(Inv_SY!J341/Inv_SY!$Z341-1,"")</f>
        <v/>
      </c>
      <c r="W339" s="59" t="str">
        <f>IFERROR(Inv_SY!K341/Inv_SY!$Z341-1,"")</f>
        <v/>
      </c>
      <c r="X339" s="59" t="str">
        <f>IFERROR(Inv_SY!L341/Inv_SY!$Z341-1,"")</f>
        <v/>
      </c>
      <c r="Y339" s="59" t="str">
        <f>IFERROR(Inv_SY!M341/Inv_SY!$Z341-1,"")</f>
        <v/>
      </c>
      <c r="Z339" s="59" t="str">
        <f>IFERROR(Inv_SY!N341/Inv_SY!$Z341-1,"")</f>
        <v/>
      </c>
      <c r="AA339" s="59" t="str">
        <f>IFERROR(Inv_SY!O341/Inv_SY!$Z341-1,"")</f>
        <v/>
      </c>
      <c r="AB339" s="59" t="str">
        <f>IFERROR(Inv_SY!P341/Inv_SY!$Z341-1,"")</f>
        <v/>
      </c>
      <c r="AC339" s="59" t="str">
        <f>IFERROR(Inv_SY!Q341/Inv_SY!$Z341-1,"")</f>
        <v/>
      </c>
      <c r="AD339" s="59" t="str">
        <f>IFERROR(Inv_SY!R341/Inv_SY!$Z341-1,"")</f>
        <v/>
      </c>
      <c r="AE339" s="59" t="str">
        <f>IFERROR(Inv_SY!S341/Inv_SY!$Z341-1,"")</f>
        <v/>
      </c>
      <c r="AF339" s="59" t="str">
        <f>IFERROR(Inv_SY!T341/Inv_SY!$Z341-1,"")</f>
        <v/>
      </c>
      <c r="AG339" s="59" t="str">
        <f>IFERROR(Inv_SY!U341/Inv_SY!$Z341-1,"")</f>
        <v/>
      </c>
      <c r="AH339" s="59" t="str">
        <f>IFERROR(Inv_SY!V341/Inv_SY!$Y341-1,"")</f>
        <v/>
      </c>
      <c r="AI339" s="59" t="str">
        <f>IFERROR(Inv_SY!W341/Inv_SY!$Y341-1,"")</f>
        <v/>
      </c>
      <c r="AJ339" s="59" t="str">
        <f>IFERROR(Inv_SY!X341/Inv_SY!$Y341-1,"")</f>
        <v/>
      </c>
      <c r="AK339" s="59" t="str">
        <f>IFERROR(Inv_SY!V341/Inv_SY!$Z341-1,"")</f>
        <v/>
      </c>
      <c r="AL339" s="59" t="str">
        <f>IFERROR(Inv_SY!W341/Inv_SY!$Z341-1,"")</f>
        <v/>
      </c>
      <c r="AM339" s="59" t="str">
        <f>IFERROR(Inv_SY!X341/Inv_SY!$Z341-1,"")</f>
        <v/>
      </c>
    </row>
    <row r="340" spans="1:39" x14ac:dyDescent="0.3">
      <c r="A340" s="55">
        <f>YEAR(Table5[[#This Row],[Date]])+IF(MONTH(Table5[[#This Row],[Date]])&gt;=4,1,0)</f>
        <v>2026</v>
      </c>
      <c r="B340" s="55">
        <v>300</v>
      </c>
      <c r="C340" s="124">
        <f>YEAR(Table5[[#This Row],[Date]])</f>
        <v>2026</v>
      </c>
      <c r="D340" s="55" t="s">
        <v>329</v>
      </c>
      <c r="E340" s="55" t="s">
        <v>329</v>
      </c>
      <c r="F340" s="126" t="str">
        <f>TEXT(Table5[[#This Row],[Date]],"mmm-yy")</f>
        <v>Mar-26</v>
      </c>
      <c r="G340" s="124">
        <f t="shared" si="13"/>
        <v>31</v>
      </c>
      <c r="H340" s="125">
        <f t="shared" si="14"/>
        <v>46083</v>
      </c>
      <c r="I340" s="55">
        <v>8.02</v>
      </c>
      <c r="J340" s="59" t="str">
        <f>IFERROR(Inv_SY!J342/Inv_SY!$Y342-1,"")</f>
        <v/>
      </c>
      <c r="K340" s="59" t="str">
        <f>IFERROR(Inv_SY!K342/Inv_SY!$Y342-1,"")</f>
        <v/>
      </c>
      <c r="L340" s="59" t="str">
        <f>IFERROR(Inv_SY!L342/Inv_SY!$Y342-1,"")</f>
        <v/>
      </c>
      <c r="M340" s="59" t="str">
        <f>IFERROR(Inv_SY!M342/Inv_SY!$Y342-1,"")</f>
        <v/>
      </c>
      <c r="N340" s="59" t="str">
        <f>IFERROR(Inv_SY!N342/Inv_SY!$Y342-1,"")</f>
        <v/>
      </c>
      <c r="O340" s="59" t="str">
        <f>IFERROR(Inv_SY!O342/Inv_SY!$Y342-1,"")</f>
        <v/>
      </c>
      <c r="P340" s="59" t="str">
        <f>IFERROR(Inv_SY!P342/Inv_SY!$Y342-1,"")</f>
        <v/>
      </c>
      <c r="Q340" s="59" t="str">
        <f>IFERROR(Inv_SY!Q342/Inv_SY!$Y342-1,"")</f>
        <v/>
      </c>
      <c r="R340" s="59" t="str">
        <f>IFERROR(Inv_SY!R342/Inv_SY!$Y342-1,"")</f>
        <v/>
      </c>
      <c r="S340" s="59" t="str">
        <f>IFERROR(Inv_SY!S342/Inv_SY!$Y342-1,"")</f>
        <v/>
      </c>
      <c r="T340" s="59" t="str">
        <f>IFERROR(Inv_SY!T342/Inv_SY!$Y342-1,"")</f>
        <v/>
      </c>
      <c r="U340" s="59" t="str">
        <f>IFERROR(Inv_SY!U342/Inv_SY!$Y342-1,"")</f>
        <v/>
      </c>
      <c r="V340" s="59" t="str">
        <f>IFERROR(Inv_SY!J342/Inv_SY!$Z342-1,"")</f>
        <v/>
      </c>
      <c r="W340" s="59" t="str">
        <f>IFERROR(Inv_SY!K342/Inv_SY!$Z342-1,"")</f>
        <v/>
      </c>
      <c r="X340" s="59" t="str">
        <f>IFERROR(Inv_SY!L342/Inv_SY!$Z342-1,"")</f>
        <v/>
      </c>
      <c r="Y340" s="59" t="str">
        <f>IFERROR(Inv_SY!M342/Inv_SY!$Z342-1,"")</f>
        <v/>
      </c>
      <c r="Z340" s="59" t="str">
        <f>IFERROR(Inv_SY!N342/Inv_SY!$Z342-1,"")</f>
        <v/>
      </c>
      <c r="AA340" s="59" t="str">
        <f>IFERROR(Inv_SY!O342/Inv_SY!$Z342-1,"")</f>
        <v/>
      </c>
      <c r="AB340" s="59" t="str">
        <f>IFERROR(Inv_SY!P342/Inv_SY!$Z342-1,"")</f>
        <v/>
      </c>
      <c r="AC340" s="59" t="str">
        <f>IFERROR(Inv_SY!Q342/Inv_SY!$Z342-1,"")</f>
        <v/>
      </c>
      <c r="AD340" s="59" t="str">
        <f>IFERROR(Inv_SY!R342/Inv_SY!$Z342-1,"")</f>
        <v/>
      </c>
      <c r="AE340" s="59" t="str">
        <f>IFERROR(Inv_SY!S342/Inv_SY!$Z342-1,"")</f>
        <v/>
      </c>
      <c r="AF340" s="59" t="str">
        <f>IFERROR(Inv_SY!T342/Inv_SY!$Z342-1,"")</f>
        <v/>
      </c>
      <c r="AG340" s="59" t="str">
        <f>IFERROR(Inv_SY!U342/Inv_SY!$Z342-1,"")</f>
        <v/>
      </c>
      <c r="AH340" s="59" t="str">
        <f>IFERROR(Inv_SY!V342/Inv_SY!$Y342-1,"")</f>
        <v/>
      </c>
      <c r="AI340" s="59" t="str">
        <f>IFERROR(Inv_SY!W342/Inv_SY!$Y342-1,"")</f>
        <v/>
      </c>
      <c r="AJ340" s="59" t="str">
        <f>IFERROR(Inv_SY!X342/Inv_SY!$Y342-1,"")</f>
        <v/>
      </c>
      <c r="AK340" s="59" t="str">
        <f>IFERROR(Inv_SY!V342/Inv_SY!$Z342-1,"")</f>
        <v/>
      </c>
      <c r="AL340" s="59" t="str">
        <f>IFERROR(Inv_SY!W342/Inv_SY!$Z342-1,"")</f>
        <v/>
      </c>
      <c r="AM340" s="59" t="str">
        <f>IFERROR(Inv_SY!X342/Inv_SY!$Z342-1,"")</f>
        <v/>
      </c>
    </row>
    <row r="341" spans="1:39" x14ac:dyDescent="0.3">
      <c r="A341" s="55">
        <f>YEAR(Table5[[#This Row],[Date]])+IF(MONTH(Table5[[#This Row],[Date]])&gt;=4,1,0)</f>
        <v>2026</v>
      </c>
      <c r="B341" s="55">
        <v>301</v>
      </c>
      <c r="C341" s="124">
        <f>YEAR(Table5[[#This Row],[Date]])</f>
        <v>2026</v>
      </c>
      <c r="D341" s="55" t="s">
        <v>329</v>
      </c>
      <c r="E341" s="55" t="s">
        <v>329</v>
      </c>
      <c r="F341" s="126" t="str">
        <f>TEXT(Table5[[#This Row],[Date]],"mmm-yy")</f>
        <v>Mar-26</v>
      </c>
      <c r="G341" s="124">
        <f t="shared" si="13"/>
        <v>31</v>
      </c>
      <c r="H341" s="125">
        <f t="shared" si="14"/>
        <v>46084</v>
      </c>
      <c r="I341" s="55">
        <v>8.02</v>
      </c>
      <c r="J341" s="59" t="str">
        <f>IFERROR(Inv_SY!J343/Inv_SY!$Y343-1,"")</f>
        <v/>
      </c>
      <c r="K341" s="59" t="str">
        <f>IFERROR(Inv_SY!K343/Inv_SY!$Y343-1,"")</f>
        <v/>
      </c>
      <c r="L341" s="59" t="str">
        <f>IFERROR(Inv_SY!L343/Inv_SY!$Y343-1,"")</f>
        <v/>
      </c>
      <c r="M341" s="59" t="str">
        <f>IFERROR(Inv_SY!M343/Inv_SY!$Y343-1,"")</f>
        <v/>
      </c>
      <c r="N341" s="59" t="str">
        <f>IFERROR(Inv_SY!N343/Inv_SY!$Y343-1,"")</f>
        <v/>
      </c>
      <c r="O341" s="59" t="str">
        <f>IFERROR(Inv_SY!O343/Inv_SY!$Y343-1,"")</f>
        <v/>
      </c>
      <c r="P341" s="59" t="str">
        <f>IFERROR(Inv_SY!P343/Inv_SY!$Y343-1,"")</f>
        <v/>
      </c>
      <c r="Q341" s="59" t="str">
        <f>IFERROR(Inv_SY!Q343/Inv_SY!$Y343-1,"")</f>
        <v/>
      </c>
      <c r="R341" s="59" t="str">
        <f>IFERROR(Inv_SY!R343/Inv_SY!$Y343-1,"")</f>
        <v/>
      </c>
      <c r="S341" s="59" t="str">
        <f>IFERROR(Inv_SY!S343/Inv_SY!$Y343-1,"")</f>
        <v/>
      </c>
      <c r="T341" s="59" t="str">
        <f>IFERROR(Inv_SY!T343/Inv_SY!$Y343-1,"")</f>
        <v/>
      </c>
      <c r="U341" s="59" t="str">
        <f>IFERROR(Inv_SY!U343/Inv_SY!$Y343-1,"")</f>
        <v/>
      </c>
      <c r="V341" s="59" t="str">
        <f>IFERROR(Inv_SY!J343/Inv_SY!$Z343-1,"")</f>
        <v/>
      </c>
      <c r="W341" s="59" t="str">
        <f>IFERROR(Inv_SY!K343/Inv_SY!$Z343-1,"")</f>
        <v/>
      </c>
      <c r="X341" s="59" t="str">
        <f>IFERROR(Inv_SY!L343/Inv_SY!$Z343-1,"")</f>
        <v/>
      </c>
      <c r="Y341" s="59" t="str">
        <f>IFERROR(Inv_SY!M343/Inv_SY!$Z343-1,"")</f>
        <v/>
      </c>
      <c r="Z341" s="59" t="str">
        <f>IFERROR(Inv_SY!N343/Inv_SY!$Z343-1,"")</f>
        <v/>
      </c>
      <c r="AA341" s="59" t="str">
        <f>IFERROR(Inv_SY!O343/Inv_SY!$Z343-1,"")</f>
        <v/>
      </c>
      <c r="AB341" s="59" t="str">
        <f>IFERROR(Inv_SY!P343/Inv_SY!$Z343-1,"")</f>
        <v/>
      </c>
      <c r="AC341" s="59" t="str">
        <f>IFERROR(Inv_SY!Q343/Inv_SY!$Z343-1,"")</f>
        <v/>
      </c>
      <c r="AD341" s="59" t="str">
        <f>IFERROR(Inv_SY!R343/Inv_SY!$Z343-1,"")</f>
        <v/>
      </c>
      <c r="AE341" s="59" t="str">
        <f>IFERROR(Inv_SY!S343/Inv_SY!$Z343-1,"")</f>
        <v/>
      </c>
      <c r="AF341" s="59" t="str">
        <f>IFERROR(Inv_SY!T343/Inv_SY!$Z343-1,"")</f>
        <v/>
      </c>
      <c r="AG341" s="59" t="str">
        <f>IFERROR(Inv_SY!U343/Inv_SY!$Z343-1,"")</f>
        <v/>
      </c>
      <c r="AH341" s="59" t="str">
        <f>IFERROR(Inv_SY!V343/Inv_SY!$Y343-1,"")</f>
        <v/>
      </c>
      <c r="AI341" s="59" t="str">
        <f>IFERROR(Inv_SY!W343/Inv_SY!$Y343-1,"")</f>
        <v/>
      </c>
      <c r="AJ341" s="59" t="str">
        <f>IFERROR(Inv_SY!X343/Inv_SY!$Y343-1,"")</f>
        <v/>
      </c>
      <c r="AK341" s="59" t="str">
        <f>IFERROR(Inv_SY!V343/Inv_SY!$Z343-1,"")</f>
        <v/>
      </c>
      <c r="AL341" s="59" t="str">
        <f>IFERROR(Inv_SY!W343/Inv_SY!$Z343-1,"")</f>
        <v/>
      </c>
      <c r="AM341" s="59" t="str">
        <f>IFERROR(Inv_SY!X343/Inv_SY!$Z343-1,"")</f>
        <v/>
      </c>
    </row>
    <row r="342" spans="1:39" x14ac:dyDescent="0.3">
      <c r="A342" s="55">
        <f>YEAR(Table5[[#This Row],[Date]])+IF(MONTH(Table5[[#This Row],[Date]])&gt;=4,1,0)</f>
        <v>2026</v>
      </c>
      <c r="B342" s="55">
        <v>302</v>
      </c>
      <c r="C342" s="124">
        <f>YEAR(Table5[[#This Row],[Date]])</f>
        <v>2026</v>
      </c>
      <c r="D342" s="55" t="s">
        <v>329</v>
      </c>
      <c r="E342" s="55" t="s">
        <v>329</v>
      </c>
      <c r="F342" s="126" t="str">
        <f>TEXT(Table5[[#This Row],[Date]],"mmm-yy")</f>
        <v>Mar-26</v>
      </c>
      <c r="G342" s="124">
        <f t="shared" si="13"/>
        <v>31</v>
      </c>
      <c r="H342" s="125">
        <f t="shared" si="14"/>
        <v>46085</v>
      </c>
      <c r="I342" s="55">
        <v>8.02</v>
      </c>
      <c r="J342" s="59" t="str">
        <f>IFERROR(Inv_SY!J344/Inv_SY!$Y344-1,"")</f>
        <v/>
      </c>
      <c r="K342" s="59" t="str">
        <f>IFERROR(Inv_SY!K344/Inv_SY!$Y344-1,"")</f>
        <v/>
      </c>
      <c r="L342" s="59" t="str">
        <f>IFERROR(Inv_SY!L344/Inv_SY!$Y344-1,"")</f>
        <v/>
      </c>
      <c r="M342" s="59" t="str">
        <f>IFERROR(Inv_SY!M344/Inv_SY!$Y344-1,"")</f>
        <v/>
      </c>
      <c r="N342" s="59" t="str">
        <f>IFERROR(Inv_SY!N344/Inv_SY!$Y344-1,"")</f>
        <v/>
      </c>
      <c r="O342" s="59" t="str">
        <f>IFERROR(Inv_SY!O344/Inv_SY!$Y344-1,"")</f>
        <v/>
      </c>
      <c r="P342" s="59" t="str">
        <f>IFERROR(Inv_SY!P344/Inv_SY!$Y344-1,"")</f>
        <v/>
      </c>
      <c r="Q342" s="59" t="str">
        <f>IFERROR(Inv_SY!Q344/Inv_SY!$Y344-1,"")</f>
        <v/>
      </c>
      <c r="R342" s="59" t="str">
        <f>IFERROR(Inv_SY!R344/Inv_SY!$Y344-1,"")</f>
        <v/>
      </c>
      <c r="S342" s="59" t="str">
        <f>IFERROR(Inv_SY!S344/Inv_SY!$Y344-1,"")</f>
        <v/>
      </c>
      <c r="T342" s="59" t="str">
        <f>IFERROR(Inv_SY!T344/Inv_SY!$Y344-1,"")</f>
        <v/>
      </c>
      <c r="U342" s="59" t="str">
        <f>IFERROR(Inv_SY!U344/Inv_SY!$Y344-1,"")</f>
        <v/>
      </c>
      <c r="V342" s="59" t="str">
        <f>IFERROR(Inv_SY!J344/Inv_SY!$Z344-1,"")</f>
        <v/>
      </c>
      <c r="W342" s="59" t="str">
        <f>IFERROR(Inv_SY!K344/Inv_SY!$Z344-1,"")</f>
        <v/>
      </c>
      <c r="X342" s="59" t="str">
        <f>IFERROR(Inv_SY!L344/Inv_SY!$Z344-1,"")</f>
        <v/>
      </c>
      <c r="Y342" s="59" t="str">
        <f>IFERROR(Inv_SY!M344/Inv_SY!$Z344-1,"")</f>
        <v/>
      </c>
      <c r="Z342" s="59" t="str">
        <f>IFERROR(Inv_SY!N344/Inv_SY!$Z344-1,"")</f>
        <v/>
      </c>
      <c r="AA342" s="59" t="str">
        <f>IFERROR(Inv_SY!O344/Inv_SY!$Z344-1,"")</f>
        <v/>
      </c>
      <c r="AB342" s="59" t="str">
        <f>IFERROR(Inv_SY!P344/Inv_SY!$Z344-1,"")</f>
        <v/>
      </c>
      <c r="AC342" s="59" t="str">
        <f>IFERROR(Inv_SY!Q344/Inv_SY!$Z344-1,"")</f>
        <v/>
      </c>
      <c r="AD342" s="59" t="str">
        <f>IFERROR(Inv_SY!R344/Inv_SY!$Z344-1,"")</f>
        <v/>
      </c>
      <c r="AE342" s="59" t="str">
        <f>IFERROR(Inv_SY!S344/Inv_SY!$Z344-1,"")</f>
        <v/>
      </c>
      <c r="AF342" s="59" t="str">
        <f>IFERROR(Inv_SY!T344/Inv_SY!$Z344-1,"")</f>
        <v/>
      </c>
      <c r="AG342" s="59" t="str">
        <f>IFERROR(Inv_SY!U344/Inv_SY!$Z344-1,"")</f>
        <v/>
      </c>
      <c r="AH342" s="59" t="str">
        <f>IFERROR(Inv_SY!V344/Inv_SY!$Y344-1,"")</f>
        <v/>
      </c>
      <c r="AI342" s="59" t="str">
        <f>IFERROR(Inv_SY!W344/Inv_SY!$Y344-1,"")</f>
        <v/>
      </c>
      <c r="AJ342" s="59" t="str">
        <f>IFERROR(Inv_SY!X344/Inv_SY!$Y344-1,"")</f>
        <v/>
      </c>
      <c r="AK342" s="59" t="str">
        <f>IFERROR(Inv_SY!V344/Inv_SY!$Z344-1,"")</f>
        <v/>
      </c>
      <c r="AL342" s="59" t="str">
        <f>IFERROR(Inv_SY!W344/Inv_SY!$Z344-1,"")</f>
        <v/>
      </c>
      <c r="AM342" s="59" t="str">
        <f>IFERROR(Inv_SY!X344/Inv_SY!$Z344-1,"")</f>
        <v/>
      </c>
    </row>
    <row r="343" spans="1:39" x14ac:dyDescent="0.3">
      <c r="A343" s="55">
        <f>YEAR(Table5[[#This Row],[Date]])+IF(MONTH(Table5[[#This Row],[Date]])&gt;=4,1,0)</f>
        <v>2026</v>
      </c>
      <c r="B343" s="55">
        <v>303</v>
      </c>
      <c r="C343" s="124">
        <f>YEAR(Table5[[#This Row],[Date]])</f>
        <v>2026</v>
      </c>
      <c r="D343" s="55" t="s">
        <v>329</v>
      </c>
      <c r="E343" s="55" t="s">
        <v>329</v>
      </c>
      <c r="F343" s="126" t="str">
        <f>TEXT(Table5[[#This Row],[Date]],"mmm-yy")</f>
        <v>Mar-26</v>
      </c>
      <c r="G343" s="124">
        <f t="shared" si="13"/>
        <v>31</v>
      </c>
      <c r="H343" s="125">
        <f t="shared" si="14"/>
        <v>46086</v>
      </c>
      <c r="I343" s="55">
        <v>8.02</v>
      </c>
      <c r="J343" s="59" t="str">
        <f>IFERROR(Inv_SY!J345/Inv_SY!$Y345-1,"")</f>
        <v/>
      </c>
      <c r="K343" s="59" t="str">
        <f>IFERROR(Inv_SY!K345/Inv_SY!$Y345-1,"")</f>
        <v/>
      </c>
      <c r="L343" s="59" t="str">
        <f>IFERROR(Inv_SY!L345/Inv_SY!$Y345-1,"")</f>
        <v/>
      </c>
      <c r="M343" s="59" t="str">
        <f>IFERROR(Inv_SY!M345/Inv_SY!$Y345-1,"")</f>
        <v/>
      </c>
      <c r="N343" s="59" t="str">
        <f>IFERROR(Inv_SY!N345/Inv_SY!$Y345-1,"")</f>
        <v/>
      </c>
      <c r="O343" s="59" t="str">
        <f>IFERROR(Inv_SY!O345/Inv_SY!$Y345-1,"")</f>
        <v/>
      </c>
      <c r="P343" s="59" t="str">
        <f>IFERROR(Inv_SY!P345/Inv_SY!$Y345-1,"")</f>
        <v/>
      </c>
      <c r="Q343" s="59" t="str">
        <f>IFERROR(Inv_SY!Q345/Inv_SY!$Y345-1,"")</f>
        <v/>
      </c>
      <c r="R343" s="59" t="str">
        <f>IFERROR(Inv_SY!R345/Inv_SY!$Y345-1,"")</f>
        <v/>
      </c>
      <c r="S343" s="59" t="str">
        <f>IFERROR(Inv_SY!S345/Inv_SY!$Y345-1,"")</f>
        <v/>
      </c>
      <c r="T343" s="59" t="str">
        <f>IFERROR(Inv_SY!T345/Inv_SY!$Y345-1,"")</f>
        <v/>
      </c>
      <c r="U343" s="59" t="str">
        <f>IFERROR(Inv_SY!U345/Inv_SY!$Y345-1,"")</f>
        <v/>
      </c>
      <c r="V343" s="59" t="str">
        <f>IFERROR(Inv_SY!J345/Inv_SY!$Z345-1,"")</f>
        <v/>
      </c>
      <c r="W343" s="59" t="str">
        <f>IFERROR(Inv_SY!K345/Inv_SY!$Z345-1,"")</f>
        <v/>
      </c>
      <c r="X343" s="59" t="str">
        <f>IFERROR(Inv_SY!L345/Inv_SY!$Z345-1,"")</f>
        <v/>
      </c>
      <c r="Y343" s="59" t="str">
        <f>IFERROR(Inv_SY!M345/Inv_SY!$Z345-1,"")</f>
        <v/>
      </c>
      <c r="Z343" s="59" t="str">
        <f>IFERROR(Inv_SY!N345/Inv_SY!$Z345-1,"")</f>
        <v/>
      </c>
      <c r="AA343" s="59" t="str">
        <f>IFERROR(Inv_SY!O345/Inv_SY!$Z345-1,"")</f>
        <v/>
      </c>
      <c r="AB343" s="59" t="str">
        <f>IFERROR(Inv_SY!P345/Inv_SY!$Z345-1,"")</f>
        <v/>
      </c>
      <c r="AC343" s="59" t="str">
        <f>IFERROR(Inv_SY!Q345/Inv_SY!$Z345-1,"")</f>
        <v/>
      </c>
      <c r="AD343" s="59" t="str">
        <f>IFERROR(Inv_SY!R345/Inv_SY!$Z345-1,"")</f>
        <v/>
      </c>
      <c r="AE343" s="59" t="str">
        <f>IFERROR(Inv_SY!S345/Inv_SY!$Z345-1,"")</f>
        <v/>
      </c>
      <c r="AF343" s="59" t="str">
        <f>IFERROR(Inv_SY!T345/Inv_SY!$Z345-1,"")</f>
        <v/>
      </c>
      <c r="AG343" s="59" t="str">
        <f>IFERROR(Inv_SY!U345/Inv_SY!$Z345-1,"")</f>
        <v/>
      </c>
      <c r="AH343" s="59" t="str">
        <f>IFERROR(Inv_SY!V345/Inv_SY!$Y345-1,"")</f>
        <v/>
      </c>
      <c r="AI343" s="59" t="str">
        <f>IFERROR(Inv_SY!W345/Inv_SY!$Y345-1,"")</f>
        <v/>
      </c>
      <c r="AJ343" s="59" t="str">
        <f>IFERROR(Inv_SY!X345/Inv_SY!$Y345-1,"")</f>
        <v/>
      </c>
      <c r="AK343" s="59" t="str">
        <f>IFERROR(Inv_SY!V345/Inv_SY!$Z345-1,"")</f>
        <v/>
      </c>
      <c r="AL343" s="59" t="str">
        <f>IFERROR(Inv_SY!W345/Inv_SY!$Z345-1,"")</f>
        <v/>
      </c>
      <c r="AM343" s="59" t="str">
        <f>IFERROR(Inv_SY!X345/Inv_SY!$Z345-1,"")</f>
        <v/>
      </c>
    </row>
    <row r="344" spans="1:39" x14ac:dyDescent="0.3">
      <c r="A344" s="55">
        <f>YEAR(Table5[[#This Row],[Date]])+IF(MONTH(Table5[[#This Row],[Date]])&gt;=4,1,0)</f>
        <v>2026</v>
      </c>
      <c r="B344" s="55">
        <v>304</v>
      </c>
      <c r="C344" s="124">
        <f>YEAR(Table5[[#This Row],[Date]])</f>
        <v>2026</v>
      </c>
      <c r="D344" s="55" t="s">
        <v>329</v>
      </c>
      <c r="E344" s="55" t="s">
        <v>329</v>
      </c>
      <c r="F344" s="126" t="str">
        <f>TEXT(Table5[[#This Row],[Date]],"mmm-yy")</f>
        <v>Mar-26</v>
      </c>
      <c r="G344" s="124">
        <f t="shared" si="13"/>
        <v>31</v>
      </c>
      <c r="H344" s="125">
        <f t="shared" si="14"/>
        <v>46087</v>
      </c>
      <c r="I344" s="55">
        <v>8.02</v>
      </c>
      <c r="J344" s="59" t="str">
        <f>IFERROR(Inv_SY!J346/Inv_SY!$Y346-1,"")</f>
        <v/>
      </c>
      <c r="K344" s="59" t="str">
        <f>IFERROR(Inv_SY!K346/Inv_SY!$Y346-1,"")</f>
        <v/>
      </c>
      <c r="L344" s="59" t="str">
        <f>IFERROR(Inv_SY!L346/Inv_SY!$Y346-1,"")</f>
        <v/>
      </c>
      <c r="M344" s="59" t="str">
        <f>IFERROR(Inv_SY!M346/Inv_SY!$Y346-1,"")</f>
        <v/>
      </c>
      <c r="N344" s="59" t="str">
        <f>IFERROR(Inv_SY!N346/Inv_SY!$Y346-1,"")</f>
        <v/>
      </c>
      <c r="O344" s="59" t="str">
        <f>IFERROR(Inv_SY!O346/Inv_SY!$Y346-1,"")</f>
        <v/>
      </c>
      <c r="P344" s="59" t="str">
        <f>IFERROR(Inv_SY!P346/Inv_SY!$Y346-1,"")</f>
        <v/>
      </c>
      <c r="Q344" s="59" t="str">
        <f>IFERROR(Inv_SY!Q346/Inv_SY!$Y346-1,"")</f>
        <v/>
      </c>
      <c r="R344" s="59" t="str">
        <f>IFERROR(Inv_SY!R346/Inv_SY!$Y346-1,"")</f>
        <v/>
      </c>
      <c r="S344" s="59" t="str">
        <f>IFERROR(Inv_SY!S346/Inv_SY!$Y346-1,"")</f>
        <v/>
      </c>
      <c r="T344" s="59" t="str">
        <f>IFERROR(Inv_SY!T346/Inv_SY!$Y346-1,"")</f>
        <v/>
      </c>
      <c r="U344" s="59" t="str">
        <f>IFERROR(Inv_SY!U346/Inv_SY!$Y346-1,"")</f>
        <v/>
      </c>
      <c r="V344" s="59" t="str">
        <f>IFERROR(Inv_SY!J346/Inv_SY!$Z346-1,"")</f>
        <v/>
      </c>
      <c r="W344" s="59" t="str">
        <f>IFERROR(Inv_SY!K346/Inv_SY!$Z346-1,"")</f>
        <v/>
      </c>
      <c r="X344" s="59" t="str">
        <f>IFERROR(Inv_SY!L346/Inv_SY!$Z346-1,"")</f>
        <v/>
      </c>
      <c r="Y344" s="59" t="str">
        <f>IFERROR(Inv_SY!M346/Inv_SY!$Z346-1,"")</f>
        <v/>
      </c>
      <c r="Z344" s="59" t="str">
        <f>IFERROR(Inv_SY!N346/Inv_SY!$Z346-1,"")</f>
        <v/>
      </c>
      <c r="AA344" s="59" t="str">
        <f>IFERROR(Inv_SY!O346/Inv_SY!$Z346-1,"")</f>
        <v/>
      </c>
      <c r="AB344" s="59" t="str">
        <f>IFERROR(Inv_SY!P346/Inv_SY!$Z346-1,"")</f>
        <v/>
      </c>
      <c r="AC344" s="59" t="str">
        <f>IFERROR(Inv_SY!Q346/Inv_SY!$Z346-1,"")</f>
        <v/>
      </c>
      <c r="AD344" s="59" t="str">
        <f>IFERROR(Inv_SY!R346/Inv_SY!$Z346-1,"")</f>
        <v/>
      </c>
      <c r="AE344" s="59" t="str">
        <f>IFERROR(Inv_SY!S346/Inv_SY!$Z346-1,"")</f>
        <v/>
      </c>
      <c r="AF344" s="59" t="str">
        <f>IFERROR(Inv_SY!T346/Inv_SY!$Z346-1,"")</f>
        <v/>
      </c>
      <c r="AG344" s="59" t="str">
        <f>IFERROR(Inv_SY!U346/Inv_SY!$Z346-1,"")</f>
        <v/>
      </c>
      <c r="AH344" s="59" t="str">
        <f>IFERROR(Inv_SY!V346/Inv_SY!$Y346-1,"")</f>
        <v/>
      </c>
      <c r="AI344" s="59" t="str">
        <f>IFERROR(Inv_SY!W346/Inv_SY!$Y346-1,"")</f>
        <v/>
      </c>
      <c r="AJ344" s="59" t="str">
        <f>IFERROR(Inv_SY!X346/Inv_SY!$Y346-1,"")</f>
        <v/>
      </c>
      <c r="AK344" s="59" t="str">
        <f>IFERROR(Inv_SY!V346/Inv_SY!$Z346-1,"")</f>
        <v/>
      </c>
      <c r="AL344" s="59" t="str">
        <f>IFERROR(Inv_SY!W346/Inv_SY!$Z346-1,"")</f>
        <v/>
      </c>
      <c r="AM344" s="59" t="str">
        <f>IFERROR(Inv_SY!X346/Inv_SY!$Z346-1,"")</f>
        <v/>
      </c>
    </row>
    <row r="345" spans="1:39" x14ac:dyDescent="0.3">
      <c r="A345" s="55">
        <f>YEAR(Table5[[#This Row],[Date]])+IF(MONTH(Table5[[#This Row],[Date]])&gt;=4,1,0)</f>
        <v>2026</v>
      </c>
      <c r="B345" s="55">
        <v>305</v>
      </c>
      <c r="C345" s="124">
        <f>YEAR(Table5[[#This Row],[Date]])</f>
        <v>2026</v>
      </c>
      <c r="D345" s="55" t="s">
        <v>329</v>
      </c>
      <c r="E345" s="55" t="s">
        <v>329</v>
      </c>
      <c r="F345" s="126" t="str">
        <f>TEXT(Table5[[#This Row],[Date]],"mmm-yy")</f>
        <v>Mar-26</v>
      </c>
      <c r="G345" s="124">
        <f t="shared" si="13"/>
        <v>31</v>
      </c>
      <c r="H345" s="125">
        <f t="shared" si="14"/>
        <v>46088</v>
      </c>
      <c r="I345" s="55">
        <v>8.02</v>
      </c>
      <c r="J345" s="59" t="str">
        <f>IFERROR(Inv_SY!J347/Inv_SY!$Y347-1,"")</f>
        <v/>
      </c>
      <c r="K345" s="59" t="str">
        <f>IFERROR(Inv_SY!K347/Inv_SY!$Y347-1,"")</f>
        <v/>
      </c>
      <c r="L345" s="59" t="str">
        <f>IFERROR(Inv_SY!L347/Inv_SY!$Y347-1,"")</f>
        <v/>
      </c>
      <c r="M345" s="59" t="str">
        <f>IFERROR(Inv_SY!M347/Inv_SY!$Y347-1,"")</f>
        <v/>
      </c>
      <c r="N345" s="59" t="str">
        <f>IFERROR(Inv_SY!N347/Inv_SY!$Y347-1,"")</f>
        <v/>
      </c>
      <c r="O345" s="59" t="str">
        <f>IFERROR(Inv_SY!O347/Inv_SY!$Y347-1,"")</f>
        <v/>
      </c>
      <c r="P345" s="59" t="str">
        <f>IFERROR(Inv_SY!P347/Inv_SY!$Y347-1,"")</f>
        <v/>
      </c>
      <c r="Q345" s="59" t="str">
        <f>IFERROR(Inv_SY!Q347/Inv_SY!$Y347-1,"")</f>
        <v/>
      </c>
      <c r="R345" s="59" t="str">
        <f>IFERROR(Inv_SY!R347/Inv_SY!$Y347-1,"")</f>
        <v/>
      </c>
      <c r="S345" s="59" t="str">
        <f>IFERROR(Inv_SY!S347/Inv_SY!$Y347-1,"")</f>
        <v/>
      </c>
      <c r="T345" s="59" t="str">
        <f>IFERROR(Inv_SY!T347/Inv_SY!$Y347-1,"")</f>
        <v/>
      </c>
      <c r="U345" s="59" t="str">
        <f>IFERROR(Inv_SY!U347/Inv_SY!$Y347-1,"")</f>
        <v/>
      </c>
      <c r="V345" s="59" t="str">
        <f>IFERROR(Inv_SY!J347/Inv_SY!$Z347-1,"")</f>
        <v/>
      </c>
      <c r="W345" s="59" t="str">
        <f>IFERROR(Inv_SY!K347/Inv_SY!$Z347-1,"")</f>
        <v/>
      </c>
      <c r="X345" s="59" t="str">
        <f>IFERROR(Inv_SY!L347/Inv_SY!$Z347-1,"")</f>
        <v/>
      </c>
      <c r="Y345" s="59" t="str">
        <f>IFERROR(Inv_SY!M347/Inv_SY!$Z347-1,"")</f>
        <v/>
      </c>
      <c r="Z345" s="59" t="str">
        <f>IFERROR(Inv_SY!N347/Inv_SY!$Z347-1,"")</f>
        <v/>
      </c>
      <c r="AA345" s="59" t="str">
        <f>IFERROR(Inv_SY!O347/Inv_SY!$Z347-1,"")</f>
        <v/>
      </c>
      <c r="AB345" s="59" t="str">
        <f>IFERROR(Inv_SY!P347/Inv_SY!$Z347-1,"")</f>
        <v/>
      </c>
      <c r="AC345" s="59" t="str">
        <f>IFERROR(Inv_SY!Q347/Inv_SY!$Z347-1,"")</f>
        <v/>
      </c>
      <c r="AD345" s="59" t="str">
        <f>IFERROR(Inv_SY!R347/Inv_SY!$Z347-1,"")</f>
        <v/>
      </c>
      <c r="AE345" s="59" t="str">
        <f>IFERROR(Inv_SY!S347/Inv_SY!$Z347-1,"")</f>
        <v/>
      </c>
      <c r="AF345" s="59" t="str">
        <f>IFERROR(Inv_SY!T347/Inv_SY!$Z347-1,"")</f>
        <v/>
      </c>
      <c r="AG345" s="59" t="str">
        <f>IFERROR(Inv_SY!U347/Inv_SY!$Z347-1,"")</f>
        <v/>
      </c>
      <c r="AH345" s="59" t="str">
        <f>IFERROR(Inv_SY!V347/Inv_SY!$Y347-1,"")</f>
        <v/>
      </c>
      <c r="AI345" s="59" t="str">
        <f>IFERROR(Inv_SY!W347/Inv_SY!$Y347-1,"")</f>
        <v/>
      </c>
      <c r="AJ345" s="59" t="str">
        <f>IFERROR(Inv_SY!X347/Inv_SY!$Y347-1,"")</f>
        <v/>
      </c>
      <c r="AK345" s="59" t="str">
        <f>IFERROR(Inv_SY!V347/Inv_SY!$Z347-1,"")</f>
        <v/>
      </c>
      <c r="AL345" s="59" t="str">
        <f>IFERROR(Inv_SY!W347/Inv_SY!$Z347-1,"")</f>
        <v/>
      </c>
      <c r="AM345" s="59" t="str">
        <f>IFERROR(Inv_SY!X347/Inv_SY!$Z347-1,"")</f>
        <v/>
      </c>
    </row>
    <row r="346" spans="1:39" x14ac:dyDescent="0.3">
      <c r="A346" s="55">
        <f>YEAR(Table5[[#This Row],[Date]])+IF(MONTH(Table5[[#This Row],[Date]])&gt;=4,1,0)</f>
        <v>2026</v>
      </c>
      <c r="B346" s="55">
        <v>306</v>
      </c>
      <c r="C346" s="124">
        <f>YEAR(Table5[[#This Row],[Date]])</f>
        <v>2026</v>
      </c>
      <c r="D346" s="55" t="s">
        <v>329</v>
      </c>
      <c r="E346" s="55" t="s">
        <v>329</v>
      </c>
      <c r="F346" s="126" t="str">
        <f>TEXT(Table5[[#This Row],[Date]],"mmm-yy")</f>
        <v>Mar-26</v>
      </c>
      <c r="G346" s="124">
        <f t="shared" si="13"/>
        <v>31</v>
      </c>
      <c r="H346" s="125">
        <f t="shared" si="14"/>
        <v>46089</v>
      </c>
      <c r="I346" s="55">
        <v>8.02</v>
      </c>
      <c r="J346" s="59" t="str">
        <f>IFERROR(Inv_SY!J348/Inv_SY!$Y348-1,"")</f>
        <v/>
      </c>
      <c r="K346" s="59" t="str">
        <f>IFERROR(Inv_SY!K348/Inv_SY!$Y348-1,"")</f>
        <v/>
      </c>
      <c r="L346" s="59" t="str">
        <f>IFERROR(Inv_SY!L348/Inv_SY!$Y348-1,"")</f>
        <v/>
      </c>
      <c r="M346" s="59" t="str">
        <f>IFERROR(Inv_SY!M348/Inv_SY!$Y348-1,"")</f>
        <v/>
      </c>
      <c r="N346" s="59" t="str">
        <f>IFERROR(Inv_SY!N348/Inv_SY!$Y348-1,"")</f>
        <v/>
      </c>
      <c r="O346" s="59" t="str">
        <f>IFERROR(Inv_SY!O348/Inv_SY!$Y348-1,"")</f>
        <v/>
      </c>
      <c r="P346" s="59" t="str">
        <f>IFERROR(Inv_SY!P348/Inv_SY!$Y348-1,"")</f>
        <v/>
      </c>
      <c r="Q346" s="59" t="str">
        <f>IFERROR(Inv_SY!Q348/Inv_SY!$Y348-1,"")</f>
        <v/>
      </c>
      <c r="R346" s="59" t="str">
        <f>IFERROR(Inv_SY!R348/Inv_SY!$Y348-1,"")</f>
        <v/>
      </c>
      <c r="S346" s="59" t="str">
        <f>IFERROR(Inv_SY!S348/Inv_SY!$Y348-1,"")</f>
        <v/>
      </c>
      <c r="T346" s="59" t="str">
        <f>IFERROR(Inv_SY!T348/Inv_SY!$Y348-1,"")</f>
        <v/>
      </c>
      <c r="U346" s="59" t="str">
        <f>IFERROR(Inv_SY!U348/Inv_SY!$Y348-1,"")</f>
        <v/>
      </c>
      <c r="V346" s="59" t="str">
        <f>IFERROR(Inv_SY!J348/Inv_SY!$Z348-1,"")</f>
        <v/>
      </c>
      <c r="W346" s="59" t="str">
        <f>IFERROR(Inv_SY!K348/Inv_SY!$Z348-1,"")</f>
        <v/>
      </c>
      <c r="X346" s="59" t="str">
        <f>IFERROR(Inv_SY!L348/Inv_SY!$Z348-1,"")</f>
        <v/>
      </c>
      <c r="Y346" s="59" t="str">
        <f>IFERROR(Inv_SY!M348/Inv_SY!$Z348-1,"")</f>
        <v/>
      </c>
      <c r="Z346" s="59" t="str">
        <f>IFERROR(Inv_SY!N348/Inv_SY!$Z348-1,"")</f>
        <v/>
      </c>
      <c r="AA346" s="59" t="str">
        <f>IFERROR(Inv_SY!O348/Inv_SY!$Z348-1,"")</f>
        <v/>
      </c>
      <c r="AB346" s="59" t="str">
        <f>IFERROR(Inv_SY!P348/Inv_SY!$Z348-1,"")</f>
        <v/>
      </c>
      <c r="AC346" s="59" t="str">
        <f>IFERROR(Inv_SY!Q348/Inv_SY!$Z348-1,"")</f>
        <v/>
      </c>
      <c r="AD346" s="59" t="str">
        <f>IFERROR(Inv_SY!R348/Inv_SY!$Z348-1,"")</f>
        <v/>
      </c>
      <c r="AE346" s="59" t="str">
        <f>IFERROR(Inv_SY!S348/Inv_SY!$Z348-1,"")</f>
        <v/>
      </c>
      <c r="AF346" s="59" t="str">
        <f>IFERROR(Inv_SY!T348/Inv_SY!$Z348-1,"")</f>
        <v/>
      </c>
      <c r="AG346" s="59" t="str">
        <f>IFERROR(Inv_SY!U348/Inv_SY!$Z348-1,"")</f>
        <v/>
      </c>
      <c r="AH346" s="59" t="str">
        <f>IFERROR(Inv_SY!V348/Inv_SY!$Y348-1,"")</f>
        <v/>
      </c>
      <c r="AI346" s="59" t="str">
        <f>IFERROR(Inv_SY!W348/Inv_SY!$Y348-1,"")</f>
        <v/>
      </c>
      <c r="AJ346" s="59" t="str">
        <f>IFERROR(Inv_SY!X348/Inv_SY!$Y348-1,"")</f>
        <v/>
      </c>
      <c r="AK346" s="59" t="str">
        <f>IFERROR(Inv_SY!V348/Inv_SY!$Z348-1,"")</f>
        <v/>
      </c>
      <c r="AL346" s="59" t="str">
        <f>IFERROR(Inv_SY!W348/Inv_SY!$Z348-1,"")</f>
        <v/>
      </c>
      <c r="AM346" s="59" t="str">
        <f>IFERROR(Inv_SY!X348/Inv_SY!$Z348-1,"")</f>
        <v/>
      </c>
    </row>
    <row r="347" spans="1:39" x14ac:dyDescent="0.3">
      <c r="A347" s="55">
        <f>YEAR(Table5[[#This Row],[Date]])+IF(MONTH(Table5[[#This Row],[Date]])&gt;=4,1,0)</f>
        <v>2026</v>
      </c>
      <c r="B347" s="55">
        <v>307</v>
      </c>
      <c r="C347" s="124">
        <f>YEAR(Table5[[#This Row],[Date]])</f>
        <v>2026</v>
      </c>
      <c r="D347" s="55" t="s">
        <v>329</v>
      </c>
      <c r="E347" s="55" t="s">
        <v>329</v>
      </c>
      <c r="F347" s="126" t="str">
        <f>TEXT(Table5[[#This Row],[Date]],"mmm-yy")</f>
        <v>Mar-26</v>
      </c>
      <c r="G347" s="124">
        <f t="shared" si="13"/>
        <v>31</v>
      </c>
      <c r="H347" s="125">
        <f t="shared" si="14"/>
        <v>46090</v>
      </c>
      <c r="I347" s="55">
        <v>8.02</v>
      </c>
      <c r="J347" s="59" t="str">
        <f>IFERROR(Inv_SY!J349/Inv_SY!$Y349-1,"")</f>
        <v/>
      </c>
      <c r="K347" s="59" t="str">
        <f>IFERROR(Inv_SY!K349/Inv_SY!$Y349-1,"")</f>
        <v/>
      </c>
      <c r="L347" s="59" t="str">
        <f>IFERROR(Inv_SY!L349/Inv_SY!$Y349-1,"")</f>
        <v/>
      </c>
      <c r="M347" s="59" t="str">
        <f>IFERROR(Inv_SY!M349/Inv_SY!$Y349-1,"")</f>
        <v/>
      </c>
      <c r="N347" s="59" t="str">
        <f>IFERROR(Inv_SY!N349/Inv_SY!$Y349-1,"")</f>
        <v/>
      </c>
      <c r="O347" s="59" t="str">
        <f>IFERROR(Inv_SY!O349/Inv_SY!$Y349-1,"")</f>
        <v/>
      </c>
      <c r="P347" s="59" t="str">
        <f>IFERROR(Inv_SY!P349/Inv_SY!$Y349-1,"")</f>
        <v/>
      </c>
      <c r="Q347" s="59" t="str">
        <f>IFERROR(Inv_SY!Q349/Inv_SY!$Y349-1,"")</f>
        <v/>
      </c>
      <c r="R347" s="59" t="str">
        <f>IFERROR(Inv_SY!R349/Inv_SY!$Y349-1,"")</f>
        <v/>
      </c>
      <c r="S347" s="59" t="str">
        <f>IFERROR(Inv_SY!S349/Inv_SY!$Y349-1,"")</f>
        <v/>
      </c>
      <c r="T347" s="59" t="str">
        <f>IFERROR(Inv_SY!T349/Inv_SY!$Y349-1,"")</f>
        <v/>
      </c>
      <c r="U347" s="59" t="str">
        <f>IFERROR(Inv_SY!U349/Inv_SY!$Y349-1,"")</f>
        <v/>
      </c>
      <c r="V347" s="59" t="str">
        <f>IFERROR(Inv_SY!J349/Inv_SY!$Z349-1,"")</f>
        <v/>
      </c>
      <c r="W347" s="59" t="str">
        <f>IFERROR(Inv_SY!K349/Inv_SY!$Z349-1,"")</f>
        <v/>
      </c>
      <c r="X347" s="59" t="str">
        <f>IFERROR(Inv_SY!L349/Inv_SY!$Z349-1,"")</f>
        <v/>
      </c>
      <c r="Y347" s="59" t="str">
        <f>IFERROR(Inv_SY!M349/Inv_SY!$Z349-1,"")</f>
        <v/>
      </c>
      <c r="Z347" s="59" t="str">
        <f>IFERROR(Inv_SY!N349/Inv_SY!$Z349-1,"")</f>
        <v/>
      </c>
      <c r="AA347" s="59" t="str">
        <f>IFERROR(Inv_SY!O349/Inv_SY!$Z349-1,"")</f>
        <v/>
      </c>
      <c r="AB347" s="59" t="str">
        <f>IFERROR(Inv_SY!P349/Inv_SY!$Z349-1,"")</f>
        <v/>
      </c>
      <c r="AC347" s="59" t="str">
        <f>IFERROR(Inv_SY!Q349/Inv_SY!$Z349-1,"")</f>
        <v/>
      </c>
      <c r="AD347" s="59" t="str">
        <f>IFERROR(Inv_SY!R349/Inv_SY!$Z349-1,"")</f>
        <v/>
      </c>
      <c r="AE347" s="59" t="str">
        <f>IFERROR(Inv_SY!S349/Inv_SY!$Z349-1,"")</f>
        <v/>
      </c>
      <c r="AF347" s="59" t="str">
        <f>IFERROR(Inv_SY!T349/Inv_SY!$Z349-1,"")</f>
        <v/>
      </c>
      <c r="AG347" s="59" t="str">
        <f>IFERROR(Inv_SY!U349/Inv_SY!$Z349-1,"")</f>
        <v/>
      </c>
      <c r="AH347" s="59" t="str">
        <f>IFERROR(Inv_SY!V349/Inv_SY!$Y349-1,"")</f>
        <v/>
      </c>
      <c r="AI347" s="59" t="str">
        <f>IFERROR(Inv_SY!W349/Inv_SY!$Y349-1,"")</f>
        <v/>
      </c>
      <c r="AJ347" s="59" t="str">
        <f>IFERROR(Inv_SY!X349/Inv_SY!$Y349-1,"")</f>
        <v/>
      </c>
      <c r="AK347" s="59" t="str">
        <f>IFERROR(Inv_SY!V349/Inv_SY!$Z349-1,"")</f>
        <v/>
      </c>
      <c r="AL347" s="59" t="str">
        <f>IFERROR(Inv_SY!W349/Inv_SY!$Z349-1,"")</f>
        <v/>
      </c>
      <c r="AM347" s="59" t="str">
        <f>IFERROR(Inv_SY!X349/Inv_SY!$Z349-1,"")</f>
        <v/>
      </c>
    </row>
    <row r="348" spans="1:39" x14ac:dyDescent="0.3">
      <c r="A348" s="55">
        <f>YEAR(Table5[[#This Row],[Date]])+IF(MONTH(Table5[[#This Row],[Date]])&gt;=4,1,0)</f>
        <v>2026</v>
      </c>
      <c r="B348" s="55">
        <v>308</v>
      </c>
      <c r="C348" s="124">
        <f>YEAR(Table5[[#This Row],[Date]])</f>
        <v>2026</v>
      </c>
      <c r="D348" s="55" t="s">
        <v>329</v>
      </c>
      <c r="E348" s="55" t="s">
        <v>329</v>
      </c>
      <c r="F348" s="126" t="str">
        <f>TEXT(Table5[[#This Row],[Date]],"mmm-yy")</f>
        <v>Mar-26</v>
      </c>
      <c r="G348" s="124">
        <f t="shared" si="13"/>
        <v>31</v>
      </c>
      <c r="H348" s="125">
        <f t="shared" si="14"/>
        <v>46091</v>
      </c>
      <c r="I348" s="55">
        <v>8.02</v>
      </c>
      <c r="J348" s="59" t="str">
        <f>IFERROR(Inv_SY!J350/Inv_SY!$Y350-1,"")</f>
        <v/>
      </c>
      <c r="K348" s="59" t="str">
        <f>IFERROR(Inv_SY!K350/Inv_SY!$Y350-1,"")</f>
        <v/>
      </c>
      <c r="L348" s="59" t="str">
        <f>IFERROR(Inv_SY!L350/Inv_SY!$Y350-1,"")</f>
        <v/>
      </c>
      <c r="M348" s="59" t="str">
        <f>IFERROR(Inv_SY!M350/Inv_SY!$Y350-1,"")</f>
        <v/>
      </c>
      <c r="N348" s="59" t="str">
        <f>IFERROR(Inv_SY!N350/Inv_SY!$Y350-1,"")</f>
        <v/>
      </c>
      <c r="O348" s="59" t="str">
        <f>IFERROR(Inv_SY!O350/Inv_SY!$Y350-1,"")</f>
        <v/>
      </c>
      <c r="P348" s="59" t="str">
        <f>IFERROR(Inv_SY!P350/Inv_SY!$Y350-1,"")</f>
        <v/>
      </c>
      <c r="Q348" s="59" t="str">
        <f>IFERROR(Inv_SY!Q350/Inv_SY!$Y350-1,"")</f>
        <v/>
      </c>
      <c r="R348" s="59" t="str">
        <f>IFERROR(Inv_SY!R350/Inv_SY!$Y350-1,"")</f>
        <v/>
      </c>
      <c r="S348" s="59" t="str">
        <f>IFERROR(Inv_SY!S350/Inv_SY!$Y350-1,"")</f>
        <v/>
      </c>
      <c r="T348" s="59" t="str">
        <f>IFERROR(Inv_SY!T350/Inv_SY!$Y350-1,"")</f>
        <v/>
      </c>
      <c r="U348" s="59" t="str">
        <f>IFERROR(Inv_SY!U350/Inv_SY!$Y350-1,"")</f>
        <v/>
      </c>
      <c r="V348" s="59" t="str">
        <f>IFERROR(Inv_SY!J350/Inv_SY!$Z350-1,"")</f>
        <v/>
      </c>
      <c r="W348" s="59" t="str">
        <f>IFERROR(Inv_SY!K350/Inv_SY!$Z350-1,"")</f>
        <v/>
      </c>
      <c r="X348" s="59" t="str">
        <f>IFERROR(Inv_SY!L350/Inv_SY!$Z350-1,"")</f>
        <v/>
      </c>
      <c r="Y348" s="59" t="str">
        <f>IFERROR(Inv_SY!M350/Inv_SY!$Z350-1,"")</f>
        <v/>
      </c>
      <c r="Z348" s="59" t="str">
        <f>IFERROR(Inv_SY!N350/Inv_SY!$Z350-1,"")</f>
        <v/>
      </c>
      <c r="AA348" s="59" t="str">
        <f>IFERROR(Inv_SY!O350/Inv_SY!$Z350-1,"")</f>
        <v/>
      </c>
      <c r="AB348" s="59" t="str">
        <f>IFERROR(Inv_SY!P350/Inv_SY!$Z350-1,"")</f>
        <v/>
      </c>
      <c r="AC348" s="59" t="str">
        <f>IFERROR(Inv_SY!Q350/Inv_SY!$Z350-1,"")</f>
        <v/>
      </c>
      <c r="AD348" s="59" t="str">
        <f>IFERROR(Inv_SY!R350/Inv_SY!$Z350-1,"")</f>
        <v/>
      </c>
      <c r="AE348" s="59" t="str">
        <f>IFERROR(Inv_SY!S350/Inv_SY!$Z350-1,"")</f>
        <v/>
      </c>
      <c r="AF348" s="59" t="str">
        <f>IFERROR(Inv_SY!T350/Inv_SY!$Z350-1,"")</f>
        <v/>
      </c>
      <c r="AG348" s="59" t="str">
        <f>IFERROR(Inv_SY!U350/Inv_SY!$Z350-1,"")</f>
        <v/>
      </c>
      <c r="AH348" s="59" t="str">
        <f>IFERROR(Inv_SY!V350/Inv_SY!$Y350-1,"")</f>
        <v/>
      </c>
      <c r="AI348" s="59" t="str">
        <f>IFERROR(Inv_SY!W350/Inv_SY!$Y350-1,"")</f>
        <v/>
      </c>
      <c r="AJ348" s="59" t="str">
        <f>IFERROR(Inv_SY!X350/Inv_SY!$Y350-1,"")</f>
        <v/>
      </c>
      <c r="AK348" s="59" t="str">
        <f>IFERROR(Inv_SY!V350/Inv_SY!$Z350-1,"")</f>
        <v/>
      </c>
      <c r="AL348" s="59" t="str">
        <f>IFERROR(Inv_SY!W350/Inv_SY!$Z350-1,"")</f>
        <v/>
      </c>
      <c r="AM348" s="59" t="str">
        <f>IFERROR(Inv_SY!X350/Inv_SY!$Z350-1,"")</f>
        <v/>
      </c>
    </row>
    <row r="349" spans="1:39" x14ac:dyDescent="0.3">
      <c r="A349" s="55">
        <f>YEAR(Table5[[#This Row],[Date]])+IF(MONTH(Table5[[#This Row],[Date]])&gt;=4,1,0)</f>
        <v>2026</v>
      </c>
      <c r="B349" s="55">
        <v>309</v>
      </c>
      <c r="C349" s="124">
        <f>YEAR(Table5[[#This Row],[Date]])</f>
        <v>2026</v>
      </c>
      <c r="D349" s="55" t="s">
        <v>329</v>
      </c>
      <c r="E349" s="55" t="s">
        <v>329</v>
      </c>
      <c r="F349" s="126" t="str">
        <f>TEXT(Table5[[#This Row],[Date]],"mmm-yy")</f>
        <v>Mar-26</v>
      </c>
      <c r="G349" s="124">
        <f t="shared" si="13"/>
        <v>31</v>
      </c>
      <c r="H349" s="125">
        <f t="shared" si="14"/>
        <v>46092</v>
      </c>
      <c r="I349" s="55">
        <v>8.02</v>
      </c>
      <c r="J349" s="59" t="str">
        <f>IFERROR(Inv_SY!J351/Inv_SY!$Y351-1,"")</f>
        <v/>
      </c>
      <c r="K349" s="59" t="str">
        <f>IFERROR(Inv_SY!K351/Inv_SY!$Y351-1,"")</f>
        <v/>
      </c>
      <c r="L349" s="59" t="str">
        <f>IFERROR(Inv_SY!L351/Inv_SY!$Y351-1,"")</f>
        <v/>
      </c>
      <c r="M349" s="59" t="str">
        <f>IFERROR(Inv_SY!M351/Inv_SY!$Y351-1,"")</f>
        <v/>
      </c>
      <c r="N349" s="59" t="str">
        <f>IFERROR(Inv_SY!N351/Inv_SY!$Y351-1,"")</f>
        <v/>
      </c>
      <c r="O349" s="59" t="str">
        <f>IFERROR(Inv_SY!O351/Inv_SY!$Y351-1,"")</f>
        <v/>
      </c>
      <c r="P349" s="59" t="str">
        <f>IFERROR(Inv_SY!P351/Inv_SY!$Y351-1,"")</f>
        <v/>
      </c>
      <c r="Q349" s="59" t="str">
        <f>IFERROR(Inv_SY!Q351/Inv_SY!$Y351-1,"")</f>
        <v/>
      </c>
      <c r="R349" s="59" t="str">
        <f>IFERROR(Inv_SY!R351/Inv_SY!$Y351-1,"")</f>
        <v/>
      </c>
      <c r="S349" s="59" t="str">
        <f>IFERROR(Inv_SY!S351/Inv_SY!$Y351-1,"")</f>
        <v/>
      </c>
      <c r="T349" s="59" t="str">
        <f>IFERROR(Inv_SY!T351/Inv_SY!$Y351-1,"")</f>
        <v/>
      </c>
      <c r="U349" s="59" t="str">
        <f>IFERROR(Inv_SY!U351/Inv_SY!$Y351-1,"")</f>
        <v/>
      </c>
      <c r="V349" s="59" t="str">
        <f>IFERROR(Inv_SY!J351/Inv_SY!$Z351-1,"")</f>
        <v/>
      </c>
      <c r="W349" s="59" t="str">
        <f>IFERROR(Inv_SY!K351/Inv_SY!$Z351-1,"")</f>
        <v/>
      </c>
      <c r="X349" s="59" t="str">
        <f>IFERROR(Inv_SY!L351/Inv_SY!$Z351-1,"")</f>
        <v/>
      </c>
      <c r="Y349" s="59" t="str">
        <f>IFERROR(Inv_SY!M351/Inv_SY!$Z351-1,"")</f>
        <v/>
      </c>
      <c r="Z349" s="59" t="str">
        <f>IFERROR(Inv_SY!N351/Inv_SY!$Z351-1,"")</f>
        <v/>
      </c>
      <c r="AA349" s="59" t="str">
        <f>IFERROR(Inv_SY!O351/Inv_SY!$Z351-1,"")</f>
        <v/>
      </c>
      <c r="AB349" s="59" t="str">
        <f>IFERROR(Inv_SY!P351/Inv_SY!$Z351-1,"")</f>
        <v/>
      </c>
      <c r="AC349" s="59" t="str">
        <f>IFERROR(Inv_SY!Q351/Inv_SY!$Z351-1,"")</f>
        <v/>
      </c>
      <c r="AD349" s="59" t="str">
        <f>IFERROR(Inv_SY!R351/Inv_SY!$Z351-1,"")</f>
        <v/>
      </c>
      <c r="AE349" s="59" t="str">
        <f>IFERROR(Inv_SY!S351/Inv_SY!$Z351-1,"")</f>
        <v/>
      </c>
      <c r="AF349" s="59" t="str">
        <f>IFERROR(Inv_SY!T351/Inv_SY!$Z351-1,"")</f>
        <v/>
      </c>
      <c r="AG349" s="59" t="str">
        <f>IFERROR(Inv_SY!U351/Inv_SY!$Z351-1,"")</f>
        <v/>
      </c>
      <c r="AH349" s="59" t="str">
        <f>IFERROR(Inv_SY!V351/Inv_SY!$Y351-1,"")</f>
        <v/>
      </c>
      <c r="AI349" s="59" t="str">
        <f>IFERROR(Inv_SY!W351/Inv_SY!$Y351-1,"")</f>
        <v/>
      </c>
      <c r="AJ349" s="59" t="str">
        <f>IFERROR(Inv_SY!X351/Inv_SY!$Y351-1,"")</f>
        <v/>
      </c>
      <c r="AK349" s="59" t="str">
        <f>IFERROR(Inv_SY!V351/Inv_SY!$Z351-1,"")</f>
        <v/>
      </c>
      <c r="AL349" s="59" t="str">
        <f>IFERROR(Inv_SY!W351/Inv_SY!$Z351-1,"")</f>
        <v/>
      </c>
      <c r="AM349" s="59" t="str">
        <f>IFERROR(Inv_SY!X351/Inv_SY!$Z351-1,"")</f>
        <v/>
      </c>
    </row>
    <row r="350" spans="1:39" x14ac:dyDescent="0.3">
      <c r="A350" s="55">
        <f>YEAR(Table5[[#This Row],[Date]])+IF(MONTH(Table5[[#This Row],[Date]])&gt;=4,1,0)</f>
        <v>2026</v>
      </c>
      <c r="B350" s="55">
        <v>310</v>
      </c>
      <c r="C350" s="124">
        <f>YEAR(Table5[[#This Row],[Date]])</f>
        <v>2026</v>
      </c>
      <c r="D350" s="55" t="s">
        <v>329</v>
      </c>
      <c r="E350" s="55" t="s">
        <v>329</v>
      </c>
      <c r="F350" s="126" t="str">
        <f>TEXT(Table5[[#This Row],[Date]],"mmm-yy")</f>
        <v>Mar-26</v>
      </c>
      <c r="G350" s="124">
        <f t="shared" si="13"/>
        <v>31</v>
      </c>
      <c r="H350" s="125">
        <f t="shared" si="14"/>
        <v>46093</v>
      </c>
      <c r="I350" s="55">
        <v>8.02</v>
      </c>
      <c r="J350" s="59" t="str">
        <f>IFERROR(Inv_SY!J352/Inv_SY!$Y352-1,"")</f>
        <v/>
      </c>
      <c r="K350" s="59" t="str">
        <f>IFERROR(Inv_SY!K352/Inv_SY!$Y352-1,"")</f>
        <v/>
      </c>
      <c r="L350" s="59" t="str">
        <f>IFERROR(Inv_SY!L352/Inv_SY!$Y352-1,"")</f>
        <v/>
      </c>
      <c r="M350" s="59" t="str">
        <f>IFERROR(Inv_SY!M352/Inv_SY!$Y352-1,"")</f>
        <v/>
      </c>
      <c r="N350" s="59" t="str">
        <f>IFERROR(Inv_SY!N352/Inv_SY!$Y352-1,"")</f>
        <v/>
      </c>
      <c r="O350" s="59" t="str">
        <f>IFERROR(Inv_SY!O352/Inv_SY!$Y352-1,"")</f>
        <v/>
      </c>
      <c r="P350" s="59" t="str">
        <f>IFERROR(Inv_SY!P352/Inv_SY!$Y352-1,"")</f>
        <v/>
      </c>
      <c r="Q350" s="59" t="str">
        <f>IFERROR(Inv_SY!Q352/Inv_SY!$Y352-1,"")</f>
        <v/>
      </c>
      <c r="R350" s="59" t="str">
        <f>IFERROR(Inv_SY!R352/Inv_SY!$Y352-1,"")</f>
        <v/>
      </c>
      <c r="S350" s="59" t="str">
        <f>IFERROR(Inv_SY!S352/Inv_SY!$Y352-1,"")</f>
        <v/>
      </c>
      <c r="T350" s="59" t="str">
        <f>IFERROR(Inv_SY!T352/Inv_SY!$Y352-1,"")</f>
        <v/>
      </c>
      <c r="U350" s="59" t="str">
        <f>IFERROR(Inv_SY!U352/Inv_SY!$Y352-1,"")</f>
        <v/>
      </c>
      <c r="V350" s="59" t="str">
        <f>IFERROR(Inv_SY!J352/Inv_SY!$Z352-1,"")</f>
        <v/>
      </c>
      <c r="W350" s="59" t="str">
        <f>IFERROR(Inv_SY!K352/Inv_SY!$Z352-1,"")</f>
        <v/>
      </c>
      <c r="X350" s="59" t="str">
        <f>IFERROR(Inv_SY!L352/Inv_SY!$Z352-1,"")</f>
        <v/>
      </c>
      <c r="Y350" s="59" t="str">
        <f>IFERROR(Inv_SY!M352/Inv_SY!$Z352-1,"")</f>
        <v/>
      </c>
      <c r="Z350" s="59" t="str">
        <f>IFERROR(Inv_SY!N352/Inv_SY!$Z352-1,"")</f>
        <v/>
      </c>
      <c r="AA350" s="59" t="str">
        <f>IFERROR(Inv_SY!O352/Inv_SY!$Z352-1,"")</f>
        <v/>
      </c>
      <c r="AB350" s="59" t="str">
        <f>IFERROR(Inv_SY!P352/Inv_SY!$Z352-1,"")</f>
        <v/>
      </c>
      <c r="AC350" s="59" t="str">
        <f>IFERROR(Inv_SY!Q352/Inv_SY!$Z352-1,"")</f>
        <v/>
      </c>
      <c r="AD350" s="59" t="str">
        <f>IFERROR(Inv_SY!R352/Inv_SY!$Z352-1,"")</f>
        <v/>
      </c>
      <c r="AE350" s="59" t="str">
        <f>IFERROR(Inv_SY!S352/Inv_SY!$Z352-1,"")</f>
        <v/>
      </c>
      <c r="AF350" s="59" t="str">
        <f>IFERROR(Inv_SY!T352/Inv_SY!$Z352-1,"")</f>
        <v/>
      </c>
      <c r="AG350" s="59" t="str">
        <f>IFERROR(Inv_SY!U352/Inv_SY!$Z352-1,"")</f>
        <v/>
      </c>
      <c r="AH350" s="59" t="str">
        <f>IFERROR(Inv_SY!V352/Inv_SY!$Y352-1,"")</f>
        <v/>
      </c>
      <c r="AI350" s="59" t="str">
        <f>IFERROR(Inv_SY!W352/Inv_SY!$Y352-1,"")</f>
        <v/>
      </c>
      <c r="AJ350" s="59" t="str">
        <f>IFERROR(Inv_SY!X352/Inv_SY!$Y352-1,"")</f>
        <v/>
      </c>
      <c r="AK350" s="59" t="str">
        <f>IFERROR(Inv_SY!V352/Inv_SY!$Z352-1,"")</f>
        <v/>
      </c>
      <c r="AL350" s="59" t="str">
        <f>IFERROR(Inv_SY!W352/Inv_SY!$Z352-1,"")</f>
        <v/>
      </c>
      <c r="AM350" s="59" t="str">
        <f>IFERROR(Inv_SY!X352/Inv_SY!$Z352-1,"")</f>
        <v/>
      </c>
    </row>
    <row r="351" spans="1:39" x14ac:dyDescent="0.3">
      <c r="A351" s="55">
        <f>YEAR(Table5[[#This Row],[Date]])+IF(MONTH(Table5[[#This Row],[Date]])&gt;=4,1,0)</f>
        <v>2026</v>
      </c>
      <c r="B351" s="55">
        <v>311</v>
      </c>
      <c r="C351" s="124">
        <f>YEAR(Table5[[#This Row],[Date]])</f>
        <v>2026</v>
      </c>
      <c r="D351" s="55" t="s">
        <v>329</v>
      </c>
      <c r="E351" s="55" t="s">
        <v>329</v>
      </c>
      <c r="F351" s="126" t="str">
        <f>TEXT(Table5[[#This Row],[Date]],"mmm-yy")</f>
        <v>Mar-26</v>
      </c>
      <c r="G351" s="124">
        <f t="shared" si="13"/>
        <v>31</v>
      </c>
      <c r="H351" s="125">
        <f t="shared" si="14"/>
        <v>46094</v>
      </c>
      <c r="I351" s="55">
        <v>8.02</v>
      </c>
      <c r="J351" s="59" t="str">
        <f>IFERROR(Inv_SY!J353/Inv_SY!$Y353-1,"")</f>
        <v/>
      </c>
      <c r="K351" s="59" t="str">
        <f>IFERROR(Inv_SY!K353/Inv_SY!$Y353-1,"")</f>
        <v/>
      </c>
      <c r="L351" s="59" t="str">
        <f>IFERROR(Inv_SY!L353/Inv_SY!$Y353-1,"")</f>
        <v/>
      </c>
      <c r="M351" s="59" t="str">
        <f>IFERROR(Inv_SY!M353/Inv_SY!$Y353-1,"")</f>
        <v/>
      </c>
      <c r="N351" s="59" t="str">
        <f>IFERROR(Inv_SY!N353/Inv_SY!$Y353-1,"")</f>
        <v/>
      </c>
      <c r="O351" s="59" t="str">
        <f>IFERROR(Inv_SY!O353/Inv_SY!$Y353-1,"")</f>
        <v/>
      </c>
      <c r="P351" s="59" t="str">
        <f>IFERROR(Inv_SY!P353/Inv_SY!$Y353-1,"")</f>
        <v/>
      </c>
      <c r="Q351" s="59" t="str">
        <f>IFERROR(Inv_SY!Q353/Inv_SY!$Y353-1,"")</f>
        <v/>
      </c>
      <c r="R351" s="59" t="str">
        <f>IFERROR(Inv_SY!R353/Inv_SY!$Y353-1,"")</f>
        <v/>
      </c>
      <c r="S351" s="59" t="str">
        <f>IFERROR(Inv_SY!S353/Inv_SY!$Y353-1,"")</f>
        <v/>
      </c>
      <c r="T351" s="59" t="str">
        <f>IFERROR(Inv_SY!T353/Inv_SY!$Y353-1,"")</f>
        <v/>
      </c>
      <c r="U351" s="59" t="str">
        <f>IFERROR(Inv_SY!U353/Inv_SY!$Y353-1,"")</f>
        <v/>
      </c>
      <c r="V351" s="59" t="str">
        <f>IFERROR(Inv_SY!J353/Inv_SY!$Z353-1,"")</f>
        <v/>
      </c>
      <c r="W351" s="59" t="str">
        <f>IFERROR(Inv_SY!K353/Inv_SY!$Z353-1,"")</f>
        <v/>
      </c>
      <c r="X351" s="59" t="str">
        <f>IFERROR(Inv_SY!L353/Inv_SY!$Z353-1,"")</f>
        <v/>
      </c>
      <c r="Y351" s="59" t="str">
        <f>IFERROR(Inv_SY!M353/Inv_SY!$Z353-1,"")</f>
        <v/>
      </c>
      <c r="Z351" s="59" t="str">
        <f>IFERROR(Inv_SY!N353/Inv_SY!$Z353-1,"")</f>
        <v/>
      </c>
      <c r="AA351" s="59" t="str">
        <f>IFERROR(Inv_SY!O353/Inv_SY!$Z353-1,"")</f>
        <v/>
      </c>
      <c r="AB351" s="59" t="str">
        <f>IFERROR(Inv_SY!P353/Inv_SY!$Z353-1,"")</f>
        <v/>
      </c>
      <c r="AC351" s="59" t="str">
        <f>IFERROR(Inv_SY!Q353/Inv_SY!$Z353-1,"")</f>
        <v/>
      </c>
      <c r="AD351" s="59" t="str">
        <f>IFERROR(Inv_SY!R353/Inv_SY!$Z353-1,"")</f>
        <v/>
      </c>
      <c r="AE351" s="59" t="str">
        <f>IFERROR(Inv_SY!S353/Inv_SY!$Z353-1,"")</f>
        <v/>
      </c>
      <c r="AF351" s="59" t="str">
        <f>IFERROR(Inv_SY!T353/Inv_SY!$Z353-1,"")</f>
        <v/>
      </c>
      <c r="AG351" s="59" t="str">
        <f>IFERROR(Inv_SY!U353/Inv_SY!$Z353-1,"")</f>
        <v/>
      </c>
      <c r="AH351" s="59" t="str">
        <f>IFERROR(Inv_SY!V353/Inv_SY!$Y353-1,"")</f>
        <v/>
      </c>
      <c r="AI351" s="59" t="str">
        <f>IFERROR(Inv_SY!W353/Inv_SY!$Y353-1,"")</f>
        <v/>
      </c>
      <c r="AJ351" s="59" t="str">
        <f>IFERROR(Inv_SY!X353/Inv_SY!$Y353-1,"")</f>
        <v/>
      </c>
      <c r="AK351" s="59" t="str">
        <f>IFERROR(Inv_SY!V353/Inv_SY!$Z353-1,"")</f>
        <v/>
      </c>
      <c r="AL351" s="59" t="str">
        <f>IFERROR(Inv_SY!W353/Inv_SY!$Z353-1,"")</f>
        <v/>
      </c>
      <c r="AM351" s="59" t="str">
        <f>IFERROR(Inv_SY!X353/Inv_SY!$Z353-1,"")</f>
        <v/>
      </c>
    </row>
    <row r="352" spans="1:39" x14ac:dyDescent="0.3">
      <c r="A352" s="55">
        <f>YEAR(Table5[[#This Row],[Date]])+IF(MONTH(Table5[[#This Row],[Date]])&gt;=4,1,0)</f>
        <v>2026</v>
      </c>
      <c r="B352" s="55">
        <v>312</v>
      </c>
      <c r="C352" s="124">
        <f>YEAR(Table5[[#This Row],[Date]])</f>
        <v>2026</v>
      </c>
      <c r="D352" s="55" t="s">
        <v>329</v>
      </c>
      <c r="E352" s="55" t="s">
        <v>329</v>
      </c>
      <c r="F352" s="126" t="str">
        <f>TEXT(Table5[[#This Row],[Date]],"mmm-yy")</f>
        <v>Mar-26</v>
      </c>
      <c r="G352" s="124">
        <f t="shared" si="13"/>
        <v>31</v>
      </c>
      <c r="H352" s="125">
        <f t="shared" si="14"/>
        <v>46095</v>
      </c>
      <c r="I352" s="55">
        <v>8.02</v>
      </c>
      <c r="J352" s="59" t="str">
        <f>IFERROR(Inv_SY!J354/Inv_SY!$Y354-1,"")</f>
        <v/>
      </c>
      <c r="K352" s="59" t="str">
        <f>IFERROR(Inv_SY!K354/Inv_SY!$Y354-1,"")</f>
        <v/>
      </c>
      <c r="L352" s="59" t="str">
        <f>IFERROR(Inv_SY!L354/Inv_SY!$Y354-1,"")</f>
        <v/>
      </c>
      <c r="M352" s="59" t="str">
        <f>IFERROR(Inv_SY!M354/Inv_SY!$Y354-1,"")</f>
        <v/>
      </c>
      <c r="N352" s="59" t="str">
        <f>IFERROR(Inv_SY!N354/Inv_SY!$Y354-1,"")</f>
        <v/>
      </c>
      <c r="O352" s="59" t="str">
        <f>IFERROR(Inv_SY!O354/Inv_SY!$Y354-1,"")</f>
        <v/>
      </c>
      <c r="P352" s="59" t="str">
        <f>IFERROR(Inv_SY!P354/Inv_SY!$Y354-1,"")</f>
        <v/>
      </c>
      <c r="Q352" s="59" t="str">
        <f>IFERROR(Inv_SY!Q354/Inv_SY!$Y354-1,"")</f>
        <v/>
      </c>
      <c r="R352" s="59" t="str">
        <f>IFERROR(Inv_SY!R354/Inv_SY!$Y354-1,"")</f>
        <v/>
      </c>
      <c r="S352" s="59" t="str">
        <f>IFERROR(Inv_SY!S354/Inv_SY!$Y354-1,"")</f>
        <v/>
      </c>
      <c r="T352" s="59" t="str">
        <f>IFERROR(Inv_SY!T354/Inv_SY!$Y354-1,"")</f>
        <v/>
      </c>
      <c r="U352" s="59" t="str">
        <f>IFERROR(Inv_SY!U354/Inv_SY!$Y354-1,"")</f>
        <v/>
      </c>
      <c r="V352" s="59" t="str">
        <f>IFERROR(Inv_SY!J354/Inv_SY!$Z354-1,"")</f>
        <v/>
      </c>
      <c r="W352" s="59" t="str">
        <f>IFERROR(Inv_SY!K354/Inv_SY!$Z354-1,"")</f>
        <v/>
      </c>
      <c r="X352" s="59" t="str">
        <f>IFERROR(Inv_SY!L354/Inv_SY!$Z354-1,"")</f>
        <v/>
      </c>
      <c r="Y352" s="59" t="str">
        <f>IFERROR(Inv_SY!M354/Inv_SY!$Z354-1,"")</f>
        <v/>
      </c>
      <c r="Z352" s="59" t="str">
        <f>IFERROR(Inv_SY!N354/Inv_SY!$Z354-1,"")</f>
        <v/>
      </c>
      <c r="AA352" s="59" t="str">
        <f>IFERROR(Inv_SY!O354/Inv_SY!$Z354-1,"")</f>
        <v/>
      </c>
      <c r="AB352" s="59" t="str">
        <f>IFERROR(Inv_SY!P354/Inv_SY!$Z354-1,"")</f>
        <v/>
      </c>
      <c r="AC352" s="59" t="str">
        <f>IFERROR(Inv_SY!Q354/Inv_SY!$Z354-1,"")</f>
        <v/>
      </c>
      <c r="AD352" s="59" t="str">
        <f>IFERROR(Inv_SY!R354/Inv_SY!$Z354-1,"")</f>
        <v/>
      </c>
      <c r="AE352" s="59" t="str">
        <f>IFERROR(Inv_SY!S354/Inv_SY!$Z354-1,"")</f>
        <v/>
      </c>
      <c r="AF352" s="59" t="str">
        <f>IFERROR(Inv_SY!T354/Inv_SY!$Z354-1,"")</f>
        <v/>
      </c>
      <c r="AG352" s="59" t="str">
        <f>IFERROR(Inv_SY!U354/Inv_SY!$Z354-1,"")</f>
        <v/>
      </c>
      <c r="AH352" s="59" t="str">
        <f>IFERROR(Inv_SY!V354/Inv_SY!$Y354-1,"")</f>
        <v/>
      </c>
      <c r="AI352" s="59" t="str">
        <f>IFERROR(Inv_SY!W354/Inv_SY!$Y354-1,"")</f>
        <v/>
      </c>
      <c r="AJ352" s="59" t="str">
        <f>IFERROR(Inv_SY!X354/Inv_SY!$Y354-1,"")</f>
        <v/>
      </c>
      <c r="AK352" s="59" t="str">
        <f>IFERROR(Inv_SY!V354/Inv_SY!$Z354-1,"")</f>
        <v/>
      </c>
      <c r="AL352" s="59" t="str">
        <f>IFERROR(Inv_SY!W354/Inv_SY!$Z354-1,"")</f>
        <v/>
      </c>
      <c r="AM352" s="59" t="str">
        <f>IFERROR(Inv_SY!X354/Inv_SY!$Z354-1,"")</f>
        <v/>
      </c>
    </row>
    <row r="353" spans="1:39" x14ac:dyDescent="0.3">
      <c r="A353" s="55">
        <f>YEAR(Table5[[#This Row],[Date]])+IF(MONTH(Table5[[#This Row],[Date]])&gt;=4,1,0)</f>
        <v>2026</v>
      </c>
      <c r="B353" s="55">
        <v>313</v>
      </c>
      <c r="C353" s="124">
        <f>YEAR(Table5[[#This Row],[Date]])</f>
        <v>2026</v>
      </c>
      <c r="D353" s="55" t="s">
        <v>329</v>
      </c>
      <c r="E353" s="55" t="s">
        <v>329</v>
      </c>
      <c r="F353" s="126" t="str">
        <f>TEXT(Table5[[#This Row],[Date]],"mmm-yy")</f>
        <v>Mar-26</v>
      </c>
      <c r="G353" s="124">
        <f t="shared" si="13"/>
        <v>31</v>
      </c>
      <c r="H353" s="125">
        <f t="shared" si="14"/>
        <v>46096</v>
      </c>
      <c r="I353" s="55">
        <v>8.02</v>
      </c>
      <c r="J353" s="59" t="str">
        <f>IFERROR(Inv_SY!J355/Inv_SY!$Y355-1,"")</f>
        <v/>
      </c>
      <c r="K353" s="59" t="str">
        <f>IFERROR(Inv_SY!K355/Inv_SY!$Y355-1,"")</f>
        <v/>
      </c>
      <c r="L353" s="59" t="str">
        <f>IFERROR(Inv_SY!L355/Inv_SY!$Y355-1,"")</f>
        <v/>
      </c>
      <c r="M353" s="59" t="str">
        <f>IFERROR(Inv_SY!M355/Inv_SY!$Y355-1,"")</f>
        <v/>
      </c>
      <c r="N353" s="59" t="str">
        <f>IFERROR(Inv_SY!N355/Inv_SY!$Y355-1,"")</f>
        <v/>
      </c>
      <c r="O353" s="59" t="str">
        <f>IFERROR(Inv_SY!O355/Inv_SY!$Y355-1,"")</f>
        <v/>
      </c>
      <c r="P353" s="59" t="str">
        <f>IFERROR(Inv_SY!P355/Inv_SY!$Y355-1,"")</f>
        <v/>
      </c>
      <c r="Q353" s="59" t="str">
        <f>IFERROR(Inv_SY!Q355/Inv_SY!$Y355-1,"")</f>
        <v/>
      </c>
      <c r="R353" s="59" t="str">
        <f>IFERROR(Inv_SY!R355/Inv_SY!$Y355-1,"")</f>
        <v/>
      </c>
      <c r="S353" s="59" t="str">
        <f>IFERROR(Inv_SY!S355/Inv_SY!$Y355-1,"")</f>
        <v/>
      </c>
      <c r="T353" s="59" t="str">
        <f>IFERROR(Inv_SY!T355/Inv_SY!$Y355-1,"")</f>
        <v/>
      </c>
      <c r="U353" s="59" t="str">
        <f>IFERROR(Inv_SY!U355/Inv_SY!$Y355-1,"")</f>
        <v/>
      </c>
      <c r="V353" s="59" t="str">
        <f>IFERROR(Inv_SY!J355/Inv_SY!$Z355-1,"")</f>
        <v/>
      </c>
      <c r="W353" s="59" t="str">
        <f>IFERROR(Inv_SY!K355/Inv_SY!$Z355-1,"")</f>
        <v/>
      </c>
      <c r="X353" s="59" t="str">
        <f>IFERROR(Inv_SY!L355/Inv_SY!$Z355-1,"")</f>
        <v/>
      </c>
      <c r="Y353" s="59" t="str">
        <f>IFERROR(Inv_SY!M355/Inv_SY!$Z355-1,"")</f>
        <v/>
      </c>
      <c r="Z353" s="59" t="str">
        <f>IFERROR(Inv_SY!N355/Inv_SY!$Z355-1,"")</f>
        <v/>
      </c>
      <c r="AA353" s="59" t="str">
        <f>IFERROR(Inv_SY!O355/Inv_SY!$Z355-1,"")</f>
        <v/>
      </c>
      <c r="AB353" s="59" t="str">
        <f>IFERROR(Inv_SY!P355/Inv_SY!$Z355-1,"")</f>
        <v/>
      </c>
      <c r="AC353" s="59" t="str">
        <f>IFERROR(Inv_SY!Q355/Inv_SY!$Z355-1,"")</f>
        <v/>
      </c>
      <c r="AD353" s="59" t="str">
        <f>IFERROR(Inv_SY!R355/Inv_SY!$Z355-1,"")</f>
        <v/>
      </c>
      <c r="AE353" s="59" t="str">
        <f>IFERROR(Inv_SY!S355/Inv_SY!$Z355-1,"")</f>
        <v/>
      </c>
      <c r="AF353" s="59" t="str">
        <f>IFERROR(Inv_SY!T355/Inv_SY!$Z355-1,"")</f>
        <v/>
      </c>
      <c r="AG353" s="59" t="str">
        <f>IFERROR(Inv_SY!U355/Inv_SY!$Z355-1,"")</f>
        <v/>
      </c>
      <c r="AH353" s="59" t="str">
        <f>IFERROR(Inv_SY!V355/Inv_SY!$Y355-1,"")</f>
        <v/>
      </c>
      <c r="AI353" s="59" t="str">
        <f>IFERROR(Inv_SY!W355/Inv_SY!$Y355-1,"")</f>
        <v/>
      </c>
      <c r="AJ353" s="59" t="str">
        <f>IFERROR(Inv_SY!X355/Inv_SY!$Y355-1,"")</f>
        <v/>
      </c>
      <c r="AK353" s="59" t="str">
        <f>IFERROR(Inv_SY!V355/Inv_SY!$Z355-1,"")</f>
        <v/>
      </c>
      <c r="AL353" s="59" t="str">
        <f>IFERROR(Inv_SY!W355/Inv_SY!$Z355-1,"")</f>
        <v/>
      </c>
      <c r="AM353" s="59" t="str">
        <f>IFERROR(Inv_SY!X355/Inv_SY!$Z355-1,"")</f>
        <v/>
      </c>
    </row>
    <row r="354" spans="1:39" x14ac:dyDescent="0.3">
      <c r="A354" s="55">
        <f>YEAR(Table5[[#This Row],[Date]])+IF(MONTH(Table5[[#This Row],[Date]])&gt;=4,1,0)</f>
        <v>2026</v>
      </c>
      <c r="B354" s="55">
        <v>314</v>
      </c>
      <c r="C354" s="124">
        <f>YEAR(Table5[[#This Row],[Date]])</f>
        <v>2026</v>
      </c>
      <c r="D354" s="55" t="s">
        <v>329</v>
      </c>
      <c r="E354" s="55" t="s">
        <v>329</v>
      </c>
      <c r="F354" s="126" t="str">
        <f>TEXT(Table5[[#This Row],[Date]],"mmm-yy")</f>
        <v>Mar-26</v>
      </c>
      <c r="G354" s="124">
        <f t="shared" si="13"/>
        <v>31</v>
      </c>
      <c r="H354" s="125">
        <f t="shared" si="14"/>
        <v>46097</v>
      </c>
      <c r="I354" s="55">
        <v>8.02</v>
      </c>
      <c r="J354" s="59" t="str">
        <f>IFERROR(Inv_SY!J356/Inv_SY!$Y356-1,"")</f>
        <v/>
      </c>
      <c r="K354" s="59" t="str">
        <f>IFERROR(Inv_SY!K356/Inv_SY!$Y356-1,"")</f>
        <v/>
      </c>
      <c r="L354" s="59" t="str">
        <f>IFERROR(Inv_SY!L356/Inv_SY!$Y356-1,"")</f>
        <v/>
      </c>
      <c r="M354" s="59" t="str">
        <f>IFERROR(Inv_SY!M356/Inv_SY!$Y356-1,"")</f>
        <v/>
      </c>
      <c r="N354" s="59" t="str">
        <f>IFERROR(Inv_SY!N356/Inv_SY!$Y356-1,"")</f>
        <v/>
      </c>
      <c r="O354" s="59" t="str">
        <f>IFERROR(Inv_SY!O356/Inv_SY!$Y356-1,"")</f>
        <v/>
      </c>
      <c r="P354" s="59" t="str">
        <f>IFERROR(Inv_SY!P356/Inv_SY!$Y356-1,"")</f>
        <v/>
      </c>
      <c r="Q354" s="59" t="str">
        <f>IFERROR(Inv_SY!Q356/Inv_SY!$Y356-1,"")</f>
        <v/>
      </c>
      <c r="R354" s="59" t="str">
        <f>IFERROR(Inv_SY!R356/Inv_SY!$Y356-1,"")</f>
        <v/>
      </c>
      <c r="S354" s="59" t="str">
        <f>IFERROR(Inv_SY!S356/Inv_SY!$Y356-1,"")</f>
        <v/>
      </c>
      <c r="T354" s="59" t="str">
        <f>IFERROR(Inv_SY!T356/Inv_SY!$Y356-1,"")</f>
        <v/>
      </c>
      <c r="U354" s="59" t="str">
        <f>IFERROR(Inv_SY!U356/Inv_SY!$Y356-1,"")</f>
        <v/>
      </c>
      <c r="V354" s="59" t="str">
        <f>IFERROR(Inv_SY!J356/Inv_SY!$Z356-1,"")</f>
        <v/>
      </c>
      <c r="W354" s="59" t="str">
        <f>IFERROR(Inv_SY!K356/Inv_SY!$Z356-1,"")</f>
        <v/>
      </c>
      <c r="X354" s="59" t="str">
        <f>IFERROR(Inv_SY!L356/Inv_SY!$Z356-1,"")</f>
        <v/>
      </c>
      <c r="Y354" s="59" t="str">
        <f>IFERROR(Inv_SY!M356/Inv_SY!$Z356-1,"")</f>
        <v/>
      </c>
      <c r="Z354" s="59" t="str">
        <f>IFERROR(Inv_SY!N356/Inv_SY!$Z356-1,"")</f>
        <v/>
      </c>
      <c r="AA354" s="59" t="str">
        <f>IFERROR(Inv_SY!O356/Inv_SY!$Z356-1,"")</f>
        <v/>
      </c>
      <c r="AB354" s="59" t="str">
        <f>IFERROR(Inv_SY!P356/Inv_SY!$Z356-1,"")</f>
        <v/>
      </c>
      <c r="AC354" s="59" t="str">
        <f>IFERROR(Inv_SY!Q356/Inv_SY!$Z356-1,"")</f>
        <v/>
      </c>
      <c r="AD354" s="59" t="str">
        <f>IFERROR(Inv_SY!R356/Inv_SY!$Z356-1,"")</f>
        <v/>
      </c>
      <c r="AE354" s="59" t="str">
        <f>IFERROR(Inv_SY!S356/Inv_SY!$Z356-1,"")</f>
        <v/>
      </c>
      <c r="AF354" s="59" t="str">
        <f>IFERROR(Inv_SY!T356/Inv_SY!$Z356-1,"")</f>
        <v/>
      </c>
      <c r="AG354" s="59" t="str">
        <f>IFERROR(Inv_SY!U356/Inv_SY!$Z356-1,"")</f>
        <v/>
      </c>
      <c r="AH354" s="59" t="str">
        <f>IFERROR(Inv_SY!V356/Inv_SY!$Y356-1,"")</f>
        <v/>
      </c>
      <c r="AI354" s="59" t="str">
        <f>IFERROR(Inv_SY!W356/Inv_SY!$Y356-1,"")</f>
        <v/>
      </c>
      <c r="AJ354" s="59" t="str">
        <f>IFERROR(Inv_SY!X356/Inv_SY!$Y356-1,"")</f>
        <v/>
      </c>
      <c r="AK354" s="59" t="str">
        <f>IFERROR(Inv_SY!V356/Inv_SY!$Z356-1,"")</f>
        <v/>
      </c>
      <c r="AL354" s="59" t="str">
        <f>IFERROR(Inv_SY!W356/Inv_SY!$Z356-1,"")</f>
        <v/>
      </c>
      <c r="AM354" s="59" t="str">
        <f>IFERROR(Inv_SY!X356/Inv_SY!$Z356-1,"")</f>
        <v/>
      </c>
    </row>
    <row r="355" spans="1:39" x14ac:dyDescent="0.3">
      <c r="A355" s="55">
        <f>YEAR(Table5[[#This Row],[Date]])+IF(MONTH(Table5[[#This Row],[Date]])&gt;=4,1,0)</f>
        <v>2026</v>
      </c>
      <c r="B355" s="55">
        <v>315</v>
      </c>
      <c r="C355" s="124">
        <f>YEAR(Table5[[#This Row],[Date]])</f>
        <v>2026</v>
      </c>
      <c r="D355" s="55" t="s">
        <v>329</v>
      </c>
      <c r="E355" s="55" t="s">
        <v>329</v>
      </c>
      <c r="F355" s="126" t="str">
        <f>TEXT(Table5[[#This Row],[Date]],"mmm-yy")</f>
        <v>Mar-26</v>
      </c>
      <c r="G355" s="124">
        <f t="shared" si="13"/>
        <v>31</v>
      </c>
      <c r="H355" s="125">
        <f t="shared" si="14"/>
        <v>46098</v>
      </c>
      <c r="I355" s="55">
        <v>8.02</v>
      </c>
      <c r="J355" s="59" t="str">
        <f>IFERROR(Inv_SY!J357/Inv_SY!$Y357-1,"")</f>
        <v/>
      </c>
      <c r="K355" s="59" t="str">
        <f>IFERROR(Inv_SY!K357/Inv_SY!$Y357-1,"")</f>
        <v/>
      </c>
      <c r="L355" s="59" t="str">
        <f>IFERROR(Inv_SY!L357/Inv_SY!$Y357-1,"")</f>
        <v/>
      </c>
      <c r="M355" s="59" t="str">
        <f>IFERROR(Inv_SY!M357/Inv_SY!$Y357-1,"")</f>
        <v/>
      </c>
      <c r="N355" s="59" t="str">
        <f>IFERROR(Inv_SY!N357/Inv_SY!$Y357-1,"")</f>
        <v/>
      </c>
      <c r="O355" s="59" t="str">
        <f>IFERROR(Inv_SY!O357/Inv_SY!$Y357-1,"")</f>
        <v/>
      </c>
      <c r="P355" s="59" t="str">
        <f>IFERROR(Inv_SY!P357/Inv_SY!$Y357-1,"")</f>
        <v/>
      </c>
      <c r="Q355" s="59" t="str">
        <f>IFERROR(Inv_SY!Q357/Inv_SY!$Y357-1,"")</f>
        <v/>
      </c>
      <c r="R355" s="59" t="str">
        <f>IFERROR(Inv_SY!R357/Inv_SY!$Y357-1,"")</f>
        <v/>
      </c>
      <c r="S355" s="59" t="str">
        <f>IFERROR(Inv_SY!S357/Inv_SY!$Y357-1,"")</f>
        <v/>
      </c>
      <c r="T355" s="59" t="str">
        <f>IFERROR(Inv_SY!T357/Inv_SY!$Y357-1,"")</f>
        <v/>
      </c>
      <c r="U355" s="59" t="str">
        <f>IFERROR(Inv_SY!U357/Inv_SY!$Y357-1,"")</f>
        <v/>
      </c>
      <c r="V355" s="59" t="str">
        <f>IFERROR(Inv_SY!J357/Inv_SY!$Z357-1,"")</f>
        <v/>
      </c>
      <c r="W355" s="59" t="str">
        <f>IFERROR(Inv_SY!K357/Inv_SY!$Z357-1,"")</f>
        <v/>
      </c>
      <c r="X355" s="59" t="str">
        <f>IFERROR(Inv_SY!L357/Inv_SY!$Z357-1,"")</f>
        <v/>
      </c>
      <c r="Y355" s="59" t="str">
        <f>IFERROR(Inv_SY!M357/Inv_SY!$Z357-1,"")</f>
        <v/>
      </c>
      <c r="Z355" s="59" t="str">
        <f>IFERROR(Inv_SY!N357/Inv_SY!$Z357-1,"")</f>
        <v/>
      </c>
      <c r="AA355" s="59" t="str">
        <f>IFERROR(Inv_SY!O357/Inv_SY!$Z357-1,"")</f>
        <v/>
      </c>
      <c r="AB355" s="59" t="str">
        <f>IFERROR(Inv_SY!P357/Inv_SY!$Z357-1,"")</f>
        <v/>
      </c>
      <c r="AC355" s="59" t="str">
        <f>IFERROR(Inv_SY!Q357/Inv_SY!$Z357-1,"")</f>
        <v/>
      </c>
      <c r="AD355" s="59" t="str">
        <f>IFERROR(Inv_SY!R357/Inv_SY!$Z357-1,"")</f>
        <v/>
      </c>
      <c r="AE355" s="59" t="str">
        <f>IFERROR(Inv_SY!S357/Inv_SY!$Z357-1,"")</f>
        <v/>
      </c>
      <c r="AF355" s="59" t="str">
        <f>IFERROR(Inv_SY!T357/Inv_SY!$Z357-1,"")</f>
        <v/>
      </c>
      <c r="AG355" s="59" t="str">
        <f>IFERROR(Inv_SY!U357/Inv_SY!$Z357-1,"")</f>
        <v/>
      </c>
      <c r="AH355" s="59" t="str">
        <f>IFERROR(Inv_SY!V357/Inv_SY!$Y357-1,"")</f>
        <v/>
      </c>
      <c r="AI355" s="59" t="str">
        <f>IFERROR(Inv_SY!W357/Inv_SY!$Y357-1,"")</f>
        <v/>
      </c>
      <c r="AJ355" s="59" t="str">
        <f>IFERROR(Inv_SY!X357/Inv_SY!$Y357-1,"")</f>
        <v/>
      </c>
      <c r="AK355" s="59" t="str">
        <f>IFERROR(Inv_SY!V357/Inv_SY!$Z357-1,"")</f>
        <v/>
      </c>
      <c r="AL355" s="59" t="str">
        <f>IFERROR(Inv_SY!W357/Inv_SY!$Z357-1,"")</f>
        <v/>
      </c>
      <c r="AM355" s="59" t="str">
        <f>IFERROR(Inv_SY!X357/Inv_SY!$Z357-1,"")</f>
        <v/>
      </c>
    </row>
    <row r="356" spans="1:39" x14ac:dyDescent="0.3">
      <c r="A356" s="55">
        <f>YEAR(Table5[[#This Row],[Date]])+IF(MONTH(Table5[[#This Row],[Date]])&gt;=4,1,0)</f>
        <v>2026</v>
      </c>
      <c r="B356" s="55">
        <v>316</v>
      </c>
      <c r="C356" s="124">
        <f>YEAR(Table5[[#This Row],[Date]])</f>
        <v>2026</v>
      </c>
      <c r="D356" s="55" t="s">
        <v>329</v>
      </c>
      <c r="E356" s="55" t="s">
        <v>329</v>
      </c>
      <c r="F356" s="126" t="str">
        <f>TEXT(Table5[[#This Row],[Date]],"mmm-yy")</f>
        <v>Mar-26</v>
      </c>
      <c r="G356" s="124">
        <f t="shared" si="13"/>
        <v>31</v>
      </c>
      <c r="H356" s="125">
        <f t="shared" si="14"/>
        <v>46099</v>
      </c>
      <c r="I356" s="55">
        <v>8.02</v>
      </c>
      <c r="J356" s="59" t="str">
        <f>IFERROR(Inv_SY!J358/Inv_SY!$Y358-1,"")</f>
        <v/>
      </c>
      <c r="K356" s="59" t="str">
        <f>IFERROR(Inv_SY!K358/Inv_SY!$Y358-1,"")</f>
        <v/>
      </c>
      <c r="L356" s="59" t="str">
        <f>IFERROR(Inv_SY!L358/Inv_SY!$Y358-1,"")</f>
        <v/>
      </c>
      <c r="M356" s="59" t="str">
        <f>IFERROR(Inv_SY!M358/Inv_SY!$Y358-1,"")</f>
        <v/>
      </c>
      <c r="N356" s="59" t="str">
        <f>IFERROR(Inv_SY!N358/Inv_SY!$Y358-1,"")</f>
        <v/>
      </c>
      <c r="O356" s="59" t="str">
        <f>IFERROR(Inv_SY!O358/Inv_SY!$Y358-1,"")</f>
        <v/>
      </c>
      <c r="P356" s="59" t="str">
        <f>IFERROR(Inv_SY!P358/Inv_SY!$Y358-1,"")</f>
        <v/>
      </c>
      <c r="Q356" s="59" t="str">
        <f>IFERROR(Inv_SY!Q358/Inv_SY!$Y358-1,"")</f>
        <v/>
      </c>
      <c r="R356" s="59" t="str">
        <f>IFERROR(Inv_SY!R358/Inv_SY!$Y358-1,"")</f>
        <v/>
      </c>
      <c r="S356" s="59" t="str">
        <f>IFERROR(Inv_SY!S358/Inv_SY!$Y358-1,"")</f>
        <v/>
      </c>
      <c r="T356" s="59" t="str">
        <f>IFERROR(Inv_SY!T358/Inv_SY!$Y358-1,"")</f>
        <v/>
      </c>
      <c r="U356" s="59" t="str">
        <f>IFERROR(Inv_SY!U358/Inv_SY!$Y358-1,"")</f>
        <v/>
      </c>
      <c r="V356" s="59" t="str">
        <f>IFERROR(Inv_SY!J358/Inv_SY!$Z358-1,"")</f>
        <v/>
      </c>
      <c r="W356" s="59" t="str">
        <f>IFERROR(Inv_SY!K358/Inv_SY!$Z358-1,"")</f>
        <v/>
      </c>
      <c r="X356" s="59" t="str">
        <f>IFERROR(Inv_SY!L358/Inv_SY!$Z358-1,"")</f>
        <v/>
      </c>
      <c r="Y356" s="59" t="str">
        <f>IFERROR(Inv_SY!M358/Inv_SY!$Z358-1,"")</f>
        <v/>
      </c>
      <c r="Z356" s="59" t="str">
        <f>IFERROR(Inv_SY!N358/Inv_SY!$Z358-1,"")</f>
        <v/>
      </c>
      <c r="AA356" s="59" t="str">
        <f>IFERROR(Inv_SY!O358/Inv_SY!$Z358-1,"")</f>
        <v/>
      </c>
      <c r="AB356" s="59" t="str">
        <f>IFERROR(Inv_SY!P358/Inv_SY!$Z358-1,"")</f>
        <v/>
      </c>
      <c r="AC356" s="59" t="str">
        <f>IFERROR(Inv_SY!Q358/Inv_SY!$Z358-1,"")</f>
        <v/>
      </c>
      <c r="AD356" s="59" t="str">
        <f>IFERROR(Inv_SY!R358/Inv_SY!$Z358-1,"")</f>
        <v/>
      </c>
      <c r="AE356" s="59" t="str">
        <f>IFERROR(Inv_SY!S358/Inv_SY!$Z358-1,"")</f>
        <v/>
      </c>
      <c r="AF356" s="59" t="str">
        <f>IFERROR(Inv_SY!T358/Inv_SY!$Z358-1,"")</f>
        <v/>
      </c>
      <c r="AG356" s="59" t="str">
        <f>IFERROR(Inv_SY!U358/Inv_SY!$Z358-1,"")</f>
        <v/>
      </c>
      <c r="AH356" s="59" t="str">
        <f>IFERROR(Inv_SY!V358/Inv_SY!$Y358-1,"")</f>
        <v/>
      </c>
      <c r="AI356" s="59" t="str">
        <f>IFERROR(Inv_SY!W358/Inv_SY!$Y358-1,"")</f>
        <v/>
      </c>
      <c r="AJ356" s="59" t="str">
        <f>IFERROR(Inv_SY!X358/Inv_SY!$Y358-1,"")</f>
        <v/>
      </c>
      <c r="AK356" s="59" t="str">
        <f>IFERROR(Inv_SY!V358/Inv_SY!$Z358-1,"")</f>
        <v/>
      </c>
      <c r="AL356" s="59" t="str">
        <f>IFERROR(Inv_SY!W358/Inv_SY!$Z358-1,"")</f>
        <v/>
      </c>
      <c r="AM356" s="59" t="str">
        <f>IFERROR(Inv_SY!X358/Inv_SY!$Z358-1,"")</f>
        <v/>
      </c>
    </row>
    <row r="357" spans="1:39" x14ac:dyDescent="0.3">
      <c r="A357" s="55">
        <f>YEAR(Table5[[#This Row],[Date]])+IF(MONTH(Table5[[#This Row],[Date]])&gt;=4,1,0)</f>
        <v>2026</v>
      </c>
      <c r="B357" s="55">
        <v>317</v>
      </c>
      <c r="C357" s="124">
        <f>YEAR(Table5[[#This Row],[Date]])</f>
        <v>2026</v>
      </c>
      <c r="D357" s="55" t="s">
        <v>329</v>
      </c>
      <c r="E357" s="55" t="s">
        <v>329</v>
      </c>
      <c r="F357" s="126" t="str">
        <f>TEXT(Table5[[#This Row],[Date]],"mmm-yy")</f>
        <v>Mar-26</v>
      </c>
      <c r="G357" s="124">
        <f t="shared" si="13"/>
        <v>31</v>
      </c>
      <c r="H357" s="125">
        <f t="shared" si="14"/>
        <v>46100</v>
      </c>
      <c r="I357" s="55">
        <v>8.02</v>
      </c>
      <c r="J357" s="59" t="str">
        <f>IFERROR(Inv_SY!J359/Inv_SY!$Y359-1,"")</f>
        <v/>
      </c>
      <c r="K357" s="59" t="str">
        <f>IFERROR(Inv_SY!K359/Inv_SY!$Y359-1,"")</f>
        <v/>
      </c>
      <c r="L357" s="59" t="str">
        <f>IFERROR(Inv_SY!L359/Inv_SY!$Y359-1,"")</f>
        <v/>
      </c>
      <c r="M357" s="59" t="str">
        <f>IFERROR(Inv_SY!M359/Inv_SY!$Y359-1,"")</f>
        <v/>
      </c>
      <c r="N357" s="59" t="str">
        <f>IFERROR(Inv_SY!N359/Inv_SY!$Y359-1,"")</f>
        <v/>
      </c>
      <c r="O357" s="59" t="str">
        <f>IFERROR(Inv_SY!O359/Inv_SY!$Y359-1,"")</f>
        <v/>
      </c>
      <c r="P357" s="59" t="str">
        <f>IFERROR(Inv_SY!P359/Inv_SY!$Y359-1,"")</f>
        <v/>
      </c>
      <c r="Q357" s="59" t="str">
        <f>IFERROR(Inv_SY!Q359/Inv_SY!$Y359-1,"")</f>
        <v/>
      </c>
      <c r="R357" s="59" t="str">
        <f>IFERROR(Inv_SY!R359/Inv_SY!$Y359-1,"")</f>
        <v/>
      </c>
      <c r="S357" s="59" t="str">
        <f>IFERROR(Inv_SY!S359/Inv_SY!$Y359-1,"")</f>
        <v/>
      </c>
      <c r="T357" s="59" t="str">
        <f>IFERROR(Inv_SY!T359/Inv_SY!$Y359-1,"")</f>
        <v/>
      </c>
      <c r="U357" s="59" t="str">
        <f>IFERROR(Inv_SY!U359/Inv_SY!$Y359-1,"")</f>
        <v/>
      </c>
      <c r="V357" s="59" t="str">
        <f>IFERROR(Inv_SY!J359/Inv_SY!$Z359-1,"")</f>
        <v/>
      </c>
      <c r="W357" s="59" t="str">
        <f>IFERROR(Inv_SY!K359/Inv_SY!$Z359-1,"")</f>
        <v/>
      </c>
      <c r="X357" s="59" t="str">
        <f>IFERROR(Inv_SY!L359/Inv_SY!$Z359-1,"")</f>
        <v/>
      </c>
      <c r="Y357" s="59" t="str">
        <f>IFERROR(Inv_SY!M359/Inv_SY!$Z359-1,"")</f>
        <v/>
      </c>
      <c r="Z357" s="59" t="str">
        <f>IFERROR(Inv_SY!N359/Inv_SY!$Z359-1,"")</f>
        <v/>
      </c>
      <c r="AA357" s="59" t="str">
        <f>IFERROR(Inv_SY!O359/Inv_SY!$Z359-1,"")</f>
        <v/>
      </c>
      <c r="AB357" s="59" t="str">
        <f>IFERROR(Inv_SY!P359/Inv_SY!$Z359-1,"")</f>
        <v/>
      </c>
      <c r="AC357" s="59" t="str">
        <f>IFERROR(Inv_SY!Q359/Inv_SY!$Z359-1,"")</f>
        <v/>
      </c>
      <c r="AD357" s="59" t="str">
        <f>IFERROR(Inv_SY!R359/Inv_SY!$Z359-1,"")</f>
        <v/>
      </c>
      <c r="AE357" s="59" t="str">
        <f>IFERROR(Inv_SY!S359/Inv_SY!$Z359-1,"")</f>
        <v/>
      </c>
      <c r="AF357" s="59" t="str">
        <f>IFERROR(Inv_SY!T359/Inv_SY!$Z359-1,"")</f>
        <v/>
      </c>
      <c r="AG357" s="59" t="str">
        <f>IFERROR(Inv_SY!U359/Inv_SY!$Z359-1,"")</f>
        <v/>
      </c>
      <c r="AH357" s="59" t="str">
        <f>IFERROR(Inv_SY!V359/Inv_SY!$Y359-1,"")</f>
        <v/>
      </c>
      <c r="AI357" s="59" t="str">
        <f>IFERROR(Inv_SY!W359/Inv_SY!$Y359-1,"")</f>
        <v/>
      </c>
      <c r="AJ357" s="59" t="str">
        <f>IFERROR(Inv_SY!X359/Inv_SY!$Y359-1,"")</f>
        <v/>
      </c>
      <c r="AK357" s="59" t="str">
        <f>IFERROR(Inv_SY!V359/Inv_SY!$Z359-1,"")</f>
        <v/>
      </c>
      <c r="AL357" s="59" t="str">
        <f>IFERROR(Inv_SY!W359/Inv_SY!$Z359-1,"")</f>
        <v/>
      </c>
      <c r="AM357" s="59" t="str">
        <f>IFERROR(Inv_SY!X359/Inv_SY!$Z359-1,"")</f>
        <v/>
      </c>
    </row>
    <row r="358" spans="1:39" x14ac:dyDescent="0.3">
      <c r="A358" s="55">
        <f>YEAR(Table5[[#This Row],[Date]])+IF(MONTH(Table5[[#This Row],[Date]])&gt;=4,1,0)</f>
        <v>2026</v>
      </c>
      <c r="B358" s="55">
        <v>318</v>
      </c>
      <c r="C358" s="124">
        <f>YEAR(Table5[[#This Row],[Date]])</f>
        <v>2026</v>
      </c>
      <c r="D358" s="55" t="s">
        <v>329</v>
      </c>
      <c r="E358" s="55" t="s">
        <v>329</v>
      </c>
      <c r="F358" s="126" t="str">
        <f>TEXT(Table5[[#This Row],[Date]],"mmm-yy")</f>
        <v>Mar-26</v>
      </c>
      <c r="G358" s="124">
        <f t="shared" si="13"/>
        <v>31</v>
      </c>
      <c r="H358" s="125">
        <f t="shared" si="14"/>
        <v>46101</v>
      </c>
      <c r="I358" s="55">
        <v>8.02</v>
      </c>
      <c r="J358" s="59" t="str">
        <f>IFERROR(Inv_SY!J360/Inv_SY!$Y360-1,"")</f>
        <v/>
      </c>
      <c r="K358" s="59" t="str">
        <f>IFERROR(Inv_SY!K360/Inv_SY!$Y360-1,"")</f>
        <v/>
      </c>
      <c r="L358" s="59" t="str">
        <f>IFERROR(Inv_SY!L360/Inv_SY!$Y360-1,"")</f>
        <v/>
      </c>
      <c r="M358" s="59" t="str">
        <f>IFERROR(Inv_SY!M360/Inv_SY!$Y360-1,"")</f>
        <v/>
      </c>
      <c r="N358" s="59" t="str">
        <f>IFERROR(Inv_SY!N360/Inv_SY!$Y360-1,"")</f>
        <v/>
      </c>
      <c r="O358" s="59" t="str">
        <f>IFERROR(Inv_SY!O360/Inv_SY!$Y360-1,"")</f>
        <v/>
      </c>
      <c r="P358" s="59" t="str">
        <f>IFERROR(Inv_SY!P360/Inv_SY!$Y360-1,"")</f>
        <v/>
      </c>
      <c r="Q358" s="59" t="str">
        <f>IFERROR(Inv_SY!Q360/Inv_SY!$Y360-1,"")</f>
        <v/>
      </c>
      <c r="R358" s="59" t="str">
        <f>IFERROR(Inv_SY!R360/Inv_SY!$Y360-1,"")</f>
        <v/>
      </c>
      <c r="S358" s="59" t="str">
        <f>IFERROR(Inv_SY!S360/Inv_SY!$Y360-1,"")</f>
        <v/>
      </c>
      <c r="T358" s="59" t="str">
        <f>IFERROR(Inv_SY!T360/Inv_SY!$Y360-1,"")</f>
        <v/>
      </c>
      <c r="U358" s="59" t="str">
        <f>IFERROR(Inv_SY!U360/Inv_SY!$Y360-1,"")</f>
        <v/>
      </c>
      <c r="V358" s="59" t="str">
        <f>IFERROR(Inv_SY!J360/Inv_SY!$Z360-1,"")</f>
        <v/>
      </c>
      <c r="W358" s="59" t="str">
        <f>IFERROR(Inv_SY!K360/Inv_SY!$Z360-1,"")</f>
        <v/>
      </c>
      <c r="X358" s="59" t="str">
        <f>IFERROR(Inv_SY!L360/Inv_SY!$Z360-1,"")</f>
        <v/>
      </c>
      <c r="Y358" s="59" t="str">
        <f>IFERROR(Inv_SY!M360/Inv_SY!$Z360-1,"")</f>
        <v/>
      </c>
      <c r="Z358" s="59" t="str">
        <f>IFERROR(Inv_SY!N360/Inv_SY!$Z360-1,"")</f>
        <v/>
      </c>
      <c r="AA358" s="59" t="str">
        <f>IFERROR(Inv_SY!O360/Inv_SY!$Z360-1,"")</f>
        <v/>
      </c>
      <c r="AB358" s="59" t="str">
        <f>IFERROR(Inv_SY!P360/Inv_SY!$Z360-1,"")</f>
        <v/>
      </c>
      <c r="AC358" s="59" t="str">
        <f>IFERROR(Inv_SY!Q360/Inv_SY!$Z360-1,"")</f>
        <v/>
      </c>
      <c r="AD358" s="59" t="str">
        <f>IFERROR(Inv_SY!R360/Inv_SY!$Z360-1,"")</f>
        <v/>
      </c>
      <c r="AE358" s="59" t="str">
        <f>IFERROR(Inv_SY!S360/Inv_SY!$Z360-1,"")</f>
        <v/>
      </c>
      <c r="AF358" s="59" t="str">
        <f>IFERROR(Inv_SY!T360/Inv_SY!$Z360-1,"")</f>
        <v/>
      </c>
      <c r="AG358" s="59" t="str">
        <f>IFERROR(Inv_SY!U360/Inv_SY!$Z360-1,"")</f>
        <v/>
      </c>
      <c r="AH358" s="59" t="str">
        <f>IFERROR(Inv_SY!V360/Inv_SY!$Y360-1,"")</f>
        <v/>
      </c>
      <c r="AI358" s="59" t="str">
        <f>IFERROR(Inv_SY!W360/Inv_SY!$Y360-1,"")</f>
        <v/>
      </c>
      <c r="AJ358" s="59" t="str">
        <f>IFERROR(Inv_SY!X360/Inv_SY!$Y360-1,"")</f>
        <v/>
      </c>
      <c r="AK358" s="59" t="str">
        <f>IFERROR(Inv_SY!V360/Inv_SY!$Z360-1,"")</f>
        <v/>
      </c>
      <c r="AL358" s="59" t="str">
        <f>IFERROR(Inv_SY!W360/Inv_SY!$Z360-1,"")</f>
        <v/>
      </c>
      <c r="AM358" s="59" t="str">
        <f>IFERROR(Inv_SY!X360/Inv_SY!$Z360-1,"")</f>
        <v/>
      </c>
    </row>
    <row r="359" spans="1:39" x14ac:dyDescent="0.3">
      <c r="A359" s="55">
        <f>YEAR(Table5[[#This Row],[Date]])+IF(MONTH(Table5[[#This Row],[Date]])&gt;=4,1,0)</f>
        <v>2026</v>
      </c>
      <c r="B359" s="55">
        <v>319</v>
      </c>
      <c r="C359" s="124">
        <f>YEAR(Table5[[#This Row],[Date]])</f>
        <v>2026</v>
      </c>
      <c r="D359" s="55" t="s">
        <v>329</v>
      </c>
      <c r="E359" s="55" t="s">
        <v>329</v>
      </c>
      <c r="F359" s="126" t="str">
        <f>TEXT(Table5[[#This Row],[Date]],"mmm-yy")</f>
        <v>Mar-26</v>
      </c>
      <c r="G359" s="124">
        <f t="shared" si="13"/>
        <v>31</v>
      </c>
      <c r="H359" s="125">
        <f t="shared" si="14"/>
        <v>46102</v>
      </c>
      <c r="I359" s="55">
        <v>8.02</v>
      </c>
      <c r="J359" s="59" t="str">
        <f>IFERROR(Inv_SY!J361/Inv_SY!$Y361-1,"")</f>
        <v/>
      </c>
      <c r="K359" s="59" t="str">
        <f>IFERROR(Inv_SY!K361/Inv_SY!$Y361-1,"")</f>
        <v/>
      </c>
      <c r="L359" s="59" t="str">
        <f>IFERROR(Inv_SY!L361/Inv_SY!$Y361-1,"")</f>
        <v/>
      </c>
      <c r="M359" s="59" t="str">
        <f>IFERROR(Inv_SY!M361/Inv_SY!$Y361-1,"")</f>
        <v/>
      </c>
      <c r="N359" s="59" t="str">
        <f>IFERROR(Inv_SY!N361/Inv_SY!$Y361-1,"")</f>
        <v/>
      </c>
      <c r="O359" s="59" t="str">
        <f>IFERROR(Inv_SY!O361/Inv_SY!$Y361-1,"")</f>
        <v/>
      </c>
      <c r="P359" s="59" t="str">
        <f>IFERROR(Inv_SY!P361/Inv_SY!$Y361-1,"")</f>
        <v/>
      </c>
      <c r="Q359" s="59" t="str">
        <f>IFERROR(Inv_SY!Q361/Inv_SY!$Y361-1,"")</f>
        <v/>
      </c>
      <c r="R359" s="59" t="str">
        <f>IFERROR(Inv_SY!R361/Inv_SY!$Y361-1,"")</f>
        <v/>
      </c>
      <c r="S359" s="59" t="str">
        <f>IFERROR(Inv_SY!S361/Inv_SY!$Y361-1,"")</f>
        <v/>
      </c>
      <c r="T359" s="59" t="str">
        <f>IFERROR(Inv_SY!T361/Inv_SY!$Y361-1,"")</f>
        <v/>
      </c>
      <c r="U359" s="59" t="str">
        <f>IFERROR(Inv_SY!U361/Inv_SY!$Y361-1,"")</f>
        <v/>
      </c>
      <c r="V359" s="59" t="str">
        <f>IFERROR(Inv_SY!J361/Inv_SY!$Z361-1,"")</f>
        <v/>
      </c>
      <c r="W359" s="59" t="str">
        <f>IFERROR(Inv_SY!K361/Inv_SY!$Z361-1,"")</f>
        <v/>
      </c>
      <c r="X359" s="59" t="str">
        <f>IFERROR(Inv_SY!L361/Inv_SY!$Z361-1,"")</f>
        <v/>
      </c>
      <c r="Y359" s="59" t="str">
        <f>IFERROR(Inv_SY!M361/Inv_SY!$Z361-1,"")</f>
        <v/>
      </c>
      <c r="Z359" s="59" t="str">
        <f>IFERROR(Inv_SY!N361/Inv_SY!$Z361-1,"")</f>
        <v/>
      </c>
      <c r="AA359" s="59" t="str">
        <f>IFERROR(Inv_SY!O361/Inv_SY!$Z361-1,"")</f>
        <v/>
      </c>
      <c r="AB359" s="59" t="str">
        <f>IFERROR(Inv_SY!P361/Inv_SY!$Z361-1,"")</f>
        <v/>
      </c>
      <c r="AC359" s="59" t="str">
        <f>IFERROR(Inv_SY!Q361/Inv_SY!$Z361-1,"")</f>
        <v/>
      </c>
      <c r="AD359" s="59" t="str">
        <f>IFERROR(Inv_SY!R361/Inv_SY!$Z361-1,"")</f>
        <v/>
      </c>
      <c r="AE359" s="59" t="str">
        <f>IFERROR(Inv_SY!S361/Inv_SY!$Z361-1,"")</f>
        <v/>
      </c>
      <c r="AF359" s="59" t="str">
        <f>IFERROR(Inv_SY!T361/Inv_SY!$Z361-1,"")</f>
        <v/>
      </c>
      <c r="AG359" s="59" t="str">
        <f>IFERROR(Inv_SY!U361/Inv_SY!$Z361-1,"")</f>
        <v/>
      </c>
      <c r="AH359" s="59" t="str">
        <f>IFERROR(Inv_SY!V361/Inv_SY!$Y361-1,"")</f>
        <v/>
      </c>
      <c r="AI359" s="59" t="str">
        <f>IFERROR(Inv_SY!W361/Inv_SY!$Y361-1,"")</f>
        <v/>
      </c>
      <c r="AJ359" s="59" t="str">
        <f>IFERROR(Inv_SY!X361/Inv_SY!$Y361-1,"")</f>
        <v/>
      </c>
      <c r="AK359" s="59" t="str">
        <f>IFERROR(Inv_SY!V361/Inv_SY!$Z361-1,"")</f>
        <v/>
      </c>
      <c r="AL359" s="59" t="str">
        <f>IFERROR(Inv_SY!W361/Inv_SY!$Z361-1,"")</f>
        <v/>
      </c>
      <c r="AM359" s="59" t="str">
        <f>IFERROR(Inv_SY!X361/Inv_SY!$Z361-1,"")</f>
        <v/>
      </c>
    </row>
    <row r="360" spans="1:39" x14ac:dyDescent="0.3">
      <c r="A360" s="55">
        <f>YEAR(Table5[[#This Row],[Date]])+IF(MONTH(Table5[[#This Row],[Date]])&gt;=4,1,0)</f>
        <v>2026</v>
      </c>
      <c r="B360" s="55">
        <v>320</v>
      </c>
      <c r="C360" s="124">
        <f>YEAR(Table5[[#This Row],[Date]])</f>
        <v>2026</v>
      </c>
      <c r="D360" s="55" t="s">
        <v>329</v>
      </c>
      <c r="E360" s="55" t="s">
        <v>329</v>
      </c>
      <c r="F360" s="126" t="str">
        <f>TEXT(Table5[[#This Row],[Date]],"mmm-yy")</f>
        <v>Mar-26</v>
      </c>
      <c r="G360" s="124">
        <f t="shared" si="13"/>
        <v>31</v>
      </c>
      <c r="H360" s="125">
        <f t="shared" si="14"/>
        <v>46103</v>
      </c>
      <c r="I360" s="55">
        <v>8.02</v>
      </c>
      <c r="J360" s="59" t="str">
        <f>IFERROR(Inv_SY!J362/Inv_SY!$Y362-1,"")</f>
        <v/>
      </c>
      <c r="K360" s="59" t="str">
        <f>IFERROR(Inv_SY!K362/Inv_SY!$Y362-1,"")</f>
        <v/>
      </c>
      <c r="L360" s="59" t="str">
        <f>IFERROR(Inv_SY!L362/Inv_SY!$Y362-1,"")</f>
        <v/>
      </c>
      <c r="M360" s="59" t="str">
        <f>IFERROR(Inv_SY!M362/Inv_SY!$Y362-1,"")</f>
        <v/>
      </c>
      <c r="N360" s="59" t="str">
        <f>IFERROR(Inv_SY!N362/Inv_SY!$Y362-1,"")</f>
        <v/>
      </c>
      <c r="O360" s="59" t="str">
        <f>IFERROR(Inv_SY!O362/Inv_SY!$Y362-1,"")</f>
        <v/>
      </c>
      <c r="P360" s="59" t="str">
        <f>IFERROR(Inv_SY!P362/Inv_SY!$Y362-1,"")</f>
        <v/>
      </c>
      <c r="Q360" s="59" t="str">
        <f>IFERROR(Inv_SY!Q362/Inv_SY!$Y362-1,"")</f>
        <v/>
      </c>
      <c r="R360" s="59" t="str">
        <f>IFERROR(Inv_SY!R362/Inv_SY!$Y362-1,"")</f>
        <v/>
      </c>
      <c r="S360" s="59" t="str">
        <f>IFERROR(Inv_SY!S362/Inv_SY!$Y362-1,"")</f>
        <v/>
      </c>
      <c r="T360" s="59" t="str">
        <f>IFERROR(Inv_SY!T362/Inv_SY!$Y362-1,"")</f>
        <v/>
      </c>
      <c r="U360" s="59" t="str">
        <f>IFERROR(Inv_SY!U362/Inv_SY!$Y362-1,"")</f>
        <v/>
      </c>
      <c r="V360" s="59" t="str">
        <f>IFERROR(Inv_SY!J362/Inv_SY!$Z362-1,"")</f>
        <v/>
      </c>
      <c r="W360" s="59" t="str">
        <f>IFERROR(Inv_SY!K362/Inv_SY!$Z362-1,"")</f>
        <v/>
      </c>
      <c r="X360" s="59" t="str">
        <f>IFERROR(Inv_SY!L362/Inv_SY!$Z362-1,"")</f>
        <v/>
      </c>
      <c r="Y360" s="59" t="str">
        <f>IFERROR(Inv_SY!M362/Inv_SY!$Z362-1,"")</f>
        <v/>
      </c>
      <c r="Z360" s="59" t="str">
        <f>IFERROR(Inv_SY!N362/Inv_SY!$Z362-1,"")</f>
        <v/>
      </c>
      <c r="AA360" s="59" t="str">
        <f>IFERROR(Inv_SY!O362/Inv_SY!$Z362-1,"")</f>
        <v/>
      </c>
      <c r="AB360" s="59" t="str">
        <f>IFERROR(Inv_SY!P362/Inv_SY!$Z362-1,"")</f>
        <v/>
      </c>
      <c r="AC360" s="59" t="str">
        <f>IFERROR(Inv_SY!Q362/Inv_SY!$Z362-1,"")</f>
        <v/>
      </c>
      <c r="AD360" s="59" t="str">
        <f>IFERROR(Inv_SY!R362/Inv_SY!$Z362-1,"")</f>
        <v/>
      </c>
      <c r="AE360" s="59" t="str">
        <f>IFERROR(Inv_SY!S362/Inv_SY!$Z362-1,"")</f>
        <v/>
      </c>
      <c r="AF360" s="59" t="str">
        <f>IFERROR(Inv_SY!T362/Inv_SY!$Z362-1,"")</f>
        <v/>
      </c>
      <c r="AG360" s="59" t="str">
        <f>IFERROR(Inv_SY!U362/Inv_SY!$Z362-1,"")</f>
        <v/>
      </c>
      <c r="AH360" s="59" t="str">
        <f>IFERROR(Inv_SY!V362/Inv_SY!$Y362-1,"")</f>
        <v/>
      </c>
      <c r="AI360" s="59" t="str">
        <f>IFERROR(Inv_SY!W362/Inv_SY!$Y362-1,"")</f>
        <v/>
      </c>
      <c r="AJ360" s="59" t="str">
        <f>IFERROR(Inv_SY!X362/Inv_SY!$Y362-1,"")</f>
        <v/>
      </c>
      <c r="AK360" s="59" t="str">
        <f>IFERROR(Inv_SY!V362/Inv_SY!$Z362-1,"")</f>
        <v/>
      </c>
      <c r="AL360" s="59" t="str">
        <f>IFERROR(Inv_SY!W362/Inv_SY!$Z362-1,"")</f>
        <v/>
      </c>
      <c r="AM360" s="59" t="str">
        <f>IFERROR(Inv_SY!X362/Inv_SY!$Z362-1,"")</f>
        <v/>
      </c>
    </row>
    <row r="361" spans="1:39" x14ac:dyDescent="0.3">
      <c r="A361" s="55">
        <f>YEAR(Table5[[#This Row],[Date]])+IF(MONTH(Table5[[#This Row],[Date]])&gt;=4,1,0)</f>
        <v>2026</v>
      </c>
      <c r="B361" s="55">
        <v>321</v>
      </c>
      <c r="C361" s="124">
        <f>YEAR(Table5[[#This Row],[Date]])</f>
        <v>2026</v>
      </c>
      <c r="D361" s="55" t="s">
        <v>329</v>
      </c>
      <c r="E361" s="55" t="s">
        <v>329</v>
      </c>
      <c r="F361" s="126" t="str">
        <f>TEXT(Table5[[#This Row],[Date]],"mmm-yy")</f>
        <v>Mar-26</v>
      </c>
      <c r="G361" s="124">
        <f t="shared" si="13"/>
        <v>31</v>
      </c>
      <c r="H361" s="125">
        <f t="shared" si="14"/>
        <v>46104</v>
      </c>
      <c r="I361" s="55">
        <v>8.02</v>
      </c>
      <c r="J361" s="59" t="str">
        <f>IFERROR(Inv_SY!J363/Inv_SY!$Y363-1,"")</f>
        <v/>
      </c>
      <c r="K361" s="59" t="str">
        <f>IFERROR(Inv_SY!K363/Inv_SY!$Y363-1,"")</f>
        <v/>
      </c>
      <c r="L361" s="59" t="str">
        <f>IFERROR(Inv_SY!L363/Inv_SY!$Y363-1,"")</f>
        <v/>
      </c>
      <c r="M361" s="59" t="str">
        <f>IFERROR(Inv_SY!M363/Inv_SY!$Y363-1,"")</f>
        <v/>
      </c>
      <c r="N361" s="59" t="str">
        <f>IFERROR(Inv_SY!N363/Inv_SY!$Y363-1,"")</f>
        <v/>
      </c>
      <c r="O361" s="59" t="str">
        <f>IFERROR(Inv_SY!O363/Inv_SY!$Y363-1,"")</f>
        <v/>
      </c>
      <c r="P361" s="59" t="str">
        <f>IFERROR(Inv_SY!P363/Inv_SY!$Y363-1,"")</f>
        <v/>
      </c>
      <c r="Q361" s="59" t="str">
        <f>IFERROR(Inv_SY!Q363/Inv_SY!$Y363-1,"")</f>
        <v/>
      </c>
      <c r="R361" s="59" t="str">
        <f>IFERROR(Inv_SY!R363/Inv_SY!$Y363-1,"")</f>
        <v/>
      </c>
      <c r="S361" s="59" t="str">
        <f>IFERROR(Inv_SY!S363/Inv_SY!$Y363-1,"")</f>
        <v/>
      </c>
      <c r="T361" s="59" t="str">
        <f>IFERROR(Inv_SY!T363/Inv_SY!$Y363-1,"")</f>
        <v/>
      </c>
      <c r="U361" s="59" t="str">
        <f>IFERROR(Inv_SY!U363/Inv_SY!$Y363-1,"")</f>
        <v/>
      </c>
      <c r="V361" s="59" t="str">
        <f>IFERROR(Inv_SY!J363/Inv_SY!$Z363-1,"")</f>
        <v/>
      </c>
      <c r="W361" s="59" t="str">
        <f>IFERROR(Inv_SY!K363/Inv_SY!$Z363-1,"")</f>
        <v/>
      </c>
      <c r="X361" s="59" t="str">
        <f>IFERROR(Inv_SY!L363/Inv_SY!$Z363-1,"")</f>
        <v/>
      </c>
      <c r="Y361" s="59" t="str">
        <f>IFERROR(Inv_SY!M363/Inv_SY!$Z363-1,"")</f>
        <v/>
      </c>
      <c r="Z361" s="59" t="str">
        <f>IFERROR(Inv_SY!N363/Inv_SY!$Z363-1,"")</f>
        <v/>
      </c>
      <c r="AA361" s="59" t="str">
        <f>IFERROR(Inv_SY!O363/Inv_SY!$Z363-1,"")</f>
        <v/>
      </c>
      <c r="AB361" s="59" t="str">
        <f>IFERROR(Inv_SY!P363/Inv_SY!$Z363-1,"")</f>
        <v/>
      </c>
      <c r="AC361" s="59" t="str">
        <f>IFERROR(Inv_SY!Q363/Inv_SY!$Z363-1,"")</f>
        <v/>
      </c>
      <c r="AD361" s="59" t="str">
        <f>IFERROR(Inv_SY!R363/Inv_SY!$Z363-1,"")</f>
        <v/>
      </c>
      <c r="AE361" s="59" t="str">
        <f>IFERROR(Inv_SY!S363/Inv_SY!$Z363-1,"")</f>
        <v/>
      </c>
      <c r="AF361" s="59" t="str">
        <f>IFERROR(Inv_SY!T363/Inv_SY!$Z363-1,"")</f>
        <v/>
      </c>
      <c r="AG361" s="59" t="str">
        <f>IFERROR(Inv_SY!U363/Inv_SY!$Z363-1,"")</f>
        <v/>
      </c>
      <c r="AH361" s="59" t="str">
        <f>IFERROR(Inv_SY!V363/Inv_SY!$Y363-1,"")</f>
        <v/>
      </c>
      <c r="AI361" s="59" t="str">
        <f>IFERROR(Inv_SY!W363/Inv_SY!$Y363-1,"")</f>
        <v/>
      </c>
      <c r="AJ361" s="59" t="str">
        <f>IFERROR(Inv_SY!X363/Inv_SY!$Y363-1,"")</f>
        <v/>
      </c>
      <c r="AK361" s="59" t="str">
        <f>IFERROR(Inv_SY!V363/Inv_SY!$Z363-1,"")</f>
        <v/>
      </c>
      <c r="AL361" s="59" t="str">
        <f>IFERROR(Inv_SY!W363/Inv_SY!$Z363-1,"")</f>
        <v/>
      </c>
      <c r="AM361" s="59" t="str">
        <f>IFERROR(Inv_SY!X363/Inv_SY!$Z363-1,"")</f>
        <v/>
      </c>
    </row>
    <row r="362" spans="1:39" x14ac:dyDescent="0.3">
      <c r="A362" s="55">
        <f>YEAR(Table5[[#This Row],[Date]])+IF(MONTH(Table5[[#This Row],[Date]])&gt;=4,1,0)</f>
        <v>2026</v>
      </c>
      <c r="B362" s="55">
        <v>322</v>
      </c>
      <c r="C362" s="124">
        <f>YEAR(Table5[[#This Row],[Date]])</f>
        <v>2026</v>
      </c>
      <c r="D362" s="55" t="s">
        <v>329</v>
      </c>
      <c r="E362" s="55" t="s">
        <v>329</v>
      </c>
      <c r="F362" s="126" t="str">
        <f>TEXT(Table5[[#This Row],[Date]],"mmm-yy")</f>
        <v>Mar-26</v>
      </c>
      <c r="G362" s="124">
        <f t="shared" si="13"/>
        <v>31</v>
      </c>
      <c r="H362" s="125">
        <f t="shared" si="14"/>
        <v>46105</v>
      </c>
      <c r="I362" s="55">
        <v>8.02</v>
      </c>
      <c r="J362" s="59" t="str">
        <f>IFERROR(Inv_SY!J364/Inv_SY!$Y364-1,"")</f>
        <v/>
      </c>
      <c r="K362" s="59" t="str">
        <f>IFERROR(Inv_SY!K364/Inv_SY!$Y364-1,"")</f>
        <v/>
      </c>
      <c r="L362" s="59" t="str">
        <f>IFERROR(Inv_SY!L364/Inv_SY!$Y364-1,"")</f>
        <v/>
      </c>
      <c r="M362" s="59" t="str">
        <f>IFERROR(Inv_SY!M364/Inv_SY!$Y364-1,"")</f>
        <v/>
      </c>
      <c r="N362" s="59" t="str">
        <f>IFERROR(Inv_SY!N364/Inv_SY!$Y364-1,"")</f>
        <v/>
      </c>
      <c r="O362" s="59" t="str">
        <f>IFERROR(Inv_SY!O364/Inv_SY!$Y364-1,"")</f>
        <v/>
      </c>
      <c r="P362" s="59" t="str">
        <f>IFERROR(Inv_SY!P364/Inv_SY!$Y364-1,"")</f>
        <v/>
      </c>
      <c r="Q362" s="59" t="str">
        <f>IFERROR(Inv_SY!Q364/Inv_SY!$Y364-1,"")</f>
        <v/>
      </c>
      <c r="R362" s="59" t="str">
        <f>IFERROR(Inv_SY!R364/Inv_SY!$Y364-1,"")</f>
        <v/>
      </c>
      <c r="S362" s="59" t="str">
        <f>IFERROR(Inv_SY!S364/Inv_SY!$Y364-1,"")</f>
        <v/>
      </c>
      <c r="T362" s="59" t="str">
        <f>IFERROR(Inv_SY!T364/Inv_SY!$Y364-1,"")</f>
        <v/>
      </c>
      <c r="U362" s="59" t="str">
        <f>IFERROR(Inv_SY!U364/Inv_SY!$Y364-1,"")</f>
        <v/>
      </c>
      <c r="V362" s="59" t="str">
        <f>IFERROR(Inv_SY!J364/Inv_SY!$Z364-1,"")</f>
        <v/>
      </c>
      <c r="W362" s="59" t="str">
        <f>IFERROR(Inv_SY!K364/Inv_SY!$Z364-1,"")</f>
        <v/>
      </c>
      <c r="X362" s="59" t="str">
        <f>IFERROR(Inv_SY!L364/Inv_SY!$Z364-1,"")</f>
        <v/>
      </c>
      <c r="Y362" s="59" t="str">
        <f>IFERROR(Inv_SY!M364/Inv_SY!$Z364-1,"")</f>
        <v/>
      </c>
      <c r="Z362" s="59" t="str">
        <f>IFERROR(Inv_SY!N364/Inv_SY!$Z364-1,"")</f>
        <v/>
      </c>
      <c r="AA362" s="59" t="str">
        <f>IFERROR(Inv_SY!O364/Inv_SY!$Z364-1,"")</f>
        <v/>
      </c>
      <c r="AB362" s="59" t="str">
        <f>IFERROR(Inv_SY!P364/Inv_SY!$Z364-1,"")</f>
        <v/>
      </c>
      <c r="AC362" s="59" t="str">
        <f>IFERROR(Inv_SY!Q364/Inv_SY!$Z364-1,"")</f>
        <v/>
      </c>
      <c r="AD362" s="59" t="str">
        <f>IFERROR(Inv_SY!R364/Inv_SY!$Z364-1,"")</f>
        <v/>
      </c>
      <c r="AE362" s="59" t="str">
        <f>IFERROR(Inv_SY!S364/Inv_SY!$Z364-1,"")</f>
        <v/>
      </c>
      <c r="AF362" s="59" t="str">
        <f>IFERROR(Inv_SY!T364/Inv_SY!$Z364-1,"")</f>
        <v/>
      </c>
      <c r="AG362" s="59" t="str">
        <f>IFERROR(Inv_SY!U364/Inv_SY!$Z364-1,"")</f>
        <v/>
      </c>
      <c r="AH362" s="59" t="str">
        <f>IFERROR(Inv_SY!V364/Inv_SY!$Y364-1,"")</f>
        <v/>
      </c>
      <c r="AI362" s="59" t="str">
        <f>IFERROR(Inv_SY!W364/Inv_SY!$Y364-1,"")</f>
        <v/>
      </c>
      <c r="AJ362" s="59" t="str">
        <f>IFERROR(Inv_SY!X364/Inv_SY!$Y364-1,"")</f>
        <v/>
      </c>
      <c r="AK362" s="59" t="str">
        <f>IFERROR(Inv_SY!V364/Inv_SY!$Z364-1,"")</f>
        <v/>
      </c>
      <c r="AL362" s="59" t="str">
        <f>IFERROR(Inv_SY!W364/Inv_SY!$Z364-1,"")</f>
        <v/>
      </c>
      <c r="AM362" s="59" t="str">
        <f>IFERROR(Inv_SY!X364/Inv_SY!$Z364-1,"")</f>
        <v/>
      </c>
    </row>
    <row r="363" spans="1:39" x14ac:dyDescent="0.3">
      <c r="A363" s="55">
        <f>YEAR(Table5[[#This Row],[Date]])+IF(MONTH(Table5[[#This Row],[Date]])&gt;=4,1,0)</f>
        <v>2026</v>
      </c>
      <c r="B363" s="55">
        <v>323</v>
      </c>
      <c r="C363" s="124">
        <f>YEAR(Table5[[#This Row],[Date]])</f>
        <v>2026</v>
      </c>
      <c r="D363" s="55" t="s">
        <v>329</v>
      </c>
      <c r="E363" s="55" t="s">
        <v>329</v>
      </c>
      <c r="F363" s="126" t="str">
        <f>TEXT(Table5[[#This Row],[Date]],"mmm-yy")</f>
        <v>Mar-26</v>
      </c>
      <c r="G363" s="124">
        <f t="shared" si="13"/>
        <v>31</v>
      </c>
      <c r="H363" s="125">
        <f t="shared" si="14"/>
        <v>46106</v>
      </c>
      <c r="I363" s="55">
        <v>8.02</v>
      </c>
      <c r="J363" s="59" t="str">
        <f>IFERROR(Inv_SY!J365/Inv_SY!$Y365-1,"")</f>
        <v/>
      </c>
      <c r="K363" s="59" t="str">
        <f>IFERROR(Inv_SY!K365/Inv_SY!$Y365-1,"")</f>
        <v/>
      </c>
      <c r="L363" s="59" t="str">
        <f>IFERROR(Inv_SY!L365/Inv_SY!$Y365-1,"")</f>
        <v/>
      </c>
      <c r="M363" s="59" t="str">
        <f>IFERROR(Inv_SY!M365/Inv_SY!$Y365-1,"")</f>
        <v/>
      </c>
      <c r="N363" s="59" t="str">
        <f>IFERROR(Inv_SY!N365/Inv_SY!$Y365-1,"")</f>
        <v/>
      </c>
      <c r="O363" s="59" t="str">
        <f>IFERROR(Inv_SY!O365/Inv_SY!$Y365-1,"")</f>
        <v/>
      </c>
      <c r="P363" s="59" t="str">
        <f>IFERROR(Inv_SY!P365/Inv_SY!$Y365-1,"")</f>
        <v/>
      </c>
      <c r="Q363" s="59" t="str">
        <f>IFERROR(Inv_SY!Q365/Inv_SY!$Y365-1,"")</f>
        <v/>
      </c>
      <c r="R363" s="59" t="str">
        <f>IFERROR(Inv_SY!R365/Inv_SY!$Y365-1,"")</f>
        <v/>
      </c>
      <c r="S363" s="59" t="str">
        <f>IFERROR(Inv_SY!S365/Inv_SY!$Y365-1,"")</f>
        <v/>
      </c>
      <c r="T363" s="59" t="str">
        <f>IFERROR(Inv_SY!T365/Inv_SY!$Y365-1,"")</f>
        <v/>
      </c>
      <c r="U363" s="59" t="str">
        <f>IFERROR(Inv_SY!U365/Inv_SY!$Y365-1,"")</f>
        <v/>
      </c>
      <c r="V363" s="59" t="str">
        <f>IFERROR(Inv_SY!J365/Inv_SY!$Z365-1,"")</f>
        <v/>
      </c>
      <c r="W363" s="59" t="str">
        <f>IFERROR(Inv_SY!K365/Inv_SY!$Z365-1,"")</f>
        <v/>
      </c>
      <c r="X363" s="59" t="str">
        <f>IFERROR(Inv_SY!L365/Inv_SY!$Z365-1,"")</f>
        <v/>
      </c>
      <c r="Y363" s="59" t="str">
        <f>IFERROR(Inv_SY!M365/Inv_SY!$Z365-1,"")</f>
        <v/>
      </c>
      <c r="Z363" s="59" t="str">
        <f>IFERROR(Inv_SY!N365/Inv_SY!$Z365-1,"")</f>
        <v/>
      </c>
      <c r="AA363" s="59" t="str">
        <f>IFERROR(Inv_SY!O365/Inv_SY!$Z365-1,"")</f>
        <v/>
      </c>
      <c r="AB363" s="59" t="str">
        <f>IFERROR(Inv_SY!P365/Inv_SY!$Z365-1,"")</f>
        <v/>
      </c>
      <c r="AC363" s="59" t="str">
        <f>IFERROR(Inv_SY!Q365/Inv_SY!$Z365-1,"")</f>
        <v/>
      </c>
      <c r="AD363" s="59" t="str">
        <f>IFERROR(Inv_SY!R365/Inv_SY!$Z365-1,"")</f>
        <v/>
      </c>
      <c r="AE363" s="59" t="str">
        <f>IFERROR(Inv_SY!S365/Inv_SY!$Z365-1,"")</f>
        <v/>
      </c>
      <c r="AF363" s="59" t="str">
        <f>IFERROR(Inv_SY!T365/Inv_SY!$Z365-1,"")</f>
        <v/>
      </c>
      <c r="AG363" s="59" t="str">
        <f>IFERROR(Inv_SY!U365/Inv_SY!$Z365-1,"")</f>
        <v/>
      </c>
      <c r="AH363" s="59" t="str">
        <f>IFERROR(Inv_SY!V365/Inv_SY!$Y365-1,"")</f>
        <v/>
      </c>
      <c r="AI363" s="59" t="str">
        <f>IFERROR(Inv_SY!W365/Inv_SY!$Y365-1,"")</f>
        <v/>
      </c>
      <c r="AJ363" s="59" t="str">
        <f>IFERROR(Inv_SY!X365/Inv_SY!$Y365-1,"")</f>
        <v/>
      </c>
      <c r="AK363" s="59" t="str">
        <f>IFERROR(Inv_SY!V365/Inv_SY!$Z365-1,"")</f>
        <v/>
      </c>
      <c r="AL363" s="59" t="str">
        <f>IFERROR(Inv_SY!W365/Inv_SY!$Z365-1,"")</f>
        <v/>
      </c>
      <c r="AM363" s="59" t="str">
        <f>IFERROR(Inv_SY!X365/Inv_SY!$Z365-1,"")</f>
        <v/>
      </c>
    </row>
    <row r="364" spans="1:39" x14ac:dyDescent="0.3">
      <c r="A364" s="55">
        <f>YEAR(Table5[[#This Row],[Date]])+IF(MONTH(Table5[[#This Row],[Date]])&gt;=4,1,0)</f>
        <v>2026</v>
      </c>
      <c r="B364" s="55">
        <v>324</v>
      </c>
      <c r="C364" s="124">
        <f>YEAR(Table5[[#This Row],[Date]])</f>
        <v>2026</v>
      </c>
      <c r="D364" s="55" t="s">
        <v>329</v>
      </c>
      <c r="E364" s="55" t="s">
        <v>329</v>
      </c>
      <c r="F364" s="126" t="str">
        <f>TEXT(Table5[[#This Row],[Date]],"mmm-yy")</f>
        <v>Mar-26</v>
      </c>
      <c r="G364" s="124">
        <f t="shared" si="13"/>
        <v>31</v>
      </c>
      <c r="H364" s="125">
        <f t="shared" si="14"/>
        <v>46107</v>
      </c>
      <c r="I364" s="55">
        <v>8.02</v>
      </c>
      <c r="J364" s="59" t="str">
        <f>IFERROR(Inv_SY!J366/Inv_SY!$Y366-1,"")</f>
        <v/>
      </c>
      <c r="K364" s="59" t="str">
        <f>IFERROR(Inv_SY!K366/Inv_SY!$Y366-1,"")</f>
        <v/>
      </c>
      <c r="L364" s="59" t="str">
        <f>IFERROR(Inv_SY!L366/Inv_SY!$Y366-1,"")</f>
        <v/>
      </c>
      <c r="M364" s="59" t="str">
        <f>IFERROR(Inv_SY!M366/Inv_SY!$Y366-1,"")</f>
        <v/>
      </c>
      <c r="N364" s="59" t="str">
        <f>IFERROR(Inv_SY!N366/Inv_SY!$Y366-1,"")</f>
        <v/>
      </c>
      <c r="O364" s="59" t="str">
        <f>IFERROR(Inv_SY!O366/Inv_SY!$Y366-1,"")</f>
        <v/>
      </c>
      <c r="P364" s="59" t="str">
        <f>IFERROR(Inv_SY!P366/Inv_SY!$Y366-1,"")</f>
        <v/>
      </c>
      <c r="Q364" s="59" t="str">
        <f>IFERROR(Inv_SY!Q366/Inv_SY!$Y366-1,"")</f>
        <v/>
      </c>
      <c r="R364" s="59" t="str">
        <f>IFERROR(Inv_SY!R366/Inv_SY!$Y366-1,"")</f>
        <v/>
      </c>
      <c r="S364" s="59" t="str">
        <f>IFERROR(Inv_SY!S366/Inv_SY!$Y366-1,"")</f>
        <v/>
      </c>
      <c r="T364" s="59" t="str">
        <f>IFERROR(Inv_SY!T366/Inv_SY!$Y366-1,"")</f>
        <v/>
      </c>
      <c r="U364" s="59" t="str">
        <f>IFERROR(Inv_SY!U366/Inv_SY!$Y366-1,"")</f>
        <v/>
      </c>
      <c r="V364" s="59" t="str">
        <f>IFERROR(Inv_SY!J366/Inv_SY!$Z366-1,"")</f>
        <v/>
      </c>
      <c r="W364" s="59" t="str">
        <f>IFERROR(Inv_SY!K366/Inv_SY!$Z366-1,"")</f>
        <v/>
      </c>
      <c r="X364" s="59" t="str">
        <f>IFERROR(Inv_SY!L366/Inv_SY!$Z366-1,"")</f>
        <v/>
      </c>
      <c r="Y364" s="59" t="str">
        <f>IFERROR(Inv_SY!M366/Inv_SY!$Z366-1,"")</f>
        <v/>
      </c>
      <c r="Z364" s="59" t="str">
        <f>IFERROR(Inv_SY!N366/Inv_SY!$Z366-1,"")</f>
        <v/>
      </c>
      <c r="AA364" s="59" t="str">
        <f>IFERROR(Inv_SY!O366/Inv_SY!$Z366-1,"")</f>
        <v/>
      </c>
      <c r="AB364" s="59" t="str">
        <f>IFERROR(Inv_SY!P366/Inv_SY!$Z366-1,"")</f>
        <v/>
      </c>
      <c r="AC364" s="59" t="str">
        <f>IFERROR(Inv_SY!Q366/Inv_SY!$Z366-1,"")</f>
        <v/>
      </c>
      <c r="AD364" s="59" t="str">
        <f>IFERROR(Inv_SY!R366/Inv_SY!$Z366-1,"")</f>
        <v/>
      </c>
      <c r="AE364" s="59" t="str">
        <f>IFERROR(Inv_SY!S366/Inv_SY!$Z366-1,"")</f>
        <v/>
      </c>
      <c r="AF364" s="59" t="str">
        <f>IFERROR(Inv_SY!T366/Inv_SY!$Z366-1,"")</f>
        <v/>
      </c>
      <c r="AG364" s="59" t="str">
        <f>IFERROR(Inv_SY!U366/Inv_SY!$Z366-1,"")</f>
        <v/>
      </c>
      <c r="AH364" s="59" t="str">
        <f>IFERROR(Inv_SY!V366/Inv_SY!$Y366-1,"")</f>
        <v/>
      </c>
      <c r="AI364" s="59" t="str">
        <f>IFERROR(Inv_SY!W366/Inv_SY!$Y366-1,"")</f>
        <v/>
      </c>
      <c r="AJ364" s="59" t="str">
        <f>IFERROR(Inv_SY!X366/Inv_SY!$Y366-1,"")</f>
        <v/>
      </c>
      <c r="AK364" s="59" t="str">
        <f>IFERROR(Inv_SY!V366/Inv_SY!$Z366-1,"")</f>
        <v/>
      </c>
      <c r="AL364" s="59" t="str">
        <f>IFERROR(Inv_SY!W366/Inv_SY!$Z366-1,"")</f>
        <v/>
      </c>
      <c r="AM364" s="59" t="str">
        <f>IFERROR(Inv_SY!X366/Inv_SY!$Z366-1,"")</f>
        <v/>
      </c>
    </row>
    <row r="365" spans="1:39" x14ac:dyDescent="0.3">
      <c r="A365" s="55">
        <f>YEAR(Table5[[#This Row],[Date]])+IF(MONTH(Table5[[#This Row],[Date]])&gt;=4,1,0)</f>
        <v>2026</v>
      </c>
      <c r="B365" s="55">
        <v>325</v>
      </c>
      <c r="C365" s="124">
        <f>YEAR(Table5[[#This Row],[Date]])</f>
        <v>2026</v>
      </c>
      <c r="D365" s="55" t="s">
        <v>329</v>
      </c>
      <c r="E365" s="55" t="s">
        <v>329</v>
      </c>
      <c r="F365" s="126" t="str">
        <f>TEXT(Table5[[#This Row],[Date]],"mmm-yy")</f>
        <v>Mar-26</v>
      </c>
      <c r="G365" s="124">
        <f t="shared" ref="G365:G428" si="15">DAY(EOMONTH(F365,0))</f>
        <v>31</v>
      </c>
      <c r="H365" s="125">
        <f t="shared" si="14"/>
        <v>46108</v>
      </c>
      <c r="I365" s="55">
        <v>8.02</v>
      </c>
      <c r="J365" s="59" t="str">
        <f>IFERROR(Inv_SY!J367/Inv_SY!$Y367-1,"")</f>
        <v/>
      </c>
      <c r="K365" s="59" t="str">
        <f>IFERROR(Inv_SY!K367/Inv_SY!$Y367-1,"")</f>
        <v/>
      </c>
      <c r="L365" s="59" t="str">
        <f>IFERROR(Inv_SY!L367/Inv_SY!$Y367-1,"")</f>
        <v/>
      </c>
      <c r="M365" s="59" t="str">
        <f>IFERROR(Inv_SY!M367/Inv_SY!$Y367-1,"")</f>
        <v/>
      </c>
      <c r="N365" s="59" t="str">
        <f>IFERROR(Inv_SY!N367/Inv_SY!$Y367-1,"")</f>
        <v/>
      </c>
      <c r="O365" s="59" t="str">
        <f>IFERROR(Inv_SY!O367/Inv_SY!$Y367-1,"")</f>
        <v/>
      </c>
      <c r="P365" s="59" t="str">
        <f>IFERROR(Inv_SY!P367/Inv_SY!$Y367-1,"")</f>
        <v/>
      </c>
      <c r="Q365" s="59" t="str">
        <f>IFERROR(Inv_SY!Q367/Inv_SY!$Y367-1,"")</f>
        <v/>
      </c>
      <c r="R365" s="59" t="str">
        <f>IFERROR(Inv_SY!R367/Inv_SY!$Y367-1,"")</f>
        <v/>
      </c>
      <c r="S365" s="59" t="str">
        <f>IFERROR(Inv_SY!S367/Inv_SY!$Y367-1,"")</f>
        <v/>
      </c>
      <c r="T365" s="59" t="str">
        <f>IFERROR(Inv_SY!T367/Inv_SY!$Y367-1,"")</f>
        <v/>
      </c>
      <c r="U365" s="59" t="str">
        <f>IFERROR(Inv_SY!U367/Inv_SY!$Y367-1,"")</f>
        <v/>
      </c>
      <c r="V365" s="59" t="str">
        <f>IFERROR(Inv_SY!J367/Inv_SY!$Z367-1,"")</f>
        <v/>
      </c>
      <c r="W365" s="59" t="str">
        <f>IFERROR(Inv_SY!K367/Inv_SY!$Z367-1,"")</f>
        <v/>
      </c>
      <c r="X365" s="59" t="str">
        <f>IFERROR(Inv_SY!L367/Inv_SY!$Z367-1,"")</f>
        <v/>
      </c>
      <c r="Y365" s="59" t="str">
        <f>IFERROR(Inv_SY!M367/Inv_SY!$Z367-1,"")</f>
        <v/>
      </c>
      <c r="Z365" s="59" t="str">
        <f>IFERROR(Inv_SY!N367/Inv_SY!$Z367-1,"")</f>
        <v/>
      </c>
      <c r="AA365" s="59" t="str">
        <f>IFERROR(Inv_SY!O367/Inv_SY!$Z367-1,"")</f>
        <v/>
      </c>
      <c r="AB365" s="59" t="str">
        <f>IFERROR(Inv_SY!P367/Inv_SY!$Z367-1,"")</f>
        <v/>
      </c>
      <c r="AC365" s="59" t="str">
        <f>IFERROR(Inv_SY!Q367/Inv_SY!$Z367-1,"")</f>
        <v/>
      </c>
      <c r="AD365" s="59" t="str">
        <f>IFERROR(Inv_SY!R367/Inv_SY!$Z367-1,"")</f>
        <v/>
      </c>
      <c r="AE365" s="59" t="str">
        <f>IFERROR(Inv_SY!S367/Inv_SY!$Z367-1,"")</f>
        <v/>
      </c>
      <c r="AF365" s="59" t="str">
        <f>IFERROR(Inv_SY!T367/Inv_SY!$Z367-1,"")</f>
        <v/>
      </c>
      <c r="AG365" s="59" t="str">
        <f>IFERROR(Inv_SY!U367/Inv_SY!$Z367-1,"")</f>
        <v/>
      </c>
      <c r="AH365" s="59" t="str">
        <f>IFERROR(Inv_SY!V367/Inv_SY!$Y367-1,"")</f>
        <v/>
      </c>
      <c r="AI365" s="59" t="str">
        <f>IFERROR(Inv_SY!W367/Inv_SY!$Y367-1,"")</f>
        <v/>
      </c>
      <c r="AJ365" s="59" t="str">
        <f>IFERROR(Inv_SY!X367/Inv_SY!$Y367-1,"")</f>
        <v/>
      </c>
      <c r="AK365" s="59" t="str">
        <f>IFERROR(Inv_SY!V367/Inv_SY!$Z367-1,"")</f>
        <v/>
      </c>
      <c r="AL365" s="59" t="str">
        <f>IFERROR(Inv_SY!W367/Inv_SY!$Z367-1,"")</f>
        <v/>
      </c>
      <c r="AM365" s="59" t="str">
        <f>IFERROR(Inv_SY!X367/Inv_SY!$Z367-1,"")</f>
        <v/>
      </c>
    </row>
    <row r="366" spans="1:39" x14ac:dyDescent="0.3">
      <c r="A366" s="55">
        <f>YEAR(Table5[[#This Row],[Date]])+IF(MONTH(Table5[[#This Row],[Date]])&gt;=4,1,0)</f>
        <v>2026</v>
      </c>
      <c r="B366" s="55">
        <v>326</v>
      </c>
      <c r="C366" s="124">
        <f>YEAR(Table5[[#This Row],[Date]])</f>
        <v>2026</v>
      </c>
      <c r="D366" s="55" t="s">
        <v>329</v>
      </c>
      <c r="E366" s="55" t="s">
        <v>329</v>
      </c>
      <c r="F366" s="126" t="str">
        <f>TEXT(Table5[[#This Row],[Date]],"mmm-yy")</f>
        <v>Mar-26</v>
      </c>
      <c r="G366" s="124">
        <f t="shared" si="15"/>
        <v>31</v>
      </c>
      <c r="H366" s="125">
        <f t="shared" si="14"/>
        <v>46109</v>
      </c>
      <c r="I366" s="55">
        <v>8.02</v>
      </c>
      <c r="J366" s="59" t="str">
        <f>IFERROR(Inv_SY!J368/Inv_SY!$Y368-1,"")</f>
        <v/>
      </c>
      <c r="K366" s="59" t="str">
        <f>IFERROR(Inv_SY!K368/Inv_SY!$Y368-1,"")</f>
        <v/>
      </c>
      <c r="L366" s="59" t="str">
        <f>IFERROR(Inv_SY!L368/Inv_SY!$Y368-1,"")</f>
        <v/>
      </c>
      <c r="M366" s="59" t="str">
        <f>IFERROR(Inv_SY!M368/Inv_SY!$Y368-1,"")</f>
        <v/>
      </c>
      <c r="N366" s="59" t="str">
        <f>IFERROR(Inv_SY!N368/Inv_SY!$Y368-1,"")</f>
        <v/>
      </c>
      <c r="O366" s="59" t="str">
        <f>IFERROR(Inv_SY!O368/Inv_SY!$Y368-1,"")</f>
        <v/>
      </c>
      <c r="P366" s="59" t="str">
        <f>IFERROR(Inv_SY!P368/Inv_SY!$Y368-1,"")</f>
        <v/>
      </c>
      <c r="Q366" s="59" t="str">
        <f>IFERROR(Inv_SY!Q368/Inv_SY!$Y368-1,"")</f>
        <v/>
      </c>
      <c r="R366" s="59" t="str">
        <f>IFERROR(Inv_SY!R368/Inv_SY!$Y368-1,"")</f>
        <v/>
      </c>
      <c r="S366" s="59" t="str">
        <f>IFERROR(Inv_SY!S368/Inv_SY!$Y368-1,"")</f>
        <v/>
      </c>
      <c r="T366" s="59" t="str">
        <f>IFERROR(Inv_SY!T368/Inv_SY!$Y368-1,"")</f>
        <v/>
      </c>
      <c r="U366" s="59" t="str">
        <f>IFERROR(Inv_SY!U368/Inv_SY!$Y368-1,"")</f>
        <v/>
      </c>
      <c r="V366" s="59" t="str">
        <f>IFERROR(Inv_SY!J368/Inv_SY!$Z368-1,"")</f>
        <v/>
      </c>
      <c r="W366" s="59" t="str">
        <f>IFERROR(Inv_SY!K368/Inv_SY!$Z368-1,"")</f>
        <v/>
      </c>
      <c r="X366" s="59" t="str">
        <f>IFERROR(Inv_SY!L368/Inv_SY!$Z368-1,"")</f>
        <v/>
      </c>
      <c r="Y366" s="59" t="str">
        <f>IFERROR(Inv_SY!M368/Inv_SY!$Z368-1,"")</f>
        <v/>
      </c>
      <c r="Z366" s="59" t="str">
        <f>IFERROR(Inv_SY!N368/Inv_SY!$Z368-1,"")</f>
        <v/>
      </c>
      <c r="AA366" s="59" t="str">
        <f>IFERROR(Inv_SY!O368/Inv_SY!$Z368-1,"")</f>
        <v/>
      </c>
      <c r="AB366" s="59" t="str">
        <f>IFERROR(Inv_SY!P368/Inv_SY!$Z368-1,"")</f>
        <v/>
      </c>
      <c r="AC366" s="59" t="str">
        <f>IFERROR(Inv_SY!Q368/Inv_SY!$Z368-1,"")</f>
        <v/>
      </c>
      <c r="AD366" s="59" t="str">
        <f>IFERROR(Inv_SY!R368/Inv_SY!$Z368-1,"")</f>
        <v/>
      </c>
      <c r="AE366" s="59" t="str">
        <f>IFERROR(Inv_SY!S368/Inv_SY!$Z368-1,"")</f>
        <v/>
      </c>
      <c r="AF366" s="59" t="str">
        <f>IFERROR(Inv_SY!T368/Inv_SY!$Z368-1,"")</f>
        <v/>
      </c>
      <c r="AG366" s="59" t="str">
        <f>IFERROR(Inv_SY!U368/Inv_SY!$Z368-1,"")</f>
        <v/>
      </c>
      <c r="AH366" s="59" t="str">
        <f>IFERROR(Inv_SY!V368/Inv_SY!$Y368-1,"")</f>
        <v/>
      </c>
      <c r="AI366" s="59" t="str">
        <f>IFERROR(Inv_SY!W368/Inv_SY!$Y368-1,"")</f>
        <v/>
      </c>
      <c r="AJ366" s="59" t="str">
        <f>IFERROR(Inv_SY!X368/Inv_SY!$Y368-1,"")</f>
        <v/>
      </c>
      <c r="AK366" s="59" t="str">
        <f>IFERROR(Inv_SY!V368/Inv_SY!$Z368-1,"")</f>
        <v/>
      </c>
      <c r="AL366" s="59" t="str">
        <f>IFERROR(Inv_SY!W368/Inv_SY!$Z368-1,"")</f>
        <v/>
      </c>
      <c r="AM366" s="59" t="str">
        <f>IFERROR(Inv_SY!X368/Inv_SY!$Z368-1,"")</f>
        <v/>
      </c>
    </row>
    <row r="367" spans="1:39" x14ac:dyDescent="0.3">
      <c r="A367" s="55">
        <f>YEAR(Table5[[#This Row],[Date]])+IF(MONTH(Table5[[#This Row],[Date]])&gt;=4,1,0)</f>
        <v>2026</v>
      </c>
      <c r="B367" s="55">
        <v>327</v>
      </c>
      <c r="C367" s="124">
        <f>YEAR(Table5[[#This Row],[Date]])</f>
        <v>2026</v>
      </c>
      <c r="D367" s="55" t="s">
        <v>329</v>
      </c>
      <c r="E367" s="55" t="s">
        <v>329</v>
      </c>
      <c r="F367" s="126" t="str">
        <f>TEXT(Table5[[#This Row],[Date]],"mmm-yy")</f>
        <v>Mar-26</v>
      </c>
      <c r="G367" s="124">
        <f t="shared" si="15"/>
        <v>31</v>
      </c>
      <c r="H367" s="125">
        <f t="shared" si="14"/>
        <v>46110</v>
      </c>
      <c r="I367" s="55">
        <v>8.02</v>
      </c>
      <c r="J367" s="59" t="str">
        <f>IFERROR(Inv_SY!J369/Inv_SY!$Y369-1,"")</f>
        <v/>
      </c>
      <c r="K367" s="59" t="str">
        <f>IFERROR(Inv_SY!K369/Inv_SY!$Y369-1,"")</f>
        <v/>
      </c>
      <c r="L367" s="59" t="str">
        <f>IFERROR(Inv_SY!L369/Inv_SY!$Y369-1,"")</f>
        <v/>
      </c>
      <c r="M367" s="59" t="str">
        <f>IFERROR(Inv_SY!M369/Inv_SY!$Y369-1,"")</f>
        <v/>
      </c>
      <c r="N367" s="59" t="str">
        <f>IFERROR(Inv_SY!N369/Inv_SY!$Y369-1,"")</f>
        <v/>
      </c>
      <c r="O367" s="59" t="str">
        <f>IFERROR(Inv_SY!O369/Inv_SY!$Y369-1,"")</f>
        <v/>
      </c>
      <c r="P367" s="59" t="str">
        <f>IFERROR(Inv_SY!P369/Inv_SY!$Y369-1,"")</f>
        <v/>
      </c>
      <c r="Q367" s="59" t="str">
        <f>IFERROR(Inv_SY!Q369/Inv_SY!$Y369-1,"")</f>
        <v/>
      </c>
      <c r="R367" s="59" t="str">
        <f>IFERROR(Inv_SY!R369/Inv_SY!$Y369-1,"")</f>
        <v/>
      </c>
      <c r="S367" s="59" t="str">
        <f>IFERROR(Inv_SY!S369/Inv_SY!$Y369-1,"")</f>
        <v/>
      </c>
      <c r="T367" s="59" t="str">
        <f>IFERROR(Inv_SY!T369/Inv_SY!$Y369-1,"")</f>
        <v/>
      </c>
      <c r="U367" s="59" t="str">
        <f>IFERROR(Inv_SY!U369/Inv_SY!$Y369-1,"")</f>
        <v/>
      </c>
      <c r="V367" s="59" t="str">
        <f>IFERROR(Inv_SY!J369/Inv_SY!$Z369-1,"")</f>
        <v/>
      </c>
      <c r="W367" s="59" t="str">
        <f>IFERROR(Inv_SY!K369/Inv_SY!$Z369-1,"")</f>
        <v/>
      </c>
      <c r="X367" s="59" t="str">
        <f>IFERROR(Inv_SY!L369/Inv_SY!$Z369-1,"")</f>
        <v/>
      </c>
      <c r="Y367" s="59" t="str">
        <f>IFERROR(Inv_SY!M369/Inv_SY!$Z369-1,"")</f>
        <v/>
      </c>
      <c r="Z367" s="59" t="str">
        <f>IFERROR(Inv_SY!N369/Inv_SY!$Z369-1,"")</f>
        <v/>
      </c>
      <c r="AA367" s="59" t="str">
        <f>IFERROR(Inv_SY!O369/Inv_SY!$Z369-1,"")</f>
        <v/>
      </c>
      <c r="AB367" s="59" t="str">
        <f>IFERROR(Inv_SY!P369/Inv_SY!$Z369-1,"")</f>
        <v/>
      </c>
      <c r="AC367" s="59" t="str">
        <f>IFERROR(Inv_SY!Q369/Inv_SY!$Z369-1,"")</f>
        <v/>
      </c>
      <c r="AD367" s="59" t="str">
        <f>IFERROR(Inv_SY!R369/Inv_SY!$Z369-1,"")</f>
        <v/>
      </c>
      <c r="AE367" s="59" t="str">
        <f>IFERROR(Inv_SY!S369/Inv_SY!$Z369-1,"")</f>
        <v/>
      </c>
      <c r="AF367" s="59" t="str">
        <f>IFERROR(Inv_SY!T369/Inv_SY!$Z369-1,"")</f>
        <v/>
      </c>
      <c r="AG367" s="59" t="str">
        <f>IFERROR(Inv_SY!U369/Inv_SY!$Z369-1,"")</f>
        <v/>
      </c>
      <c r="AH367" s="59" t="str">
        <f>IFERROR(Inv_SY!V369/Inv_SY!$Y369-1,"")</f>
        <v/>
      </c>
      <c r="AI367" s="59" t="str">
        <f>IFERROR(Inv_SY!W369/Inv_SY!$Y369-1,"")</f>
        <v/>
      </c>
      <c r="AJ367" s="59" t="str">
        <f>IFERROR(Inv_SY!X369/Inv_SY!$Y369-1,"")</f>
        <v/>
      </c>
      <c r="AK367" s="59" t="str">
        <f>IFERROR(Inv_SY!V369/Inv_SY!$Z369-1,"")</f>
        <v/>
      </c>
      <c r="AL367" s="59" t="str">
        <f>IFERROR(Inv_SY!W369/Inv_SY!$Z369-1,"")</f>
        <v/>
      </c>
      <c r="AM367" s="59" t="str">
        <f>IFERROR(Inv_SY!X369/Inv_SY!$Z369-1,"")</f>
        <v/>
      </c>
    </row>
    <row r="368" spans="1:39" x14ac:dyDescent="0.3">
      <c r="A368" s="55">
        <f>YEAR(Table5[[#This Row],[Date]])+IF(MONTH(Table5[[#This Row],[Date]])&gt;=4,1,0)</f>
        <v>2026</v>
      </c>
      <c r="B368" s="55">
        <v>328</v>
      </c>
      <c r="C368" s="124">
        <f>YEAR(Table5[[#This Row],[Date]])</f>
        <v>2026</v>
      </c>
      <c r="D368" s="55" t="s">
        <v>329</v>
      </c>
      <c r="E368" s="55" t="s">
        <v>329</v>
      </c>
      <c r="F368" s="126" t="str">
        <f>TEXT(Table5[[#This Row],[Date]],"mmm-yy")</f>
        <v>Mar-26</v>
      </c>
      <c r="G368" s="124">
        <f t="shared" si="15"/>
        <v>31</v>
      </c>
      <c r="H368" s="125">
        <f t="shared" si="14"/>
        <v>46111</v>
      </c>
      <c r="I368" s="55">
        <v>8.02</v>
      </c>
      <c r="J368" s="59" t="str">
        <f>IFERROR(Inv_SY!J370/Inv_SY!$Y370-1,"")</f>
        <v/>
      </c>
      <c r="K368" s="59" t="str">
        <f>IFERROR(Inv_SY!K370/Inv_SY!$Y370-1,"")</f>
        <v/>
      </c>
      <c r="L368" s="59" t="str">
        <f>IFERROR(Inv_SY!L370/Inv_SY!$Y370-1,"")</f>
        <v/>
      </c>
      <c r="M368" s="59" t="str">
        <f>IFERROR(Inv_SY!M370/Inv_SY!$Y370-1,"")</f>
        <v/>
      </c>
      <c r="N368" s="59" t="str">
        <f>IFERROR(Inv_SY!N370/Inv_SY!$Y370-1,"")</f>
        <v/>
      </c>
      <c r="O368" s="59" t="str">
        <f>IFERROR(Inv_SY!O370/Inv_SY!$Y370-1,"")</f>
        <v/>
      </c>
      <c r="P368" s="59" t="str">
        <f>IFERROR(Inv_SY!P370/Inv_SY!$Y370-1,"")</f>
        <v/>
      </c>
      <c r="Q368" s="59" t="str">
        <f>IFERROR(Inv_SY!Q370/Inv_SY!$Y370-1,"")</f>
        <v/>
      </c>
      <c r="R368" s="59" t="str">
        <f>IFERROR(Inv_SY!R370/Inv_SY!$Y370-1,"")</f>
        <v/>
      </c>
      <c r="S368" s="59" t="str">
        <f>IFERROR(Inv_SY!S370/Inv_SY!$Y370-1,"")</f>
        <v/>
      </c>
      <c r="T368" s="59" t="str">
        <f>IFERROR(Inv_SY!T370/Inv_SY!$Y370-1,"")</f>
        <v/>
      </c>
      <c r="U368" s="59" t="str">
        <f>IFERROR(Inv_SY!U370/Inv_SY!$Y370-1,"")</f>
        <v/>
      </c>
      <c r="V368" s="59" t="str">
        <f>IFERROR(Inv_SY!J370/Inv_SY!$Z370-1,"")</f>
        <v/>
      </c>
      <c r="W368" s="59" t="str">
        <f>IFERROR(Inv_SY!K370/Inv_SY!$Z370-1,"")</f>
        <v/>
      </c>
      <c r="X368" s="59" t="str">
        <f>IFERROR(Inv_SY!L370/Inv_SY!$Z370-1,"")</f>
        <v/>
      </c>
      <c r="Y368" s="59" t="str">
        <f>IFERROR(Inv_SY!M370/Inv_SY!$Z370-1,"")</f>
        <v/>
      </c>
      <c r="Z368" s="59" t="str">
        <f>IFERROR(Inv_SY!N370/Inv_SY!$Z370-1,"")</f>
        <v/>
      </c>
      <c r="AA368" s="59" t="str">
        <f>IFERROR(Inv_SY!O370/Inv_SY!$Z370-1,"")</f>
        <v/>
      </c>
      <c r="AB368" s="59" t="str">
        <f>IFERROR(Inv_SY!P370/Inv_SY!$Z370-1,"")</f>
        <v/>
      </c>
      <c r="AC368" s="59" t="str">
        <f>IFERROR(Inv_SY!Q370/Inv_SY!$Z370-1,"")</f>
        <v/>
      </c>
      <c r="AD368" s="59" t="str">
        <f>IFERROR(Inv_SY!R370/Inv_SY!$Z370-1,"")</f>
        <v/>
      </c>
      <c r="AE368" s="59" t="str">
        <f>IFERROR(Inv_SY!S370/Inv_SY!$Z370-1,"")</f>
        <v/>
      </c>
      <c r="AF368" s="59" t="str">
        <f>IFERROR(Inv_SY!T370/Inv_SY!$Z370-1,"")</f>
        <v/>
      </c>
      <c r="AG368" s="59" t="str">
        <f>IFERROR(Inv_SY!U370/Inv_SY!$Z370-1,"")</f>
        <v/>
      </c>
      <c r="AH368" s="59" t="str">
        <f>IFERROR(Inv_SY!V370/Inv_SY!$Y370-1,"")</f>
        <v/>
      </c>
      <c r="AI368" s="59" t="str">
        <f>IFERROR(Inv_SY!W370/Inv_SY!$Y370-1,"")</f>
        <v/>
      </c>
      <c r="AJ368" s="59" t="str">
        <f>IFERROR(Inv_SY!X370/Inv_SY!$Y370-1,"")</f>
        <v/>
      </c>
      <c r="AK368" s="59" t="str">
        <f>IFERROR(Inv_SY!V370/Inv_SY!$Z370-1,"")</f>
        <v/>
      </c>
      <c r="AL368" s="59" t="str">
        <f>IFERROR(Inv_SY!W370/Inv_SY!$Z370-1,"")</f>
        <v/>
      </c>
      <c r="AM368" s="59" t="str">
        <f>IFERROR(Inv_SY!X370/Inv_SY!$Z370-1,"")</f>
        <v/>
      </c>
    </row>
    <row r="369" spans="1:39" x14ac:dyDescent="0.3">
      <c r="A369" s="55">
        <f>YEAR(Table5[[#This Row],[Date]])+IF(MONTH(Table5[[#This Row],[Date]])&gt;=4,1,0)</f>
        <v>2026</v>
      </c>
      <c r="B369" s="55">
        <v>329</v>
      </c>
      <c r="C369" s="124">
        <f>YEAR(Table5[[#This Row],[Date]])</f>
        <v>2026</v>
      </c>
      <c r="D369" s="55" t="s">
        <v>329</v>
      </c>
      <c r="E369" s="55" t="s">
        <v>329</v>
      </c>
      <c r="F369" s="126" t="str">
        <f>TEXT(Table5[[#This Row],[Date]],"mmm-yy")</f>
        <v>Mar-26</v>
      </c>
      <c r="G369" s="124">
        <f t="shared" si="15"/>
        <v>31</v>
      </c>
      <c r="H369" s="125">
        <f t="shared" si="14"/>
        <v>46112</v>
      </c>
      <c r="I369" s="55">
        <v>8.02</v>
      </c>
      <c r="J369" s="59" t="str">
        <f>IFERROR(Inv_SY!J371/Inv_SY!$Y371-1,"")</f>
        <v/>
      </c>
      <c r="K369" s="59" t="str">
        <f>IFERROR(Inv_SY!K371/Inv_SY!$Y371-1,"")</f>
        <v/>
      </c>
      <c r="L369" s="59" t="str">
        <f>IFERROR(Inv_SY!L371/Inv_SY!$Y371-1,"")</f>
        <v/>
      </c>
      <c r="M369" s="59" t="str">
        <f>IFERROR(Inv_SY!M371/Inv_SY!$Y371-1,"")</f>
        <v/>
      </c>
      <c r="N369" s="59" t="str">
        <f>IFERROR(Inv_SY!N371/Inv_SY!$Y371-1,"")</f>
        <v/>
      </c>
      <c r="O369" s="59" t="str">
        <f>IFERROR(Inv_SY!O371/Inv_SY!$Y371-1,"")</f>
        <v/>
      </c>
      <c r="P369" s="59" t="str">
        <f>IFERROR(Inv_SY!P371/Inv_SY!$Y371-1,"")</f>
        <v/>
      </c>
      <c r="Q369" s="59" t="str">
        <f>IFERROR(Inv_SY!Q371/Inv_SY!$Y371-1,"")</f>
        <v/>
      </c>
      <c r="R369" s="59" t="str">
        <f>IFERROR(Inv_SY!R371/Inv_SY!$Y371-1,"")</f>
        <v/>
      </c>
      <c r="S369" s="59" t="str">
        <f>IFERROR(Inv_SY!S371/Inv_SY!$Y371-1,"")</f>
        <v/>
      </c>
      <c r="T369" s="59" t="str">
        <f>IFERROR(Inv_SY!T371/Inv_SY!$Y371-1,"")</f>
        <v/>
      </c>
      <c r="U369" s="59" t="str">
        <f>IFERROR(Inv_SY!U371/Inv_SY!$Y371-1,"")</f>
        <v/>
      </c>
      <c r="V369" s="59" t="str">
        <f>IFERROR(Inv_SY!J371/Inv_SY!$Z371-1,"")</f>
        <v/>
      </c>
      <c r="W369" s="59" t="str">
        <f>IFERROR(Inv_SY!K371/Inv_SY!$Z371-1,"")</f>
        <v/>
      </c>
      <c r="X369" s="59" t="str">
        <f>IFERROR(Inv_SY!L371/Inv_SY!$Z371-1,"")</f>
        <v/>
      </c>
      <c r="Y369" s="59" t="str">
        <f>IFERROR(Inv_SY!M371/Inv_SY!$Z371-1,"")</f>
        <v/>
      </c>
      <c r="Z369" s="59" t="str">
        <f>IFERROR(Inv_SY!N371/Inv_SY!$Z371-1,"")</f>
        <v/>
      </c>
      <c r="AA369" s="59" t="str">
        <f>IFERROR(Inv_SY!O371/Inv_SY!$Z371-1,"")</f>
        <v/>
      </c>
      <c r="AB369" s="59" t="str">
        <f>IFERROR(Inv_SY!P371/Inv_SY!$Z371-1,"")</f>
        <v/>
      </c>
      <c r="AC369" s="59" t="str">
        <f>IFERROR(Inv_SY!Q371/Inv_SY!$Z371-1,"")</f>
        <v/>
      </c>
      <c r="AD369" s="59" t="str">
        <f>IFERROR(Inv_SY!R371/Inv_SY!$Z371-1,"")</f>
        <v/>
      </c>
      <c r="AE369" s="59" t="str">
        <f>IFERROR(Inv_SY!S371/Inv_SY!$Z371-1,"")</f>
        <v/>
      </c>
      <c r="AF369" s="59" t="str">
        <f>IFERROR(Inv_SY!T371/Inv_SY!$Z371-1,"")</f>
        <v/>
      </c>
      <c r="AG369" s="59" t="str">
        <f>IFERROR(Inv_SY!U371/Inv_SY!$Z371-1,"")</f>
        <v/>
      </c>
      <c r="AH369" s="59" t="str">
        <f>IFERROR(Inv_SY!V371/Inv_SY!$Y371-1,"")</f>
        <v/>
      </c>
      <c r="AI369" s="59" t="str">
        <f>IFERROR(Inv_SY!W371/Inv_SY!$Y371-1,"")</f>
        <v/>
      </c>
      <c r="AJ369" s="59" t="str">
        <f>IFERROR(Inv_SY!X371/Inv_SY!$Y371-1,"")</f>
        <v/>
      </c>
      <c r="AK369" s="59" t="str">
        <f>IFERROR(Inv_SY!V371/Inv_SY!$Z371-1,"")</f>
        <v/>
      </c>
      <c r="AL369" s="59" t="str">
        <f>IFERROR(Inv_SY!W371/Inv_SY!$Z371-1,"")</f>
        <v/>
      </c>
      <c r="AM369" s="59" t="str">
        <f>IFERROR(Inv_SY!X371/Inv_SY!$Z371-1,"")</f>
        <v/>
      </c>
    </row>
    <row r="370" spans="1:39" x14ac:dyDescent="0.3">
      <c r="A370" s="55">
        <f>YEAR(Table5[[#This Row],[Date]])+IF(MONTH(Table5[[#This Row],[Date]])&gt;=4,1,0)</f>
        <v>2027</v>
      </c>
      <c r="B370" s="55">
        <v>330</v>
      </c>
      <c r="C370" s="124">
        <f>YEAR(Table5[[#This Row],[Date]])</f>
        <v>2026</v>
      </c>
      <c r="D370" s="55" t="s">
        <v>329</v>
      </c>
      <c r="E370" s="55" t="s">
        <v>329</v>
      </c>
      <c r="F370" s="126" t="str">
        <f>TEXT(Table5[[#This Row],[Date]],"mmm-yy")</f>
        <v>Apr-26</v>
      </c>
      <c r="G370" s="124">
        <f t="shared" si="15"/>
        <v>30</v>
      </c>
      <c r="H370" s="125">
        <f t="shared" si="14"/>
        <v>46113</v>
      </c>
      <c r="I370" s="55">
        <v>8.02</v>
      </c>
      <c r="J370" s="59" t="str">
        <f>IFERROR(Inv_SY!J372/Inv_SY!$Y372-1,"")</f>
        <v/>
      </c>
      <c r="K370" s="59" t="str">
        <f>IFERROR(Inv_SY!K372/Inv_SY!$Y372-1,"")</f>
        <v/>
      </c>
      <c r="L370" s="59" t="str">
        <f>IFERROR(Inv_SY!L372/Inv_SY!$Y372-1,"")</f>
        <v/>
      </c>
      <c r="M370" s="59" t="str">
        <f>IFERROR(Inv_SY!M372/Inv_SY!$Y372-1,"")</f>
        <v/>
      </c>
      <c r="N370" s="59" t="str">
        <f>IFERROR(Inv_SY!N372/Inv_SY!$Y372-1,"")</f>
        <v/>
      </c>
      <c r="O370" s="59" t="str">
        <f>IFERROR(Inv_SY!O372/Inv_SY!$Y372-1,"")</f>
        <v/>
      </c>
      <c r="P370" s="59" t="str">
        <f>IFERROR(Inv_SY!P372/Inv_SY!$Y372-1,"")</f>
        <v/>
      </c>
      <c r="Q370" s="59" t="str">
        <f>IFERROR(Inv_SY!Q372/Inv_SY!$Y372-1,"")</f>
        <v/>
      </c>
      <c r="R370" s="59" t="str">
        <f>IFERROR(Inv_SY!R372/Inv_SY!$Y372-1,"")</f>
        <v/>
      </c>
      <c r="S370" s="59" t="str">
        <f>IFERROR(Inv_SY!S372/Inv_SY!$Y372-1,"")</f>
        <v/>
      </c>
      <c r="T370" s="59" t="str">
        <f>IFERROR(Inv_SY!T372/Inv_SY!$Y372-1,"")</f>
        <v/>
      </c>
      <c r="U370" s="59" t="str">
        <f>IFERROR(Inv_SY!U372/Inv_SY!$Y372-1,"")</f>
        <v/>
      </c>
      <c r="V370" s="59" t="str">
        <f>IFERROR(Inv_SY!J372/Inv_SY!$Z372-1,"")</f>
        <v/>
      </c>
      <c r="W370" s="59" t="str">
        <f>IFERROR(Inv_SY!K372/Inv_SY!$Z372-1,"")</f>
        <v/>
      </c>
      <c r="X370" s="59" t="str">
        <f>IFERROR(Inv_SY!L372/Inv_SY!$Z372-1,"")</f>
        <v/>
      </c>
      <c r="Y370" s="59" t="str">
        <f>IFERROR(Inv_SY!M372/Inv_SY!$Z372-1,"")</f>
        <v/>
      </c>
      <c r="Z370" s="59" t="str">
        <f>IFERROR(Inv_SY!N372/Inv_SY!$Z372-1,"")</f>
        <v/>
      </c>
      <c r="AA370" s="59" t="str">
        <f>IFERROR(Inv_SY!O372/Inv_SY!$Z372-1,"")</f>
        <v/>
      </c>
      <c r="AB370" s="59" t="str">
        <f>IFERROR(Inv_SY!P372/Inv_SY!$Z372-1,"")</f>
        <v/>
      </c>
      <c r="AC370" s="59" t="str">
        <f>IFERROR(Inv_SY!Q372/Inv_SY!$Z372-1,"")</f>
        <v/>
      </c>
      <c r="AD370" s="59" t="str">
        <f>IFERROR(Inv_SY!R372/Inv_SY!$Z372-1,"")</f>
        <v/>
      </c>
      <c r="AE370" s="59" t="str">
        <f>IFERROR(Inv_SY!S372/Inv_SY!$Z372-1,"")</f>
        <v/>
      </c>
      <c r="AF370" s="59" t="str">
        <f>IFERROR(Inv_SY!T372/Inv_SY!$Z372-1,"")</f>
        <v/>
      </c>
      <c r="AG370" s="59" t="str">
        <f>IFERROR(Inv_SY!U372/Inv_SY!$Z372-1,"")</f>
        <v/>
      </c>
      <c r="AH370" s="59" t="str">
        <f>IFERROR(Inv_SY!V372/Inv_SY!$Y372-1,"")</f>
        <v/>
      </c>
      <c r="AI370" s="59" t="str">
        <f>IFERROR(Inv_SY!W372/Inv_SY!$Y372-1,"")</f>
        <v/>
      </c>
      <c r="AJ370" s="59" t="str">
        <f>IFERROR(Inv_SY!X372/Inv_SY!$Y372-1,"")</f>
        <v/>
      </c>
      <c r="AK370" s="59" t="str">
        <f>IFERROR(Inv_SY!V372/Inv_SY!$Z372-1,"")</f>
        <v/>
      </c>
      <c r="AL370" s="59" t="str">
        <f>IFERROR(Inv_SY!W372/Inv_SY!$Z372-1,"")</f>
        <v/>
      </c>
      <c r="AM370" s="59" t="str">
        <f>IFERROR(Inv_SY!X372/Inv_SY!$Z372-1,"")</f>
        <v/>
      </c>
    </row>
    <row r="371" spans="1:39" x14ac:dyDescent="0.3">
      <c r="A371" s="55">
        <f>YEAR(Table5[[#This Row],[Date]])+IF(MONTH(Table5[[#This Row],[Date]])&gt;=4,1,0)</f>
        <v>2027</v>
      </c>
      <c r="B371" s="55">
        <v>331</v>
      </c>
      <c r="C371" s="124">
        <f>YEAR(Table5[[#This Row],[Date]])</f>
        <v>2026</v>
      </c>
      <c r="D371" s="55" t="s">
        <v>329</v>
      </c>
      <c r="E371" s="55" t="s">
        <v>329</v>
      </c>
      <c r="F371" s="126" t="str">
        <f>TEXT(Table5[[#This Row],[Date]],"mmm-yy")</f>
        <v>Apr-26</v>
      </c>
      <c r="G371" s="124">
        <f t="shared" si="15"/>
        <v>30</v>
      </c>
      <c r="H371" s="125">
        <f t="shared" si="14"/>
        <v>46114</v>
      </c>
      <c r="I371" s="55">
        <v>8.02</v>
      </c>
      <c r="J371" s="59" t="str">
        <f>IFERROR(Inv_SY!J373/Inv_SY!$Y373-1,"")</f>
        <v/>
      </c>
      <c r="K371" s="59" t="str">
        <f>IFERROR(Inv_SY!K373/Inv_SY!$Y373-1,"")</f>
        <v/>
      </c>
      <c r="L371" s="59" t="str">
        <f>IFERROR(Inv_SY!L373/Inv_SY!$Y373-1,"")</f>
        <v/>
      </c>
      <c r="M371" s="59" t="str">
        <f>IFERROR(Inv_SY!M373/Inv_SY!$Y373-1,"")</f>
        <v/>
      </c>
      <c r="N371" s="59" t="str">
        <f>IFERROR(Inv_SY!N373/Inv_SY!$Y373-1,"")</f>
        <v/>
      </c>
      <c r="O371" s="59" t="str">
        <f>IFERROR(Inv_SY!O373/Inv_SY!$Y373-1,"")</f>
        <v/>
      </c>
      <c r="P371" s="59" t="str">
        <f>IFERROR(Inv_SY!P373/Inv_SY!$Y373-1,"")</f>
        <v/>
      </c>
      <c r="Q371" s="59" t="str">
        <f>IFERROR(Inv_SY!Q373/Inv_SY!$Y373-1,"")</f>
        <v/>
      </c>
      <c r="R371" s="59" t="str">
        <f>IFERROR(Inv_SY!R373/Inv_SY!$Y373-1,"")</f>
        <v/>
      </c>
      <c r="S371" s="59" t="str">
        <f>IFERROR(Inv_SY!S373/Inv_SY!$Y373-1,"")</f>
        <v/>
      </c>
      <c r="T371" s="59" t="str">
        <f>IFERROR(Inv_SY!T373/Inv_SY!$Y373-1,"")</f>
        <v/>
      </c>
      <c r="U371" s="59" t="str">
        <f>IFERROR(Inv_SY!U373/Inv_SY!$Y373-1,"")</f>
        <v/>
      </c>
      <c r="V371" s="59" t="str">
        <f>IFERROR(Inv_SY!J373/Inv_SY!$Z373-1,"")</f>
        <v/>
      </c>
      <c r="W371" s="59" t="str">
        <f>IFERROR(Inv_SY!K373/Inv_SY!$Z373-1,"")</f>
        <v/>
      </c>
      <c r="X371" s="59" t="str">
        <f>IFERROR(Inv_SY!L373/Inv_SY!$Z373-1,"")</f>
        <v/>
      </c>
      <c r="Y371" s="59" t="str">
        <f>IFERROR(Inv_SY!M373/Inv_SY!$Z373-1,"")</f>
        <v/>
      </c>
      <c r="Z371" s="59" t="str">
        <f>IFERROR(Inv_SY!N373/Inv_SY!$Z373-1,"")</f>
        <v/>
      </c>
      <c r="AA371" s="59" t="str">
        <f>IFERROR(Inv_SY!O373/Inv_SY!$Z373-1,"")</f>
        <v/>
      </c>
      <c r="AB371" s="59" t="str">
        <f>IFERROR(Inv_SY!P373/Inv_SY!$Z373-1,"")</f>
        <v/>
      </c>
      <c r="AC371" s="59" t="str">
        <f>IFERROR(Inv_SY!Q373/Inv_SY!$Z373-1,"")</f>
        <v/>
      </c>
      <c r="AD371" s="59" t="str">
        <f>IFERROR(Inv_SY!R373/Inv_SY!$Z373-1,"")</f>
        <v/>
      </c>
      <c r="AE371" s="59" t="str">
        <f>IFERROR(Inv_SY!S373/Inv_SY!$Z373-1,"")</f>
        <v/>
      </c>
      <c r="AF371" s="59" t="str">
        <f>IFERROR(Inv_SY!T373/Inv_SY!$Z373-1,"")</f>
        <v/>
      </c>
      <c r="AG371" s="59" t="str">
        <f>IFERROR(Inv_SY!U373/Inv_SY!$Z373-1,"")</f>
        <v/>
      </c>
      <c r="AH371" s="59" t="str">
        <f>IFERROR(Inv_SY!V373/Inv_SY!$Y373-1,"")</f>
        <v/>
      </c>
      <c r="AI371" s="59" t="str">
        <f>IFERROR(Inv_SY!W373/Inv_SY!$Y373-1,"")</f>
        <v/>
      </c>
      <c r="AJ371" s="59" t="str">
        <f>IFERROR(Inv_SY!X373/Inv_SY!$Y373-1,"")</f>
        <v/>
      </c>
      <c r="AK371" s="59" t="str">
        <f>IFERROR(Inv_SY!V373/Inv_SY!$Z373-1,"")</f>
        <v/>
      </c>
      <c r="AL371" s="59" t="str">
        <f>IFERROR(Inv_SY!W373/Inv_SY!$Z373-1,"")</f>
        <v/>
      </c>
      <c r="AM371" s="59" t="str">
        <f>IFERROR(Inv_SY!X373/Inv_SY!$Z373-1,"")</f>
        <v/>
      </c>
    </row>
    <row r="372" spans="1:39" x14ac:dyDescent="0.3">
      <c r="A372" s="55">
        <f>YEAR(Table5[[#This Row],[Date]])+IF(MONTH(Table5[[#This Row],[Date]])&gt;=4,1,0)</f>
        <v>2027</v>
      </c>
      <c r="B372" s="55">
        <v>332</v>
      </c>
      <c r="C372" s="124">
        <f>YEAR(Table5[[#This Row],[Date]])</f>
        <v>2026</v>
      </c>
      <c r="D372" s="55" t="s">
        <v>329</v>
      </c>
      <c r="E372" s="55" t="s">
        <v>329</v>
      </c>
      <c r="F372" s="126" t="str">
        <f>TEXT(Table5[[#This Row],[Date]],"mmm-yy")</f>
        <v>Apr-26</v>
      </c>
      <c r="G372" s="124">
        <f t="shared" si="15"/>
        <v>30</v>
      </c>
      <c r="H372" s="125">
        <f t="shared" si="14"/>
        <v>46115</v>
      </c>
      <c r="I372" s="55">
        <v>8.02</v>
      </c>
      <c r="J372" s="59" t="str">
        <f>IFERROR(Inv_SY!J374/Inv_SY!$Y374-1,"")</f>
        <v/>
      </c>
      <c r="K372" s="59" t="str">
        <f>IFERROR(Inv_SY!K374/Inv_SY!$Y374-1,"")</f>
        <v/>
      </c>
      <c r="L372" s="59" t="str">
        <f>IFERROR(Inv_SY!L374/Inv_SY!$Y374-1,"")</f>
        <v/>
      </c>
      <c r="M372" s="59" t="str">
        <f>IFERROR(Inv_SY!M374/Inv_SY!$Y374-1,"")</f>
        <v/>
      </c>
      <c r="N372" s="59" t="str">
        <f>IFERROR(Inv_SY!N374/Inv_SY!$Y374-1,"")</f>
        <v/>
      </c>
      <c r="O372" s="59" t="str">
        <f>IFERROR(Inv_SY!O374/Inv_SY!$Y374-1,"")</f>
        <v/>
      </c>
      <c r="P372" s="59" t="str">
        <f>IFERROR(Inv_SY!P374/Inv_SY!$Y374-1,"")</f>
        <v/>
      </c>
      <c r="Q372" s="59" t="str">
        <f>IFERROR(Inv_SY!Q374/Inv_SY!$Y374-1,"")</f>
        <v/>
      </c>
      <c r="R372" s="59" t="str">
        <f>IFERROR(Inv_SY!R374/Inv_SY!$Y374-1,"")</f>
        <v/>
      </c>
      <c r="S372" s="59" t="str">
        <f>IFERROR(Inv_SY!S374/Inv_SY!$Y374-1,"")</f>
        <v/>
      </c>
      <c r="T372" s="59" t="str">
        <f>IFERROR(Inv_SY!T374/Inv_SY!$Y374-1,"")</f>
        <v/>
      </c>
      <c r="U372" s="59" t="str">
        <f>IFERROR(Inv_SY!U374/Inv_SY!$Y374-1,"")</f>
        <v/>
      </c>
      <c r="V372" s="59" t="str">
        <f>IFERROR(Inv_SY!J374/Inv_SY!$Z374-1,"")</f>
        <v/>
      </c>
      <c r="W372" s="59" t="str">
        <f>IFERROR(Inv_SY!K374/Inv_SY!$Z374-1,"")</f>
        <v/>
      </c>
      <c r="X372" s="59" t="str">
        <f>IFERROR(Inv_SY!L374/Inv_SY!$Z374-1,"")</f>
        <v/>
      </c>
      <c r="Y372" s="59" t="str">
        <f>IFERROR(Inv_SY!M374/Inv_SY!$Z374-1,"")</f>
        <v/>
      </c>
      <c r="Z372" s="59" t="str">
        <f>IFERROR(Inv_SY!N374/Inv_SY!$Z374-1,"")</f>
        <v/>
      </c>
      <c r="AA372" s="59" t="str">
        <f>IFERROR(Inv_SY!O374/Inv_SY!$Z374-1,"")</f>
        <v/>
      </c>
      <c r="AB372" s="59" t="str">
        <f>IFERROR(Inv_SY!P374/Inv_SY!$Z374-1,"")</f>
        <v/>
      </c>
      <c r="AC372" s="59" t="str">
        <f>IFERROR(Inv_SY!Q374/Inv_SY!$Z374-1,"")</f>
        <v/>
      </c>
      <c r="AD372" s="59" t="str">
        <f>IFERROR(Inv_SY!R374/Inv_SY!$Z374-1,"")</f>
        <v/>
      </c>
      <c r="AE372" s="59" t="str">
        <f>IFERROR(Inv_SY!S374/Inv_SY!$Z374-1,"")</f>
        <v/>
      </c>
      <c r="AF372" s="59" t="str">
        <f>IFERROR(Inv_SY!T374/Inv_SY!$Z374-1,"")</f>
        <v/>
      </c>
      <c r="AG372" s="59" t="str">
        <f>IFERROR(Inv_SY!U374/Inv_SY!$Z374-1,"")</f>
        <v/>
      </c>
      <c r="AH372" s="59" t="str">
        <f>IFERROR(Inv_SY!V374/Inv_SY!$Y374-1,"")</f>
        <v/>
      </c>
      <c r="AI372" s="59" t="str">
        <f>IFERROR(Inv_SY!W374/Inv_SY!$Y374-1,"")</f>
        <v/>
      </c>
      <c r="AJ372" s="59" t="str">
        <f>IFERROR(Inv_SY!X374/Inv_SY!$Y374-1,"")</f>
        <v/>
      </c>
      <c r="AK372" s="59" t="str">
        <f>IFERROR(Inv_SY!V374/Inv_SY!$Z374-1,"")</f>
        <v/>
      </c>
      <c r="AL372" s="59" t="str">
        <f>IFERROR(Inv_SY!W374/Inv_SY!$Z374-1,"")</f>
        <v/>
      </c>
      <c r="AM372" s="59" t="str">
        <f>IFERROR(Inv_SY!X374/Inv_SY!$Z374-1,"")</f>
        <v/>
      </c>
    </row>
    <row r="373" spans="1:39" x14ac:dyDescent="0.3">
      <c r="A373" s="55">
        <f>YEAR(Table5[[#This Row],[Date]])+IF(MONTH(Table5[[#This Row],[Date]])&gt;=4,1,0)</f>
        <v>2027</v>
      </c>
      <c r="B373" s="55">
        <v>333</v>
      </c>
      <c r="C373" s="124">
        <f>YEAR(Table5[[#This Row],[Date]])</f>
        <v>2026</v>
      </c>
      <c r="D373" s="55" t="s">
        <v>329</v>
      </c>
      <c r="E373" s="55" t="s">
        <v>329</v>
      </c>
      <c r="F373" s="126" t="str">
        <f>TEXT(Table5[[#This Row],[Date]],"mmm-yy")</f>
        <v>Apr-26</v>
      </c>
      <c r="G373" s="124">
        <f t="shared" si="15"/>
        <v>30</v>
      </c>
      <c r="H373" s="125">
        <f t="shared" si="14"/>
        <v>46116</v>
      </c>
      <c r="I373" s="55">
        <v>8.02</v>
      </c>
      <c r="J373" s="59" t="str">
        <f>IFERROR(Inv_SY!J375/Inv_SY!$Y375-1,"")</f>
        <v/>
      </c>
      <c r="K373" s="59" t="str">
        <f>IFERROR(Inv_SY!K375/Inv_SY!$Y375-1,"")</f>
        <v/>
      </c>
      <c r="L373" s="59" t="str">
        <f>IFERROR(Inv_SY!L375/Inv_SY!$Y375-1,"")</f>
        <v/>
      </c>
      <c r="M373" s="59" t="str">
        <f>IFERROR(Inv_SY!M375/Inv_SY!$Y375-1,"")</f>
        <v/>
      </c>
      <c r="N373" s="59" t="str">
        <f>IFERROR(Inv_SY!N375/Inv_SY!$Y375-1,"")</f>
        <v/>
      </c>
      <c r="O373" s="59" t="str">
        <f>IFERROR(Inv_SY!O375/Inv_SY!$Y375-1,"")</f>
        <v/>
      </c>
      <c r="P373" s="59" t="str">
        <f>IFERROR(Inv_SY!P375/Inv_SY!$Y375-1,"")</f>
        <v/>
      </c>
      <c r="Q373" s="59" t="str">
        <f>IFERROR(Inv_SY!Q375/Inv_SY!$Y375-1,"")</f>
        <v/>
      </c>
      <c r="R373" s="59" t="str">
        <f>IFERROR(Inv_SY!R375/Inv_SY!$Y375-1,"")</f>
        <v/>
      </c>
      <c r="S373" s="59" t="str">
        <f>IFERROR(Inv_SY!S375/Inv_SY!$Y375-1,"")</f>
        <v/>
      </c>
      <c r="T373" s="59" t="str">
        <f>IFERROR(Inv_SY!T375/Inv_SY!$Y375-1,"")</f>
        <v/>
      </c>
      <c r="U373" s="59" t="str">
        <f>IFERROR(Inv_SY!U375/Inv_SY!$Y375-1,"")</f>
        <v/>
      </c>
      <c r="V373" s="59" t="str">
        <f>IFERROR(Inv_SY!J375/Inv_SY!$Z375-1,"")</f>
        <v/>
      </c>
      <c r="W373" s="59" t="str">
        <f>IFERROR(Inv_SY!K375/Inv_SY!$Z375-1,"")</f>
        <v/>
      </c>
      <c r="X373" s="59" t="str">
        <f>IFERROR(Inv_SY!L375/Inv_SY!$Z375-1,"")</f>
        <v/>
      </c>
      <c r="Y373" s="59" t="str">
        <f>IFERROR(Inv_SY!M375/Inv_SY!$Z375-1,"")</f>
        <v/>
      </c>
      <c r="Z373" s="59" t="str">
        <f>IFERROR(Inv_SY!N375/Inv_SY!$Z375-1,"")</f>
        <v/>
      </c>
      <c r="AA373" s="59" t="str">
        <f>IFERROR(Inv_SY!O375/Inv_SY!$Z375-1,"")</f>
        <v/>
      </c>
      <c r="AB373" s="59" t="str">
        <f>IFERROR(Inv_SY!P375/Inv_SY!$Z375-1,"")</f>
        <v/>
      </c>
      <c r="AC373" s="59" t="str">
        <f>IFERROR(Inv_SY!Q375/Inv_SY!$Z375-1,"")</f>
        <v/>
      </c>
      <c r="AD373" s="59" t="str">
        <f>IFERROR(Inv_SY!R375/Inv_SY!$Z375-1,"")</f>
        <v/>
      </c>
      <c r="AE373" s="59" t="str">
        <f>IFERROR(Inv_SY!S375/Inv_SY!$Z375-1,"")</f>
        <v/>
      </c>
      <c r="AF373" s="59" t="str">
        <f>IFERROR(Inv_SY!T375/Inv_SY!$Z375-1,"")</f>
        <v/>
      </c>
      <c r="AG373" s="59" t="str">
        <f>IFERROR(Inv_SY!U375/Inv_SY!$Z375-1,"")</f>
        <v/>
      </c>
      <c r="AH373" s="59" t="str">
        <f>IFERROR(Inv_SY!V375/Inv_SY!$Y375-1,"")</f>
        <v/>
      </c>
      <c r="AI373" s="59" t="str">
        <f>IFERROR(Inv_SY!W375/Inv_SY!$Y375-1,"")</f>
        <v/>
      </c>
      <c r="AJ373" s="59" t="str">
        <f>IFERROR(Inv_SY!X375/Inv_SY!$Y375-1,"")</f>
        <v/>
      </c>
      <c r="AK373" s="59" t="str">
        <f>IFERROR(Inv_SY!V375/Inv_SY!$Z375-1,"")</f>
        <v/>
      </c>
      <c r="AL373" s="59" t="str">
        <f>IFERROR(Inv_SY!W375/Inv_SY!$Z375-1,"")</f>
        <v/>
      </c>
      <c r="AM373" s="59" t="str">
        <f>IFERROR(Inv_SY!X375/Inv_SY!$Z375-1,"")</f>
        <v/>
      </c>
    </row>
    <row r="374" spans="1:39" x14ac:dyDescent="0.3">
      <c r="A374" s="55">
        <f>YEAR(Table5[[#This Row],[Date]])+IF(MONTH(Table5[[#This Row],[Date]])&gt;=4,1,0)</f>
        <v>2027</v>
      </c>
      <c r="B374" s="55">
        <v>334</v>
      </c>
      <c r="C374" s="124">
        <f>YEAR(Table5[[#This Row],[Date]])</f>
        <v>2026</v>
      </c>
      <c r="D374" s="55" t="s">
        <v>329</v>
      </c>
      <c r="E374" s="55" t="s">
        <v>329</v>
      </c>
      <c r="F374" s="126" t="str">
        <f>TEXT(Table5[[#This Row],[Date]],"mmm-yy")</f>
        <v>Apr-26</v>
      </c>
      <c r="G374" s="124">
        <f t="shared" si="15"/>
        <v>30</v>
      </c>
      <c r="H374" s="125">
        <f t="shared" si="14"/>
        <v>46117</v>
      </c>
      <c r="I374" s="55">
        <v>8.02</v>
      </c>
      <c r="J374" s="59" t="str">
        <f>IFERROR(Inv_SY!J376/Inv_SY!$Y376-1,"")</f>
        <v/>
      </c>
      <c r="K374" s="59" t="str">
        <f>IFERROR(Inv_SY!K376/Inv_SY!$Y376-1,"")</f>
        <v/>
      </c>
      <c r="L374" s="59" t="str">
        <f>IFERROR(Inv_SY!L376/Inv_SY!$Y376-1,"")</f>
        <v/>
      </c>
      <c r="M374" s="59" t="str">
        <f>IFERROR(Inv_SY!M376/Inv_SY!$Y376-1,"")</f>
        <v/>
      </c>
      <c r="N374" s="59" t="str">
        <f>IFERROR(Inv_SY!N376/Inv_SY!$Y376-1,"")</f>
        <v/>
      </c>
      <c r="O374" s="59" t="str">
        <f>IFERROR(Inv_SY!O376/Inv_SY!$Y376-1,"")</f>
        <v/>
      </c>
      <c r="P374" s="59" t="str">
        <f>IFERROR(Inv_SY!P376/Inv_SY!$Y376-1,"")</f>
        <v/>
      </c>
      <c r="Q374" s="59" t="str">
        <f>IFERROR(Inv_SY!Q376/Inv_SY!$Y376-1,"")</f>
        <v/>
      </c>
      <c r="R374" s="59" t="str">
        <f>IFERROR(Inv_SY!R376/Inv_SY!$Y376-1,"")</f>
        <v/>
      </c>
      <c r="S374" s="59" t="str">
        <f>IFERROR(Inv_SY!S376/Inv_SY!$Y376-1,"")</f>
        <v/>
      </c>
      <c r="T374" s="59" t="str">
        <f>IFERROR(Inv_SY!T376/Inv_SY!$Y376-1,"")</f>
        <v/>
      </c>
      <c r="U374" s="59" t="str">
        <f>IFERROR(Inv_SY!U376/Inv_SY!$Y376-1,"")</f>
        <v/>
      </c>
      <c r="V374" s="59" t="str">
        <f>IFERROR(Inv_SY!J376/Inv_SY!$Z376-1,"")</f>
        <v/>
      </c>
      <c r="W374" s="59" t="str">
        <f>IFERROR(Inv_SY!K376/Inv_SY!$Z376-1,"")</f>
        <v/>
      </c>
      <c r="X374" s="59" t="str">
        <f>IFERROR(Inv_SY!L376/Inv_SY!$Z376-1,"")</f>
        <v/>
      </c>
      <c r="Y374" s="59" t="str">
        <f>IFERROR(Inv_SY!M376/Inv_SY!$Z376-1,"")</f>
        <v/>
      </c>
      <c r="Z374" s="59" t="str">
        <f>IFERROR(Inv_SY!N376/Inv_SY!$Z376-1,"")</f>
        <v/>
      </c>
      <c r="AA374" s="59" t="str">
        <f>IFERROR(Inv_SY!O376/Inv_SY!$Z376-1,"")</f>
        <v/>
      </c>
      <c r="AB374" s="59" t="str">
        <f>IFERROR(Inv_SY!P376/Inv_SY!$Z376-1,"")</f>
        <v/>
      </c>
      <c r="AC374" s="59" t="str">
        <f>IFERROR(Inv_SY!Q376/Inv_SY!$Z376-1,"")</f>
        <v/>
      </c>
      <c r="AD374" s="59" t="str">
        <f>IFERROR(Inv_SY!R376/Inv_SY!$Z376-1,"")</f>
        <v/>
      </c>
      <c r="AE374" s="59" t="str">
        <f>IFERROR(Inv_SY!S376/Inv_SY!$Z376-1,"")</f>
        <v/>
      </c>
      <c r="AF374" s="59" t="str">
        <f>IFERROR(Inv_SY!T376/Inv_SY!$Z376-1,"")</f>
        <v/>
      </c>
      <c r="AG374" s="59" t="str">
        <f>IFERROR(Inv_SY!U376/Inv_SY!$Z376-1,"")</f>
        <v/>
      </c>
      <c r="AH374" s="59" t="str">
        <f>IFERROR(Inv_SY!V376/Inv_SY!$Y376-1,"")</f>
        <v/>
      </c>
      <c r="AI374" s="59" t="str">
        <f>IFERROR(Inv_SY!W376/Inv_SY!$Y376-1,"")</f>
        <v/>
      </c>
      <c r="AJ374" s="59" t="str">
        <f>IFERROR(Inv_SY!X376/Inv_SY!$Y376-1,"")</f>
        <v/>
      </c>
      <c r="AK374" s="59" t="str">
        <f>IFERROR(Inv_SY!V376/Inv_SY!$Z376-1,"")</f>
        <v/>
      </c>
      <c r="AL374" s="59" t="str">
        <f>IFERROR(Inv_SY!W376/Inv_SY!$Z376-1,"")</f>
        <v/>
      </c>
      <c r="AM374" s="59" t="str">
        <f>IFERROR(Inv_SY!X376/Inv_SY!$Z376-1,"")</f>
        <v/>
      </c>
    </row>
    <row r="375" spans="1:39" x14ac:dyDescent="0.3">
      <c r="A375" s="55">
        <f>YEAR(Table5[[#This Row],[Date]])+IF(MONTH(Table5[[#This Row],[Date]])&gt;=4,1,0)</f>
        <v>2027</v>
      </c>
      <c r="B375" s="55">
        <v>335</v>
      </c>
      <c r="C375" s="124">
        <f>YEAR(Table5[[#This Row],[Date]])</f>
        <v>2026</v>
      </c>
      <c r="D375" s="55" t="s">
        <v>329</v>
      </c>
      <c r="E375" s="55" t="s">
        <v>329</v>
      </c>
      <c r="F375" s="126" t="str">
        <f>TEXT(Table5[[#This Row],[Date]],"mmm-yy")</f>
        <v>Apr-26</v>
      </c>
      <c r="G375" s="124">
        <f t="shared" si="15"/>
        <v>30</v>
      </c>
      <c r="H375" s="125">
        <f t="shared" si="14"/>
        <v>46118</v>
      </c>
      <c r="I375" s="55">
        <v>8.02</v>
      </c>
      <c r="J375" s="59" t="str">
        <f>IFERROR(Inv_SY!J377/Inv_SY!$Y377-1,"")</f>
        <v/>
      </c>
      <c r="K375" s="59" t="str">
        <f>IFERROR(Inv_SY!K377/Inv_SY!$Y377-1,"")</f>
        <v/>
      </c>
      <c r="L375" s="59" t="str">
        <f>IFERROR(Inv_SY!L377/Inv_SY!$Y377-1,"")</f>
        <v/>
      </c>
      <c r="M375" s="59" t="str">
        <f>IFERROR(Inv_SY!M377/Inv_SY!$Y377-1,"")</f>
        <v/>
      </c>
      <c r="N375" s="59" t="str">
        <f>IFERROR(Inv_SY!N377/Inv_SY!$Y377-1,"")</f>
        <v/>
      </c>
      <c r="O375" s="59" t="str">
        <f>IFERROR(Inv_SY!O377/Inv_SY!$Y377-1,"")</f>
        <v/>
      </c>
      <c r="P375" s="59" t="str">
        <f>IFERROR(Inv_SY!P377/Inv_SY!$Y377-1,"")</f>
        <v/>
      </c>
      <c r="Q375" s="59" t="str">
        <f>IFERROR(Inv_SY!Q377/Inv_SY!$Y377-1,"")</f>
        <v/>
      </c>
      <c r="R375" s="59" t="str">
        <f>IFERROR(Inv_SY!R377/Inv_SY!$Y377-1,"")</f>
        <v/>
      </c>
      <c r="S375" s="59" t="str">
        <f>IFERROR(Inv_SY!S377/Inv_SY!$Y377-1,"")</f>
        <v/>
      </c>
      <c r="T375" s="59" t="str">
        <f>IFERROR(Inv_SY!T377/Inv_SY!$Y377-1,"")</f>
        <v/>
      </c>
      <c r="U375" s="59" t="str">
        <f>IFERROR(Inv_SY!U377/Inv_SY!$Y377-1,"")</f>
        <v/>
      </c>
      <c r="V375" s="59" t="str">
        <f>IFERROR(Inv_SY!J377/Inv_SY!$Z377-1,"")</f>
        <v/>
      </c>
      <c r="W375" s="59" t="str">
        <f>IFERROR(Inv_SY!K377/Inv_SY!$Z377-1,"")</f>
        <v/>
      </c>
      <c r="X375" s="59" t="str">
        <f>IFERROR(Inv_SY!L377/Inv_SY!$Z377-1,"")</f>
        <v/>
      </c>
      <c r="Y375" s="59" t="str">
        <f>IFERROR(Inv_SY!M377/Inv_SY!$Z377-1,"")</f>
        <v/>
      </c>
      <c r="Z375" s="59" t="str">
        <f>IFERROR(Inv_SY!N377/Inv_SY!$Z377-1,"")</f>
        <v/>
      </c>
      <c r="AA375" s="59" t="str">
        <f>IFERROR(Inv_SY!O377/Inv_SY!$Z377-1,"")</f>
        <v/>
      </c>
      <c r="AB375" s="59" t="str">
        <f>IFERROR(Inv_SY!P377/Inv_SY!$Z377-1,"")</f>
        <v/>
      </c>
      <c r="AC375" s="59" t="str">
        <f>IFERROR(Inv_SY!Q377/Inv_SY!$Z377-1,"")</f>
        <v/>
      </c>
      <c r="AD375" s="59" t="str">
        <f>IFERROR(Inv_SY!R377/Inv_SY!$Z377-1,"")</f>
        <v/>
      </c>
      <c r="AE375" s="59" t="str">
        <f>IFERROR(Inv_SY!S377/Inv_SY!$Z377-1,"")</f>
        <v/>
      </c>
      <c r="AF375" s="59" t="str">
        <f>IFERROR(Inv_SY!T377/Inv_SY!$Z377-1,"")</f>
        <v/>
      </c>
      <c r="AG375" s="59" t="str">
        <f>IFERROR(Inv_SY!U377/Inv_SY!$Z377-1,"")</f>
        <v/>
      </c>
      <c r="AH375" s="59" t="str">
        <f>IFERROR(Inv_SY!V377/Inv_SY!$Y377-1,"")</f>
        <v/>
      </c>
      <c r="AI375" s="59" t="str">
        <f>IFERROR(Inv_SY!W377/Inv_SY!$Y377-1,"")</f>
        <v/>
      </c>
      <c r="AJ375" s="59" t="str">
        <f>IFERROR(Inv_SY!X377/Inv_SY!$Y377-1,"")</f>
        <v/>
      </c>
      <c r="AK375" s="59" t="str">
        <f>IFERROR(Inv_SY!V377/Inv_SY!$Z377-1,"")</f>
        <v/>
      </c>
      <c r="AL375" s="59" t="str">
        <f>IFERROR(Inv_SY!W377/Inv_SY!$Z377-1,"")</f>
        <v/>
      </c>
      <c r="AM375" s="59" t="str">
        <f>IFERROR(Inv_SY!X377/Inv_SY!$Z377-1,"")</f>
        <v/>
      </c>
    </row>
    <row r="376" spans="1:39" x14ac:dyDescent="0.3">
      <c r="A376" s="55">
        <f>YEAR(Table5[[#This Row],[Date]])+IF(MONTH(Table5[[#This Row],[Date]])&gt;=4,1,0)</f>
        <v>2027</v>
      </c>
      <c r="B376" s="55">
        <v>336</v>
      </c>
      <c r="C376" s="124">
        <f>YEAR(Table5[[#This Row],[Date]])</f>
        <v>2026</v>
      </c>
      <c r="D376" s="55" t="s">
        <v>329</v>
      </c>
      <c r="E376" s="55" t="s">
        <v>329</v>
      </c>
      <c r="F376" s="126" t="str">
        <f>TEXT(Table5[[#This Row],[Date]],"mmm-yy")</f>
        <v>Apr-26</v>
      </c>
      <c r="G376" s="124">
        <f t="shared" si="15"/>
        <v>30</v>
      </c>
      <c r="H376" s="125">
        <f t="shared" si="14"/>
        <v>46119</v>
      </c>
      <c r="I376" s="55">
        <v>8.02</v>
      </c>
      <c r="J376" s="59" t="str">
        <f>IFERROR(Inv_SY!J378/Inv_SY!$Y378-1,"")</f>
        <v/>
      </c>
      <c r="K376" s="59" t="str">
        <f>IFERROR(Inv_SY!K378/Inv_SY!$Y378-1,"")</f>
        <v/>
      </c>
      <c r="L376" s="59" t="str">
        <f>IFERROR(Inv_SY!L378/Inv_SY!$Y378-1,"")</f>
        <v/>
      </c>
      <c r="M376" s="59" t="str">
        <f>IFERROR(Inv_SY!M378/Inv_SY!$Y378-1,"")</f>
        <v/>
      </c>
      <c r="N376" s="59" t="str">
        <f>IFERROR(Inv_SY!N378/Inv_SY!$Y378-1,"")</f>
        <v/>
      </c>
      <c r="O376" s="59" t="str">
        <f>IFERROR(Inv_SY!O378/Inv_SY!$Y378-1,"")</f>
        <v/>
      </c>
      <c r="P376" s="59" t="str">
        <f>IFERROR(Inv_SY!P378/Inv_SY!$Y378-1,"")</f>
        <v/>
      </c>
      <c r="Q376" s="59" t="str">
        <f>IFERROR(Inv_SY!Q378/Inv_SY!$Y378-1,"")</f>
        <v/>
      </c>
      <c r="R376" s="59" t="str">
        <f>IFERROR(Inv_SY!R378/Inv_SY!$Y378-1,"")</f>
        <v/>
      </c>
      <c r="S376" s="59" t="str">
        <f>IFERROR(Inv_SY!S378/Inv_SY!$Y378-1,"")</f>
        <v/>
      </c>
      <c r="T376" s="59" t="str">
        <f>IFERROR(Inv_SY!T378/Inv_SY!$Y378-1,"")</f>
        <v/>
      </c>
      <c r="U376" s="59" t="str">
        <f>IFERROR(Inv_SY!U378/Inv_SY!$Y378-1,"")</f>
        <v/>
      </c>
      <c r="V376" s="59" t="str">
        <f>IFERROR(Inv_SY!J378/Inv_SY!$Z378-1,"")</f>
        <v/>
      </c>
      <c r="W376" s="59" t="str">
        <f>IFERROR(Inv_SY!K378/Inv_SY!$Z378-1,"")</f>
        <v/>
      </c>
      <c r="X376" s="59" t="str">
        <f>IFERROR(Inv_SY!L378/Inv_SY!$Z378-1,"")</f>
        <v/>
      </c>
      <c r="Y376" s="59" t="str">
        <f>IFERROR(Inv_SY!M378/Inv_SY!$Z378-1,"")</f>
        <v/>
      </c>
      <c r="Z376" s="59" t="str">
        <f>IFERROR(Inv_SY!N378/Inv_SY!$Z378-1,"")</f>
        <v/>
      </c>
      <c r="AA376" s="59" t="str">
        <f>IFERROR(Inv_SY!O378/Inv_SY!$Z378-1,"")</f>
        <v/>
      </c>
      <c r="AB376" s="59" t="str">
        <f>IFERROR(Inv_SY!P378/Inv_SY!$Z378-1,"")</f>
        <v/>
      </c>
      <c r="AC376" s="59" t="str">
        <f>IFERROR(Inv_SY!Q378/Inv_SY!$Z378-1,"")</f>
        <v/>
      </c>
      <c r="AD376" s="59" t="str">
        <f>IFERROR(Inv_SY!R378/Inv_SY!$Z378-1,"")</f>
        <v/>
      </c>
      <c r="AE376" s="59" t="str">
        <f>IFERROR(Inv_SY!S378/Inv_SY!$Z378-1,"")</f>
        <v/>
      </c>
      <c r="AF376" s="59" t="str">
        <f>IFERROR(Inv_SY!T378/Inv_SY!$Z378-1,"")</f>
        <v/>
      </c>
      <c r="AG376" s="59" t="str">
        <f>IFERROR(Inv_SY!U378/Inv_SY!$Z378-1,"")</f>
        <v/>
      </c>
      <c r="AH376" s="59" t="str">
        <f>IFERROR(Inv_SY!V378/Inv_SY!$Y378-1,"")</f>
        <v/>
      </c>
      <c r="AI376" s="59" t="str">
        <f>IFERROR(Inv_SY!W378/Inv_SY!$Y378-1,"")</f>
        <v/>
      </c>
      <c r="AJ376" s="59" t="str">
        <f>IFERROR(Inv_SY!X378/Inv_SY!$Y378-1,"")</f>
        <v/>
      </c>
      <c r="AK376" s="59" t="str">
        <f>IFERROR(Inv_SY!V378/Inv_SY!$Z378-1,"")</f>
        <v/>
      </c>
      <c r="AL376" s="59" t="str">
        <f>IFERROR(Inv_SY!W378/Inv_SY!$Z378-1,"")</f>
        <v/>
      </c>
      <c r="AM376" s="59" t="str">
        <f>IFERROR(Inv_SY!X378/Inv_SY!$Z378-1,"")</f>
        <v/>
      </c>
    </row>
    <row r="377" spans="1:39" x14ac:dyDescent="0.3">
      <c r="A377" s="55">
        <f>YEAR(Table5[[#This Row],[Date]])+IF(MONTH(Table5[[#This Row],[Date]])&gt;=4,1,0)</f>
        <v>2027</v>
      </c>
      <c r="B377" s="55">
        <v>337</v>
      </c>
      <c r="C377" s="124">
        <f>YEAR(Table5[[#This Row],[Date]])</f>
        <v>2026</v>
      </c>
      <c r="D377" s="55" t="s">
        <v>329</v>
      </c>
      <c r="E377" s="55" t="s">
        <v>329</v>
      </c>
      <c r="F377" s="126" t="str">
        <f>TEXT(Table5[[#This Row],[Date]],"mmm-yy")</f>
        <v>Apr-26</v>
      </c>
      <c r="G377" s="124">
        <f t="shared" si="15"/>
        <v>30</v>
      </c>
      <c r="H377" s="125">
        <f t="shared" si="14"/>
        <v>46120</v>
      </c>
      <c r="I377" s="55">
        <v>8.02</v>
      </c>
      <c r="J377" s="59" t="str">
        <f>IFERROR(Inv_SY!J379/Inv_SY!$Y379-1,"")</f>
        <v/>
      </c>
      <c r="K377" s="59" t="str">
        <f>IFERROR(Inv_SY!K379/Inv_SY!$Y379-1,"")</f>
        <v/>
      </c>
      <c r="L377" s="59" t="str">
        <f>IFERROR(Inv_SY!L379/Inv_SY!$Y379-1,"")</f>
        <v/>
      </c>
      <c r="M377" s="59" t="str">
        <f>IFERROR(Inv_SY!M379/Inv_SY!$Y379-1,"")</f>
        <v/>
      </c>
      <c r="N377" s="59" t="str">
        <f>IFERROR(Inv_SY!N379/Inv_SY!$Y379-1,"")</f>
        <v/>
      </c>
      <c r="O377" s="59" t="str">
        <f>IFERROR(Inv_SY!O379/Inv_SY!$Y379-1,"")</f>
        <v/>
      </c>
      <c r="P377" s="59" t="str">
        <f>IFERROR(Inv_SY!P379/Inv_SY!$Y379-1,"")</f>
        <v/>
      </c>
      <c r="Q377" s="59" t="str">
        <f>IFERROR(Inv_SY!Q379/Inv_SY!$Y379-1,"")</f>
        <v/>
      </c>
      <c r="R377" s="59" t="str">
        <f>IFERROR(Inv_SY!R379/Inv_SY!$Y379-1,"")</f>
        <v/>
      </c>
      <c r="S377" s="59" t="str">
        <f>IFERROR(Inv_SY!S379/Inv_SY!$Y379-1,"")</f>
        <v/>
      </c>
      <c r="T377" s="59" t="str">
        <f>IFERROR(Inv_SY!T379/Inv_SY!$Y379-1,"")</f>
        <v/>
      </c>
      <c r="U377" s="59" t="str">
        <f>IFERROR(Inv_SY!U379/Inv_SY!$Y379-1,"")</f>
        <v/>
      </c>
      <c r="V377" s="59" t="str">
        <f>IFERROR(Inv_SY!J379/Inv_SY!$Z379-1,"")</f>
        <v/>
      </c>
      <c r="W377" s="59" t="str">
        <f>IFERROR(Inv_SY!K379/Inv_SY!$Z379-1,"")</f>
        <v/>
      </c>
      <c r="X377" s="59" t="str">
        <f>IFERROR(Inv_SY!L379/Inv_SY!$Z379-1,"")</f>
        <v/>
      </c>
      <c r="Y377" s="59" t="str">
        <f>IFERROR(Inv_SY!M379/Inv_SY!$Z379-1,"")</f>
        <v/>
      </c>
      <c r="Z377" s="59" t="str">
        <f>IFERROR(Inv_SY!N379/Inv_SY!$Z379-1,"")</f>
        <v/>
      </c>
      <c r="AA377" s="59" t="str">
        <f>IFERROR(Inv_SY!O379/Inv_SY!$Z379-1,"")</f>
        <v/>
      </c>
      <c r="AB377" s="59" t="str">
        <f>IFERROR(Inv_SY!P379/Inv_SY!$Z379-1,"")</f>
        <v/>
      </c>
      <c r="AC377" s="59" t="str">
        <f>IFERROR(Inv_SY!Q379/Inv_SY!$Z379-1,"")</f>
        <v/>
      </c>
      <c r="AD377" s="59" t="str">
        <f>IFERROR(Inv_SY!R379/Inv_SY!$Z379-1,"")</f>
        <v/>
      </c>
      <c r="AE377" s="59" t="str">
        <f>IFERROR(Inv_SY!S379/Inv_SY!$Z379-1,"")</f>
        <v/>
      </c>
      <c r="AF377" s="59" t="str">
        <f>IFERROR(Inv_SY!T379/Inv_SY!$Z379-1,"")</f>
        <v/>
      </c>
      <c r="AG377" s="59" t="str">
        <f>IFERROR(Inv_SY!U379/Inv_SY!$Z379-1,"")</f>
        <v/>
      </c>
      <c r="AH377" s="59" t="str">
        <f>IFERROR(Inv_SY!V379/Inv_SY!$Y379-1,"")</f>
        <v/>
      </c>
      <c r="AI377" s="59" t="str">
        <f>IFERROR(Inv_SY!W379/Inv_SY!$Y379-1,"")</f>
        <v/>
      </c>
      <c r="AJ377" s="59" t="str">
        <f>IFERROR(Inv_SY!X379/Inv_SY!$Y379-1,"")</f>
        <v/>
      </c>
      <c r="AK377" s="59" t="str">
        <f>IFERROR(Inv_SY!V379/Inv_SY!$Z379-1,"")</f>
        <v/>
      </c>
      <c r="AL377" s="59" t="str">
        <f>IFERROR(Inv_SY!W379/Inv_SY!$Z379-1,"")</f>
        <v/>
      </c>
      <c r="AM377" s="59" t="str">
        <f>IFERROR(Inv_SY!X379/Inv_SY!$Z379-1,"")</f>
        <v/>
      </c>
    </row>
    <row r="378" spans="1:39" x14ac:dyDescent="0.3">
      <c r="A378" s="55">
        <f>YEAR(Table5[[#This Row],[Date]])+IF(MONTH(Table5[[#This Row],[Date]])&gt;=4,1,0)</f>
        <v>2027</v>
      </c>
      <c r="B378" s="55">
        <v>338</v>
      </c>
      <c r="C378" s="124">
        <f>YEAR(Table5[[#This Row],[Date]])</f>
        <v>2026</v>
      </c>
      <c r="D378" s="55" t="s">
        <v>329</v>
      </c>
      <c r="E378" s="55" t="s">
        <v>329</v>
      </c>
      <c r="F378" s="126" t="str">
        <f>TEXT(Table5[[#This Row],[Date]],"mmm-yy")</f>
        <v>Apr-26</v>
      </c>
      <c r="G378" s="124">
        <f t="shared" si="15"/>
        <v>30</v>
      </c>
      <c r="H378" s="125">
        <f t="shared" si="14"/>
        <v>46121</v>
      </c>
      <c r="I378" s="55">
        <v>8.02</v>
      </c>
      <c r="J378" s="59" t="str">
        <f>IFERROR(Inv_SY!J380/Inv_SY!$Y380-1,"")</f>
        <v/>
      </c>
      <c r="K378" s="59" t="str">
        <f>IFERROR(Inv_SY!K380/Inv_SY!$Y380-1,"")</f>
        <v/>
      </c>
      <c r="L378" s="59" t="str">
        <f>IFERROR(Inv_SY!L380/Inv_SY!$Y380-1,"")</f>
        <v/>
      </c>
      <c r="M378" s="59" t="str">
        <f>IFERROR(Inv_SY!M380/Inv_SY!$Y380-1,"")</f>
        <v/>
      </c>
      <c r="N378" s="59" t="str">
        <f>IFERROR(Inv_SY!N380/Inv_SY!$Y380-1,"")</f>
        <v/>
      </c>
      <c r="O378" s="59" t="str">
        <f>IFERROR(Inv_SY!O380/Inv_SY!$Y380-1,"")</f>
        <v/>
      </c>
      <c r="P378" s="59" t="str">
        <f>IFERROR(Inv_SY!P380/Inv_SY!$Y380-1,"")</f>
        <v/>
      </c>
      <c r="Q378" s="59" t="str">
        <f>IFERROR(Inv_SY!Q380/Inv_SY!$Y380-1,"")</f>
        <v/>
      </c>
      <c r="R378" s="59" t="str">
        <f>IFERROR(Inv_SY!R380/Inv_SY!$Y380-1,"")</f>
        <v/>
      </c>
      <c r="S378" s="59" t="str">
        <f>IFERROR(Inv_SY!S380/Inv_SY!$Y380-1,"")</f>
        <v/>
      </c>
      <c r="T378" s="59" t="str">
        <f>IFERROR(Inv_SY!T380/Inv_SY!$Y380-1,"")</f>
        <v/>
      </c>
      <c r="U378" s="59" t="str">
        <f>IFERROR(Inv_SY!U380/Inv_SY!$Y380-1,"")</f>
        <v/>
      </c>
      <c r="V378" s="59" t="str">
        <f>IFERROR(Inv_SY!J380/Inv_SY!$Z380-1,"")</f>
        <v/>
      </c>
      <c r="W378" s="59" t="str">
        <f>IFERROR(Inv_SY!K380/Inv_SY!$Z380-1,"")</f>
        <v/>
      </c>
      <c r="X378" s="59" t="str">
        <f>IFERROR(Inv_SY!L380/Inv_SY!$Z380-1,"")</f>
        <v/>
      </c>
      <c r="Y378" s="59" t="str">
        <f>IFERROR(Inv_SY!M380/Inv_SY!$Z380-1,"")</f>
        <v/>
      </c>
      <c r="Z378" s="59" t="str">
        <f>IFERROR(Inv_SY!N380/Inv_SY!$Z380-1,"")</f>
        <v/>
      </c>
      <c r="AA378" s="59" t="str">
        <f>IFERROR(Inv_SY!O380/Inv_SY!$Z380-1,"")</f>
        <v/>
      </c>
      <c r="AB378" s="59" t="str">
        <f>IFERROR(Inv_SY!P380/Inv_SY!$Z380-1,"")</f>
        <v/>
      </c>
      <c r="AC378" s="59" t="str">
        <f>IFERROR(Inv_SY!Q380/Inv_SY!$Z380-1,"")</f>
        <v/>
      </c>
      <c r="AD378" s="59" t="str">
        <f>IFERROR(Inv_SY!R380/Inv_SY!$Z380-1,"")</f>
        <v/>
      </c>
      <c r="AE378" s="59" t="str">
        <f>IFERROR(Inv_SY!S380/Inv_SY!$Z380-1,"")</f>
        <v/>
      </c>
      <c r="AF378" s="59" t="str">
        <f>IFERROR(Inv_SY!T380/Inv_SY!$Z380-1,"")</f>
        <v/>
      </c>
      <c r="AG378" s="59" t="str">
        <f>IFERROR(Inv_SY!U380/Inv_SY!$Z380-1,"")</f>
        <v/>
      </c>
      <c r="AH378" s="59" t="str">
        <f>IFERROR(Inv_SY!V380/Inv_SY!$Y380-1,"")</f>
        <v/>
      </c>
      <c r="AI378" s="59" t="str">
        <f>IFERROR(Inv_SY!W380/Inv_SY!$Y380-1,"")</f>
        <v/>
      </c>
      <c r="AJ378" s="59" t="str">
        <f>IFERROR(Inv_SY!X380/Inv_SY!$Y380-1,"")</f>
        <v/>
      </c>
      <c r="AK378" s="59" t="str">
        <f>IFERROR(Inv_SY!V380/Inv_SY!$Z380-1,"")</f>
        <v/>
      </c>
      <c r="AL378" s="59" t="str">
        <f>IFERROR(Inv_SY!W380/Inv_SY!$Z380-1,"")</f>
        <v/>
      </c>
      <c r="AM378" s="59" t="str">
        <f>IFERROR(Inv_SY!X380/Inv_SY!$Z380-1,"")</f>
        <v/>
      </c>
    </row>
    <row r="379" spans="1:39" x14ac:dyDescent="0.3">
      <c r="A379" s="55">
        <f>YEAR(Table5[[#This Row],[Date]])+IF(MONTH(Table5[[#This Row],[Date]])&gt;=4,1,0)</f>
        <v>2027</v>
      </c>
      <c r="B379" s="55">
        <v>339</v>
      </c>
      <c r="C379" s="124">
        <f>YEAR(Table5[[#This Row],[Date]])</f>
        <v>2026</v>
      </c>
      <c r="D379" s="55" t="s">
        <v>329</v>
      </c>
      <c r="E379" s="55" t="s">
        <v>329</v>
      </c>
      <c r="F379" s="126" t="str">
        <f>TEXT(Table5[[#This Row],[Date]],"mmm-yy")</f>
        <v>Apr-26</v>
      </c>
      <c r="G379" s="124">
        <f t="shared" si="15"/>
        <v>30</v>
      </c>
      <c r="H379" s="125">
        <f t="shared" si="14"/>
        <v>46122</v>
      </c>
      <c r="I379" s="55">
        <v>8.02</v>
      </c>
      <c r="J379" s="59" t="str">
        <f>IFERROR(Inv_SY!J381/Inv_SY!$Y381-1,"")</f>
        <v/>
      </c>
      <c r="K379" s="59" t="str">
        <f>IFERROR(Inv_SY!K381/Inv_SY!$Y381-1,"")</f>
        <v/>
      </c>
      <c r="L379" s="59" t="str">
        <f>IFERROR(Inv_SY!L381/Inv_SY!$Y381-1,"")</f>
        <v/>
      </c>
      <c r="M379" s="59" t="str">
        <f>IFERROR(Inv_SY!M381/Inv_SY!$Y381-1,"")</f>
        <v/>
      </c>
      <c r="N379" s="59" t="str">
        <f>IFERROR(Inv_SY!N381/Inv_SY!$Y381-1,"")</f>
        <v/>
      </c>
      <c r="O379" s="59" t="str">
        <f>IFERROR(Inv_SY!O381/Inv_SY!$Y381-1,"")</f>
        <v/>
      </c>
      <c r="P379" s="59" t="str">
        <f>IFERROR(Inv_SY!P381/Inv_SY!$Y381-1,"")</f>
        <v/>
      </c>
      <c r="Q379" s="59" t="str">
        <f>IFERROR(Inv_SY!Q381/Inv_SY!$Y381-1,"")</f>
        <v/>
      </c>
      <c r="R379" s="59" t="str">
        <f>IFERROR(Inv_SY!R381/Inv_SY!$Y381-1,"")</f>
        <v/>
      </c>
      <c r="S379" s="59" t="str">
        <f>IFERROR(Inv_SY!S381/Inv_SY!$Y381-1,"")</f>
        <v/>
      </c>
      <c r="T379" s="59" t="str">
        <f>IFERROR(Inv_SY!T381/Inv_SY!$Y381-1,"")</f>
        <v/>
      </c>
      <c r="U379" s="59" t="str">
        <f>IFERROR(Inv_SY!U381/Inv_SY!$Y381-1,"")</f>
        <v/>
      </c>
      <c r="V379" s="59" t="str">
        <f>IFERROR(Inv_SY!J381/Inv_SY!$Z381-1,"")</f>
        <v/>
      </c>
      <c r="W379" s="59" t="str">
        <f>IFERROR(Inv_SY!K381/Inv_SY!$Z381-1,"")</f>
        <v/>
      </c>
      <c r="X379" s="59" t="str">
        <f>IFERROR(Inv_SY!L381/Inv_SY!$Z381-1,"")</f>
        <v/>
      </c>
      <c r="Y379" s="59" t="str">
        <f>IFERROR(Inv_SY!M381/Inv_SY!$Z381-1,"")</f>
        <v/>
      </c>
      <c r="Z379" s="59" t="str">
        <f>IFERROR(Inv_SY!N381/Inv_SY!$Z381-1,"")</f>
        <v/>
      </c>
      <c r="AA379" s="59" t="str">
        <f>IFERROR(Inv_SY!O381/Inv_SY!$Z381-1,"")</f>
        <v/>
      </c>
      <c r="AB379" s="59" t="str">
        <f>IFERROR(Inv_SY!P381/Inv_SY!$Z381-1,"")</f>
        <v/>
      </c>
      <c r="AC379" s="59" t="str">
        <f>IFERROR(Inv_SY!Q381/Inv_SY!$Z381-1,"")</f>
        <v/>
      </c>
      <c r="AD379" s="59" t="str">
        <f>IFERROR(Inv_SY!R381/Inv_SY!$Z381-1,"")</f>
        <v/>
      </c>
      <c r="AE379" s="59" t="str">
        <f>IFERROR(Inv_SY!S381/Inv_SY!$Z381-1,"")</f>
        <v/>
      </c>
      <c r="AF379" s="59" t="str">
        <f>IFERROR(Inv_SY!T381/Inv_SY!$Z381-1,"")</f>
        <v/>
      </c>
      <c r="AG379" s="59" t="str">
        <f>IFERROR(Inv_SY!U381/Inv_SY!$Z381-1,"")</f>
        <v/>
      </c>
      <c r="AH379" s="59" t="str">
        <f>IFERROR(Inv_SY!V381/Inv_SY!$Y381-1,"")</f>
        <v/>
      </c>
      <c r="AI379" s="59" t="str">
        <f>IFERROR(Inv_SY!W381/Inv_SY!$Y381-1,"")</f>
        <v/>
      </c>
      <c r="AJ379" s="59" t="str">
        <f>IFERROR(Inv_SY!X381/Inv_SY!$Y381-1,"")</f>
        <v/>
      </c>
      <c r="AK379" s="59" t="str">
        <f>IFERROR(Inv_SY!V381/Inv_SY!$Z381-1,"")</f>
        <v/>
      </c>
      <c r="AL379" s="59" t="str">
        <f>IFERROR(Inv_SY!W381/Inv_SY!$Z381-1,"")</f>
        <v/>
      </c>
      <c r="AM379" s="59" t="str">
        <f>IFERROR(Inv_SY!X381/Inv_SY!$Z381-1,"")</f>
        <v/>
      </c>
    </row>
    <row r="380" spans="1:39" x14ac:dyDescent="0.3">
      <c r="A380" s="55">
        <f>YEAR(Table5[[#This Row],[Date]])+IF(MONTH(Table5[[#This Row],[Date]])&gt;=4,1,0)</f>
        <v>2027</v>
      </c>
      <c r="B380" s="55">
        <v>340</v>
      </c>
      <c r="C380" s="124">
        <f>YEAR(Table5[[#This Row],[Date]])</f>
        <v>2026</v>
      </c>
      <c r="D380" s="55" t="s">
        <v>329</v>
      </c>
      <c r="E380" s="55" t="s">
        <v>329</v>
      </c>
      <c r="F380" s="126" t="str">
        <f>TEXT(Table5[[#This Row],[Date]],"mmm-yy")</f>
        <v>Apr-26</v>
      </c>
      <c r="G380" s="124">
        <f t="shared" si="15"/>
        <v>30</v>
      </c>
      <c r="H380" s="125">
        <f t="shared" si="14"/>
        <v>46123</v>
      </c>
      <c r="I380" s="55">
        <v>8.02</v>
      </c>
      <c r="J380" s="59" t="str">
        <f>IFERROR(Inv_SY!J382/Inv_SY!$Y382-1,"")</f>
        <v/>
      </c>
      <c r="K380" s="59" t="str">
        <f>IFERROR(Inv_SY!K382/Inv_SY!$Y382-1,"")</f>
        <v/>
      </c>
      <c r="L380" s="59" t="str">
        <f>IFERROR(Inv_SY!L382/Inv_SY!$Y382-1,"")</f>
        <v/>
      </c>
      <c r="M380" s="59" t="str">
        <f>IFERROR(Inv_SY!M382/Inv_SY!$Y382-1,"")</f>
        <v/>
      </c>
      <c r="N380" s="59" t="str">
        <f>IFERROR(Inv_SY!N382/Inv_SY!$Y382-1,"")</f>
        <v/>
      </c>
      <c r="O380" s="59" t="str">
        <f>IFERROR(Inv_SY!O382/Inv_SY!$Y382-1,"")</f>
        <v/>
      </c>
      <c r="P380" s="59" t="str">
        <f>IFERROR(Inv_SY!P382/Inv_SY!$Y382-1,"")</f>
        <v/>
      </c>
      <c r="Q380" s="59" t="str">
        <f>IFERROR(Inv_SY!Q382/Inv_SY!$Y382-1,"")</f>
        <v/>
      </c>
      <c r="R380" s="59" t="str">
        <f>IFERROR(Inv_SY!R382/Inv_SY!$Y382-1,"")</f>
        <v/>
      </c>
      <c r="S380" s="59" t="str">
        <f>IFERROR(Inv_SY!S382/Inv_SY!$Y382-1,"")</f>
        <v/>
      </c>
      <c r="T380" s="59" t="str">
        <f>IFERROR(Inv_SY!T382/Inv_SY!$Y382-1,"")</f>
        <v/>
      </c>
      <c r="U380" s="59" t="str">
        <f>IFERROR(Inv_SY!U382/Inv_SY!$Y382-1,"")</f>
        <v/>
      </c>
      <c r="V380" s="59" t="str">
        <f>IFERROR(Inv_SY!J382/Inv_SY!$Z382-1,"")</f>
        <v/>
      </c>
      <c r="W380" s="59" t="str">
        <f>IFERROR(Inv_SY!K382/Inv_SY!$Z382-1,"")</f>
        <v/>
      </c>
      <c r="X380" s="59" t="str">
        <f>IFERROR(Inv_SY!L382/Inv_SY!$Z382-1,"")</f>
        <v/>
      </c>
      <c r="Y380" s="59" t="str">
        <f>IFERROR(Inv_SY!M382/Inv_SY!$Z382-1,"")</f>
        <v/>
      </c>
      <c r="Z380" s="59" t="str">
        <f>IFERROR(Inv_SY!N382/Inv_SY!$Z382-1,"")</f>
        <v/>
      </c>
      <c r="AA380" s="59" t="str">
        <f>IFERROR(Inv_SY!O382/Inv_SY!$Z382-1,"")</f>
        <v/>
      </c>
      <c r="AB380" s="59" t="str">
        <f>IFERROR(Inv_SY!P382/Inv_SY!$Z382-1,"")</f>
        <v/>
      </c>
      <c r="AC380" s="59" t="str">
        <f>IFERROR(Inv_SY!Q382/Inv_SY!$Z382-1,"")</f>
        <v/>
      </c>
      <c r="AD380" s="59" t="str">
        <f>IFERROR(Inv_SY!R382/Inv_SY!$Z382-1,"")</f>
        <v/>
      </c>
      <c r="AE380" s="59" t="str">
        <f>IFERROR(Inv_SY!S382/Inv_SY!$Z382-1,"")</f>
        <v/>
      </c>
      <c r="AF380" s="59" t="str">
        <f>IFERROR(Inv_SY!T382/Inv_SY!$Z382-1,"")</f>
        <v/>
      </c>
      <c r="AG380" s="59" t="str">
        <f>IFERROR(Inv_SY!U382/Inv_SY!$Z382-1,"")</f>
        <v/>
      </c>
      <c r="AH380" s="59" t="str">
        <f>IFERROR(Inv_SY!V382/Inv_SY!$Y382-1,"")</f>
        <v/>
      </c>
      <c r="AI380" s="59" t="str">
        <f>IFERROR(Inv_SY!W382/Inv_SY!$Y382-1,"")</f>
        <v/>
      </c>
      <c r="AJ380" s="59" t="str">
        <f>IFERROR(Inv_SY!X382/Inv_SY!$Y382-1,"")</f>
        <v/>
      </c>
      <c r="AK380" s="59" t="str">
        <f>IFERROR(Inv_SY!V382/Inv_SY!$Z382-1,"")</f>
        <v/>
      </c>
      <c r="AL380" s="59" t="str">
        <f>IFERROR(Inv_SY!W382/Inv_SY!$Z382-1,"")</f>
        <v/>
      </c>
      <c r="AM380" s="59" t="str">
        <f>IFERROR(Inv_SY!X382/Inv_SY!$Z382-1,"")</f>
        <v/>
      </c>
    </row>
    <row r="381" spans="1:39" x14ac:dyDescent="0.3">
      <c r="A381" s="55">
        <f>YEAR(Table5[[#This Row],[Date]])+IF(MONTH(Table5[[#This Row],[Date]])&gt;=4,1,0)</f>
        <v>2027</v>
      </c>
      <c r="B381" s="55">
        <v>341</v>
      </c>
      <c r="C381" s="124">
        <f>YEAR(Table5[[#This Row],[Date]])</f>
        <v>2026</v>
      </c>
      <c r="D381" s="55" t="s">
        <v>329</v>
      </c>
      <c r="E381" s="55" t="s">
        <v>329</v>
      </c>
      <c r="F381" s="126" t="str">
        <f>TEXT(Table5[[#This Row],[Date]],"mmm-yy")</f>
        <v>Apr-26</v>
      </c>
      <c r="G381" s="124">
        <f t="shared" si="15"/>
        <v>30</v>
      </c>
      <c r="H381" s="125">
        <f t="shared" si="14"/>
        <v>46124</v>
      </c>
      <c r="I381" s="55">
        <v>8.02</v>
      </c>
      <c r="J381" s="59" t="str">
        <f>IFERROR(Inv_SY!J383/Inv_SY!$Y383-1,"")</f>
        <v/>
      </c>
      <c r="K381" s="59" t="str">
        <f>IFERROR(Inv_SY!K383/Inv_SY!$Y383-1,"")</f>
        <v/>
      </c>
      <c r="L381" s="59" t="str">
        <f>IFERROR(Inv_SY!L383/Inv_SY!$Y383-1,"")</f>
        <v/>
      </c>
      <c r="M381" s="59" t="str">
        <f>IFERROR(Inv_SY!M383/Inv_SY!$Y383-1,"")</f>
        <v/>
      </c>
      <c r="N381" s="59" t="str">
        <f>IFERROR(Inv_SY!N383/Inv_SY!$Y383-1,"")</f>
        <v/>
      </c>
      <c r="O381" s="59" t="str">
        <f>IFERROR(Inv_SY!O383/Inv_SY!$Y383-1,"")</f>
        <v/>
      </c>
      <c r="P381" s="59" t="str">
        <f>IFERROR(Inv_SY!P383/Inv_SY!$Y383-1,"")</f>
        <v/>
      </c>
      <c r="Q381" s="59" t="str">
        <f>IFERROR(Inv_SY!Q383/Inv_SY!$Y383-1,"")</f>
        <v/>
      </c>
      <c r="R381" s="59" t="str">
        <f>IFERROR(Inv_SY!R383/Inv_SY!$Y383-1,"")</f>
        <v/>
      </c>
      <c r="S381" s="59" t="str">
        <f>IFERROR(Inv_SY!S383/Inv_SY!$Y383-1,"")</f>
        <v/>
      </c>
      <c r="T381" s="59" t="str">
        <f>IFERROR(Inv_SY!T383/Inv_SY!$Y383-1,"")</f>
        <v/>
      </c>
      <c r="U381" s="59" t="str">
        <f>IFERROR(Inv_SY!U383/Inv_SY!$Y383-1,"")</f>
        <v/>
      </c>
      <c r="V381" s="59" t="str">
        <f>IFERROR(Inv_SY!J383/Inv_SY!$Z383-1,"")</f>
        <v/>
      </c>
      <c r="W381" s="59" t="str">
        <f>IFERROR(Inv_SY!K383/Inv_SY!$Z383-1,"")</f>
        <v/>
      </c>
      <c r="X381" s="59" t="str">
        <f>IFERROR(Inv_SY!L383/Inv_SY!$Z383-1,"")</f>
        <v/>
      </c>
      <c r="Y381" s="59" t="str">
        <f>IFERROR(Inv_SY!M383/Inv_SY!$Z383-1,"")</f>
        <v/>
      </c>
      <c r="Z381" s="59" t="str">
        <f>IFERROR(Inv_SY!N383/Inv_SY!$Z383-1,"")</f>
        <v/>
      </c>
      <c r="AA381" s="59" t="str">
        <f>IFERROR(Inv_SY!O383/Inv_SY!$Z383-1,"")</f>
        <v/>
      </c>
      <c r="AB381" s="59" t="str">
        <f>IFERROR(Inv_SY!P383/Inv_SY!$Z383-1,"")</f>
        <v/>
      </c>
      <c r="AC381" s="59" t="str">
        <f>IFERROR(Inv_SY!Q383/Inv_SY!$Z383-1,"")</f>
        <v/>
      </c>
      <c r="AD381" s="59" t="str">
        <f>IFERROR(Inv_SY!R383/Inv_SY!$Z383-1,"")</f>
        <v/>
      </c>
      <c r="AE381" s="59" t="str">
        <f>IFERROR(Inv_SY!S383/Inv_SY!$Z383-1,"")</f>
        <v/>
      </c>
      <c r="AF381" s="59" t="str">
        <f>IFERROR(Inv_SY!T383/Inv_SY!$Z383-1,"")</f>
        <v/>
      </c>
      <c r="AG381" s="59" t="str">
        <f>IFERROR(Inv_SY!U383/Inv_SY!$Z383-1,"")</f>
        <v/>
      </c>
      <c r="AH381" s="59" t="str">
        <f>IFERROR(Inv_SY!V383/Inv_SY!$Y383-1,"")</f>
        <v/>
      </c>
      <c r="AI381" s="59" t="str">
        <f>IFERROR(Inv_SY!W383/Inv_SY!$Y383-1,"")</f>
        <v/>
      </c>
      <c r="AJ381" s="59" t="str">
        <f>IFERROR(Inv_SY!X383/Inv_SY!$Y383-1,"")</f>
        <v/>
      </c>
      <c r="AK381" s="59" t="str">
        <f>IFERROR(Inv_SY!V383/Inv_SY!$Z383-1,"")</f>
        <v/>
      </c>
      <c r="AL381" s="59" t="str">
        <f>IFERROR(Inv_SY!W383/Inv_SY!$Z383-1,"")</f>
        <v/>
      </c>
      <c r="AM381" s="59" t="str">
        <f>IFERROR(Inv_SY!X383/Inv_SY!$Z383-1,"")</f>
        <v/>
      </c>
    </row>
    <row r="382" spans="1:39" x14ac:dyDescent="0.3">
      <c r="A382" s="55">
        <f>YEAR(Table5[[#This Row],[Date]])+IF(MONTH(Table5[[#This Row],[Date]])&gt;=4,1,0)</f>
        <v>2027</v>
      </c>
      <c r="B382" s="55">
        <v>342</v>
      </c>
      <c r="C382" s="124">
        <f>YEAR(Table5[[#This Row],[Date]])</f>
        <v>2026</v>
      </c>
      <c r="D382" s="55" t="s">
        <v>329</v>
      </c>
      <c r="E382" s="55" t="s">
        <v>329</v>
      </c>
      <c r="F382" s="126" t="str">
        <f>TEXT(Table5[[#This Row],[Date]],"mmm-yy")</f>
        <v>Apr-26</v>
      </c>
      <c r="G382" s="124">
        <f t="shared" si="15"/>
        <v>30</v>
      </c>
      <c r="H382" s="125">
        <f t="shared" si="14"/>
        <v>46125</v>
      </c>
      <c r="I382" s="55">
        <v>8.02</v>
      </c>
      <c r="J382" s="59" t="str">
        <f>IFERROR(Inv_SY!J384/Inv_SY!$Y384-1,"")</f>
        <v/>
      </c>
      <c r="K382" s="59" t="str">
        <f>IFERROR(Inv_SY!K384/Inv_SY!$Y384-1,"")</f>
        <v/>
      </c>
      <c r="L382" s="59" t="str">
        <f>IFERROR(Inv_SY!L384/Inv_SY!$Y384-1,"")</f>
        <v/>
      </c>
      <c r="M382" s="59" t="str">
        <f>IFERROR(Inv_SY!M384/Inv_SY!$Y384-1,"")</f>
        <v/>
      </c>
      <c r="N382" s="59" t="str">
        <f>IFERROR(Inv_SY!N384/Inv_SY!$Y384-1,"")</f>
        <v/>
      </c>
      <c r="O382" s="59" t="str">
        <f>IFERROR(Inv_SY!O384/Inv_SY!$Y384-1,"")</f>
        <v/>
      </c>
      <c r="P382" s="59" t="str">
        <f>IFERROR(Inv_SY!P384/Inv_SY!$Y384-1,"")</f>
        <v/>
      </c>
      <c r="Q382" s="59" t="str">
        <f>IFERROR(Inv_SY!Q384/Inv_SY!$Y384-1,"")</f>
        <v/>
      </c>
      <c r="R382" s="59" t="str">
        <f>IFERROR(Inv_SY!R384/Inv_SY!$Y384-1,"")</f>
        <v/>
      </c>
      <c r="S382" s="59" t="str">
        <f>IFERROR(Inv_SY!S384/Inv_SY!$Y384-1,"")</f>
        <v/>
      </c>
      <c r="T382" s="59" t="str">
        <f>IFERROR(Inv_SY!T384/Inv_SY!$Y384-1,"")</f>
        <v/>
      </c>
      <c r="U382" s="59" t="str">
        <f>IFERROR(Inv_SY!U384/Inv_SY!$Y384-1,"")</f>
        <v/>
      </c>
      <c r="V382" s="59" t="str">
        <f>IFERROR(Inv_SY!J384/Inv_SY!$Z384-1,"")</f>
        <v/>
      </c>
      <c r="W382" s="59" t="str">
        <f>IFERROR(Inv_SY!K384/Inv_SY!$Z384-1,"")</f>
        <v/>
      </c>
      <c r="X382" s="59" t="str">
        <f>IFERROR(Inv_SY!L384/Inv_SY!$Z384-1,"")</f>
        <v/>
      </c>
      <c r="Y382" s="59" t="str">
        <f>IFERROR(Inv_SY!M384/Inv_SY!$Z384-1,"")</f>
        <v/>
      </c>
      <c r="Z382" s="59" t="str">
        <f>IFERROR(Inv_SY!N384/Inv_SY!$Z384-1,"")</f>
        <v/>
      </c>
      <c r="AA382" s="59" t="str">
        <f>IFERROR(Inv_SY!O384/Inv_SY!$Z384-1,"")</f>
        <v/>
      </c>
      <c r="AB382" s="59" t="str">
        <f>IFERROR(Inv_SY!P384/Inv_SY!$Z384-1,"")</f>
        <v/>
      </c>
      <c r="AC382" s="59" t="str">
        <f>IFERROR(Inv_SY!Q384/Inv_SY!$Z384-1,"")</f>
        <v/>
      </c>
      <c r="AD382" s="59" t="str">
        <f>IFERROR(Inv_SY!R384/Inv_SY!$Z384-1,"")</f>
        <v/>
      </c>
      <c r="AE382" s="59" t="str">
        <f>IFERROR(Inv_SY!S384/Inv_SY!$Z384-1,"")</f>
        <v/>
      </c>
      <c r="AF382" s="59" t="str">
        <f>IFERROR(Inv_SY!T384/Inv_SY!$Z384-1,"")</f>
        <v/>
      </c>
      <c r="AG382" s="59" t="str">
        <f>IFERROR(Inv_SY!U384/Inv_SY!$Z384-1,"")</f>
        <v/>
      </c>
      <c r="AH382" s="59" t="str">
        <f>IFERROR(Inv_SY!V384/Inv_SY!$Y384-1,"")</f>
        <v/>
      </c>
      <c r="AI382" s="59" t="str">
        <f>IFERROR(Inv_SY!W384/Inv_SY!$Y384-1,"")</f>
        <v/>
      </c>
      <c r="AJ382" s="59" t="str">
        <f>IFERROR(Inv_SY!X384/Inv_SY!$Y384-1,"")</f>
        <v/>
      </c>
      <c r="AK382" s="59" t="str">
        <f>IFERROR(Inv_SY!V384/Inv_SY!$Z384-1,"")</f>
        <v/>
      </c>
      <c r="AL382" s="59" t="str">
        <f>IFERROR(Inv_SY!W384/Inv_SY!$Z384-1,"")</f>
        <v/>
      </c>
      <c r="AM382" s="59" t="str">
        <f>IFERROR(Inv_SY!X384/Inv_SY!$Z384-1,"")</f>
        <v/>
      </c>
    </row>
    <row r="383" spans="1:39" x14ac:dyDescent="0.3">
      <c r="A383" s="55">
        <f>YEAR(Table5[[#This Row],[Date]])+IF(MONTH(Table5[[#This Row],[Date]])&gt;=4,1,0)</f>
        <v>2027</v>
      </c>
      <c r="B383" s="55">
        <v>343</v>
      </c>
      <c r="C383" s="124">
        <f>YEAR(Table5[[#This Row],[Date]])</f>
        <v>2026</v>
      </c>
      <c r="D383" s="55" t="s">
        <v>329</v>
      </c>
      <c r="E383" s="55" t="s">
        <v>329</v>
      </c>
      <c r="F383" s="126" t="str">
        <f>TEXT(Table5[[#This Row],[Date]],"mmm-yy")</f>
        <v>Apr-26</v>
      </c>
      <c r="G383" s="124">
        <f t="shared" si="15"/>
        <v>30</v>
      </c>
      <c r="H383" s="125">
        <f t="shared" si="14"/>
        <v>46126</v>
      </c>
      <c r="I383" s="55">
        <v>8.02</v>
      </c>
      <c r="J383" s="59" t="str">
        <f>IFERROR(Inv_SY!J385/Inv_SY!$Y385-1,"")</f>
        <v/>
      </c>
      <c r="K383" s="59" t="str">
        <f>IFERROR(Inv_SY!K385/Inv_SY!$Y385-1,"")</f>
        <v/>
      </c>
      <c r="L383" s="59" t="str">
        <f>IFERROR(Inv_SY!L385/Inv_SY!$Y385-1,"")</f>
        <v/>
      </c>
      <c r="M383" s="59" t="str">
        <f>IFERROR(Inv_SY!M385/Inv_SY!$Y385-1,"")</f>
        <v/>
      </c>
      <c r="N383" s="59" t="str">
        <f>IFERROR(Inv_SY!N385/Inv_SY!$Y385-1,"")</f>
        <v/>
      </c>
      <c r="O383" s="59" t="str">
        <f>IFERROR(Inv_SY!O385/Inv_SY!$Y385-1,"")</f>
        <v/>
      </c>
      <c r="P383" s="59" t="str">
        <f>IFERROR(Inv_SY!P385/Inv_SY!$Y385-1,"")</f>
        <v/>
      </c>
      <c r="Q383" s="59" t="str">
        <f>IFERROR(Inv_SY!Q385/Inv_SY!$Y385-1,"")</f>
        <v/>
      </c>
      <c r="R383" s="59" t="str">
        <f>IFERROR(Inv_SY!R385/Inv_SY!$Y385-1,"")</f>
        <v/>
      </c>
      <c r="S383" s="59" t="str">
        <f>IFERROR(Inv_SY!S385/Inv_SY!$Y385-1,"")</f>
        <v/>
      </c>
      <c r="T383" s="59" t="str">
        <f>IFERROR(Inv_SY!T385/Inv_SY!$Y385-1,"")</f>
        <v/>
      </c>
      <c r="U383" s="59" t="str">
        <f>IFERROR(Inv_SY!U385/Inv_SY!$Y385-1,"")</f>
        <v/>
      </c>
      <c r="V383" s="59" t="str">
        <f>IFERROR(Inv_SY!J385/Inv_SY!$Z385-1,"")</f>
        <v/>
      </c>
      <c r="W383" s="59" t="str">
        <f>IFERROR(Inv_SY!K385/Inv_SY!$Z385-1,"")</f>
        <v/>
      </c>
      <c r="X383" s="59" t="str">
        <f>IFERROR(Inv_SY!L385/Inv_SY!$Z385-1,"")</f>
        <v/>
      </c>
      <c r="Y383" s="59" t="str">
        <f>IFERROR(Inv_SY!M385/Inv_SY!$Z385-1,"")</f>
        <v/>
      </c>
      <c r="Z383" s="59" t="str">
        <f>IFERROR(Inv_SY!N385/Inv_SY!$Z385-1,"")</f>
        <v/>
      </c>
      <c r="AA383" s="59" t="str">
        <f>IFERROR(Inv_SY!O385/Inv_SY!$Z385-1,"")</f>
        <v/>
      </c>
      <c r="AB383" s="59" t="str">
        <f>IFERROR(Inv_SY!P385/Inv_SY!$Z385-1,"")</f>
        <v/>
      </c>
      <c r="AC383" s="59" t="str">
        <f>IFERROR(Inv_SY!Q385/Inv_SY!$Z385-1,"")</f>
        <v/>
      </c>
      <c r="AD383" s="59" t="str">
        <f>IFERROR(Inv_SY!R385/Inv_SY!$Z385-1,"")</f>
        <v/>
      </c>
      <c r="AE383" s="59" t="str">
        <f>IFERROR(Inv_SY!S385/Inv_SY!$Z385-1,"")</f>
        <v/>
      </c>
      <c r="AF383" s="59" t="str">
        <f>IFERROR(Inv_SY!T385/Inv_SY!$Z385-1,"")</f>
        <v/>
      </c>
      <c r="AG383" s="59" t="str">
        <f>IFERROR(Inv_SY!U385/Inv_SY!$Z385-1,"")</f>
        <v/>
      </c>
      <c r="AH383" s="59" t="str">
        <f>IFERROR(Inv_SY!V385/Inv_SY!$Y385-1,"")</f>
        <v/>
      </c>
      <c r="AI383" s="59" t="str">
        <f>IFERROR(Inv_SY!W385/Inv_SY!$Y385-1,"")</f>
        <v/>
      </c>
      <c r="AJ383" s="59" t="str">
        <f>IFERROR(Inv_SY!X385/Inv_SY!$Y385-1,"")</f>
        <v/>
      </c>
      <c r="AK383" s="59" t="str">
        <f>IFERROR(Inv_SY!V385/Inv_SY!$Z385-1,"")</f>
        <v/>
      </c>
      <c r="AL383" s="59" t="str">
        <f>IFERROR(Inv_SY!W385/Inv_SY!$Z385-1,"")</f>
        <v/>
      </c>
      <c r="AM383" s="59" t="str">
        <f>IFERROR(Inv_SY!X385/Inv_SY!$Z385-1,"")</f>
        <v/>
      </c>
    </row>
    <row r="384" spans="1:39" x14ac:dyDescent="0.3">
      <c r="A384" s="55">
        <f>YEAR(Table5[[#This Row],[Date]])+IF(MONTH(Table5[[#This Row],[Date]])&gt;=4,1,0)</f>
        <v>2027</v>
      </c>
      <c r="B384" s="55">
        <v>344</v>
      </c>
      <c r="C384" s="124">
        <f>YEAR(Table5[[#This Row],[Date]])</f>
        <v>2026</v>
      </c>
      <c r="D384" s="55" t="s">
        <v>329</v>
      </c>
      <c r="E384" s="55" t="s">
        <v>329</v>
      </c>
      <c r="F384" s="126" t="str">
        <f>TEXT(Table5[[#This Row],[Date]],"mmm-yy")</f>
        <v>Apr-26</v>
      </c>
      <c r="G384" s="124">
        <f t="shared" si="15"/>
        <v>30</v>
      </c>
      <c r="H384" s="125">
        <f t="shared" si="14"/>
        <v>46127</v>
      </c>
      <c r="I384" s="55">
        <v>8.02</v>
      </c>
      <c r="J384" s="59" t="str">
        <f>IFERROR(Inv_SY!J386/Inv_SY!$Y386-1,"")</f>
        <v/>
      </c>
      <c r="K384" s="59" t="str">
        <f>IFERROR(Inv_SY!K386/Inv_SY!$Y386-1,"")</f>
        <v/>
      </c>
      <c r="L384" s="59" t="str">
        <f>IFERROR(Inv_SY!L386/Inv_SY!$Y386-1,"")</f>
        <v/>
      </c>
      <c r="M384" s="59" t="str">
        <f>IFERROR(Inv_SY!M386/Inv_SY!$Y386-1,"")</f>
        <v/>
      </c>
      <c r="N384" s="59" t="str">
        <f>IFERROR(Inv_SY!N386/Inv_SY!$Y386-1,"")</f>
        <v/>
      </c>
      <c r="O384" s="59" t="str">
        <f>IFERROR(Inv_SY!O386/Inv_SY!$Y386-1,"")</f>
        <v/>
      </c>
      <c r="P384" s="59" t="str">
        <f>IFERROR(Inv_SY!P386/Inv_SY!$Y386-1,"")</f>
        <v/>
      </c>
      <c r="Q384" s="59" t="str">
        <f>IFERROR(Inv_SY!Q386/Inv_SY!$Y386-1,"")</f>
        <v/>
      </c>
      <c r="R384" s="59" t="str">
        <f>IFERROR(Inv_SY!R386/Inv_SY!$Y386-1,"")</f>
        <v/>
      </c>
      <c r="S384" s="59" t="str">
        <f>IFERROR(Inv_SY!S386/Inv_SY!$Y386-1,"")</f>
        <v/>
      </c>
      <c r="T384" s="59" t="str">
        <f>IFERROR(Inv_SY!T386/Inv_SY!$Y386-1,"")</f>
        <v/>
      </c>
      <c r="U384" s="59" t="str">
        <f>IFERROR(Inv_SY!U386/Inv_SY!$Y386-1,"")</f>
        <v/>
      </c>
      <c r="V384" s="59" t="str">
        <f>IFERROR(Inv_SY!J386/Inv_SY!$Z386-1,"")</f>
        <v/>
      </c>
      <c r="W384" s="59" t="str">
        <f>IFERROR(Inv_SY!K386/Inv_SY!$Z386-1,"")</f>
        <v/>
      </c>
      <c r="X384" s="59" t="str">
        <f>IFERROR(Inv_SY!L386/Inv_SY!$Z386-1,"")</f>
        <v/>
      </c>
      <c r="Y384" s="59" t="str">
        <f>IFERROR(Inv_SY!M386/Inv_SY!$Z386-1,"")</f>
        <v/>
      </c>
      <c r="Z384" s="59" t="str">
        <f>IFERROR(Inv_SY!N386/Inv_SY!$Z386-1,"")</f>
        <v/>
      </c>
      <c r="AA384" s="59" t="str">
        <f>IFERROR(Inv_SY!O386/Inv_SY!$Z386-1,"")</f>
        <v/>
      </c>
      <c r="AB384" s="59" t="str">
        <f>IFERROR(Inv_SY!P386/Inv_SY!$Z386-1,"")</f>
        <v/>
      </c>
      <c r="AC384" s="59" t="str">
        <f>IFERROR(Inv_SY!Q386/Inv_SY!$Z386-1,"")</f>
        <v/>
      </c>
      <c r="AD384" s="59" t="str">
        <f>IFERROR(Inv_SY!R386/Inv_SY!$Z386-1,"")</f>
        <v/>
      </c>
      <c r="AE384" s="59" t="str">
        <f>IFERROR(Inv_SY!S386/Inv_SY!$Z386-1,"")</f>
        <v/>
      </c>
      <c r="AF384" s="59" t="str">
        <f>IFERROR(Inv_SY!T386/Inv_SY!$Z386-1,"")</f>
        <v/>
      </c>
      <c r="AG384" s="59" t="str">
        <f>IFERROR(Inv_SY!U386/Inv_SY!$Z386-1,"")</f>
        <v/>
      </c>
      <c r="AH384" s="59" t="str">
        <f>IFERROR(Inv_SY!V386/Inv_SY!$Y386-1,"")</f>
        <v/>
      </c>
      <c r="AI384" s="59" t="str">
        <f>IFERROR(Inv_SY!W386/Inv_SY!$Y386-1,"")</f>
        <v/>
      </c>
      <c r="AJ384" s="59" t="str">
        <f>IFERROR(Inv_SY!X386/Inv_SY!$Y386-1,"")</f>
        <v/>
      </c>
      <c r="AK384" s="59" t="str">
        <f>IFERROR(Inv_SY!V386/Inv_SY!$Z386-1,"")</f>
        <v/>
      </c>
      <c r="AL384" s="59" t="str">
        <f>IFERROR(Inv_SY!W386/Inv_SY!$Z386-1,"")</f>
        <v/>
      </c>
      <c r="AM384" s="59" t="str">
        <f>IFERROR(Inv_SY!X386/Inv_SY!$Z386-1,"")</f>
        <v/>
      </c>
    </row>
    <row r="385" spans="1:39" x14ac:dyDescent="0.3">
      <c r="A385" s="55">
        <f>YEAR(Table5[[#This Row],[Date]])+IF(MONTH(Table5[[#This Row],[Date]])&gt;=4,1,0)</f>
        <v>2027</v>
      </c>
      <c r="B385" s="55">
        <v>345</v>
      </c>
      <c r="C385" s="124">
        <f>YEAR(Table5[[#This Row],[Date]])</f>
        <v>2026</v>
      </c>
      <c r="D385" s="55" t="s">
        <v>329</v>
      </c>
      <c r="E385" s="55" t="s">
        <v>329</v>
      </c>
      <c r="F385" s="126" t="str">
        <f>TEXT(Table5[[#This Row],[Date]],"mmm-yy")</f>
        <v>Apr-26</v>
      </c>
      <c r="G385" s="124">
        <f t="shared" si="15"/>
        <v>30</v>
      </c>
      <c r="H385" s="125">
        <f t="shared" si="14"/>
        <v>46128</v>
      </c>
      <c r="I385" s="55">
        <v>8.02</v>
      </c>
      <c r="J385" s="59" t="str">
        <f>IFERROR(Inv_SY!J387/Inv_SY!$Y387-1,"")</f>
        <v/>
      </c>
      <c r="K385" s="59" t="str">
        <f>IFERROR(Inv_SY!K387/Inv_SY!$Y387-1,"")</f>
        <v/>
      </c>
      <c r="L385" s="59" t="str">
        <f>IFERROR(Inv_SY!L387/Inv_SY!$Y387-1,"")</f>
        <v/>
      </c>
      <c r="M385" s="59" t="str">
        <f>IFERROR(Inv_SY!M387/Inv_SY!$Y387-1,"")</f>
        <v/>
      </c>
      <c r="N385" s="59" t="str">
        <f>IFERROR(Inv_SY!N387/Inv_SY!$Y387-1,"")</f>
        <v/>
      </c>
      <c r="O385" s="59" t="str">
        <f>IFERROR(Inv_SY!O387/Inv_SY!$Y387-1,"")</f>
        <v/>
      </c>
      <c r="P385" s="59" t="str">
        <f>IFERROR(Inv_SY!P387/Inv_SY!$Y387-1,"")</f>
        <v/>
      </c>
      <c r="Q385" s="59" t="str">
        <f>IFERROR(Inv_SY!Q387/Inv_SY!$Y387-1,"")</f>
        <v/>
      </c>
      <c r="R385" s="59" t="str">
        <f>IFERROR(Inv_SY!R387/Inv_SY!$Y387-1,"")</f>
        <v/>
      </c>
      <c r="S385" s="59" t="str">
        <f>IFERROR(Inv_SY!S387/Inv_SY!$Y387-1,"")</f>
        <v/>
      </c>
      <c r="T385" s="59" t="str">
        <f>IFERROR(Inv_SY!T387/Inv_SY!$Y387-1,"")</f>
        <v/>
      </c>
      <c r="U385" s="59" t="str">
        <f>IFERROR(Inv_SY!U387/Inv_SY!$Y387-1,"")</f>
        <v/>
      </c>
      <c r="V385" s="59" t="str">
        <f>IFERROR(Inv_SY!J387/Inv_SY!$Z387-1,"")</f>
        <v/>
      </c>
      <c r="W385" s="59" t="str">
        <f>IFERROR(Inv_SY!K387/Inv_SY!$Z387-1,"")</f>
        <v/>
      </c>
      <c r="X385" s="59" t="str">
        <f>IFERROR(Inv_SY!L387/Inv_SY!$Z387-1,"")</f>
        <v/>
      </c>
      <c r="Y385" s="59" t="str">
        <f>IFERROR(Inv_SY!M387/Inv_SY!$Z387-1,"")</f>
        <v/>
      </c>
      <c r="Z385" s="59" t="str">
        <f>IFERROR(Inv_SY!N387/Inv_SY!$Z387-1,"")</f>
        <v/>
      </c>
      <c r="AA385" s="59" t="str">
        <f>IFERROR(Inv_SY!O387/Inv_SY!$Z387-1,"")</f>
        <v/>
      </c>
      <c r="AB385" s="59" t="str">
        <f>IFERROR(Inv_SY!P387/Inv_SY!$Z387-1,"")</f>
        <v/>
      </c>
      <c r="AC385" s="59" t="str">
        <f>IFERROR(Inv_SY!Q387/Inv_SY!$Z387-1,"")</f>
        <v/>
      </c>
      <c r="AD385" s="59" t="str">
        <f>IFERROR(Inv_SY!R387/Inv_SY!$Z387-1,"")</f>
        <v/>
      </c>
      <c r="AE385" s="59" t="str">
        <f>IFERROR(Inv_SY!S387/Inv_SY!$Z387-1,"")</f>
        <v/>
      </c>
      <c r="AF385" s="59" t="str">
        <f>IFERROR(Inv_SY!T387/Inv_SY!$Z387-1,"")</f>
        <v/>
      </c>
      <c r="AG385" s="59" t="str">
        <f>IFERROR(Inv_SY!U387/Inv_SY!$Z387-1,"")</f>
        <v/>
      </c>
      <c r="AH385" s="59" t="str">
        <f>IFERROR(Inv_SY!V387/Inv_SY!$Y387-1,"")</f>
        <v/>
      </c>
      <c r="AI385" s="59" t="str">
        <f>IFERROR(Inv_SY!W387/Inv_SY!$Y387-1,"")</f>
        <v/>
      </c>
      <c r="AJ385" s="59" t="str">
        <f>IFERROR(Inv_SY!X387/Inv_SY!$Y387-1,"")</f>
        <v/>
      </c>
      <c r="AK385" s="59" t="str">
        <f>IFERROR(Inv_SY!V387/Inv_SY!$Z387-1,"")</f>
        <v/>
      </c>
      <c r="AL385" s="59" t="str">
        <f>IFERROR(Inv_SY!W387/Inv_SY!$Z387-1,"")</f>
        <v/>
      </c>
      <c r="AM385" s="59" t="str">
        <f>IFERROR(Inv_SY!X387/Inv_SY!$Z387-1,"")</f>
        <v/>
      </c>
    </row>
    <row r="386" spans="1:39" x14ac:dyDescent="0.3">
      <c r="A386" s="55">
        <f>YEAR(Table5[[#This Row],[Date]])+IF(MONTH(Table5[[#This Row],[Date]])&gt;=4,1,0)</f>
        <v>2027</v>
      </c>
      <c r="B386" s="55">
        <v>346</v>
      </c>
      <c r="C386" s="124">
        <f>YEAR(Table5[[#This Row],[Date]])</f>
        <v>2026</v>
      </c>
      <c r="D386" s="55" t="s">
        <v>329</v>
      </c>
      <c r="E386" s="55" t="s">
        <v>329</v>
      </c>
      <c r="F386" s="126" t="str">
        <f>TEXT(Table5[[#This Row],[Date]],"mmm-yy")</f>
        <v>Apr-26</v>
      </c>
      <c r="G386" s="124">
        <f t="shared" si="15"/>
        <v>30</v>
      </c>
      <c r="H386" s="125">
        <f t="shared" si="14"/>
        <v>46129</v>
      </c>
      <c r="I386" s="55">
        <v>8.02</v>
      </c>
      <c r="J386" s="59" t="str">
        <f>IFERROR(Inv_SY!J388/Inv_SY!$Y388-1,"")</f>
        <v/>
      </c>
      <c r="K386" s="59" t="str">
        <f>IFERROR(Inv_SY!K388/Inv_SY!$Y388-1,"")</f>
        <v/>
      </c>
      <c r="L386" s="59" t="str">
        <f>IFERROR(Inv_SY!L388/Inv_SY!$Y388-1,"")</f>
        <v/>
      </c>
      <c r="M386" s="59" t="str">
        <f>IFERROR(Inv_SY!M388/Inv_SY!$Y388-1,"")</f>
        <v/>
      </c>
      <c r="N386" s="59" t="str">
        <f>IFERROR(Inv_SY!N388/Inv_SY!$Y388-1,"")</f>
        <v/>
      </c>
      <c r="O386" s="59" t="str">
        <f>IFERROR(Inv_SY!O388/Inv_SY!$Y388-1,"")</f>
        <v/>
      </c>
      <c r="P386" s="59" t="str">
        <f>IFERROR(Inv_SY!P388/Inv_SY!$Y388-1,"")</f>
        <v/>
      </c>
      <c r="Q386" s="59" t="str">
        <f>IFERROR(Inv_SY!Q388/Inv_SY!$Y388-1,"")</f>
        <v/>
      </c>
      <c r="R386" s="59" t="str">
        <f>IFERROR(Inv_SY!R388/Inv_SY!$Y388-1,"")</f>
        <v/>
      </c>
      <c r="S386" s="59" t="str">
        <f>IFERROR(Inv_SY!S388/Inv_SY!$Y388-1,"")</f>
        <v/>
      </c>
      <c r="T386" s="59" t="str">
        <f>IFERROR(Inv_SY!T388/Inv_SY!$Y388-1,"")</f>
        <v/>
      </c>
      <c r="U386" s="59" t="str">
        <f>IFERROR(Inv_SY!U388/Inv_SY!$Y388-1,"")</f>
        <v/>
      </c>
      <c r="V386" s="59" t="str">
        <f>IFERROR(Inv_SY!J388/Inv_SY!$Z388-1,"")</f>
        <v/>
      </c>
      <c r="W386" s="59" t="str">
        <f>IFERROR(Inv_SY!K388/Inv_SY!$Z388-1,"")</f>
        <v/>
      </c>
      <c r="X386" s="59" t="str">
        <f>IFERROR(Inv_SY!L388/Inv_SY!$Z388-1,"")</f>
        <v/>
      </c>
      <c r="Y386" s="59" t="str">
        <f>IFERROR(Inv_SY!M388/Inv_SY!$Z388-1,"")</f>
        <v/>
      </c>
      <c r="Z386" s="59" t="str">
        <f>IFERROR(Inv_SY!N388/Inv_SY!$Z388-1,"")</f>
        <v/>
      </c>
      <c r="AA386" s="59" t="str">
        <f>IFERROR(Inv_SY!O388/Inv_SY!$Z388-1,"")</f>
        <v/>
      </c>
      <c r="AB386" s="59" t="str">
        <f>IFERROR(Inv_SY!P388/Inv_SY!$Z388-1,"")</f>
        <v/>
      </c>
      <c r="AC386" s="59" t="str">
        <f>IFERROR(Inv_SY!Q388/Inv_SY!$Z388-1,"")</f>
        <v/>
      </c>
      <c r="AD386" s="59" t="str">
        <f>IFERROR(Inv_SY!R388/Inv_SY!$Z388-1,"")</f>
        <v/>
      </c>
      <c r="AE386" s="59" t="str">
        <f>IFERROR(Inv_SY!S388/Inv_SY!$Z388-1,"")</f>
        <v/>
      </c>
      <c r="AF386" s="59" t="str">
        <f>IFERROR(Inv_SY!T388/Inv_SY!$Z388-1,"")</f>
        <v/>
      </c>
      <c r="AG386" s="59" t="str">
        <f>IFERROR(Inv_SY!U388/Inv_SY!$Z388-1,"")</f>
        <v/>
      </c>
      <c r="AH386" s="59" t="str">
        <f>IFERROR(Inv_SY!V388/Inv_SY!$Y388-1,"")</f>
        <v/>
      </c>
      <c r="AI386" s="59" t="str">
        <f>IFERROR(Inv_SY!W388/Inv_SY!$Y388-1,"")</f>
        <v/>
      </c>
      <c r="AJ386" s="59" t="str">
        <f>IFERROR(Inv_SY!X388/Inv_SY!$Y388-1,"")</f>
        <v/>
      </c>
      <c r="AK386" s="59" t="str">
        <f>IFERROR(Inv_SY!V388/Inv_SY!$Z388-1,"")</f>
        <v/>
      </c>
      <c r="AL386" s="59" t="str">
        <f>IFERROR(Inv_SY!W388/Inv_SY!$Z388-1,"")</f>
        <v/>
      </c>
      <c r="AM386" s="59" t="str">
        <f>IFERROR(Inv_SY!X388/Inv_SY!$Z388-1,"")</f>
        <v/>
      </c>
    </row>
    <row r="387" spans="1:39" x14ac:dyDescent="0.3">
      <c r="A387" s="55">
        <f>YEAR(Table5[[#This Row],[Date]])+IF(MONTH(Table5[[#This Row],[Date]])&gt;=4,1,0)</f>
        <v>2027</v>
      </c>
      <c r="B387" s="55">
        <v>347</v>
      </c>
      <c r="C387" s="124">
        <f>YEAR(Table5[[#This Row],[Date]])</f>
        <v>2026</v>
      </c>
      <c r="D387" s="55" t="s">
        <v>329</v>
      </c>
      <c r="E387" s="55" t="s">
        <v>329</v>
      </c>
      <c r="F387" s="126" t="str">
        <f>TEXT(Table5[[#This Row],[Date]],"mmm-yy")</f>
        <v>Apr-26</v>
      </c>
      <c r="G387" s="124">
        <f t="shared" si="15"/>
        <v>30</v>
      </c>
      <c r="H387" s="125">
        <f t="shared" si="14"/>
        <v>46130</v>
      </c>
      <c r="I387" s="55">
        <v>8.02</v>
      </c>
      <c r="J387" s="59" t="str">
        <f>IFERROR(Inv_SY!J389/Inv_SY!$Y389-1,"")</f>
        <v/>
      </c>
      <c r="K387" s="59" t="str">
        <f>IFERROR(Inv_SY!K389/Inv_SY!$Y389-1,"")</f>
        <v/>
      </c>
      <c r="L387" s="59" t="str">
        <f>IFERROR(Inv_SY!L389/Inv_SY!$Y389-1,"")</f>
        <v/>
      </c>
      <c r="M387" s="59" t="str">
        <f>IFERROR(Inv_SY!M389/Inv_SY!$Y389-1,"")</f>
        <v/>
      </c>
      <c r="N387" s="59" t="str">
        <f>IFERROR(Inv_SY!N389/Inv_SY!$Y389-1,"")</f>
        <v/>
      </c>
      <c r="O387" s="59" t="str">
        <f>IFERROR(Inv_SY!O389/Inv_SY!$Y389-1,"")</f>
        <v/>
      </c>
      <c r="P387" s="59" t="str">
        <f>IFERROR(Inv_SY!P389/Inv_SY!$Y389-1,"")</f>
        <v/>
      </c>
      <c r="Q387" s="59" t="str">
        <f>IFERROR(Inv_SY!Q389/Inv_SY!$Y389-1,"")</f>
        <v/>
      </c>
      <c r="R387" s="59" t="str">
        <f>IFERROR(Inv_SY!R389/Inv_SY!$Y389-1,"")</f>
        <v/>
      </c>
      <c r="S387" s="59" t="str">
        <f>IFERROR(Inv_SY!S389/Inv_SY!$Y389-1,"")</f>
        <v/>
      </c>
      <c r="T387" s="59" t="str">
        <f>IFERROR(Inv_SY!T389/Inv_SY!$Y389-1,"")</f>
        <v/>
      </c>
      <c r="U387" s="59" t="str">
        <f>IFERROR(Inv_SY!U389/Inv_SY!$Y389-1,"")</f>
        <v/>
      </c>
      <c r="V387" s="59" t="str">
        <f>IFERROR(Inv_SY!J389/Inv_SY!$Z389-1,"")</f>
        <v/>
      </c>
      <c r="W387" s="59" t="str">
        <f>IFERROR(Inv_SY!K389/Inv_SY!$Z389-1,"")</f>
        <v/>
      </c>
      <c r="X387" s="59" t="str">
        <f>IFERROR(Inv_SY!L389/Inv_SY!$Z389-1,"")</f>
        <v/>
      </c>
      <c r="Y387" s="59" t="str">
        <f>IFERROR(Inv_SY!M389/Inv_SY!$Z389-1,"")</f>
        <v/>
      </c>
      <c r="Z387" s="59" t="str">
        <f>IFERROR(Inv_SY!N389/Inv_SY!$Z389-1,"")</f>
        <v/>
      </c>
      <c r="AA387" s="59" t="str">
        <f>IFERROR(Inv_SY!O389/Inv_SY!$Z389-1,"")</f>
        <v/>
      </c>
      <c r="AB387" s="59" t="str">
        <f>IFERROR(Inv_SY!P389/Inv_SY!$Z389-1,"")</f>
        <v/>
      </c>
      <c r="AC387" s="59" t="str">
        <f>IFERROR(Inv_SY!Q389/Inv_SY!$Z389-1,"")</f>
        <v/>
      </c>
      <c r="AD387" s="59" t="str">
        <f>IFERROR(Inv_SY!R389/Inv_SY!$Z389-1,"")</f>
        <v/>
      </c>
      <c r="AE387" s="59" t="str">
        <f>IFERROR(Inv_SY!S389/Inv_SY!$Z389-1,"")</f>
        <v/>
      </c>
      <c r="AF387" s="59" t="str">
        <f>IFERROR(Inv_SY!T389/Inv_SY!$Z389-1,"")</f>
        <v/>
      </c>
      <c r="AG387" s="59" t="str">
        <f>IFERROR(Inv_SY!U389/Inv_SY!$Z389-1,"")</f>
        <v/>
      </c>
      <c r="AH387" s="59" t="str">
        <f>IFERROR(Inv_SY!V389/Inv_SY!$Y389-1,"")</f>
        <v/>
      </c>
      <c r="AI387" s="59" t="str">
        <f>IFERROR(Inv_SY!W389/Inv_SY!$Y389-1,"")</f>
        <v/>
      </c>
      <c r="AJ387" s="59" t="str">
        <f>IFERROR(Inv_SY!X389/Inv_SY!$Y389-1,"")</f>
        <v/>
      </c>
      <c r="AK387" s="59" t="str">
        <f>IFERROR(Inv_SY!V389/Inv_SY!$Z389-1,"")</f>
        <v/>
      </c>
      <c r="AL387" s="59" t="str">
        <f>IFERROR(Inv_SY!W389/Inv_SY!$Z389-1,"")</f>
        <v/>
      </c>
      <c r="AM387" s="59" t="str">
        <f>IFERROR(Inv_SY!X389/Inv_SY!$Z389-1,"")</f>
        <v/>
      </c>
    </row>
    <row r="388" spans="1:39" x14ac:dyDescent="0.3">
      <c r="A388" s="55">
        <f>YEAR(Table5[[#This Row],[Date]])+IF(MONTH(Table5[[#This Row],[Date]])&gt;=4,1,0)</f>
        <v>2027</v>
      </c>
      <c r="B388" s="55">
        <v>348</v>
      </c>
      <c r="C388" s="124">
        <f>YEAR(Table5[[#This Row],[Date]])</f>
        <v>2026</v>
      </c>
      <c r="D388" s="55" t="s">
        <v>329</v>
      </c>
      <c r="E388" s="55" t="s">
        <v>329</v>
      </c>
      <c r="F388" s="126" t="str">
        <f>TEXT(Table5[[#This Row],[Date]],"mmm-yy")</f>
        <v>Apr-26</v>
      </c>
      <c r="G388" s="124">
        <f t="shared" si="15"/>
        <v>30</v>
      </c>
      <c r="H388" s="125">
        <f t="shared" si="14"/>
        <v>46131</v>
      </c>
      <c r="I388" s="55">
        <v>8.02</v>
      </c>
      <c r="J388" s="59" t="str">
        <f>IFERROR(Inv_SY!J390/Inv_SY!$Y390-1,"")</f>
        <v/>
      </c>
      <c r="K388" s="59" t="str">
        <f>IFERROR(Inv_SY!K390/Inv_SY!$Y390-1,"")</f>
        <v/>
      </c>
      <c r="L388" s="59" t="str">
        <f>IFERROR(Inv_SY!L390/Inv_SY!$Y390-1,"")</f>
        <v/>
      </c>
      <c r="M388" s="59" t="str">
        <f>IFERROR(Inv_SY!M390/Inv_SY!$Y390-1,"")</f>
        <v/>
      </c>
      <c r="N388" s="59" t="str">
        <f>IFERROR(Inv_SY!N390/Inv_SY!$Y390-1,"")</f>
        <v/>
      </c>
      <c r="O388" s="59" t="str">
        <f>IFERROR(Inv_SY!O390/Inv_SY!$Y390-1,"")</f>
        <v/>
      </c>
      <c r="P388" s="59" t="str">
        <f>IFERROR(Inv_SY!P390/Inv_SY!$Y390-1,"")</f>
        <v/>
      </c>
      <c r="Q388" s="59" t="str">
        <f>IFERROR(Inv_SY!Q390/Inv_SY!$Y390-1,"")</f>
        <v/>
      </c>
      <c r="R388" s="59" t="str">
        <f>IFERROR(Inv_SY!R390/Inv_SY!$Y390-1,"")</f>
        <v/>
      </c>
      <c r="S388" s="59" t="str">
        <f>IFERROR(Inv_SY!S390/Inv_SY!$Y390-1,"")</f>
        <v/>
      </c>
      <c r="T388" s="59" t="str">
        <f>IFERROR(Inv_SY!T390/Inv_SY!$Y390-1,"")</f>
        <v/>
      </c>
      <c r="U388" s="59" t="str">
        <f>IFERROR(Inv_SY!U390/Inv_SY!$Y390-1,"")</f>
        <v/>
      </c>
      <c r="V388" s="59" t="str">
        <f>IFERROR(Inv_SY!J390/Inv_SY!$Z390-1,"")</f>
        <v/>
      </c>
      <c r="W388" s="59" t="str">
        <f>IFERROR(Inv_SY!K390/Inv_SY!$Z390-1,"")</f>
        <v/>
      </c>
      <c r="X388" s="59" t="str">
        <f>IFERROR(Inv_SY!L390/Inv_SY!$Z390-1,"")</f>
        <v/>
      </c>
      <c r="Y388" s="59" t="str">
        <f>IFERROR(Inv_SY!M390/Inv_SY!$Z390-1,"")</f>
        <v/>
      </c>
      <c r="Z388" s="59" t="str">
        <f>IFERROR(Inv_SY!N390/Inv_SY!$Z390-1,"")</f>
        <v/>
      </c>
      <c r="AA388" s="59" t="str">
        <f>IFERROR(Inv_SY!O390/Inv_SY!$Z390-1,"")</f>
        <v/>
      </c>
      <c r="AB388" s="59" t="str">
        <f>IFERROR(Inv_SY!P390/Inv_SY!$Z390-1,"")</f>
        <v/>
      </c>
      <c r="AC388" s="59" t="str">
        <f>IFERROR(Inv_SY!Q390/Inv_SY!$Z390-1,"")</f>
        <v/>
      </c>
      <c r="AD388" s="59" t="str">
        <f>IFERROR(Inv_SY!R390/Inv_SY!$Z390-1,"")</f>
        <v/>
      </c>
      <c r="AE388" s="59" t="str">
        <f>IFERROR(Inv_SY!S390/Inv_SY!$Z390-1,"")</f>
        <v/>
      </c>
      <c r="AF388" s="59" t="str">
        <f>IFERROR(Inv_SY!T390/Inv_SY!$Z390-1,"")</f>
        <v/>
      </c>
      <c r="AG388" s="59" t="str">
        <f>IFERROR(Inv_SY!U390/Inv_SY!$Z390-1,"")</f>
        <v/>
      </c>
      <c r="AH388" s="59" t="str">
        <f>IFERROR(Inv_SY!V390/Inv_SY!$Y390-1,"")</f>
        <v/>
      </c>
      <c r="AI388" s="59" t="str">
        <f>IFERROR(Inv_SY!W390/Inv_SY!$Y390-1,"")</f>
        <v/>
      </c>
      <c r="AJ388" s="59" t="str">
        <f>IFERROR(Inv_SY!X390/Inv_SY!$Y390-1,"")</f>
        <v/>
      </c>
      <c r="AK388" s="59" t="str">
        <f>IFERROR(Inv_SY!V390/Inv_SY!$Z390-1,"")</f>
        <v/>
      </c>
      <c r="AL388" s="59" t="str">
        <f>IFERROR(Inv_SY!W390/Inv_SY!$Z390-1,"")</f>
        <v/>
      </c>
      <c r="AM388" s="59" t="str">
        <f>IFERROR(Inv_SY!X390/Inv_SY!$Z390-1,"")</f>
        <v/>
      </c>
    </row>
    <row r="389" spans="1:39" x14ac:dyDescent="0.3">
      <c r="A389" s="55">
        <f>YEAR(Table5[[#This Row],[Date]])+IF(MONTH(Table5[[#This Row],[Date]])&gt;=4,1,0)</f>
        <v>2027</v>
      </c>
      <c r="B389" s="55">
        <v>349</v>
      </c>
      <c r="C389" s="124">
        <f>YEAR(Table5[[#This Row],[Date]])</f>
        <v>2026</v>
      </c>
      <c r="D389" s="55" t="s">
        <v>329</v>
      </c>
      <c r="E389" s="55" t="s">
        <v>329</v>
      </c>
      <c r="F389" s="126" t="str">
        <f>TEXT(Table5[[#This Row],[Date]],"mmm-yy")</f>
        <v>Apr-26</v>
      </c>
      <c r="G389" s="124">
        <f t="shared" si="15"/>
        <v>30</v>
      </c>
      <c r="H389" s="125">
        <f t="shared" ref="H389:H452" si="16">H388+1</f>
        <v>46132</v>
      </c>
      <c r="I389" s="55">
        <v>8.02</v>
      </c>
      <c r="J389" s="59" t="str">
        <f>IFERROR(Inv_SY!J391/Inv_SY!$Y391-1,"")</f>
        <v/>
      </c>
      <c r="K389" s="59" t="str">
        <f>IFERROR(Inv_SY!K391/Inv_SY!$Y391-1,"")</f>
        <v/>
      </c>
      <c r="L389" s="59" t="str">
        <f>IFERROR(Inv_SY!L391/Inv_SY!$Y391-1,"")</f>
        <v/>
      </c>
      <c r="M389" s="59" t="str">
        <f>IFERROR(Inv_SY!M391/Inv_SY!$Y391-1,"")</f>
        <v/>
      </c>
      <c r="N389" s="59" t="str">
        <f>IFERROR(Inv_SY!N391/Inv_SY!$Y391-1,"")</f>
        <v/>
      </c>
      <c r="O389" s="59" t="str">
        <f>IFERROR(Inv_SY!O391/Inv_SY!$Y391-1,"")</f>
        <v/>
      </c>
      <c r="P389" s="59" t="str">
        <f>IFERROR(Inv_SY!P391/Inv_SY!$Y391-1,"")</f>
        <v/>
      </c>
      <c r="Q389" s="59" t="str">
        <f>IFERROR(Inv_SY!Q391/Inv_SY!$Y391-1,"")</f>
        <v/>
      </c>
      <c r="R389" s="59" t="str">
        <f>IFERROR(Inv_SY!R391/Inv_SY!$Y391-1,"")</f>
        <v/>
      </c>
      <c r="S389" s="59" t="str">
        <f>IFERROR(Inv_SY!S391/Inv_SY!$Y391-1,"")</f>
        <v/>
      </c>
      <c r="T389" s="59" t="str">
        <f>IFERROR(Inv_SY!T391/Inv_SY!$Y391-1,"")</f>
        <v/>
      </c>
      <c r="U389" s="59" t="str">
        <f>IFERROR(Inv_SY!U391/Inv_SY!$Y391-1,"")</f>
        <v/>
      </c>
      <c r="V389" s="59" t="str">
        <f>IFERROR(Inv_SY!J391/Inv_SY!$Z391-1,"")</f>
        <v/>
      </c>
      <c r="W389" s="59" t="str">
        <f>IFERROR(Inv_SY!K391/Inv_SY!$Z391-1,"")</f>
        <v/>
      </c>
      <c r="X389" s="59" t="str">
        <f>IFERROR(Inv_SY!L391/Inv_SY!$Z391-1,"")</f>
        <v/>
      </c>
      <c r="Y389" s="59" t="str">
        <f>IFERROR(Inv_SY!M391/Inv_SY!$Z391-1,"")</f>
        <v/>
      </c>
      <c r="Z389" s="59" t="str">
        <f>IFERROR(Inv_SY!N391/Inv_SY!$Z391-1,"")</f>
        <v/>
      </c>
      <c r="AA389" s="59" t="str">
        <f>IFERROR(Inv_SY!O391/Inv_SY!$Z391-1,"")</f>
        <v/>
      </c>
      <c r="AB389" s="59" t="str">
        <f>IFERROR(Inv_SY!P391/Inv_SY!$Z391-1,"")</f>
        <v/>
      </c>
      <c r="AC389" s="59" t="str">
        <f>IFERROR(Inv_SY!Q391/Inv_SY!$Z391-1,"")</f>
        <v/>
      </c>
      <c r="AD389" s="59" t="str">
        <f>IFERROR(Inv_SY!R391/Inv_SY!$Z391-1,"")</f>
        <v/>
      </c>
      <c r="AE389" s="59" t="str">
        <f>IFERROR(Inv_SY!S391/Inv_SY!$Z391-1,"")</f>
        <v/>
      </c>
      <c r="AF389" s="59" t="str">
        <f>IFERROR(Inv_SY!T391/Inv_SY!$Z391-1,"")</f>
        <v/>
      </c>
      <c r="AG389" s="59" t="str">
        <f>IFERROR(Inv_SY!U391/Inv_SY!$Z391-1,"")</f>
        <v/>
      </c>
      <c r="AH389" s="59" t="str">
        <f>IFERROR(Inv_SY!V391/Inv_SY!$Y391-1,"")</f>
        <v/>
      </c>
      <c r="AI389" s="59" t="str">
        <f>IFERROR(Inv_SY!W391/Inv_SY!$Y391-1,"")</f>
        <v/>
      </c>
      <c r="AJ389" s="59" t="str">
        <f>IFERROR(Inv_SY!X391/Inv_SY!$Y391-1,"")</f>
        <v/>
      </c>
      <c r="AK389" s="59" t="str">
        <f>IFERROR(Inv_SY!V391/Inv_SY!$Z391-1,"")</f>
        <v/>
      </c>
      <c r="AL389" s="59" t="str">
        <f>IFERROR(Inv_SY!W391/Inv_SY!$Z391-1,"")</f>
        <v/>
      </c>
      <c r="AM389" s="59" t="str">
        <f>IFERROR(Inv_SY!X391/Inv_SY!$Z391-1,"")</f>
        <v/>
      </c>
    </row>
    <row r="390" spans="1:39" x14ac:dyDescent="0.3">
      <c r="A390" s="55">
        <f>YEAR(Table5[[#This Row],[Date]])+IF(MONTH(Table5[[#This Row],[Date]])&gt;=4,1,0)</f>
        <v>2027</v>
      </c>
      <c r="B390" s="55">
        <v>350</v>
      </c>
      <c r="C390" s="124">
        <f>YEAR(Table5[[#This Row],[Date]])</f>
        <v>2026</v>
      </c>
      <c r="D390" s="55" t="s">
        <v>329</v>
      </c>
      <c r="E390" s="55" t="s">
        <v>329</v>
      </c>
      <c r="F390" s="126" t="str">
        <f>TEXT(Table5[[#This Row],[Date]],"mmm-yy")</f>
        <v>Apr-26</v>
      </c>
      <c r="G390" s="124">
        <f t="shared" si="15"/>
        <v>30</v>
      </c>
      <c r="H390" s="125">
        <f t="shared" si="16"/>
        <v>46133</v>
      </c>
      <c r="I390" s="55">
        <v>8.02</v>
      </c>
      <c r="J390" s="59" t="str">
        <f>IFERROR(Inv_SY!J392/Inv_SY!$Y392-1,"")</f>
        <v/>
      </c>
      <c r="K390" s="59" t="str">
        <f>IFERROR(Inv_SY!K392/Inv_SY!$Y392-1,"")</f>
        <v/>
      </c>
      <c r="L390" s="59" t="str">
        <f>IFERROR(Inv_SY!L392/Inv_SY!$Y392-1,"")</f>
        <v/>
      </c>
      <c r="M390" s="59" t="str">
        <f>IFERROR(Inv_SY!M392/Inv_SY!$Y392-1,"")</f>
        <v/>
      </c>
      <c r="N390" s="59" t="str">
        <f>IFERROR(Inv_SY!N392/Inv_SY!$Y392-1,"")</f>
        <v/>
      </c>
      <c r="O390" s="59" t="str">
        <f>IFERROR(Inv_SY!O392/Inv_SY!$Y392-1,"")</f>
        <v/>
      </c>
      <c r="P390" s="59" t="str">
        <f>IFERROR(Inv_SY!P392/Inv_SY!$Y392-1,"")</f>
        <v/>
      </c>
      <c r="Q390" s="59" t="str">
        <f>IFERROR(Inv_SY!Q392/Inv_SY!$Y392-1,"")</f>
        <v/>
      </c>
      <c r="R390" s="59" t="str">
        <f>IFERROR(Inv_SY!R392/Inv_SY!$Y392-1,"")</f>
        <v/>
      </c>
      <c r="S390" s="59" t="str">
        <f>IFERROR(Inv_SY!S392/Inv_SY!$Y392-1,"")</f>
        <v/>
      </c>
      <c r="T390" s="59" t="str">
        <f>IFERROR(Inv_SY!T392/Inv_SY!$Y392-1,"")</f>
        <v/>
      </c>
      <c r="U390" s="59" t="str">
        <f>IFERROR(Inv_SY!U392/Inv_SY!$Y392-1,"")</f>
        <v/>
      </c>
      <c r="V390" s="59" t="str">
        <f>IFERROR(Inv_SY!J392/Inv_SY!$Z392-1,"")</f>
        <v/>
      </c>
      <c r="W390" s="59" t="str">
        <f>IFERROR(Inv_SY!K392/Inv_SY!$Z392-1,"")</f>
        <v/>
      </c>
      <c r="X390" s="59" t="str">
        <f>IFERROR(Inv_SY!L392/Inv_SY!$Z392-1,"")</f>
        <v/>
      </c>
      <c r="Y390" s="59" t="str">
        <f>IFERROR(Inv_SY!M392/Inv_SY!$Z392-1,"")</f>
        <v/>
      </c>
      <c r="Z390" s="59" t="str">
        <f>IFERROR(Inv_SY!N392/Inv_SY!$Z392-1,"")</f>
        <v/>
      </c>
      <c r="AA390" s="59" t="str">
        <f>IFERROR(Inv_SY!O392/Inv_SY!$Z392-1,"")</f>
        <v/>
      </c>
      <c r="AB390" s="59" t="str">
        <f>IFERROR(Inv_SY!P392/Inv_SY!$Z392-1,"")</f>
        <v/>
      </c>
      <c r="AC390" s="59" t="str">
        <f>IFERROR(Inv_SY!Q392/Inv_SY!$Z392-1,"")</f>
        <v/>
      </c>
      <c r="AD390" s="59" t="str">
        <f>IFERROR(Inv_SY!R392/Inv_SY!$Z392-1,"")</f>
        <v/>
      </c>
      <c r="AE390" s="59" t="str">
        <f>IFERROR(Inv_SY!S392/Inv_SY!$Z392-1,"")</f>
        <v/>
      </c>
      <c r="AF390" s="59" t="str">
        <f>IFERROR(Inv_SY!T392/Inv_SY!$Z392-1,"")</f>
        <v/>
      </c>
      <c r="AG390" s="59" t="str">
        <f>IFERROR(Inv_SY!U392/Inv_SY!$Z392-1,"")</f>
        <v/>
      </c>
      <c r="AH390" s="59" t="str">
        <f>IFERROR(Inv_SY!V392/Inv_SY!$Y392-1,"")</f>
        <v/>
      </c>
      <c r="AI390" s="59" t="str">
        <f>IFERROR(Inv_SY!W392/Inv_SY!$Y392-1,"")</f>
        <v/>
      </c>
      <c r="AJ390" s="59" t="str">
        <f>IFERROR(Inv_SY!X392/Inv_SY!$Y392-1,"")</f>
        <v/>
      </c>
      <c r="AK390" s="59" t="str">
        <f>IFERROR(Inv_SY!V392/Inv_SY!$Z392-1,"")</f>
        <v/>
      </c>
      <c r="AL390" s="59" t="str">
        <f>IFERROR(Inv_SY!W392/Inv_SY!$Z392-1,"")</f>
        <v/>
      </c>
      <c r="AM390" s="59" t="str">
        <f>IFERROR(Inv_SY!X392/Inv_SY!$Z392-1,"")</f>
        <v/>
      </c>
    </row>
    <row r="391" spans="1:39" x14ac:dyDescent="0.3">
      <c r="A391" s="55">
        <f>YEAR(Table5[[#This Row],[Date]])+IF(MONTH(Table5[[#This Row],[Date]])&gt;=4,1,0)</f>
        <v>2027</v>
      </c>
      <c r="B391" s="55">
        <v>351</v>
      </c>
      <c r="C391" s="124">
        <f>YEAR(Table5[[#This Row],[Date]])</f>
        <v>2026</v>
      </c>
      <c r="D391" s="55" t="s">
        <v>329</v>
      </c>
      <c r="E391" s="55" t="s">
        <v>329</v>
      </c>
      <c r="F391" s="126" t="str">
        <f>TEXT(Table5[[#This Row],[Date]],"mmm-yy")</f>
        <v>Apr-26</v>
      </c>
      <c r="G391" s="124">
        <f t="shared" si="15"/>
        <v>30</v>
      </c>
      <c r="H391" s="125">
        <f t="shared" si="16"/>
        <v>46134</v>
      </c>
      <c r="I391" s="55">
        <v>8.02</v>
      </c>
      <c r="J391" s="59" t="str">
        <f>IFERROR(Inv_SY!J393/Inv_SY!$Y393-1,"")</f>
        <v/>
      </c>
      <c r="K391" s="59" t="str">
        <f>IFERROR(Inv_SY!K393/Inv_SY!$Y393-1,"")</f>
        <v/>
      </c>
      <c r="L391" s="59" t="str">
        <f>IFERROR(Inv_SY!L393/Inv_SY!$Y393-1,"")</f>
        <v/>
      </c>
      <c r="M391" s="59" t="str">
        <f>IFERROR(Inv_SY!M393/Inv_SY!$Y393-1,"")</f>
        <v/>
      </c>
      <c r="N391" s="59" t="str">
        <f>IFERROR(Inv_SY!N393/Inv_SY!$Y393-1,"")</f>
        <v/>
      </c>
      <c r="O391" s="59" t="str">
        <f>IFERROR(Inv_SY!O393/Inv_SY!$Y393-1,"")</f>
        <v/>
      </c>
      <c r="P391" s="59" t="str">
        <f>IFERROR(Inv_SY!P393/Inv_SY!$Y393-1,"")</f>
        <v/>
      </c>
      <c r="Q391" s="59" t="str">
        <f>IFERROR(Inv_SY!Q393/Inv_SY!$Y393-1,"")</f>
        <v/>
      </c>
      <c r="R391" s="59" t="str">
        <f>IFERROR(Inv_SY!R393/Inv_SY!$Y393-1,"")</f>
        <v/>
      </c>
      <c r="S391" s="59" t="str">
        <f>IFERROR(Inv_SY!S393/Inv_SY!$Y393-1,"")</f>
        <v/>
      </c>
      <c r="T391" s="59" t="str">
        <f>IFERROR(Inv_SY!T393/Inv_SY!$Y393-1,"")</f>
        <v/>
      </c>
      <c r="U391" s="59" t="str">
        <f>IFERROR(Inv_SY!U393/Inv_SY!$Y393-1,"")</f>
        <v/>
      </c>
      <c r="V391" s="59" t="str">
        <f>IFERROR(Inv_SY!J393/Inv_SY!$Z393-1,"")</f>
        <v/>
      </c>
      <c r="W391" s="59" t="str">
        <f>IFERROR(Inv_SY!K393/Inv_SY!$Z393-1,"")</f>
        <v/>
      </c>
      <c r="X391" s="59" t="str">
        <f>IFERROR(Inv_SY!L393/Inv_SY!$Z393-1,"")</f>
        <v/>
      </c>
      <c r="Y391" s="59" t="str">
        <f>IFERROR(Inv_SY!M393/Inv_SY!$Z393-1,"")</f>
        <v/>
      </c>
      <c r="Z391" s="59" t="str">
        <f>IFERROR(Inv_SY!N393/Inv_SY!$Z393-1,"")</f>
        <v/>
      </c>
      <c r="AA391" s="59" t="str">
        <f>IFERROR(Inv_SY!O393/Inv_SY!$Z393-1,"")</f>
        <v/>
      </c>
      <c r="AB391" s="59" t="str">
        <f>IFERROR(Inv_SY!P393/Inv_SY!$Z393-1,"")</f>
        <v/>
      </c>
      <c r="AC391" s="59" t="str">
        <f>IFERROR(Inv_SY!Q393/Inv_SY!$Z393-1,"")</f>
        <v/>
      </c>
      <c r="AD391" s="59" t="str">
        <f>IFERROR(Inv_SY!R393/Inv_SY!$Z393-1,"")</f>
        <v/>
      </c>
      <c r="AE391" s="59" t="str">
        <f>IFERROR(Inv_SY!S393/Inv_SY!$Z393-1,"")</f>
        <v/>
      </c>
      <c r="AF391" s="59" t="str">
        <f>IFERROR(Inv_SY!T393/Inv_SY!$Z393-1,"")</f>
        <v/>
      </c>
      <c r="AG391" s="59" t="str">
        <f>IFERROR(Inv_SY!U393/Inv_SY!$Z393-1,"")</f>
        <v/>
      </c>
      <c r="AH391" s="59" t="str">
        <f>IFERROR(Inv_SY!V393/Inv_SY!$Y393-1,"")</f>
        <v/>
      </c>
      <c r="AI391" s="59" t="str">
        <f>IFERROR(Inv_SY!W393/Inv_SY!$Y393-1,"")</f>
        <v/>
      </c>
      <c r="AJ391" s="59" t="str">
        <f>IFERROR(Inv_SY!X393/Inv_SY!$Y393-1,"")</f>
        <v/>
      </c>
      <c r="AK391" s="59" t="str">
        <f>IFERROR(Inv_SY!V393/Inv_SY!$Z393-1,"")</f>
        <v/>
      </c>
      <c r="AL391" s="59" t="str">
        <f>IFERROR(Inv_SY!W393/Inv_SY!$Z393-1,"")</f>
        <v/>
      </c>
      <c r="AM391" s="59" t="str">
        <f>IFERROR(Inv_SY!X393/Inv_SY!$Z393-1,"")</f>
        <v/>
      </c>
    </row>
    <row r="392" spans="1:39" x14ac:dyDescent="0.3">
      <c r="A392" s="55">
        <f>YEAR(Table5[[#This Row],[Date]])+IF(MONTH(Table5[[#This Row],[Date]])&gt;=4,1,0)</f>
        <v>2027</v>
      </c>
      <c r="B392" s="55">
        <v>352</v>
      </c>
      <c r="C392" s="124">
        <f>YEAR(Table5[[#This Row],[Date]])</f>
        <v>2026</v>
      </c>
      <c r="D392" s="55" t="s">
        <v>329</v>
      </c>
      <c r="E392" s="55" t="s">
        <v>329</v>
      </c>
      <c r="F392" s="126" t="str">
        <f>TEXT(Table5[[#This Row],[Date]],"mmm-yy")</f>
        <v>Apr-26</v>
      </c>
      <c r="G392" s="124">
        <f t="shared" si="15"/>
        <v>30</v>
      </c>
      <c r="H392" s="125">
        <f t="shared" si="16"/>
        <v>46135</v>
      </c>
      <c r="I392" s="55">
        <v>8.02</v>
      </c>
      <c r="J392" s="59" t="str">
        <f>IFERROR(Inv_SY!J394/Inv_SY!$Y394-1,"")</f>
        <v/>
      </c>
      <c r="K392" s="59" t="str">
        <f>IFERROR(Inv_SY!K394/Inv_SY!$Y394-1,"")</f>
        <v/>
      </c>
      <c r="L392" s="59" t="str">
        <f>IFERROR(Inv_SY!L394/Inv_SY!$Y394-1,"")</f>
        <v/>
      </c>
      <c r="M392" s="59" t="str">
        <f>IFERROR(Inv_SY!M394/Inv_SY!$Y394-1,"")</f>
        <v/>
      </c>
      <c r="N392" s="59" t="str">
        <f>IFERROR(Inv_SY!N394/Inv_SY!$Y394-1,"")</f>
        <v/>
      </c>
      <c r="O392" s="59" t="str">
        <f>IFERROR(Inv_SY!O394/Inv_SY!$Y394-1,"")</f>
        <v/>
      </c>
      <c r="P392" s="59" t="str">
        <f>IFERROR(Inv_SY!P394/Inv_SY!$Y394-1,"")</f>
        <v/>
      </c>
      <c r="Q392" s="59" t="str">
        <f>IFERROR(Inv_SY!Q394/Inv_SY!$Y394-1,"")</f>
        <v/>
      </c>
      <c r="R392" s="59" t="str">
        <f>IFERROR(Inv_SY!R394/Inv_SY!$Y394-1,"")</f>
        <v/>
      </c>
      <c r="S392" s="59" t="str">
        <f>IFERROR(Inv_SY!S394/Inv_SY!$Y394-1,"")</f>
        <v/>
      </c>
      <c r="T392" s="59" t="str">
        <f>IFERROR(Inv_SY!T394/Inv_SY!$Y394-1,"")</f>
        <v/>
      </c>
      <c r="U392" s="59" t="str">
        <f>IFERROR(Inv_SY!U394/Inv_SY!$Y394-1,"")</f>
        <v/>
      </c>
      <c r="V392" s="59" t="str">
        <f>IFERROR(Inv_SY!J394/Inv_SY!$Z394-1,"")</f>
        <v/>
      </c>
      <c r="W392" s="59" t="str">
        <f>IFERROR(Inv_SY!K394/Inv_SY!$Z394-1,"")</f>
        <v/>
      </c>
      <c r="X392" s="59" t="str">
        <f>IFERROR(Inv_SY!L394/Inv_SY!$Z394-1,"")</f>
        <v/>
      </c>
      <c r="Y392" s="59" t="str">
        <f>IFERROR(Inv_SY!M394/Inv_SY!$Z394-1,"")</f>
        <v/>
      </c>
      <c r="Z392" s="59" t="str">
        <f>IFERROR(Inv_SY!N394/Inv_SY!$Z394-1,"")</f>
        <v/>
      </c>
      <c r="AA392" s="59" t="str">
        <f>IFERROR(Inv_SY!O394/Inv_SY!$Z394-1,"")</f>
        <v/>
      </c>
      <c r="AB392" s="59" t="str">
        <f>IFERROR(Inv_SY!P394/Inv_SY!$Z394-1,"")</f>
        <v/>
      </c>
      <c r="AC392" s="59" t="str">
        <f>IFERROR(Inv_SY!Q394/Inv_SY!$Z394-1,"")</f>
        <v/>
      </c>
      <c r="AD392" s="59" t="str">
        <f>IFERROR(Inv_SY!R394/Inv_SY!$Z394-1,"")</f>
        <v/>
      </c>
      <c r="AE392" s="59" t="str">
        <f>IFERROR(Inv_SY!S394/Inv_SY!$Z394-1,"")</f>
        <v/>
      </c>
      <c r="AF392" s="59" t="str">
        <f>IFERROR(Inv_SY!T394/Inv_SY!$Z394-1,"")</f>
        <v/>
      </c>
      <c r="AG392" s="59" t="str">
        <f>IFERROR(Inv_SY!U394/Inv_SY!$Z394-1,"")</f>
        <v/>
      </c>
      <c r="AH392" s="59" t="str">
        <f>IFERROR(Inv_SY!V394/Inv_SY!$Y394-1,"")</f>
        <v/>
      </c>
      <c r="AI392" s="59" t="str">
        <f>IFERROR(Inv_SY!W394/Inv_SY!$Y394-1,"")</f>
        <v/>
      </c>
      <c r="AJ392" s="59" t="str">
        <f>IFERROR(Inv_SY!X394/Inv_SY!$Y394-1,"")</f>
        <v/>
      </c>
      <c r="AK392" s="59" t="str">
        <f>IFERROR(Inv_SY!V394/Inv_SY!$Z394-1,"")</f>
        <v/>
      </c>
      <c r="AL392" s="59" t="str">
        <f>IFERROR(Inv_SY!W394/Inv_SY!$Z394-1,"")</f>
        <v/>
      </c>
      <c r="AM392" s="59" t="str">
        <f>IFERROR(Inv_SY!X394/Inv_SY!$Z394-1,"")</f>
        <v/>
      </c>
    </row>
    <row r="393" spans="1:39" x14ac:dyDescent="0.3">
      <c r="A393" s="55">
        <f>YEAR(Table5[[#This Row],[Date]])+IF(MONTH(Table5[[#This Row],[Date]])&gt;=4,1,0)</f>
        <v>2027</v>
      </c>
      <c r="B393" s="55">
        <v>353</v>
      </c>
      <c r="C393" s="124">
        <f>YEAR(Table5[[#This Row],[Date]])</f>
        <v>2026</v>
      </c>
      <c r="D393" s="55" t="s">
        <v>329</v>
      </c>
      <c r="E393" s="55" t="s">
        <v>329</v>
      </c>
      <c r="F393" s="126" t="str">
        <f>TEXT(Table5[[#This Row],[Date]],"mmm-yy")</f>
        <v>Apr-26</v>
      </c>
      <c r="G393" s="124">
        <f t="shared" si="15"/>
        <v>30</v>
      </c>
      <c r="H393" s="125">
        <f t="shared" si="16"/>
        <v>46136</v>
      </c>
      <c r="I393" s="55">
        <v>8.02</v>
      </c>
      <c r="J393" s="59" t="str">
        <f>IFERROR(Inv_SY!J395/Inv_SY!$Y395-1,"")</f>
        <v/>
      </c>
      <c r="K393" s="59" t="str">
        <f>IFERROR(Inv_SY!K395/Inv_SY!$Y395-1,"")</f>
        <v/>
      </c>
      <c r="L393" s="59" t="str">
        <f>IFERROR(Inv_SY!L395/Inv_SY!$Y395-1,"")</f>
        <v/>
      </c>
      <c r="M393" s="59" t="str">
        <f>IFERROR(Inv_SY!M395/Inv_SY!$Y395-1,"")</f>
        <v/>
      </c>
      <c r="N393" s="59" t="str">
        <f>IFERROR(Inv_SY!N395/Inv_SY!$Y395-1,"")</f>
        <v/>
      </c>
      <c r="O393" s="59" t="str">
        <f>IFERROR(Inv_SY!O395/Inv_SY!$Y395-1,"")</f>
        <v/>
      </c>
      <c r="P393" s="59" t="str">
        <f>IFERROR(Inv_SY!P395/Inv_SY!$Y395-1,"")</f>
        <v/>
      </c>
      <c r="Q393" s="59" t="str">
        <f>IFERROR(Inv_SY!Q395/Inv_SY!$Y395-1,"")</f>
        <v/>
      </c>
      <c r="R393" s="59" t="str">
        <f>IFERROR(Inv_SY!R395/Inv_SY!$Y395-1,"")</f>
        <v/>
      </c>
      <c r="S393" s="59" t="str">
        <f>IFERROR(Inv_SY!S395/Inv_SY!$Y395-1,"")</f>
        <v/>
      </c>
      <c r="T393" s="59" t="str">
        <f>IFERROR(Inv_SY!T395/Inv_SY!$Y395-1,"")</f>
        <v/>
      </c>
      <c r="U393" s="59" t="str">
        <f>IFERROR(Inv_SY!U395/Inv_SY!$Y395-1,"")</f>
        <v/>
      </c>
      <c r="V393" s="59" t="str">
        <f>IFERROR(Inv_SY!J395/Inv_SY!$Z395-1,"")</f>
        <v/>
      </c>
      <c r="W393" s="59" t="str">
        <f>IFERROR(Inv_SY!K395/Inv_SY!$Z395-1,"")</f>
        <v/>
      </c>
      <c r="X393" s="59" t="str">
        <f>IFERROR(Inv_SY!L395/Inv_SY!$Z395-1,"")</f>
        <v/>
      </c>
      <c r="Y393" s="59" t="str">
        <f>IFERROR(Inv_SY!M395/Inv_SY!$Z395-1,"")</f>
        <v/>
      </c>
      <c r="Z393" s="59" t="str">
        <f>IFERROR(Inv_SY!N395/Inv_SY!$Z395-1,"")</f>
        <v/>
      </c>
      <c r="AA393" s="59" t="str">
        <f>IFERROR(Inv_SY!O395/Inv_SY!$Z395-1,"")</f>
        <v/>
      </c>
      <c r="AB393" s="59" t="str">
        <f>IFERROR(Inv_SY!P395/Inv_SY!$Z395-1,"")</f>
        <v/>
      </c>
      <c r="AC393" s="59" t="str">
        <f>IFERROR(Inv_SY!Q395/Inv_SY!$Z395-1,"")</f>
        <v/>
      </c>
      <c r="AD393" s="59" t="str">
        <f>IFERROR(Inv_SY!R395/Inv_SY!$Z395-1,"")</f>
        <v/>
      </c>
      <c r="AE393" s="59" t="str">
        <f>IFERROR(Inv_SY!S395/Inv_SY!$Z395-1,"")</f>
        <v/>
      </c>
      <c r="AF393" s="59" t="str">
        <f>IFERROR(Inv_SY!T395/Inv_SY!$Z395-1,"")</f>
        <v/>
      </c>
      <c r="AG393" s="59" t="str">
        <f>IFERROR(Inv_SY!U395/Inv_SY!$Z395-1,"")</f>
        <v/>
      </c>
      <c r="AH393" s="59" t="str">
        <f>IFERROR(Inv_SY!V395/Inv_SY!$Y395-1,"")</f>
        <v/>
      </c>
      <c r="AI393" s="59" t="str">
        <f>IFERROR(Inv_SY!W395/Inv_SY!$Y395-1,"")</f>
        <v/>
      </c>
      <c r="AJ393" s="59" t="str">
        <f>IFERROR(Inv_SY!X395/Inv_SY!$Y395-1,"")</f>
        <v/>
      </c>
      <c r="AK393" s="59" t="str">
        <f>IFERROR(Inv_SY!V395/Inv_SY!$Z395-1,"")</f>
        <v/>
      </c>
      <c r="AL393" s="59" t="str">
        <f>IFERROR(Inv_SY!W395/Inv_SY!$Z395-1,"")</f>
        <v/>
      </c>
      <c r="AM393" s="59" t="str">
        <f>IFERROR(Inv_SY!X395/Inv_SY!$Z395-1,"")</f>
        <v/>
      </c>
    </row>
    <row r="394" spans="1:39" x14ac:dyDescent="0.3">
      <c r="A394" s="55">
        <f>YEAR(Table5[[#This Row],[Date]])+IF(MONTH(Table5[[#This Row],[Date]])&gt;=4,1,0)</f>
        <v>2027</v>
      </c>
      <c r="B394" s="55">
        <v>354</v>
      </c>
      <c r="C394" s="124">
        <f>YEAR(Table5[[#This Row],[Date]])</f>
        <v>2026</v>
      </c>
      <c r="D394" s="55" t="s">
        <v>329</v>
      </c>
      <c r="E394" s="55" t="s">
        <v>329</v>
      </c>
      <c r="F394" s="126" t="str">
        <f>TEXT(Table5[[#This Row],[Date]],"mmm-yy")</f>
        <v>Apr-26</v>
      </c>
      <c r="G394" s="124">
        <f t="shared" si="15"/>
        <v>30</v>
      </c>
      <c r="H394" s="125">
        <f t="shared" si="16"/>
        <v>46137</v>
      </c>
      <c r="I394" s="55">
        <v>8.02</v>
      </c>
      <c r="J394" s="59" t="str">
        <f>IFERROR(Inv_SY!J396/Inv_SY!$Y396-1,"")</f>
        <v/>
      </c>
      <c r="K394" s="59" t="str">
        <f>IFERROR(Inv_SY!K396/Inv_SY!$Y396-1,"")</f>
        <v/>
      </c>
      <c r="L394" s="59" t="str">
        <f>IFERROR(Inv_SY!L396/Inv_SY!$Y396-1,"")</f>
        <v/>
      </c>
      <c r="M394" s="59" t="str">
        <f>IFERROR(Inv_SY!M396/Inv_SY!$Y396-1,"")</f>
        <v/>
      </c>
      <c r="N394" s="59" t="str">
        <f>IFERROR(Inv_SY!N396/Inv_SY!$Y396-1,"")</f>
        <v/>
      </c>
      <c r="O394" s="59" t="str">
        <f>IFERROR(Inv_SY!O396/Inv_SY!$Y396-1,"")</f>
        <v/>
      </c>
      <c r="P394" s="59" t="str">
        <f>IFERROR(Inv_SY!P396/Inv_SY!$Y396-1,"")</f>
        <v/>
      </c>
      <c r="Q394" s="59" t="str">
        <f>IFERROR(Inv_SY!Q396/Inv_SY!$Y396-1,"")</f>
        <v/>
      </c>
      <c r="R394" s="59" t="str">
        <f>IFERROR(Inv_SY!R396/Inv_SY!$Y396-1,"")</f>
        <v/>
      </c>
      <c r="S394" s="59" t="str">
        <f>IFERROR(Inv_SY!S396/Inv_SY!$Y396-1,"")</f>
        <v/>
      </c>
      <c r="T394" s="59" t="str">
        <f>IFERROR(Inv_SY!T396/Inv_SY!$Y396-1,"")</f>
        <v/>
      </c>
      <c r="U394" s="59" t="str">
        <f>IFERROR(Inv_SY!U396/Inv_SY!$Y396-1,"")</f>
        <v/>
      </c>
      <c r="V394" s="59" t="str">
        <f>IFERROR(Inv_SY!J396/Inv_SY!$Z396-1,"")</f>
        <v/>
      </c>
      <c r="W394" s="59" t="str">
        <f>IFERROR(Inv_SY!K396/Inv_SY!$Z396-1,"")</f>
        <v/>
      </c>
      <c r="X394" s="59" t="str">
        <f>IFERROR(Inv_SY!L396/Inv_SY!$Z396-1,"")</f>
        <v/>
      </c>
      <c r="Y394" s="59" t="str">
        <f>IFERROR(Inv_SY!M396/Inv_SY!$Z396-1,"")</f>
        <v/>
      </c>
      <c r="Z394" s="59" t="str">
        <f>IFERROR(Inv_SY!N396/Inv_SY!$Z396-1,"")</f>
        <v/>
      </c>
      <c r="AA394" s="59" t="str">
        <f>IFERROR(Inv_SY!O396/Inv_SY!$Z396-1,"")</f>
        <v/>
      </c>
      <c r="AB394" s="59" t="str">
        <f>IFERROR(Inv_SY!P396/Inv_SY!$Z396-1,"")</f>
        <v/>
      </c>
      <c r="AC394" s="59" t="str">
        <f>IFERROR(Inv_SY!Q396/Inv_SY!$Z396-1,"")</f>
        <v/>
      </c>
      <c r="AD394" s="59" t="str">
        <f>IFERROR(Inv_SY!R396/Inv_SY!$Z396-1,"")</f>
        <v/>
      </c>
      <c r="AE394" s="59" t="str">
        <f>IFERROR(Inv_SY!S396/Inv_SY!$Z396-1,"")</f>
        <v/>
      </c>
      <c r="AF394" s="59" t="str">
        <f>IFERROR(Inv_SY!T396/Inv_SY!$Z396-1,"")</f>
        <v/>
      </c>
      <c r="AG394" s="59" t="str">
        <f>IFERROR(Inv_SY!U396/Inv_SY!$Z396-1,"")</f>
        <v/>
      </c>
      <c r="AH394" s="59" t="str">
        <f>IFERROR(Inv_SY!V396/Inv_SY!$Y396-1,"")</f>
        <v/>
      </c>
      <c r="AI394" s="59" t="str">
        <f>IFERROR(Inv_SY!W396/Inv_SY!$Y396-1,"")</f>
        <v/>
      </c>
      <c r="AJ394" s="59" t="str">
        <f>IFERROR(Inv_SY!X396/Inv_SY!$Y396-1,"")</f>
        <v/>
      </c>
      <c r="AK394" s="59" t="str">
        <f>IFERROR(Inv_SY!V396/Inv_SY!$Z396-1,"")</f>
        <v/>
      </c>
      <c r="AL394" s="59" t="str">
        <f>IFERROR(Inv_SY!W396/Inv_SY!$Z396-1,"")</f>
        <v/>
      </c>
      <c r="AM394" s="59" t="str">
        <f>IFERROR(Inv_SY!X396/Inv_SY!$Z396-1,"")</f>
        <v/>
      </c>
    </row>
    <row r="395" spans="1:39" x14ac:dyDescent="0.3">
      <c r="A395" s="55">
        <f>YEAR(Table5[[#This Row],[Date]])+IF(MONTH(Table5[[#This Row],[Date]])&gt;=4,1,0)</f>
        <v>2027</v>
      </c>
      <c r="B395" s="55">
        <v>355</v>
      </c>
      <c r="C395" s="124">
        <f>YEAR(Table5[[#This Row],[Date]])</f>
        <v>2026</v>
      </c>
      <c r="D395" s="55" t="s">
        <v>329</v>
      </c>
      <c r="E395" s="55" t="s">
        <v>329</v>
      </c>
      <c r="F395" s="126" t="str">
        <f>TEXT(Table5[[#This Row],[Date]],"mmm-yy")</f>
        <v>Apr-26</v>
      </c>
      <c r="G395" s="124">
        <f t="shared" si="15"/>
        <v>30</v>
      </c>
      <c r="H395" s="125">
        <f t="shared" si="16"/>
        <v>46138</v>
      </c>
      <c r="I395" s="55">
        <v>8.02</v>
      </c>
      <c r="J395" s="59" t="str">
        <f>IFERROR(Inv_SY!J397/Inv_SY!$Y397-1,"")</f>
        <v/>
      </c>
      <c r="K395" s="59" t="str">
        <f>IFERROR(Inv_SY!K397/Inv_SY!$Y397-1,"")</f>
        <v/>
      </c>
      <c r="L395" s="59" t="str">
        <f>IFERROR(Inv_SY!L397/Inv_SY!$Y397-1,"")</f>
        <v/>
      </c>
      <c r="M395" s="59" t="str">
        <f>IFERROR(Inv_SY!M397/Inv_SY!$Y397-1,"")</f>
        <v/>
      </c>
      <c r="N395" s="59" t="str">
        <f>IFERROR(Inv_SY!N397/Inv_SY!$Y397-1,"")</f>
        <v/>
      </c>
      <c r="O395" s="59" t="str">
        <f>IFERROR(Inv_SY!O397/Inv_SY!$Y397-1,"")</f>
        <v/>
      </c>
      <c r="P395" s="59" t="str">
        <f>IFERROR(Inv_SY!P397/Inv_SY!$Y397-1,"")</f>
        <v/>
      </c>
      <c r="Q395" s="59" t="str">
        <f>IFERROR(Inv_SY!Q397/Inv_SY!$Y397-1,"")</f>
        <v/>
      </c>
      <c r="R395" s="59" t="str">
        <f>IFERROR(Inv_SY!R397/Inv_SY!$Y397-1,"")</f>
        <v/>
      </c>
      <c r="S395" s="59" t="str">
        <f>IFERROR(Inv_SY!S397/Inv_SY!$Y397-1,"")</f>
        <v/>
      </c>
      <c r="T395" s="59" t="str">
        <f>IFERROR(Inv_SY!T397/Inv_SY!$Y397-1,"")</f>
        <v/>
      </c>
      <c r="U395" s="59" t="str">
        <f>IFERROR(Inv_SY!U397/Inv_SY!$Y397-1,"")</f>
        <v/>
      </c>
      <c r="V395" s="59" t="str">
        <f>IFERROR(Inv_SY!J397/Inv_SY!$Z397-1,"")</f>
        <v/>
      </c>
      <c r="W395" s="59" t="str">
        <f>IFERROR(Inv_SY!K397/Inv_SY!$Z397-1,"")</f>
        <v/>
      </c>
      <c r="X395" s="59" t="str">
        <f>IFERROR(Inv_SY!L397/Inv_SY!$Z397-1,"")</f>
        <v/>
      </c>
      <c r="Y395" s="59" t="str">
        <f>IFERROR(Inv_SY!M397/Inv_SY!$Z397-1,"")</f>
        <v/>
      </c>
      <c r="Z395" s="59" t="str">
        <f>IFERROR(Inv_SY!N397/Inv_SY!$Z397-1,"")</f>
        <v/>
      </c>
      <c r="AA395" s="59" t="str">
        <f>IFERROR(Inv_SY!O397/Inv_SY!$Z397-1,"")</f>
        <v/>
      </c>
      <c r="AB395" s="59" t="str">
        <f>IFERROR(Inv_SY!P397/Inv_SY!$Z397-1,"")</f>
        <v/>
      </c>
      <c r="AC395" s="59" t="str">
        <f>IFERROR(Inv_SY!Q397/Inv_SY!$Z397-1,"")</f>
        <v/>
      </c>
      <c r="AD395" s="59" t="str">
        <f>IFERROR(Inv_SY!R397/Inv_SY!$Z397-1,"")</f>
        <v/>
      </c>
      <c r="AE395" s="59" t="str">
        <f>IFERROR(Inv_SY!S397/Inv_SY!$Z397-1,"")</f>
        <v/>
      </c>
      <c r="AF395" s="59" t="str">
        <f>IFERROR(Inv_SY!T397/Inv_SY!$Z397-1,"")</f>
        <v/>
      </c>
      <c r="AG395" s="59" t="str">
        <f>IFERROR(Inv_SY!U397/Inv_SY!$Z397-1,"")</f>
        <v/>
      </c>
      <c r="AH395" s="59" t="str">
        <f>IFERROR(Inv_SY!V397/Inv_SY!$Y397-1,"")</f>
        <v/>
      </c>
      <c r="AI395" s="59" t="str">
        <f>IFERROR(Inv_SY!W397/Inv_SY!$Y397-1,"")</f>
        <v/>
      </c>
      <c r="AJ395" s="59" t="str">
        <f>IFERROR(Inv_SY!X397/Inv_SY!$Y397-1,"")</f>
        <v/>
      </c>
      <c r="AK395" s="59" t="str">
        <f>IFERROR(Inv_SY!V397/Inv_SY!$Z397-1,"")</f>
        <v/>
      </c>
      <c r="AL395" s="59" t="str">
        <f>IFERROR(Inv_SY!W397/Inv_SY!$Z397-1,"")</f>
        <v/>
      </c>
      <c r="AM395" s="59" t="str">
        <f>IFERROR(Inv_SY!X397/Inv_SY!$Z397-1,"")</f>
        <v/>
      </c>
    </row>
    <row r="396" spans="1:39" x14ac:dyDescent="0.3">
      <c r="A396" s="55">
        <f>YEAR(Table5[[#This Row],[Date]])+IF(MONTH(Table5[[#This Row],[Date]])&gt;=4,1,0)</f>
        <v>2027</v>
      </c>
      <c r="B396" s="55">
        <v>356</v>
      </c>
      <c r="C396" s="124">
        <f>YEAR(Table5[[#This Row],[Date]])</f>
        <v>2026</v>
      </c>
      <c r="D396" s="55" t="s">
        <v>329</v>
      </c>
      <c r="E396" s="55" t="s">
        <v>329</v>
      </c>
      <c r="F396" s="126" t="str">
        <f>TEXT(Table5[[#This Row],[Date]],"mmm-yy")</f>
        <v>Apr-26</v>
      </c>
      <c r="G396" s="124">
        <f t="shared" si="15"/>
        <v>30</v>
      </c>
      <c r="H396" s="125">
        <f t="shared" si="16"/>
        <v>46139</v>
      </c>
      <c r="I396" s="55">
        <v>8.02</v>
      </c>
      <c r="J396" s="59" t="str">
        <f>IFERROR(Inv_SY!J398/Inv_SY!$Y398-1,"")</f>
        <v/>
      </c>
      <c r="K396" s="59" t="str">
        <f>IFERROR(Inv_SY!K398/Inv_SY!$Y398-1,"")</f>
        <v/>
      </c>
      <c r="L396" s="59" t="str">
        <f>IFERROR(Inv_SY!L398/Inv_SY!$Y398-1,"")</f>
        <v/>
      </c>
      <c r="M396" s="59" t="str">
        <f>IFERROR(Inv_SY!M398/Inv_SY!$Y398-1,"")</f>
        <v/>
      </c>
      <c r="N396" s="59" t="str">
        <f>IFERROR(Inv_SY!N398/Inv_SY!$Y398-1,"")</f>
        <v/>
      </c>
      <c r="O396" s="59" t="str">
        <f>IFERROR(Inv_SY!O398/Inv_SY!$Y398-1,"")</f>
        <v/>
      </c>
      <c r="P396" s="59" t="str">
        <f>IFERROR(Inv_SY!P398/Inv_SY!$Y398-1,"")</f>
        <v/>
      </c>
      <c r="Q396" s="59" t="str">
        <f>IFERROR(Inv_SY!Q398/Inv_SY!$Y398-1,"")</f>
        <v/>
      </c>
      <c r="R396" s="59" t="str">
        <f>IFERROR(Inv_SY!R398/Inv_SY!$Y398-1,"")</f>
        <v/>
      </c>
      <c r="S396" s="59" t="str">
        <f>IFERROR(Inv_SY!S398/Inv_SY!$Y398-1,"")</f>
        <v/>
      </c>
      <c r="T396" s="59" t="str">
        <f>IFERROR(Inv_SY!T398/Inv_SY!$Y398-1,"")</f>
        <v/>
      </c>
      <c r="U396" s="59" t="str">
        <f>IFERROR(Inv_SY!U398/Inv_SY!$Y398-1,"")</f>
        <v/>
      </c>
      <c r="V396" s="59" t="str">
        <f>IFERROR(Inv_SY!J398/Inv_SY!$Z398-1,"")</f>
        <v/>
      </c>
      <c r="W396" s="59" t="str">
        <f>IFERROR(Inv_SY!K398/Inv_SY!$Z398-1,"")</f>
        <v/>
      </c>
      <c r="X396" s="59" t="str">
        <f>IFERROR(Inv_SY!L398/Inv_SY!$Z398-1,"")</f>
        <v/>
      </c>
      <c r="Y396" s="59" t="str">
        <f>IFERROR(Inv_SY!M398/Inv_SY!$Z398-1,"")</f>
        <v/>
      </c>
      <c r="Z396" s="59" t="str">
        <f>IFERROR(Inv_SY!N398/Inv_SY!$Z398-1,"")</f>
        <v/>
      </c>
      <c r="AA396" s="59" t="str">
        <f>IFERROR(Inv_SY!O398/Inv_SY!$Z398-1,"")</f>
        <v/>
      </c>
      <c r="AB396" s="59" t="str">
        <f>IFERROR(Inv_SY!P398/Inv_SY!$Z398-1,"")</f>
        <v/>
      </c>
      <c r="AC396" s="59" t="str">
        <f>IFERROR(Inv_SY!Q398/Inv_SY!$Z398-1,"")</f>
        <v/>
      </c>
      <c r="AD396" s="59" t="str">
        <f>IFERROR(Inv_SY!R398/Inv_SY!$Z398-1,"")</f>
        <v/>
      </c>
      <c r="AE396" s="59" t="str">
        <f>IFERROR(Inv_SY!S398/Inv_SY!$Z398-1,"")</f>
        <v/>
      </c>
      <c r="AF396" s="59" t="str">
        <f>IFERROR(Inv_SY!T398/Inv_SY!$Z398-1,"")</f>
        <v/>
      </c>
      <c r="AG396" s="59" t="str">
        <f>IFERROR(Inv_SY!U398/Inv_SY!$Z398-1,"")</f>
        <v/>
      </c>
      <c r="AH396" s="59" t="str">
        <f>IFERROR(Inv_SY!V398/Inv_SY!$Y398-1,"")</f>
        <v/>
      </c>
      <c r="AI396" s="59" t="str">
        <f>IFERROR(Inv_SY!W398/Inv_SY!$Y398-1,"")</f>
        <v/>
      </c>
      <c r="AJ396" s="59" t="str">
        <f>IFERROR(Inv_SY!X398/Inv_SY!$Y398-1,"")</f>
        <v/>
      </c>
      <c r="AK396" s="59" t="str">
        <f>IFERROR(Inv_SY!V398/Inv_SY!$Z398-1,"")</f>
        <v/>
      </c>
      <c r="AL396" s="59" t="str">
        <f>IFERROR(Inv_SY!W398/Inv_SY!$Z398-1,"")</f>
        <v/>
      </c>
      <c r="AM396" s="59" t="str">
        <f>IFERROR(Inv_SY!X398/Inv_SY!$Z398-1,"")</f>
        <v/>
      </c>
    </row>
    <row r="397" spans="1:39" x14ac:dyDescent="0.3">
      <c r="A397" s="55">
        <f>YEAR(Table5[[#This Row],[Date]])+IF(MONTH(Table5[[#This Row],[Date]])&gt;=4,1,0)</f>
        <v>2027</v>
      </c>
      <c r="B397" s="55">
        <v>357</v>
      </c>
      <c r="C397" s="124">
        <f>YEAR(Table5[[#This Row],[Date]])</f>
        <v>2026</v>
      </c>
      <c r="D397" s="55" t="s">
        <v>329</v>
      </c>
      <c r="E397" s="55" t="s">
        <v>329</v>
      </c>
      <c r="F397" s="126" t="str">
        <f>TEXT(Table5[[#This Row],[Date]],"mmm-yy")</f>
        <v>Apr-26</v>
      </c>
      <c r="G397" s="124">
        <f t="shared" si="15"/>
        <v>30</v>
      </c>
      <c r="H397" s="125">
        <f t="shared" si="16"/>
        <v>46140</v>
      </c>
      <c r="I397" s="55">
        <v>8.02</v>
      </c>
      <c r="J397" s="59" t="str">
        <f>IFERROR(Inv_SY!J399/Inv_SY!$Y399-1,"")</f>
        <v/>
      </c>
      <c r="K397" s="59" t="str">
        <f>IFERROR(Inv_SY!K399/Inv_SY!$Y399-1,"")</f>
        <v/>
      </c>
      <c r="L397" s="59" t="str">
        <f>IFERROR(Inv_SY!L399/Inv_SY!$Y399-1,"")</f>
        <v/>
      </c>
      <c r="M397" s="59" t="str">
        <f>IFERROR(Inv_SY!M399/Inv_SY!$Y399-1,"")</f>
        <v/>
      </c>
      <c r="N397" s="59" t="str">
        <f>IFERROR(Inv_SY!N399/Inv_SY!$Y399-1,"")</f>
        <v/>
      </c>
      <c r="O397" s="59" t="str">
        <f>IFERROR(Inv_SY!O399/Inv_SY!$Y399-1,"")</f>
        <v/>
      </c>
      <c r="P397" s="59" t="str">
        <f>IFERROR(Inv_SY!P399/Inv_SY!$Y399-1,"")</f>
        <v/>
      </c>
      <c r="Q397" s="59" t="str">
        <f>IFERROR(Inv_SY!Q399/Inv_SY!$Y399-1,"")</f>
        <v/>
      </c>
      <c r="R397" s="59" t="str">
        <f>IFERROR(Inv_SY!R399/Inv_SY!$Y399-1,"")</f>
        <v/>
      </c>
      <c r="S397" s="59" t="str">
        <f>IFERROR(Inv_SY!S399/Inv_SY!$Y399-1,"")</f>
        <v/>
      </c>
      <c r="T397" s="59" t="str">
        <f>IFERROR(Inv_SY!T399/Inv_SY!$Y399-1,"")</f>
        <v/>
      </c>
      <c r="U397" s="59" t="str">
        <f>IFERROR(Inv_SY!U399/Inv_SY!$Y399-1,"")</f>
        <v/>
      </c>
      <c r="V397" s="59" t="str">
        <f>IFERROR(Inv_SY!J399/Inv_SY!$Z399-1,"")</f>
        <v/>
      </c>
      <c r="W397" s="59" t="str">
        <f>IFERROR(Inv_SY!K399/Inv_SY!$Z399-1,"")</f>
        <v/>
      </c>
      <c r="X397" s="59" t="str">
        <f>IFERROR(Inv_SY!L399/Inv_SY!$Z399-1,"")</f>
        <v/>
      </c>
      <c r="Y397" s="59" t="str">
        <f>IFERROR(Inv_SY!M399/Inv_SY!$Z399-1,"")</f>
        <v/>
      </c>
      <c r="Z397" s="59" t="str">
        <f>IFERROR(Inv_SY!N399/Inv_SY!$Z399-1,"")</f>
        <v/>
      </c>
      <c r="AA397" s="59" t="str">
        <f>IFERROR(Inv_SY!O399/Inv_SY!$Z399-1,"")</f>
        <v/>
      </c>
      <c r="AB397" s="59" t="str">
        <f>IFERROR(Inv_SY!P399/Inv_SY!$Z399-1,"")</f>
        <v/>
      </c>
      <c r="AC397" s="59" t="str">
        <f>IFERROR(Inv_SY!Q399/Inv_SY!$Z399-1,"")</f>
        <v/>
      </c>
      <c r="AD397" s="59" t="str">
        <f>IFERROR(Inv_SY!R399/Inv_SY!$Z399-1,"")</f>
        <v/>
      </c>
      <c r="AE397" s="59" t="str">
        <f>IFERROR(Inv_SY!S399/Inv_SY!$Z399-1,"")</f>
        <v/>
      </c>
      <c r="AF397" s="59" t="str">
        <f>IFERROR(Inv_SY!T399/Inv_SY!$Z399-1,"")</f>
        <v/>
      </c>
      <c r="AG397" s="59" t="str">
        <f>IFERROR(Inv_SY!U399/Inv_SY!$Z399-1,"")</f>
        <v/>
      </c>
      <c r="AH397" s="59" t="str">
        <f>IFERROR(Inv_SY!V399/Inv_SY!$Y399-1,"")</f>
        <v/>
      </c>
      <c r="AI397" s="59" t="str">
        <f>IFERROR(Inv_SY!W399/Inv_SY!$Y399-1,"")</f>
        <v/>
      </c>
      <c r="AJ397" s="59" t="str">
        <f>IFERROR(Inv_SY!X399/Inv_SY!$Y399-1,"")</f>
        <v/>
      </c>
      <c r="AK397" s="59" t="str">
        <f>IFERROR(Inv_SY!V399/Inv_SY!$Z399-1,"")</f>
        <v/>
      </c>
      <c r="AL397" s="59" t="str">
        <f>IFERROR(Inv_SY!W399/Inv_SY!$Z399-1,"")</f>
        <v/>
      </c>
      <c r="AM397" s="59" t="str">
        <f>IFERROR(Inv_SY!X399/Inv_SY!$Z399-1,"")</f>
        <v/>
      </c>
    </row>
    <row r="398" spans="1:39" x14ac:dyDescent="0.3">
      <c r="A398" s="55">
        <f>YEAR(Table5[[#This Row],[Date]])+IF(MONTH(Table5[[#This Row],[Date]])&gt;=4,1,0)</f>
        <v>2027</v>
      </c>
      <c r="B398" s="55">
        <v>358</v>
      </c>
      <c r="C398" s="124">
        <f>YEAR(Table5[[#This Row],[Date]])</f>
        <v>2026</v>
      </c>
      <c r="D398" s="55" t="s">
        <v>329</v>
      </c>
      <c r="E398" s="55" t="s">
        <v>329</v>
      </c>
      <c r="F398" s="126" t="str">
        <f>TEXT(Table5[[#This Row],[Date]],"mmm-yy")</f>
        <v>Apr-26</v>
      </c>
      <c r="G398" s="124">
        <f t="shared" si="15"/>
        <v>30</v>
      </c>
      <c r="H398" s="125">
        <f t="shared" si="16"/>
        <v>46141</v>
      </c>
      <c r="I398" s="55">
        <v>8.02</v>
      </c>
      <c r="J398" s="59" t="str">
        <f>IFERROR(Inv_SY!J400/Inv_SY!$Y400-1,"")</f>
        <v/>
      </c>
      <c r="K398" s="59" t="str">
        <f>IFERROR(Inv_SY!K400/Inv_SY!$Y400-1,"")</f>
        <v/>
      </c>
      <c r="L398" s="59" t="str">
        <f>IFERROR(Inv_SY!L400/Inv_SY!$Y400-1,"")</f>
        <v/>
      </c>
      <c r="M398" s="59" t="str">
        <f>IFERROR(Inv_SY!M400/Inv_SY!$Y400-1,"")</f>
        <v/>
      </c>
      <c r="N398" s="59" t="str">
        <f>IFERROR(Inv_SY!N400/Inv_SY!$Y400-1,"")</f>
        <v/>
      </c>
      <c r="O398" s="59" t="str">
        <f>IFERROR(Inv_SY!O400/Inv_SY!$Y400-1,"")</f>
        <v/>
      </c>
      <c r="P398" s="59" t="str">
        <f>IFERROR(Inv_SY!P400/Inv_SY!$Y400-1,"")</f>
        <v/>
      </c>
      <c r="Q398" s="59" t="str">
        <f>IFERROR(Inv_SY!Q400/Inv_SY!$Y400-1,"")</f>
        <v/>
      </c>
      <c r="R398" s="59" t="str">
        <f>IFERROR(Inv_SY!R400/Inv_SY!$Y400-1,"")</f>
        <v/>
      </c>
      <c r="S398" s="59" t="str">
        <f>IFERROR(Inv_SY!S400/Inv_SY!$Y400-1,"")</f>
        <v/>
      </c>
      <c r="T398" s="59" t="str">
        <f>IFERROR(Inv_SY!T400/Inv_SY!$Y400-1,"")</f>
        <v/>
      </c>
      <c r="U398" s="59" t="str">
        <f>IFERROR(Inv_SY!U400/Inv_SY!$Y400-1,"")</f>
        <v/>
      </c>
      <c r="V398" s="59" t="str">
        <f>IFERROR(Inv_SY!J400/Inv_SY!$Z400-1,"")</f>
        <v/>
      </c>
      <c r="W398" s="59" t="str">
        <f>IFERROR(Inv_SY!K400/Inv_SY!$Z400-1,"")</f>
        <v/>
      </c>
      <c r="X398" s="59" t="str">
        <f>IFERROR(Inv_SY!L400/Inv_SY!$Z400-1,"")</f>
        <v/>
      </c>
      <c r="Y398" s="59" t="str">
        <f>IFERROR(Inv_SY!M400/Inv_SY!$Z400-1,"")</f>
        <v/>
      </c>
      <c r="Z398" s="59" t="str">
        <f>IFERROR(Inv_SY!N400/Inv_SY!$Z400-1,"")</f>
        <v/>
      </c>
      <c r="AA398" s="59" t="str">
        <f>IFERROR(Inv_SY!O400/Inv_SY!$Z400-1,"")</f>
        <v/>
      </c>
      <c r="AB398" s="59" t="str">
        <f>IFERROR(Inv_SY!P400/Inv_SY!$Z400-1,"")</f>
        <v/>
      </c>
      <c r="AC398" s="59" t="str">
        <f>IFERROR(Inv_SY!Q400/Inv_SY!$Z400-1,"")</f>
        <v/>
      </c>
      <c r="AD398" s="59" t="str">
        <f>IFERROR(Inv_SY!R400/Inv_SY!$Z400-1,"")</f>
        <v/>
      </c>
      <c r="AE398" s="59" t="str">
        <f>IFERROR(Inv_SY!S400/Inv_SY!$Z400-1,"")</f>
        <v/>
      </c>
      <c r="AF398" s="59" t="str">
        <f>IFERROR(Inv_SY!T400/Inv_SY!$Z400-1,"")</f>
        <v/>
      </c>
      <c r="AG398" s="59" t="str">
        <f>IFERROR(Inv_SY!U400/Inv_SY!$Z400-1,"")</f>
        <v/>
      </c>
      <c r="AH398" s="59" t="str">
        <f>IFERROR(Inv_SY!V400/Inv_SY!$Y400-1,"")</f>
        <v/>
      </c>
      <c r="AI398" s="59" t="str">
        <f>IFERROR(Inv_SY!W400/Inv_SY!$Y400-1,"")</f>
        <v/>
      </c>
      <c r="AJ398" s="59" t="str">
        <f>IFERROR(Inv_SY!X400/Inv_SY!$Y400-1,"")</f>
        <v/>
      </c>
      <c r="AK398" s="59" t="str">
        <f>IFERROR(Inv_SY!V400/Inv_SY!$Z400-1,"")</f>
        <v/>
      </c>
      <c r="AL398" s="59" t="str">
        <f>IFERROR(Inv_SY!W400/Inv_SY!$Z400-1,"")</f>
        <v/>
      </c>
      <c r="AM398" s="59" t="str">
        <f>IFERROR(Inv_SY!X400/Inv_SY!$Z400-1,"")</f>
        <v/>
      </c>
    </row>
    <row r="399" spans="1:39" x14ac:dyDescent="0.3">
      <c r="A399" s="55">
        <f>YEAR(Table5[[#This Row],[Date]])+IF(MONTH(Table5[[#This Row],[Date]])&gt;=4,1,0)</f>
        <v>2027</v>
      </c>
      <c r="B399" s="55">
        <v>359</v>
      </c>
      <c r="C399" s="124">
        <f>YEAR(Table5[[#This Row],[Date]])</f>
        <v>2026</v>
      </c>
      <c r="D399" s="55" t="s">
        <v>329</v>
      </c>
      <c r="E399" s="55" t="s">
        <v>329</v>
      </c>
      <c r="F399" s="126" t="str">
        <f>TEXT(Table5[[#This Row],[Date]],"mmm-yy")</f>
        <v>Apr-26</v>
      </c>
      <c r="G399" s="124">
        <f t="shared" si="15"/>
        <v>30</v>
      </c>
      <c r="H399" s="125">
        <f t="shared" si="16"/>
        <v>46142</v>
      </c>
      <c r="I399" s="55">
        <v>8.02</v>
      </c>
      <c r="J399" s="59" t="str">
        <f>IFERROR(Inv_SY!J401/Inv_SY!$Y401-1,"")</f>
        <v/>
      </c>
      <c r="K399" s="59" t="str">
        <f>IFERROR(Inv_SY!K401/Inv_SY!$Y401-1,"")</f>
        <v/>
      </c>
      <c r="L399" s="59" t="str">
        <f>IFERROR(Inv_SY!L401/Inv_SY!$Y401-1,"")</f>
        <v/>
      </c>
      <c r="M399" s="59" t="str">
        <f>IFERROR(Inv_SY!M401/Inv_SY!$Y401-1,"")</f>
        <v/>
      </c>
      <c r="N399" s="59" t="str">
        <f>IFERROR(Inv_SY!N401/Inv_SY!$Y401-1,"")</f>
        <v/>
      </c>
      <c r="O399" s="59" t="str">
        <f>IFERROR(Inv_SY!O401/Inv_SY!$Y401-1,"")</f>
        <v/>
      </c>
      <c r="P399" s="59" t="str">
        <f>IFERROR(Inv_SY!P401/Inv_SY!$Y401-1,"")</f>
        <v/>
      </c>
      <c r="Q399" s="59" t="str">
        <f>IFERROR(Inv_SY!Q401/Inv_SY!$Y401-1,"")</f>
        <v/>
      </c>
      <c r="R399" s="59" t="str">
        <f>IFERROR(Inv_SY!R401/Inv_SY!$Y401-1,"")</f>
        <v/>
      </c>
      <c r="S399" s="59" t="str">
        <f>IFERROR(Inv_SY!S401/Inv_SY!$Y401-1,"")</f>
        <v/>
      </c>
      <c r="T399" s="59" t="str">
        <f>IFERROR(Inv_SY!T401/Inv_SY!$Y401-1,"")</f>
        <v/>
      </c>
      <c r="U399" s="59" t="str">
        <f>IFERROR(Inv_SY!U401/Inv_SY!$Y401-1,"")</f>
        <v/>
      </c>
      <c r="V399" s="59" t="str">
        <f>IFERROR(Inv_SY!J401/Inv_SY!$Z401-1,"")</f>
        <v/>
      </c>
      <c r="W399" s="59" t="str">
        <f>IFERROR(Inv_SY!K401/Inv_SY!$Z401-1,"")</f>
        <v/>
      </c>
      <c r="X399" s="59" t="str">
        <f>IFERROR(Inv_SY!L401/Inv_SY!$Z401-1,"")</f>
        <v/>
      </c>
      <c r="Y399" s="59" t="str">
        <f>IFERROR(Inv_SY!M401/Inv_SY!$Z401-1,"")</f>
        <v/>
      </c>
      <c r="Z399" s="59" t="str">
        <f>IFERROR(Inv_SY!N401/Inv_SY!$Z401-1,"")</f>
        <v/>
      </c>
      <c r="AA399" s="59" t="str">
        <f>IFERROR(Inv_SY!O401/Inv_SY!$Z401-1,"")</f>
        <v/>
      </c>
      <c r="AB399" s="59" t="str">
        <f>IFERROR(Inv_SY!P401/Inv_SY!$Z401-1,"")</f>
        <v/>
      </c>
      <c r="AC399" s="59" t="str">
        <f>IFERROR(Inv_SY!Q401/Inv_SY!$Z401-1,"")</f>
        <v/>
      </c>
      <c r="AD399" s="59" t="str">
        <f>IFERROR(Inv_SY!R401/Inv_SY!$Z401-1,"")</f>
        <v/>
      </c>
      <c r="AE399" s="59" t="str">
        <f>IFERROR(Inv_SY!S401/Inv_SY!$Z401-1,"")</f>
        <v/>
      </c>
      <c r="AF399" s="59" t="str">
        <f>IFERROR(Inv_SY!T401/Inv_SY!$Z401-1,"")</f>
        <v/>
      </c>
      <c r="AG399" s="59" t="str">
        <f>IFERROR(Inv_SY!U401/Inv_SY!$Z401-1,"")</f>
        <v/>
      </c>
      <c r="AH399" s="59" t="str">
        <f>IFERROR(Inv_SY!V401/Inv_SY!$Y401-1,"")</f>
        <v/>
      </c>
      <c r="AI399" s="59" t="str">
        <f>IFERROR(Inv_SY!W401/Inv_SY!$Y401-1,"")</f>
        <v/>
      </c>
      <c r="AJ399" s="59" t="str">
        <f>IFERROR(Inv_SY!X401/Inv_SY!$Y401-1,"")</f>
        <v/>
      </c>
      <c r="AK399" s="59" t="str">
        <f>IFERROR(Inv_SY!V401/Inv_SY!$Z401-1,"")</f>
        <v/>
      </c>
      <c r="AL399" s="59" t="str">
        <f>IFERROR(Inv_SY!W401/Inv_SY!$Z401-1,"")</f>
        <v/>
      </c>
      <c r="AM399" s="59" t="str">
        <f>IFERROR(Inv_SY!X401/Inv_SY!$Z401-1,"")</f>
        <v/>
      </c>
    </row>
    <row r="400" spans="1:39" x14ac:dyDescent="0.3">
      <c r="A400" s="55">
        <f>YEAR(Table5[[#This Row],[Date]])+IF(MONTH(Table5[[#This Row],[Date]])&gt;=4,1,0)</f>
        <v>2027</v>
      </c>
      <c r="B400" s="55">
        <v>360</v>
      </c>
      <c r="C400" s="124">
        <f>YEAR(Table5[[#This Row],[Date]])</f>
        <v>2026</v>
      </c>
      <c r="D400" s="55" t="s">
        <v>329</v>
      </c>
      <c r="E400" s="55" t="s">
        <v>329</v>
      </c>
      <c r="F400" s="126" t="str">
        <f>TEXT(Table5[[#This Row],[Date]],"mmm-yy")</f>
        <v>May-26</v>
      </c>
      <c r="G400" s="124">
        <f t="shared" si="15"/>
        <v>31</v>
      </c>
      <c r="H400" s="125">
        <f t="shared" si="16"/>
        <v>46143</v>
      </c>
      <c r="I400" s="55">
        <v>8.02</v>
      </c>
      <c r="J400" s="59" t="str">
        <f>IFERROR(Inv_SY!J402/Inv_SY!$Y402-1,"")</f>
        <v/>
      </c>
      <c r="K400" s="59" t="str">
        <f>IFERROR(Inv_SY!K402/Inv_SY!$Y402-1,"")</f>
        <v/>
      </c>
      <c r="L400" s="59" t="str">
        <f>IFERROR(Inv_SY!L402/Inv_SY!$Y402-1,"")</f>
        <v/>
      </c>
      <c r="M400" s="59" t="str">
        <f>IFERROR(Inv_SY!M402/Inv_SY!$Y402-1,"")</f>
        <v/>
      </c>
      <c r="N400" s="59" t="str">
        <f>IFERROR(Inv_SY!N402/Inv_SY!$Y402-1,"")</f>
        <v/>
      </c>
      <c r="O400" s="59" t="str">
        <f>IFERROR(Inv_SY!O402/Inv_SY!$Y402-1,"")</f>
        <v/>
      </c>
      <c r="P400" s="59" t="str">
        <f>IFERROR(Inv_SY!P402/Inv_SY!$Y402-1,"")</f>
        <v/>
      </c>
      <c r="Q400" s="59" t="str">
        <f>IFERROR(Inv_SY!Q402/Inv_SY!$Y402-1,"")</f>
        <v/>
      </c>
      <c r="R400" s="59" t="str">
        <f>IFERROR(Inv_SY!R402/Inv_SY!$Y402-1,"")</f>
        <v/>
      </c>
      <c r="S400" s="59" t="str">
        <f>IFERROR(Inv_SY!S402/Inv_SY!$Y402-1,"")</f>
        <v/>
      </c>
      <c r="T400" s="59" t="str">
        <f>IFERROR(Inv_SY!T402/Inv_SY!$Y402-1,"")</f>
        <v/>
      </c>
      <c r="U400" s="59" t="str">
        <f>IFERROR(Inv_SY!U402/Inv_SY!$Y402-1,"")</f>
        <v/>
      </c>
      <c r="V400" s="59" t="str">
        <f>IFERROR(Inv_SY!J402/Inv_SY!$Z402-1,"")</f>
        <v/>
      </c>
      <c r="W400" s="59" t="str">
        <f>IFERROR(Inv_SY!K402/Inv_SY!$Z402-1,"")</f>
        <v/>
      </c>
      <c r="X400" s="59" t="str">
        <f>IFERROR(Inv_SY!L402/Inv_SY!$Z402-1,"")</f>
        <v/>
      </c>
      <c r="Y400" s="59" t="str">
        <f>IFERROR(Inv_SY!M402/Inv_SY!$Z402-1,"")</f>
        <v/>
      </c>
      <c r="Z400" s="59" t="str">
        <f>IFERROR(Inv_SY!N402/Inv_SY!$Z402-1,"")</f>
        <v/>
      </c>
      <c r="AA400" s="59" t="str">
        <f>IFERROR(Inv_SY!O402/Inv_SY!$Z402-1,"")</f>
        <v/>
      </c>
      <c r="AB400" s="59" t="str">
        <f>IFERROR(Inv_SY!P402/Inv_SY!$Z402-1,"")</f>
        <v/>
      </c>
      <c r="AC400" s="59" t="str">
        <f>IFERROR(Inv_SY!Q402/Inv_SY!$Z402-1,"")</f>
        <v/>
      </c>
      <c r="AD400" s="59" t="str">
        <f>IFERROR(Inv_SY!R402/Inv_SY!$Z402-1,"")</f>
        <v/>
      </c>
      <c r="AE400" s="59" t="str">
        <f>IFERROR(Inv_SY!S402/Inv_SY!$Z402-1,"")</f>
        <v/>
      </c>
      <c r="AF400" s="59" t="str">
        <f>IFERROR(Inv_SY!T402/Inv_SY!$Z402-1,"")</f>
        <v/>
      </c>
      <c r="AG400" s="59" t="str">
        <f>IFERROR(Inv_SY!U402/Inv_SY!$Z402-1,"")</f>
        <v/>
      </c>
      <c r="AH400" s="59" t="str">
        <f>IFERROR(Inv_SY!V402/Inv_SY!$Y402-1,"")</f>
        <v/>
      </c>
      <c r="AI400" s="59" t="str">
        <f>IFERROR(Inv_SY!W402/Inv_SY!$Y402-1,"")</f>
        <v/>
      </c>
      <c r="AJ400" s="59" t="str">
        <f>IFERROR(Inv_SY!X402/Inv_SY!$Y402-1,"")</f>
        <v/>
      </c>
      <c r="AK400" s="59" t="str">
        <f>IFERROR(Inv_SY!V402/Inv_SY!$Z402-1,"")</f>
        <v/>
      </c>
      <c r="AL400" s="59" t="str">
        <f>IFERROR(Inv_SY!W402/Inv_SY!$Z402-1,"")</f>
        <v/>
      </c>
      <c r="AM400" s="59" t="str">
        <f>IFERROR(Inv_SY!X402/Inv_SY!$Z402-1,"")</f>
        <v/>
      </c>
    </row>
    <row r="401" spans="1:39" x14ac:dyDescent="0.3">
      <c r="A401" s="55">
        <f>YEAR(Table5[[#This Row],[Date]])+IF(MONTH(Table5[[#This Row],[Date]])&gt;=4,1,0)</f>
        <v>2027</v>
      </c>
      <c r="B401" s="55">
        <v>361</v>
      </c>
      <c r="C401" s="124">
        <f>YEAR(Table5[[#This Row],[Date]])</f>
        <v>2026</v>
      </c>
      <c r="D401" s="55" t="s">
        <v>329</v>
      </c>
      <c r="E401" s="55" t="s">
        <v>329</v>
      </c>
      <c r="F401" s="126" t="str">
        <f>TEXT(Table5[[#This Row],[Date]],"mmm-yy")</f>
        <v>May-26</v>
      </c>
      <c r="G401" s="124">
        <f t="shared" si="15"/>
        <v>31</v>
      </c>
      <c r="H401" s="125">
        <f t="shared" si="16"/>
        <v>46144</v>
      </c>
      <c r="I401" s="55">
        <v>8.02</v>
      </c>
      <c r="J401" s="59" t="str">
        <f>IFERROR(Inv_SY!J403/Inv_SY!$Y403-1,"")</f>
        <v/>
      </c>
      <c r="K401" s="59" t="str">
        <f>IFERROR(Inv_SY!K403/Inv_SY!$Y403-1,"")</f>
        <v/>
      </c>
      <c r="L401" s="59" t="str">
        <f>IFERROR(Inv_SY!L403/Inv_SY!$Y403-1,"")</f>
        <v/>
      </c>
      <c r="M401" s="59" t="str">
        <f>IFERROR(Inv_SY!M403/Inv_SY!$Y403-1,"")</f>
        <v/>
      </c>
      <c r="N401" s="59" t="str">
        <f>IFERROR(Inv_SY!N403/Inv_SY!$Y403-1,"")</f>
        <v/>
      </c>
      <c r="O401" s="59" t="str">
        <f>IFERROR(Inv_SY!O403/Inv_SY!$Y403-1,"")</f>
        <v/>
      </c>
      <c r="P401" s="59" t="str">
        <f>IFERROR(Inv_SY!P403/Inv_SY!$Y403-1,"")</f>
        <v/>
      </c>
      <c r="Q401" s="59" t="str">
        <f>IFERROR(Inv_SY!Q403/Inv_SY!$Y403-1,"")</f>
        <v/>
      </c>
      <c r="R401" s="59" t="str">
        <f>IFERROR(Inv_SY!R403/Inv_SY!$Y403-1,"")</f>
        <v/>
      </c>
      <c r="S401" s="59" t="str">
        <f>IFERROR(Inv_SY!S403/Inv_SY!$Y403-1,"")</f>
        <v/>
      </c>
      <c r="T401" s="59" t="str">
        <f>IFERROR(Inv_SY!T403/Inv_SY!$Y403-1,"")</f>
        <v/>
      </c>
      <c r="U401" s="59" t="str">
        <f>IFERROR(Inv_SY!U403/Inv_SY!$Y403-1,"")</f>
        <v/>
      </c>
      <c r="V401" s="59" t="str">
        <f>IFERROR(Inv_SY!J403/Inv_SY!$Z403-1,"")</f>
        <v/>
      </c>
      <c r="W401" s="59" t="str">
        <f>IFERROR(Inv_SY!K403/Inv_SY!$Z403-1,"")</f>
        <v/>
      </c>
      <c r="X401" s="59" t="str">
        <f>IFERROR(Inv_SY!L403/Inv_SY!$Z403-1,"")</f>
        <v/>
      </c>
      <c r="Y401" s="59" t="str">
        <f>IFERROR(Inv_SY!M403/Inv_SY!$Z403-1,"")</f>
        <v/>
      </c>
      <c r="Z401" s="59" t="str">
        <f>IFERROR(Inv_SY!N403/Inv_SY!$Z403-1,"")</f>
        <v/>
      </c>
      <c r="AA401" s="59" t="str">
        <f>IFERROR(Inv_SY!O403/Inv_SY!$Z403-1,"")</f>
        <v/>
      </c>
      <c r="AB401" s="59" t="str">
        <f>IFERROR(Inv_SY!P403/Inv_SY!$Z403-1,"")</f>
        <v/>
      </c>
      <c r="AC401" s="59" t="str">
        <f>IFERROR(Inv_SY!Q403/Inv_SY!$Z403-1,"")</f>
        <v/>
      </c>
      <c r="AD401" s="59" t="str">
        <f>IFERROR(Inv_SY!R403/Inv_SY!$Z403-1,"")</f>
        <v/>
      </c>
      <c r="AE401" s="59" t="str">
        <f>IFERROR(Inv_SY!S403/Inv_SY!$Z403-1,"")</f>
        <v/>
      </c>
      <c r="AF401" s="59" t="str">
        <f>IFERROR(Inv_SY!T403/Inv_SY!$Z403-1,"")</f>
        <v/>
      </c>
      <c r="AG401" s="59" t="str">
        <f>IFERROR(Inv_SY!U403/Inv_SY!$Z403-1,"")</f>
        <v/>
      </c>
      <c r="AH401" s="59" t="str">
        <f>IFERROR(Inv_SY!V403/Inv_SY!$Y403-1,"")</f>
        <v/>
      </c>
      <c r="AI401" s="59" t="str">
        <f>IFERROR(Inv_SY!W403/Inv_SY!$Y403-1,"")</f>
        <v/>
      </c>
      <c r="AJ401" s="59" t="str">
        <f>IFERROR(Inv_SY!X403/Inv_SY!$Y403-1,"")</f>
        <v/>
      </c>
      <c r="AK401" s="59" t="str">
        <f>IFERROR(Inv_SY!V403/Inv_SY!$Z403-1,"")</f>
        <v/>
      </c>
      <c r="AL401" s="59" t="str">
        <f>IFERROR(Inv_SY!W403/Inv_SY!$Z403-1,"")</f>
        <v/>
      </c>
      <c r="AM401" s="59" t="str">
        <f>IFERROR(Inv_SY!X403/Inv_SY!$Z403-1,"")</f>
        <v/>
      </c>
    </row>
    <row r="402" spans="1:39" x14ac:dyDescent="0.3">
      <c r="A402" s="55">
        <f>YEAR(Table5[[#This Row],[Date]])+IF(MONTH(Table5[[#This Row],[Date]])&gt;=4,1,0)</f>
        <v>2027</v>
      </c>
      <c r="B402" s="55">
        <v>362</v>
      </c>
      <c r="C402" s="124">
        <f>YEAR(Table5[[#This Row],[Date]])</f>
        <v>2026</v>
      </c>
      <c r="D402" s="55" t="s">
        <v>329</v>
      </c>
      <c r="E402" s="55" t="s">
        <v>329</v>
      </c>
      <c r="F402" s="126" t="str">
        <f>TEXT(Table5[[#This Row],[Date]],"mmm-yy")</f>
        <v>May-26</v>
      </c>
      <c r="G402" s="124">
        <f t="shared" si="15"/>
        <v>31</v>
      </c>
      <c r="H402" s="125">
        <f t="shared" si="16"/>
        <v>46145</v>
      </c>
      <c r="I402" s="55">
        <v>8.02</v>
      </c>
      <c r="J402" s="59" t="str">
        <f>IFERROR(Inv_SY!J404/Inv_SY!$Y404-1,"")</f>
        <v/>
      </c>
      <c r="K402" s="59" t="str">
        <f>IFERROR(Inv_SY!K404/Inv_SY!$Y404-1,"")</f>
        <v/>
      </c>
      <c r="L402" s="59" t="str">
        <f>IFERROR(Inv_SY!L404/Inv_SY!$Y404-1,"")</f>
        <v/>
      </c>
      <c r="M402" s="59" t="str">
        <f>IFERROR(Inv_SY!M404/Inv_SY!$Y404-1,"")</f>
        <v/>
      </c>
      <c r="N402" s="59" t="str">
        <f>IFERROR(Inv_SY!N404/Inv_SY!$Y404-1,"")</f>
        <v/>
      </c>
      <c r="O402" s="59" t="str">
        <f>IFERROR(Inv_SY!O404/Inv_SY!$Y404-1,"")</f>
        <v/>
      </c>
      <c r="P402" s="59" t="str">
        <f>IFERROR(Inv_SY!P404/Inv_SY!$Y404-1,"")</f>
        <v/>
      </c>
      <c r="Q402" s="59" t="str">
        <f>IFERROR(Inv_SY!Q404/Inv_SY!$Y404-1,"")</f>
        <v/>
      </c>
      <c r="R402" s="59" t="str">
        <f>IFERROR(Inv_SY!R404/Inv_SY!$Y404-1,"")</f>
        <v/>
      </c>
      <c r="S402" s="59" t="str">
        <f>IFERROR(Inv_SY!S404/Inv_SY!$Y404-1,"")</f>
        <v/>
      </c>
      <c r="T402" s="59" t="str">
        <f>IFERROR(Inv_SY!T404/Inv_SY!$Y404-1,"")</f>
        <v/>
      </c>
      <c r="U402" s="59" t="str">
        <f>IFERROR(Inv_SY!U404/Inv_SY!$Y404-1,"")</f>
        <v/>
      </c>
      <c r="V402" s="59" t="str">
        <f>IFERROR(Inv_SY!J404/Inv_SY!$Z404-1,"")</f>
        <v/>
      </c>
      <c r="W402" s="59" t="str">
        <f>IFERROR(Inv_SY!K404/Inv_SY!$Z404-1,"")</f>
        <v/>
      </c>
      <c r="X402" s="59" t="str">
        <f>IFERROR(Inv_SY!L404/Inv_SY!$Z404-1,"")</f>
        <v/>
      </c>
      <c r="Y402" s="59" t="str">
        <f>IFERROR(Inv_SY!M404/Inv_SY!$Z404-1,"")</f>
        <v/>
      </c>
      <c r="Z402" s="59" t="str">
        <f>IFERROR(Inv_SY!N404/Inv_SY!$Z404-1,"")</f>
        <v/>
      </c>
      <c r="AA402" s="59" t="str">
        <f>IFERROR(Inv_SY!O404/Inv_SY!$Z404-1,"")</f>
        <v/>
      </c>
      <c r="AB402" s="59" t="str">
        <f>IFERROR(Inv_SY!P404/Inv_SY!$Z404-1,"")</f>
        <v/>
      </c>
      <c r="AC402" s="59" t="str">
        <f>IFERROR(Inv_SY!Q404/Inv_SY!$Z404-1,"")</f>
        <v/>
      </c>
      <c r="AD402" s="59" t="str">
        <f>IFERROR(Inv_SY!R404/Inv_SY!$Z404-1,"")</f>
        <v/>
      </c>
      <c r="AE402" s="59" t="str">
        <f>IFERROR(Inv_SY!S404/Inv_SY!$Z404-1,"")</f>
        <v/>
      </c>
      <c r="AF402" s="59" t="str">
        <f>IFERROR(Inv_SY!T404/Inv_SY!$Z404-1,"")</f>
        <v/>
      </c>
      <c r="AG402" s="59" t="str">
        <f>IFERROR(Inv_SY!U404/Inv_SY!$Z404-1,"")</f>
        <v/>
      </c>
      <c r="AH402" s="59" t="str">
        <f>IFERROR(Inv_SY!V404/Inv_SY!$Y404-1,"")</f>
        <v/>
      </c>
      <c r="AI402" s="59" t="str">
        <f>IFERROR(Inv_SY!W404/Inv_SY!$Y404-1,"")</f>
        <v/>
      </c>
      <c r="AJ402" s="59" t="str">
        <f>IFERROR(Inv_SY!X404/Inv_SY!$Y404-1,"")</f>
        <v/>
      </c>
      <c r="AK402" s="59" t="str">
        <f>IFERROR(Inv_SY!V404/Inv_SY!$Z404-1,"")</f>
        <v/>
      </c>
      <c r="AL402" s="59" t="str">
        <f>IFERROR(Inv_SY!W404/Inv_SY!$Z404-1,"")</f>
        <v/>
      </c>
      <c r="AM402" s="59" t="str">
        <f>IFERROR(Inv_SY!X404/Inv_SY!$Z404-1,"")</f>
        <v/>
      </c>
    </row>
    <row r="403" spans="1:39" x14ac:dyDescent="0.3">
      <c r="A403" s="55">
        <f>YEAR(Table5[[#This Row],[Date]])+IF(MONTH(Table5[[#This Row],[Date]])&gt;=4,1,0)</f>
        <v>2027</v>
      </c>
      <c r="B403" s="55">
        <v>363</v>
      </c>
      <c r="C403" s="124">
        <f>YEAR(Table5[[#This Row],[Date]])</f>
        <v>2026</v>
      </c>
      <c r="D403" s="55" t="s">
        <v>329</v>
      </c>
      <c r="E403" s="55" t="s">
        <v>329</v>
      </c>
      <c r="F403" s="126" t="str">
        <f>TEXT(Table5[[#This Row],[Date]],"mmm-yy")</f>
        <v>May-26</v>
      </c>
      <c r="G403" s="124">
        <f t="shared" si="15"/>
        <v>31</v>
      </c>
      <c r="H403" s="125">
        <f t="shared" si="16"/>
        <v>46146</v>
      </c>
      <c r="I403" s="55">
        <v>8.02</v>
      </c>
      <c r="J403" s="59" t="str">
        <f>IFERROR(Inv_SY!J405/Inv_SY!$Y405-1,"")</f>
        <v/>
      </c>
      <c r="K403" s="59" t="str">
        <f>IFERROR(Inv_SY!K405/Inv_SY!$Y405-1,"")</f>
        <v/>
      </c>
      <c r="L403" s="59" t="str">
        <f>IFERROR(Inv_SY!L405/Inv_SY!$Y405-1,"")</f>
        <v/>
      </c>
      <c r="M403" s="59" t="str">
        <f>IFERROR(Inv_SY!M405/Inv_SY!$Y405-1,"")</f>
        <v/>
      </c>
      <c r="N403" s="59" t="str">
        <f>IFERROR(Inv_SY!N405/Inv_SY!$Y405-1,"")</f>
        <v/>
      </c>
      <c r="O403" s="59" t="str">
        <f>IFERROR(Inv_SY!O405/Inv_SY!$Y405-1,"")</f>
        <v/>
      </c>
      <c r="P403" s="59" t="str">
        <f>IFERROR(Inv_SY!P405/Inv_SY!$Y405-1,"")</f>
        <v/>
      </c>
      <c r="Q403" s="59" t="str">
        <f>IFERROR(Inv_SY!Q405/Inv_SY!$Y405-1,"")</f>
        <v/>
      </c>
      <c r="R403" s="59" t="str">
        <f>IFERROR(Inv_SY!R405/Inv_SY!$Y405-1,"")</f>
        <v/>
      </c>
      <c r="S403" s="59" t="str">
        <f>IFERROR(Inv_SY!S405/Inv_SY!$Y405-1,"")</f>
        <v/>
      </c>
      <c r="T403" s="59" t="str">
        <f>IFERROR(Inv_SY!T405/Inv_SY!$Y405-1,"")</f>
        <v/>
      </c>
      <c r="U403" s="59" t="str">
        <f>IFERROR(Inv_SY!U405/Inv_SY!$Y405-1,"")</f>
        <v/>
      </c>
      <c r="V403" s="59" t="str">
        <f>IFERROR(Inv_SY!J405/Inv_SY!$Z405-1,"")</f>
        <v/>
      </c>
      <c r="W403" s="59" t="str">
        <f>IFERROR(Inv_SY!K405/Inv_SY!$Z405-1,"")</f>
        <v/>
      </c>
      <c r="X403" s="59" t="str">
        <f>IFERROR(Inv_SY!L405/Inv_SY!$Z405-1,"")</f>
        <v/>
      </c>
      <c r="Y403" s="59" t="str">
        <f>IFERROR(Inv_SY!M405/Inv_SY!$Z405-1,"")</f>
        <v/>
      </c>
      <c r="Z403" s="59" t="str">
        <f>IFERROR(Inv_SY!N405/Inv_SY!$Z405-1,"")</f>
        <v/>
      </c>
      <c r="AA403" s="59" t="str">
        <f>IFERROR(Inv_SY!O405/Inv_SY!$Z405-1,"")</f>
        <v/>
      </c>
      <c r="AB403" s="59" t="str">
        <f>IFERROR(Inv_SY!P405/Inv_SY!$Z405-1,"")</f>
        <v/>
      </c>
      <c r="AC403" s="59" t="str">
        <f>IFERROR(Inv_SY!Q405/Inv_SY!$Z405-1,"")</f>
        <v/>
      </c>
      <c r="AD403" s="59" t="str">
        <f>IFERROR(Inv_SY!R405/Inv_SY!$Z405-1,"")</f>
        <v/>
      </c>
      <c r="AE403" s="59" t="str">
        <f>IFERROR(Inv_SY!S405/Inv_SY!$Z405-1,"")</f>
        <v/>
      </c>
      <c r="AF403" s="59" t="str">
        <f>IFERROR(Inv_SY!T405/Inv_SY!$Z405-1,"")</f>
        <v/>
      </c>
      <c r="AG403" s="59" t="str">
        <f>IFERROR(Inv_SY!U405/Inv_SY!$Z405-1,"")</f>
        <v/>
      </c>
      <c r="AH403" s="59" t="str">
        <f>IFERROR(Inv_SY!V405/Inv_SY!$Y405-1,"")</f>
        <v/>
      </c>
      <c r="AI403" s="59" t="str">
        <f>IFERROR(Inv_SY!W405/Inv_SY!$Y405-1,"")</f>
        <v/>
      </c>
      <c r="AJ403" s="59" t="str">
        <f>IFERROR(Inv_SY!X405/Inv_SY!$Y405-1,"")</f>
        <v/>
      </c>
      <c r="AK403" s="59" t="str">
        <f>IFERROR(Inv_SY!V405/Inv_SY!$Z405-1,"")</f>
        <v/>
      </c>
      <c r="AL403" s="59" t="str">
        <f>IFERROR(Inv_SY!W405/Inv_SY!$Z405-1,"")</f>
        <v/>
      </c>
      <c r="AM403" s="59" t="str">
        <f>IFERROR(Inv_SY!X405/Inv_SY!$Z405-1,"")</f>
        <v/>
      </c>
    </row>
    <row r="404" spans="1:39" x14ac:dyDescent="0.3">
      <c r="A404" s="55">
        <f>YEAR(Table5[[#This Row],[Date]])+IF(MONTH(Table5[[#This Row],[Date]])&gt;=4,1,0)</f>
        <v>2027</v>
      </c>
      <c r="B404" s="55">
        <v>364</v>
      </c>
      <c r="C404" s="124">
        <f>YEAR(Table5[[#This Row],[Date]])</f>
        <v>2026</v>
      </c>
      <c r="D404" s="55" t="s">
        <v>329</v>
      </c>
      <c r="E404" s="55" t="s">
        <v>329</v>
      </c>
      <c r="F404" s="126" t="str">
        <f>TEXT(Table5[[#This Row],[Date]],"mmm-yy")</f>
        <v>May-26</v>
      </c>
      <c r="G404" s="124">
        <f t="shared" si="15"/>
        <v>31</v>
      </c>
      <c r="H404" s="125">
        <f t="shared" si="16"/>
        <v>46147</v>
      </c>
      <c r="I404" s="55">
        <v>8.02</v>
      </c>
      <c r="J404" s="59" t="str">
        <f>IFERROR(Inv_SY!J406/Inv_SY!$Y406-1,"")</f>
        <v/>
      </c>
      <c r="K404" s="59" t="str">
        <f>IFERROR(Inv_SY!K406/Inv_SY!$Y406-1,"")</f>
        <v/>
      </c>
      <c r="L404" s="59" t="str">
        <f>IFERROR(Inv_SY!L406/Inv_SY!$Y406-1,"")</f>
        <v/>
      </c>
      <c r="M404" s="59" t="str">
        <f>IFERROR(Inv_SY!M406/Inv_SY!$Y406-1,"")</f>
        <v/>
      </c>
      <c r="N404" s="59" t="str">
        <f>IFERROR(Inv_SY!N406/Inv_SY!$Y406-1,"")</f>
        <v/>
      </c>
      <c r="O404" s="59" t="str">
        <f>IFERROR(Inv_SY!O406/Inv_SY!$Y406-1,"")</f>
        <v/>
      </c>
      <c r="P404" s="59" t="str">
        <f>IFERROR(Inv_SY!P406/Inv_SY!$Y406-1,"")</f>
        <v/>
      </c>
      <c r="Q404" s="59" t="str">
        <f>IFERROR(Inv_SY!Q406/Inv_SY!$Y406-1,"")</f>
        <v/>
      </c>
      <c r="R404" s="59" t="str">
        <f>IFERROR(Inv_SY!R406/Inv_SY!$Y406-1,"")</f>
        <v/>
      </c>
      <c r="S404" s="59" t="str">
        <f>IFERROR(Inv_SY!S406/Inv_SY!$Y406-1,"")</f>
        <v/>
      </c>
      <c r="T404" s="59" t="str">
        <f>IFERROR(Inv_SY!T406/Inv_SY!$Y406-1,"")</f>
        <v/>
      </c>
      <c r="U404" s="59" t="str">
        <f>IFERROR(Inv_SY!U406/Inv_SY!$Y406-1,"")</f>
        <v/>
      </c>
      <c r="V404" s="59" t="str">
        <f>IFERROR(Inv_SY!J406/Inv_SY!$Z406-1,"")</f>
        <v/>
      </c>
      <c r="W404" s="59" t="str">
        <f>IFERROR(Inv_SY!K406/Inv_SY!$Z406-1,"")</f>
        <v/>
      </c>
      <c r="X404" s="59" t="str">
        <f>IFERROR(Inv_SY!L406/Inv_SY!$Z406-1,"")</f>
        <v/>
      </c>
      <c r="Y404" s="59" t="str">
        <f>IFERROR(Inv_SY!M406/Inv_SY!$Z406-1,"")</f>
        <v/>
      </c>
      <c r="Z404" s="59" t="str">
        <f>IFERROR(Inv_SY!N406/Inv_SY!$Z406-1,"")</f>
        <v/>
      </c>
      <c r="AA404" s="59" t="str">
        <f>IFERROR(Inv_SY!O406/Inv_SY!$Z406-1,"")</f>
        <v/>
      </c>
      <c r="AB404" s="59" t="str">
        <f>IFERROR(Inv_SY!P406/Inv_SY!$Z406-1,"")</f>
        <v/>
      </c>
      <c r="AC404" s="59" t="str">
        <f>IFERROR(Inv_SY!Q406/Inv_SY!$Z406-1,"")</f>
        <v/>
      </c>
      <c r="AD404" s="59" t="str">
        <f>IFERROR(Inv_SY!R406/Inv_SY!$Z406-1,"")</f>
        <v/>
      </c>
      <c r="AE404" s="59" t="str">
        <f>IFERROR(Inv_SY!S406/Inv_SY!$Z406-1,"")</f>
        <v/>
      </c>
      <c r="AF404" s="59" t="str">
        <f>IFERROR(Inv_SY!T406/Inv_SY!$Z406-1,"")</f>
        <v/>
      </c>
      <c r="AG404" s="59" t="str">
        <f>IFERROR(Inv_SY!U406/Inv_SY!$Z406-1,"")</f>
        <v/>
      </c>
      <c r="AH404" s="59" t="str">
        <f>IFERROR(Inv_SY!V406/Inv_SY!$Y406-1,"")</f>
        <v/>
      </c>
      <c r="AI404" s="59" t="str">
        <f>IFERROR(Inv_SY!W406/Inv_SY!$Y406-1,"")</f>
        <v/>
      </c>
      <c r="AJ404" s="59" t="str">
        <f>IFERROR(Inv_SY!X406/Inv_SY!$Y406-1,"")</f>
        <v/>
      </c>
      <c r="AK404" s="59" t="str">
        <f>IFERROR(Inv_SY!V406/Inv_SY!$Z406-1,"")</f>
        <v/>
      </c>
      <c r="AL404" s="59" t="str">
        <f>IFERROR(Inv_SY!W406/Inv_SY!$Z406-1,"")</f>
        <v/>
      </c>
      <c r="AM404" s="59" t="str">
        <f>IFERROR(Inv_SY!X406/Inv_SY!$Z406-1,"")</f>
        <v/>
      </c>
    </row>
    <row r="405" spans="1:39" x14ac:dyDescent="0.3">
      <c r="A405" s="55">
        <f>YEAR(Table5[[#This Row],[Date]])+IF(MONTH(Table5[[#This Row],[Date]])&gt;=4,1,0)</f>
        <v>2027</v>
      </c>
      <c r="B405" s="55">
        <v>365</v>
      </c>
      <c r="C405" s="124">
        <f>YEAR(Table5[[#This Row],[Date]])</f>
        <v>2026</v>
      </c>
      <c r="D405" s="55" t="s">
        <v>329</v>
      </c>
      <c r="E405" s="55" t="s">
        <v>329</v>
      </c>
      <c r="F405" s="126" t="str">
        <f>TEXT(Table5[[#This Row],[Date]],"mmm-yy")</f>
        <v>May-26</v>
      </c>
      <c r="G405" s="124">
        <f t="shared" si="15"/>
        <v>31</v>
      </c>
      <c r="H405" s="125">
        <f t="shared" si="16"/>
        <v>46148</v>
      </c>
      <c r="I405" s="55">
        <v>8.02</v>
      </c>
      <c r="J405" s="59" t="str">
        <f>IFERROR(Inv_SY!J407/Inv_SY!$Y407-1,"")</f>
        <v/>
      </c>
      <c r="K405" s="59" t="str">
        <f>IFERROR(Inv_SY!K407/Inv_SY!$Y407-1,"")</f>
        <v/>
      </c>
      <c r="L405" s="59" t="str">
        <f>IFERROR(Inv_SY!L407/Inv_SY!$Y407-1,"")</f>
        <v/>
      </c>
      <c r="M405" s="59" t="str">
        <f>IFERROR(Inv_SY!M407/Inv_SY!$Y407-1,"")</f>
        <v/>
      </c>
      <c r="N405" s="59" t="str">
        <f>IFERROR(Inv_SY!N407/Inv_SY!$Y407-1,"")</f>
        <v/>
      </c>
      <c r="O405" s="59" t="str">
        <f>IFERROR(Inv_SY!O407/Inv_SY!$Y407-1,"")</f>
        <v/>
      </c>
      <c r="P405" s="59" t="str">
        <f>IFERROR(Inv_SY!P407/Inv_SY!$Y407-1,"")</f>
        <v/>
      </c>
      <c r="Q405" s="59" t="str">
        <f>IFERROR(Inv_SY!Q407/Inv_SY!$Y407-1,"")</f>
        <v/>
      </c>
      <c r="R405" s="59" t="str">
        <f>IFERROR(Inv_SY!R407/Inv_SY!$Y407-1,"")</f>
        <v/>
      </c>
      <c r="S405" s="59" t="str">
        <f>IFERROR(Inv_SY!S407/Inv_SY!$Y407-1,"")</f>
        <v/>
      </c>
      <c r="T405" s="59" t="str">
        <f>IFERROR(Inv_SY!T407/Inv_SY!$Y407-1,"")</f>
        <v/>
      </c>
      <c r="U405" s="59" t="str">
        <f>IFERROR(Inv_SY!U407/Inv_SY!$Y407-1,"")</f>
        <v/>
      </c>
      <c r="V405" s="59" t="str">
        <f>IFERROR(Inv_SY!J407/Inv_SY!$Z407-1,"")</f>
        <v/>
      </c>
      <c r="W405" s="59" t="str">
        <f>IFERROR(Inv_SY!K407/Inv_SY!$Z407-1,"")</f>
        <v/>
      </c>
      <c r="X405" s="59" t="str">
        <f>IFERROR(Inv_SY!L407/Inv_SY!$Z407-1,"")</f>
        <v/>
      </c>
      <c r="Y405" s="59" t="str">
        <f>IFERROR(Inv_SY!M407/Inv_SY!$Z407-1,"")</f>
        <v/>
      </c>
      <c r="Z405" s="59" t="str">
        <f>IFERROR(Inv_SY!N407/Inv_SY!$Z407-1,"")</f>
        <v/>
      </c>
      <c r="AA405" s="59" t="str">
        <f>IFERROR(Inv_SY!O407/Inv_SY!$Z407-1,"")</f>
        <v/>
      </c>
      <c r="AB405" s="59" t="str">
        <f>IFERROR(Inv_SY!P407/Inv_SY!$Z407-1,"")</f>
        <v/>
      </c>
      <c r="AC405" s="59" t="str">
        <f>IFERROR(Inv_SY!Q407/Inv_SY!$Z407-1,"")</f>
        <v/>
      </c>
      <c r="AD405" s="59" t="str">
        <f>IFERROR(Inv_SY!R407/Inv_SY!$Z407-1,"")</f>
        <v/>
      </c>
      <c r="AE405" s="59" t="str">
        <f>IFERROR(Inv_SY!S407/Inv_SY!$Z407-1,"")</f>
        <v/>
      </c>
      <c r="AF405" s="59" t="str">
        <f>IFERROR(Inv_SY!T407/Inv_SY!$Z407-1,"")</f>
        <v/>
      </c>
      <c r="AG405" s="59" t="str">
        <f>IFERROR(Inv_SY!U407/Inv_SY!$Z407-1,"")</f>
        <v/>
      </c>
      <c r="AH405" s="59" t="str">
        <f>IFERROR(Inv_SY!V407/Inv_SY!$Y407-1,"")</f>
        <v/>
      </c>
      <c r="AI405" s="59" t="str">
        <f>IFERROR(Inv_SY!W407/Inv_SY!$Y407-1,"")</f>
        <v/>
      </c>
      <c r="AJ405" s="59" t="str">
        <f>IFERROR(Inv_SY!X407/Inv_SY!$Y407-1,"")</f>
        <v/>
      </c>
      <c r="AK405" s="59" t="str">
        <f>IFERROR(Inv_SY!V407/Inv_SY!$Z407-1,"")</f>
        <v/>
      </c>
      <c r="AL405" s="59" t="str">
        <f>IFERROR(Inv_SY!W407/Inv_SY!$Z407-1,"")</f>
        <v/>
      </c>
      <c r="AM405" s="59" t="str">
        <f>IFERROR(Inv_SY!X407/Inv_SY!$Z407-1,"")</f>
        <v/>
      </c>
    </row>
    <row r="406" spans="1:39" x14ac:dyDescent="0.3">
      <c r="A406" s="55">
        <f>YEAR(Table5[[#This Row],[Date]])+IF(MONTH(Table5[[#This Row],[Date]])&gt;=4,1,0)</f>
        <v>2027</v>
      </c>
      <c r="B406" s="55">
        <v>366</v>
      </c>
      <c r="C406" s="124">
        <f>YEAR(Table5[[#This Row],[Date]])</f>
        <v>2026</v>
      </c>
      <c r="D406" s="55" t="s">
        <v>329</v>
      </c>
      <c r="E406" s="55" t="s">
        <v>329</v>
      </c>
      <c r="F406" s="126" t="str">
        <f>TEXT(Table5[[#This Row],[Date]],"mmm-yy")</f>
        <v>May-26</v>
      </c>
      <c r="G406" s="124">
        <f t="shared" si="15"/>
        <v>31</v>
      </c>
      <c r="H406" s="125">
        <f t="shared" si="16"/>
        <v>46149</v>
      </c>
      <c r="I406" s="55">
        <v>8.02</v>
      </c>
      <c r="J406" s="59" t="str">
        <f>IFERROR(Inv_SY!J408/Inv_SY!$Y408-1,"")</f>
        <v/>
      </c>
      <c r="K406" s="59" t="str">
        <f>IFERROR(Inv_SY!K408/Inv_SY!$Y408-1,"")</f>
        <v/>
      </c>
      <c r="L406" s="59" t="str">
        <f>IFERROR(Inv_SY!L408/Inv_SY!$Y408-1,"")</f>
        <v/>
      </c>
      <c r="M406" s="59" t="str">
        <f>IFERROR(Inv_SY!M408/Inv_SY!$Y408-1,"")</f>
        <v/>
      </c>
      <c r="N406" s="59" t="str">
        <f>IFERROR(Inv_SY!N408/Inv_SY!$Y408-1,"")</f>
        <v/>
      </c>
      <c r="O406" s="59" t="str">
        <f>IFERROR(Inv_SY!O408/Inv_SY!$Y408-1,"")</f>
        <v/>
      </c>
      <c r="P406" s="59" t="str">
        <f>IFERROR(Inv_SY!P408/Inv_SY!$Y408-1,"")</f>
        <v/>
      </c>
      <c r="Q406" s="59" t="str">
        <f>IFERROR(Inv_SY!Q408/Inv_SY!$Y408-1,"")</f>
        <v/>
      </c>
      <c r="R406" s="59" t="str">
        <f>IFERROR(Inv_SY!R408/Inv_SY!$Y408-1,"")</f>
        <v/>
      </c>
      <c r="S406" s="59" t="str">
        <f>IFERROR(Inv_SY!S408/Inv_SY!$Y408-1,"")</f>
        <v/>
      </c>
      <c r="T406" s="59" t="str">
        <f>IFERROR(Inv_SY!T408/Inv_SY!$Y408-1,"")</f>
        <v/>
      </c>
      <c r="U406" s="59" t="str">
        <f>IFERROR(Inv_SY!U408/Inv_SY!$Y408-1,"")</f>
        <v/>
      </c>
      <c r="V406" s="59" t="str">
        <f>IFERROR(Inv_SY!J408/Inv_SY!$Z408-1,"")</f>
        <v/>
      </c>
      <c r="W406" s="59" t="str">
        <f>IFERROR(Inv_SY!K408/Inv_SY!$Z408-1,"")</f>
        <v/>
      </c>
      <c r="X406" s="59" t="str">
        <f>IFERROR(Inv_SY!L408/Inv_SY!$Z408-1,"")</f>
        <v/>
      </c>
      <c r="Y406" s="59" t="str">
        <f>IFERROR(Inv_SY!M408/Inv_SY!$Z408-1,"")</f>
        <v/>
      </c>
      <c r="Z406" s="59" t="str">
        <f>IFERROR(Inv_SY!N408/Inv_SY!$Z408-1,"")</f>
        <v/>
      </c>
      <c r="AA406" s="59" t="str">
        <f>IFERROR(Inv_SY!O408/Inv_SY!$Z408-1,"")</f>
        <v/>
      </c>
      <c r="AB406" s="59" t="str">
        <f>IFERROR(Inv_SY!P408/Inv_SY!$Z408-1,"")</f>
        <v/>
      </c>
      <c r="AC406" s="59" t="str">
        <f>IFERROR(Inv_SY!Q408/Inv_SY!$Z408-1,"")</f>
        <v/>
      </c>
      <c r="AD406" s="59" t="str">
        <f>IFERROR(Inv_SY!R408/Inv_SY!$Z408-1,"")</f>
        <v/>
      </c>
      <c r="AE406" s="59" t="str">
        <f>IFERROR(Inv_SY!S408/Inv_SY!$Z408-1,"")</f>
        <v/>
      </c>
      <c r="AF406" s="59" t="str">
        <f>IFERROR(Inv_SY!T408/Inv_SY!$Z408-1,"")</f>
        <v/>
      </c>
      <c r="AG406" s="59" t="str">
        <f>IFERROR(Inv_SY!U408/Inv_SY!$Z408-1,"")</f>
        <v/>
      </c>
      <c r="AH406" s="59" t="str">
        <f>IFERROR(Inv_SY!V408/Inv_SY!$Y408-1,"")</f>
        <v/>
      </c>
      <c r="AI406" s="59" t="str">
        <f>IFERROR(Inv_SY!W408/Inv_SY!$Y408-1,"")</f>
        <v/>
      </c>
      <c r="AJ406" s="59" t="str">
        <f>IFERROR(Inv_SY!X408/Inv_SY!$Y408-1,"")</f>
        <v/>
      </c>
      <c r="AK406" s="59" t="str">
        <f>IFERROR(Inv_SY!V408/Inv_SY!$Z408-1,"")</f>
        <v/>
      </c>
      <c r="AL406" s="59" t="str">
        <f>IFERROR(Inv_SY!W408/Inv_SY!$Z408-1,"")</f>
        <v/>
      </c>
      <c r="AM406" s="59" t="str">
        <f>IFERROR(Inv_SY!X408/Inv_SY!$Z408-1,"")</f>
        <v/>
      </c>
    </row>
    <row r="407" spans="1:39" x14ac:dyDescent="0.3">
      <c r="A407" s="55">
        <f>YEAR(Table5[[#This Row],[Date]])+IF(MONTH(Table5[[#This Row],[Date]])&gt;=4,1,0)</f>
        <v>2027</v>
      </c>
      <c r="B407" s="55">
        <v>367</v>
      </c>
      <c r="C407" s="124">
        <f>YEAR(Table5[[#This Row],[Date]])</f>
        <v>2026</v>
      </c>
      <c r="D407" s="55" t="s">
        <v>329</v>
      </c>
      <c r="E407" s="55" t="s">
        <v>329</v>
      </c>
      <c r="F407" s="126" t="str">
        <f>TEXT(Table5[[#This Row],[Date]],"mmm-yy")</f>
        <v>May-26</v>
      </c>
      <c r="G407" s="124">
        <f t="shared" si="15"/>
        <v>31</v>
      </c>
      <c r="H407" s="125">
        <f t="shared" si="16"/>
        <v>46150</v>
      </c>
      <c r="I407" s="55">
        <v>8.02</v>
      </c>
      <c r="J407" s="59" t="str">
        <f>IFERROR(Inv_SY!J409/Inv_SY!$Y409-1,"")</f>
        <v/>
      </c>
      <c r="K407" s="59" t="str">
        <f>IFERROR(Inv_SY!K409/Inv_SY!$Y409-1,"")</f>
        <v/>
      </c>
      <c r="L407" s="59" t="str">
        <f>IFERROR(Inv_SY!L409/Inv_SY!$Y409-1,"")</f>
        <v/>
      </c>
      <c r="M407" s="59" t="str">
        <f>IFERROR(Inv_SY!M409/Inv_SY!$Y409-1,"")</f>
        <v/>
      </c>
      <c r="N407" s="59" t="str">
        <f>IFERROR(Inv_SY!N409/Inv_SY!$Y409-1,"")</f>
        <v/>
      </c>
      <c r="O407" s="59" t="str">
        <f>IFERROR(Inv_SY!O409/Inv_SY!$Y409-1,"")</f>
        <v/>
      </c>
      <c r="P407" s="59" t="str">
        <f>IFERROR(Inv_SY!P409/Inv_SY!$Y409-1,"")</f>
        <v/>
      </c>
      <c r="Q407" s="59" t="str">
        <f>IFERROR(Inv_SY!Q409/Inv_SY!$Y409-1,"")</f>
        <v/>
      </c>
      <c r="R407" s="59" t="str">
        <f>IFERROR(Inv_SY!R409/Inv_SY!$Y409-1,"")</f>
        <v/>
      </c>
      <c r="S407" s="59" t="str">
        <f>IFERROR(Inv_SY!S409/Inv_SY!$Y409-1,"")</f>
        <v/>
      </c>
      <c r="T407" s="59" t="str">
        <f>IFERROR(Inv_SY!T409/Inv_SY!$Y409-1,"")</f>
        <v/>
      </c>
      <c r="U407" s="59" t="str">
        <f>IFERROR(Inv_SY!U409/Inv_SY!$Y409-1,"")</f>
        <v/>
      </c>
      <c r="V407" s="59" t="str">
        <f>IFERROR(Inv_SY!J409/Inv_SY!$Z409-1,"")</f>
        <v/>
      </c>
      <c r="W407" s="59" t="str">
        <f>IFERROR(Inv_SY!K409/Inv_SY!$Z409-1,"")</f>
        <v/>
      </c>
      <c r="X407" s="59" t="str">
        <f>IFERROR(Inv_SY!L409/Inv_SY!$Z409-1,"")</f>
        <v/>
      </c>
      <c r="Y407" s="59" t="str">
        <f>IFERROR(Inv_SY!M409/Inv_SY!$Z409-1,"")</f>
        <v/>
      </c>
      <c r="Z407" s="59" t="str">
        <f>IFERROR(Inv_SY!N409/Inv_SY!$Z409-1,"")</f>
        <v/>
      </c>
      <c r="AA407" s="59" t="str">
        <f>IFERROR(Inv_SY!O409/Inv_SY!$Z409-1,"")</f>
        <v/>
      </c>
      <c r="AB407" s="59" t="str">
        <f>IFERROR(Inv_SY!P409/Inv_SY!$Z409-1,"")</f>
        <v/>
      </c>
      <c r="AC407" s="59" t="str">
        <f>IFERROR(Inv_SY!Q409/Inv_SY!$Z409-1,"")</f>
        <v/>
      </c>
      <c r="AD407" s="59" t="str">
        <f>IFERROR(Inv_SY!R409/Inv_SY!$Z409-1,"")</f>
        <v/>
      </c>
      <c r="AE407" s="59" t="str">
        <f>IFERROR(Inv_SY!S409/Inv_SY!$Z409-1,"")</f>
        <v/>
      </c>
      <c r="AF407" s="59" t="str">
        <f>IFERROR(Inv_SY!T409/Inv_SY!$Z409-1,"")</f>
        <v/>
      </c>
      <c r="AG407" s="59" t="str">
        <f>IFERROR(Inv_SY!U409/Inv_SY!$Z409-1,"")</f>
        <v/>
      </c>
      <c r="AH407" s="59" t="str">
        <f>IFERROR(Inv_SY!V409/Inv_SY!$Y409-1,"")</f>
        <v/>
      </c>
      <c r="AI407" s="59" t="str">
        <f>IFERROR(Inv_SY!W409/Inv_SY!$Y409-1,"")</f>
        <v/>
      </c>
      <c r="AJ407" s="59" t="str">
        <f>IFERROR(Inv_SY!X409/Inv_SY!$Y409-1,"")</f>
        <v/>
      </c>
      <c r="AK407" s="59" t="str">
        <f>IFERROR(Inv_SY!V409/Inv_SY!$Z409-1,"")</f>
        <v/>
      </c>
      <c r="AL407" s="59" t="str">
        <f>IFERROR(Inv_SY!W409/Inv_SY!$Z409-1,"")</f>
        <v/>
      </c>
      <c r="AM407" s="59" t="str">
        <f>IFERROR(Inv_SY!X409/Inv_SY!$Z409-1,"")</f>
        <v/>
      </c>
    </row>
    <row r="408" spans="1:39" x14ac:dyDescent="0.3">
      <c r="A408" s="55">
        <f>YEAR(Table5[[#This Row],[Date]])+IF(MONTH(Table5[[#This Row],[Date]])&gt;=4,1,0)</f>
        <v>2027</v>
      </c>
      <c r="B408" s="55">
        <v>368</v>
      </c>
      <c r="C408" s="124">
        <f>YEAR(Table5[[#This Row],[Date]])</f>
        <v>2026</v>
      </c>
      <c r="D408" s="55" t="s">
        <v>329</v>
      </c>
      <c r="E408" s="55" t="s">
        <v>329</v>
      </c>
      <c r="F408" s="126" t="str">
        <f>TEXT(Table5[[#This Row],[Date]],"mmm-yy")</f>
        <v>May-26</v>
      </c>
      <c r="G408" s="124">
        <f t="shared" si="15"/>
        <v>31</v>
      </c>
      <c r="H408" s="125">
        <f t="shared" si="16"/>
        <v>46151</v>
      </c>
      <c r="I408" s="55">
        <v>8.02</v>
      </c>
      <c r="J408" s="59" t="str">
        <f>IFERROR(Inv_SY!J410/Inv_SY!$Y410-1,"")</f>
        <v/>
      </c>
      <c r="K408" s="59" t="str">
        <f>IFERROR(Inv_SY!K410/Inv_SY!$Y410-1,"")</f>
        <v/>
      </c>
      <c r="L408" s="59" t="str">
        <f>IFERROR(Inv_SY!L410/Inv_SY!$Y410-1,"")</f>
        <v/>
      </c>
      <c r="M408" s="59" t="str">
        <f>IFERROR(Inv_SY!M410/Inv_SY!$Y410-1,"")</f>
        <v/>
      </c>
      <c r="N408" s="59" t="str">
        <f>IFERROR(Inv_SY!N410/Inv_SY!$Y410-1,"")</f>
        <v/>
      </c>
      <c r="O408" s="59" t="str">
        <f>IFERROR(Inv_SY!O410/Inv_SY!$Y410-1,"")</f>
        <v/>
      </c>
      <c r="P408" s="59" t="str">
        <f>IFERROR(Inv_SY!P410/Inv_SY!$Y410-1,"")</f>
        <v/>
      </c>
      <c r="Q408" s="59" t="str">
        <f>IFERROR(Inv_SY!Q410/Inv_SY!$Y410-1,"")</f>
        <v/>
      </c>
      <c r="R408" s="59" t="str">
        <f>IFERROR(Inv_SY!R410/Inv_SY!$Y410-1,"")</f>
        <v/>
      </c>
      <c r="S408" s="59" t="str">
        <f>IFERROR(Inv_SY!S410/Inv_SY!$Y410-1,"")</f>
        <v/>
      </c>
      <c r="T408" s="59" t="str">
        <f>IFERROR(Inv_SY!T410/Inv_SY!$Y410-1,"")</f>
        <v/>
      </c>
      <c r="U408" s="59" t="str">
        <f>IFERROR(Inv_SY!U410/Inv_SY!$Y410-1,"")</f>
        <v/>
      </c>
      <c r="V408" s="59" t="str">
        <f>IFERROR(Inv_SY!J410/Inv_SY!$Z410-1,"")</f>
        <v/>
      </c>
      <c r="W408" s="59" t="str">
        <f>IFERROR(Inv_SY!K410/Inv_SY!$Z410-1,"")</f>
        <v/>
      </c>
      <c r="X408" s="59" t="str">
        <f>IFERROR(Inv_SY!L410/Inv_SY!$Z410-1,"")</f>
        <v/>
      </c>
      <c r="Y408" s="59" t="str">
        <f>IFERROR(Inv_SY!M410/Inv_SY!$Z410-1,"")</f>
        <v/>
      </c>
      <c r="Z408" s="59" t="str">
        <f>IFERROR(Inv_SY!N410/Inv_SY!$Z410-1,"")</f>
        <v/>
      </c>
      <c r="AA408" s="59" t="str">
        <f>IFERROR(Inv_SY!O410/Inv_SY!$Z410-1,"")</f>
        <v/>
      </c>
      <c r="AB408" s="59" t="str">
        <f>IFERROR(Inv_SY!P410/Inv_SY!$Z410-1,"")</f>
        <v/>
      </c>
      <c r="AC408" s="59" t="str">
        <f>IFERROR(Inv_SY!Q410/Inv_SY!$Z410-1,"")</f>
        <v/>
      </c>
      <c r="AD408" s="59" t="str">
        <f>IFERROR(Inv_SY!R410/Inv_SY!$Z410-1,"")</f>
        <v/>
      </c>
      <c r="AE408" s="59" t="str">
        <f>IFERROR(Inv_SY!S410/Inv_SY!$Z410-1,"")</f>
        <v/>
      </c>
      <c r="AF408" s="59" t="str">
        <f>IFERROR(Inv_SY!T410/Inv_SY!$Z410-1,"")</f>
        <v/>
      </c>
      <c r="AG408" s="59" t="str">
        <f>IFERROR(Inv_SY!U410/Inv_SY!$Z410-1,"")</f>
        <v/>
      </c>
      <c r="AH408" s="59" t="str">
        <f>IFERROR(Inv_SY!V410/Inv_SY!$Y410-1,"")</f>
        <v/>
      </c>
      <c r="AI408" s="59" t="str">
        <f>IFERROR(Inv_SY!W410/Inv_SY!$Y410-1,"")</f>
        <v/>
      </c>
      <c r="AJ408" s="59" t="str">
        <f>IFERROR(Inv_SY!X410/Inv_SY!$Y410-1,"")</f>
        <v/>
      </c>
      <c r="AK408" s="59" t="str">
        <f>IFERROR(Inv_SY!V410/Inv_SY!$Z410-1,"")</f>
        <v/>
      </c>
      <c r="AL408" s="59" t="str">
        <f>IFERROR(Inv_SY!W410/Inv_SY!$Z410-1,"")</f>
        <v/>
      </c>
      <c r="AM408" s="59" t="str">
        <f>IFERROR(Inv_SY!X410/Inv_SY!$Z410-1,"")</f>
        <v/>
      </c>
    </row>
    <row r="409" spans="1:39" x14ac:dyDescent="0.3">
      <c r="A409" s="55">
        <f>YEAR(Table5[[#This Row],[Date]])+IF(MONTH(Table5[[#This Row],[Date]])&gt;=4,1,0)</f>
        <v>2027</v>
      </c>
      <c r="B409" s="55">
        <v>369</v>
      </c>
      <c r="C409" s="124">
        <f>YEAR(Table5[[#This Row],[Date]])</f>
        <v>2026</v>
      </c>
      <c r="D409" s="55" t="s">
        <v>329</v>
      </c>
      <c r="E409" s="55" t="s">
        <v>329</v>
      </c>
      <c r="F409" s="126" t="str">
        <f>TEXT(Table5[[#This Row],[Date]],"mmm-yy")</f>
        <v>May-26</v>
      </c>
      <c r="G409" s="124">
        <f t="shared" si="15"/>
        <v>31</v>
      </c>
      <c r="H409" s="125">
        <f t="shared" si="16"/>
        <v>46152</v>
      </c>
      <c r="I409" s="55">
        <v>8.02</v>
      </c>
      <c r="J409" s="59" t="str">
        <f>IFERROR(Inv_SY!J411/Inv_SY!$Y411-1,"")</f>
        <v/>
      </c>
      <c r="K409" s="59" t="str">
        <f>IFERROR(Inv_SY!K411/Inv_SY!$Y411-1,"")</f>
        <v/>
      </c>
      <c r="L409" s="59" t="str">
        <f>IFERROR(Inv_SY!L411/Inv_SY!$Y411-1,"")</f>
        <v/>
      </c>
      <c r="M409" s="59" t="str">
        <f>IFERROR(Inv_SY!M411/Inv_SY!$Y411-1,"")</f>
        <v/>
      </c>
      <c r="N409" s="59" t="str">
        <f>IFERROR(Inv_SY!N411/Inv_SY!$Y411-1,"")</f>
        <v/>
      </c>
      <c r="O409" s="59" t="str">
        <f>IFERROR(Inv_SY!O411/Inv_SY!$Y411-1,"")</f>
        <v/>
      </c>
      <c r="P409" s="59" t="str">
        <f>IFERROR(Inv_SY!P411/Inv_SY!$Y411-1,"")</f>
        <v/>
      </c>
      <c r="Q409" s="59" t="str">
        <f>IFERROR(Inv_SY!Q411/Inv_SY!$Y411-1,"")</f>
        <v/>
      </c>
      <c r="R409" s="59" t="str">
        <f>IFERROR(Inv_SY!R411/Inv_SY!$Y411-1,"")</f>
        <v/>
      </c>
      <c r="S409" s="59" t="str">
        <f>IFERROR(Inv_SY!S411/Inv_SY!$Y411-1,"")</f>
        <v/>
      </c>
      <c r="T409" s="59" t="str">
        <f>IFERROR(Inv_SY!T411/Inv_SY!$Y411-1,"")</f>
        <v/>
      </c>
      <c r="U409" s="59" t="str">
        <f>IFERROR(Inv_SY!U411/Inv_SY!$Y411-1,"")</f>
        <v/>
      </c>
      <c r="V409" s="59" t="str">
        <f>IFERROR(Inv_SY!J411/Inv_SY!$Z411-1,"")</f>
        <v/>
      </c>
      <c r="W409" s="59" t="str">
        <f>IFERROR(Inv_SY!K411/Inv_SY!$Z411-1,"")</f>
        <v/>
      </c>
      <c r="X409" s="59" t="str">
        <f>IFERROR(Inv_SY!L411/Inv_SY!$Z411-1,"")</f>
        <v/>
      </c>
      <c r="Y409" s="59" t="str">
        <f>IFERROR(Inv_SY!M411/Inv_SY!$Z411-1,"")</f>
        <v/>
      </c>
      <c r="Z409" s="59" t="str">
        <f>IFERROR(Inv_SY!N411/Inv_SY!$Z411-1,"")</f>
        <v/>
      </c>
      <c r="AA409" s="59" t="str">
        <f>IFERROR(Inv_SY!O411/Inv_SY!$Z411-1,"")</f>
        <v/>
      </c>
      <c r="AB409" s="59" t="str">
        <f>IFERROR(Inv_SY!P411/Inv_SY!$Z411-1,"")</f>
        <v/>
      </c>
      <c r="AC409" s="59" t="str">
        <f>IFERROR(Inv_SY!Q411/Inv_SY!$Z411-1,"")</f>
        <v/>
      </c>
      <c r="AD409" s="59" t="str">
        <f>IFERROR(Inv_SY!R411/Inv_SY!$Z411-1,"")</f>
        <v/>
      </c>
      <c r="AE409" s="59" t="str">
        <f>IFERROR(Inv_SY!S411/Inv_SY!$Z411-1,"")</f>
        <v/>
      </c>
      <c r="AF409" s="59" t="str">
        <f>IFERROR(Inv_SY!T411/Inv_SY!$Z411-1,"")</f>
        <v/>
      </c>
      <c r="AG409" s="59" t="str">
        <f>IFERROR(Inv_SY!U411/Inv_SY!$Z411-1,"")</f>
        <v/>
      </c>
      <c r="AH409" s="59" t="str">
        <f>IFERROR(Inv_SY!V411/Inv_SY!$Y411-1,"")</f>
        <v/>
      </c>
      <c r="AI409" s="59" t="str">
        <f>IFERROR(Inv_SY!W411/Inv_SY!$Y411-1,"")</f>
        <v/>
      </c>
      <c r="AJ409" s="59" t="str">
        <f>IFERROR(Inv_SY!X411/Inv_SY!$Y411-1,"")</f>
        <v/>
      </c>
      <c r="AK409" s="59" t="str">
        <f>IFERROR(Inv_SY!V411/Inv_SY!$Z411-1,"")</f>
        <v/>
      </c>
      <c r="AL409" s="59" t="str">
        <f>IFERROR(Inv_SY!W411/Inv_SY!$Z411-1,"")</f>
        <v/>
      </c>
      <c r="AM409" s="59" t="str">
        <f>IFERROR(Inv_SY!X411/Inv_SY!$Z411-1,"")</f>
        <v/>
      </c>
    </row>
    <row r="410" spans="1:39" x14ac:dyDescent="0.3">
      <c r="A410" s="55">
        <f>YEAR(Table5[[#This Row],[Date]])+IF(MONTH(Table5[[#This Row],[Date]])&gt;=4,1,0)</f>
        <v>2027</v>
      </c>
      <c r="B410" s="55">
        <v>370</v>
      </c>
      <c r="C410" s="124">
        <f>YEAR(Table5[[#This Row],[Date]])</f>
        <v>2026</v>
      </c>
      <c r="D410" s="55" t="s">
        <v>329</v>
      </c>
      <c r="E410" s="55" t="s">
        <v>329</v>
      </c>
      <c r="F410" s="126" t="str">
        <f>TEXT(Table5[[#This Row],[Date]],"mmm-yy")</f>
        <v>May-26</v>
      </c>
      <c r="G410" s="124">
        <f t="shared" si="15"/>
        <v>31</v>
      </c>
      <c r="H410" s="125">
        <f t="shared" si="16"/>
        <v>46153</v>
      </c>
      <c r="I410" s="55">
        <v>8.02</v>
      </c>
      <c r="J410" s="59" t="str">
        <f>IFERROR(Inv_SY!J412/Inv_SY!$Y412-1,"")</f>
        <v/>
      </c>
      <c r="K410" s="59" t="str">
        <f>IFERROR(Inv_SY!K412/Inv_SY!$Y412-1,"")</f>
        <v/>
      </c>
      <c r="L410" s="59" t="str">
        <f>IFERROR(Inv_SY!L412/Inv_SY!$Y412-1,"")</f>
        <v/>
      </c>
      <c r="M410" s="59" t="str">
        <f>IFERROR(Inv_SY!M412/Inv_SY!$Y412-1,"")</f>
        <v/>
      </c>
      <c r="N410" s="59" t="str">
        <f>IFERROR(Inv_SY!N412/Inv_SY!$Y412-1,"")</f>
        <v/>
      </c>
      <c r="O410" s="59" t="str">
        <f>IFERROR(Inv_SY!O412/Inv_SY!$Y412-1,"")</f>
        <v/>
      </c>
      <c r="P410" s="59" t="str">
        <f>IFERROR(Inv_SY!P412/Inv_SY!$Y412-1,"")</f>
        <v/>
      </c>
      <c r="Q410" s="59" t="str">
        <f>IFERROR(Inv_SY!Q412/Inv_SY!$Y412-1,"")</f>
        <v/>
      </c>
      <c r="R410" s="59" t="str">
        <f>IFERROR(Inv_SY!R412/Inv_SY!$Y412-1,"")</f>
        <v/>
      </c>
      <c r="S410" s="59" t="str">
        <f>IFERROR(Inv_SY!S412/Inv_SY!$Y412-1,"")</f>
        <v/>
      </c>
      <c r="T410" s="59" t="str">
        <f>IFERROR(Inv_SY!T412/Inv_SY!$Y412-1,"")</f>
        <v/>
      </c>
      <c r="U410" s="59" t="str">
        <f>IFERROR(Inv_SY!U412/Inv_SY!$Y412-1,"")</f>
        <v/>
      </c>
      <c r="V410" s="59" t="str">
        <f>IFERROR(Inv_SY!J412/Inv_SY!$Z412-1,"")</f>
        <v/>
      </c>
      <c r="W410" s="59" t="str">
        <f>IFERROR(Inv_SY!K412/Inv_SY!$Z412-1,"")</f>
        <v/>
      </c>
      <c r="X410" s="59" t="str">
        <f>IFERROR(Inv_SY!L412/Inv_SY!$Z412-1,"")</f>
        <v/>
      </c>
      <c r="Y410" s="59" t="str">
        <f>IFERROR(Inv_SY!M412/Inv_SY!$Z412-1,"")</f>
        <v/>
      </c>
      <c r="Z410" s="59" t="str">
        <f>IFERROR(Inv_SY!N412/Inv_SY!$Z412-1,"")</f>
        <v/>
      </c>
      <c r="AA410" s="59" t="str">
        <f>IFERROR(Inv_SY!O412/Inv_SY!$Z412-1,"")</f>
        <v/>
      </c>
      <c r="AB410" s="59" t="str">
        <f>IFERROR(Inv_SY!P412/Inv_SY!$Z412-1,"")</f>
        <v/>
      </c>
      <c r="AC410" s="59" t="str">
        <f>IFERROR(Inv_SY!Q412/Inv_SY!$Z412-1,"")</f>
        <v/>
      </c>
      <c r="AD410" s="59" t="str">
        <f>IFERROR(Inv_SY!R412/Inv_SY!$Z412-1,"")</f>
        <v/>
      </c>
      <c r="AE410" s="59" t="str">
        <f>IFERROR(Inv_SY!S412/Inv_SY!$Z412-1,"")</f>
        <v/>
      </c>
      <c r="AF410" s="59" t="str">
        <f>IFERROR(Inv_SY!T412/Inv_SY!$Z412-1,"")</f>
        <v/>
      </c>
      <c r="AG410" s="59" t="str">
        <f>IFERROR(Inv_SY!U412/Inv_SY!$Z412-1,"")</f>
        <v/>
      </c>
      <c r="AH410" s="59" t="str">
        <f>IFERROR(Inv_SY!V412/Inv_SY!$Y412-1,"")</f>
        <v/>
      </c>
      <c r="AI410" s="59" t="str">
        <f>IFERROR(Inv_SY!W412/Inv_SY!$Y412-1,"")</f>
        <v/>
      </c>
      <c r="AJ410" s="59" t="str">
        <f>IFERROR(Inv_SY!X412/Inv_SY!$Y412-1,"")</f>
        <v/>
      </c>
      <c r="AK410" s="59" t="str">
        <f>IFERROR(Inv_SY!V412/Inv_SY!$Z412-1,"")</f>
        <v/>
      </c>
      <c r="AL410" s="59" t="str">
        <f>IFERROR(Inv_SY!W412/Inv_SY!$Z412-1,"")</f>
        <v/>
      </c>
      <c r="AM410" s="59" t="str">
        <f>IFERROR(Inv_SY!X412/Inv_SY!$Z412-1,"")</f>
        <v/>
      </c>
    </row>
    <row r="411" spans="1:39" x14ac:dyDescent="0.3">
      <c r="A411" s="55">
        <f>YEAR(Table5[[#This Row],[Date]])+IF(MONTH(Table5[[#This Row],[Date]])&gt;=4,1,0)</f>
        <v>2027</v>
      </c>
      <c r="B411" s="55">
        <v>371</v>
      </c>
      <c r="C411" s="124">
        <f>YEAR(Table5[[#This Row],[Date]])</f>
        <v>2026</v>
      </c>
      <c r="D411" s="55" t="s">
        <v>329</v>
      </c>
      <c r="E411" s="55" t="s">
        <v>329</v>
      </c>
      <c r="F411" s="126" t="str">
        <f>TEXT(Table5[[#This Row],[Date]],"mmm-yy")</f>
        <v>May-26</v>
      </c>
      <c r="G411" s="124">
        <f t="shared" si="15"/>
        <v>31</v>
      </c>
      <c r="H411" s="125">
        <f t="shared" si="16"/>
        <v>46154</v>
      </c>
      <c r="I411" s="55">
        <v>8.02</v>
      </c>
      <c r="J411" s="59" t="str">
        <f>IFERROR(Inv_SY!J413/Inv_SY!$Y413-1,"")</f>
        <v/>
      </c>
      <c r="K411" s="59" t="str">
        <f>IFERROR(Inv_SY!K413/Inv_SY!$Y413-1,"")</f>
        <v/>
      </c>
      <c r="L411" s="59" t="str">
        <f>IFERROR(Inv_SY!L413/Inv_SY!$Y413-1,"")</f>
        <v/>
      </c>
      <c r="M411" s="59" t="str">
        <f>IFERROR(Inv_SY!M413/Inv_SY!$Y413-1,"")</f>
        <v/>
      </c>
      <c r="N411" s="59" t="str">
        <f>IFERROR(Inv_SY!N413/Inv_SY!$Y413-1,"")</f>
        <v/>
      </c>
      <c r="O411" s="59" t="str">
        <f>IFERROR(Inv_SY!O413/Inv_SY!$Y413-1,"")</f>
        <v/>
      </c>
      <c r="P411" s="59" t="str">
        <f>IFERROR(Inv_SY!P413/Inv_SY!$Y413-1,"")</f>
        <v/>
      </c>
      <c r="Q411" s="59" t="str">
        <f>IFERROR(Inv_SY!Q413/Inv_SY!$Y413-1,"")</f>
        <v/>
      </c>
      <c r="R411" s="59" t="str">
        <f>IFERROR(Inv_SY!R413/Inv_SY!$Y413-1,"")</f>
        <v/>
      </c>
      <c r="S411" s="59" t="str">
        <f>IFERROR(Inv_SY!S413/Inv_SY!$Y413-1,"")</f>
        <v/>
      </c>
      <c r="T411" s="59" t="str">
        <f>IFERROR(Inv_SY!T413/Inv_SY!$Y413-1,"")</f>
        <v/>
      </c>
      <c r="U411" s="59" t="str">
        <f>IFERROR(Inv_SY!U413/Inv_SY!$Y413-1,"")</f>
        <v/>
      </c>
      <c r="V411" s="59" t="str">
        <f>IFERROR(Inv_SY!J413/Inv_SY!$Z413-1,"")</f>
        <v/>
      </c>
      <c r="W411" s="59" t="str">
        <f>IFERROR(Inv_SY!K413/Inv_SY!$Z413-1,"")</f>
        <v/>
      </c>
      <c r="X411" s="59" t="str">
        <f>IFERROR(Inv_SY!L413/Inv_SY!$Z413-1,"")</f>
        <v/>
      </c>
      <c r="Y411" s="59" t="str">
        <f>IFERROR(Inv_SY!M413/Inv_SY!$Z413-1,"")</f>
        <v/>
      </c>
      <c r="Z411" s="59" t="str">
        <f>IFERROR(Inv_SY!N413/Inv_SY!$Z413-1,"")</f>
        <v/>
      </c>
      <c r="AA411" s="59" t="str">
        <f>IFERROR(Inv_SY!O413/Inv_SY!$Z413-1,"")</f>
        <v/>
      </c>
      <c r="AB411" s="59" t="str">
        <f>IFERROR(Inv_SY!P413/Inv_SY!$Z413-1,"")</f>
        <v/>
      </c>
      <c r="AC411" s="59" t="str">
        <f>IFERROR(Inv_SY!Q413/Inv_SY!$Z413-1,"")</f>
        <v/>
      </c>
      <c r="AD411" s="59" t="str">
        <f>IFERROR(Inv_SY!R413/Inv_SY!$Z413-1,"")</f>
        <v/>
      </c>
      <c r="AE411" s="59" t="str">
        <f>IFERROR(Inv_SY!S413/Inv_SY!$Z413-1,"")</f>
        <v/>
      </c>
      <c r="AF411" s="59" t="str">
        <f>IFERROR(Inv_SY!T413/Inv_SY!$Z413-1,"")</f>
        <v/>
      </c>
      <c r="AG411" s="59" t="str">
        <f>IFERROR(Inv_SY!U413/Inv_SY!$Z413-1,"")</f>
        <v/>
      </c>
      <c r="AH411" s="59" t="str">
        <f>IFERROR(Inv_SY!V413/Inv_SY!$Y413-1,"")</f>
        <v/>
      </c>
      <c r="AI411" s="59" t="str">
        <f>IFERROR(Inv_SY!W413/Inv_SY!$Y413-1,"")</f>
        <v/>
      </c>
      <c r="AJ411" s="59" t="str">
        <f>IFERROR(Inv_SY!X413/Inv_SY!$Y413-1,"")</f>
        <v/>
      </c>
      <c r="AK411" s="59" t="str">
        <f>IFERROR(Inv_SY!V413/Inv_SY!$Z413-1,"")</f>
        <v/>
      </c>
      <c r="AL411" s="59" t="str">
        <f>IFERROR(Inv_SY!W413/Inv_SY!$Z413-1,"")</f>
        <v/>
      </c>
      <c r="AM411" s="59" t="str">
        <f>IFERROR(Inv_SY!X413/Inv_SY!$Z413-1,"")</f>
        <v/>
      </c>
    </row>
    <row r="412" spans="1:39" x14ac:dyDescent="0.3">
      <c r="A412" s="55">
        <f>YEAR(Table5[[#This Row],[Date]])+IF(MONTH(Table5[[#This Row],[Date]])&gt;=4,1,0)</f>
        <v>2027</v>
      </c>
      <c r="B412" s="55">
        <v>372</v>
      </c>
      <c r="C412" s="124">
        <f>YEAR(Table5[[#This Row],[Date]])</f>
        <v>2026</v>
      </c>
      <c r="D412" s="55" t="s">
        <v>329</v>
      </c>
      <c r="E412" s="55" t="s">
        <v>329</v>
      </c>
      <c r="F412" s="126" t="str">
        <f>TEXT(Table5[[#This Row],[Date]],"mmm-yy")</f>
        <v>May-26</v>
      </c>
      <c r="G412" s="124">
        <f t="shared" si="15"/>
        <v>31</v>
      </c>
      <c r="H412" s="125">
        <f t="shared" si="16"/>
        <v>46155</v>
      </c>
      <c r="I412" s="55">
        <v>8.02</v>
      </c>
      <c r="J412" s="59" t="str">
        <f>IFERROR(Inv_SY!J414/Inv_SY!$Y414-1,"")</f>
        <v/>
      </c>
      <c r="K412" s="59" t="str">
        <f>IFERROR(Inv_SY!K414/Inv_SY!$Y414-1,"")</f>
        <v/>
      </c>
      <c r="L412" s="59" t="str">
        <f>IFERROR(Inv_SY!L414/Inv_SY!$Y414-1,"")</f>
        <v/>
      </c>
      <c r="M412" s="59" t="str">
        <f>IFERROR(Inv_SY!M414/Inv_SY!$Y414-1,"")</f>
        <v/>
      </c>
      <c r="N412" s="59" t="str">
        <f>IFERROR(Inv_SY!N414/Inv_SY!$Y414-1,"")</f>
        <v/>
      </c>
      <c r="O412" s="59" t="str">
        <f>IFERROR(Inv_SY!O414/Inv_SY!$Y414-1,"")</f>
        <v/>
      </c>
      <c r="P412" s="59" t="str">
        <f>IFERROR(Inv_SY!P414/Inv_SY!$Y414-1,"")</f>
        <v/>
      </c>
      <c r="Q412" s="59" t="str">
        <f>IFERROR(Inv_SY!Q414/Inv_SY!$Y414-1,"")</f>
        <v/>
      </c>
      <c r="R412" s="59" t="str">
        <f>IFERROR(Inv_SY!R414/Inv_SY!$Y414-1,"")</f>
        <v/>
      </c>
      <c r="S412" s="59" t="str">
        <f>IFERROR(Inv_SY!S414/Inv_SY!$Y414-1,"")</f>
        <v/>
      </c>
      <c r="T412" s="59" t="str">
        <f>IFERROR(Inv_SY!T414/Inv_SY!$Y414-1,"")</f>
        <v/>
      </c>
      <c r="U412" s="59" t="str">
        <f>IFERROR(Inv_SY!U414/Inv_SY!$Y414-1,"")</f>
        <v/>
      </c>
      <c r="V412" s="59" t="str">
        <f>IFERROR(Inv_SY!J414/Inv_SY!$Z414-1,"")</f>
        <v/>
      </c>
      <c r="W412" s="59" t="str">
        <f>IFERROR(Inv_SY!K414/Inv_SY!$Z414-1,"")</f>
        <v/>
      </c>
      <c r="X412" s="59" t="str">
        <f>IFERROR(Inv_SY!L414/Inv_SY!$Z414-1,"")</f>
        <v/>
      </c>
      <c r="Y412" s="59" t="str">
        <f>IFERROR(Inv_SY!M414/Inv_SY!$Z414-1,"")</f>
        <v/>
      </c>
      <c r="Z412" s="59" t="str">
        <f>IFERROR(Inv_SY!N414/Inv_SY!$Z414-1,"")</f>
        <v/>
      </c>
      <c r="AA412" s="59" t="str">
        <f>IFERROR(Inv_SY!O414/Inv_SY!$Z414-1,"")</f>
        <v/>
      </c>
      <c r="AB412" s="59" t="str">
        <f>IFERROR(Inv_SY!P414/Inv_SY!$Z414-1,"")</f>
        <v/>
      </c>
      <c r="AC412" s="59" t="str">
        <f>IFERROR(Inv_SY!Q414/Inv_SY!$Z414-1,"")</f>
        <v/>
      </c>
      <c r="AD412" s="59" t="str">
        <f>IFERROR(Inv_SY!R414/Inv_SY!$Z414-1,"")</f>
        <v/>
      </c>
      <c r="AE412" s="59" t="str">
        <f>IFERROR(Inv_SY!S414/Inv_SY!$Z414-1,"")</f>
        <v/>
      </c>
      <c r="AF412" s="59" t="str">
        <f>IFERROR(Inv_SY!T414/Inv_SY!$Z414-1,"")</f>
        <v/>
      </c>
      <c r="AG412" s="59" t="str">
        <f>IFERROR(Inv_SY!U414/Inv_SY!$Z414-1,"")</f>
        <v/>
      </c>
      <c r="AH412" s="59" t="str">
        <f>IFERROR(Inv_SY!V414/Inv_SY!$Y414-1,"")</f>
        <v/>
      </c>
      <c r="AI412" s="59" t="str">
        <f>IFERROR(Inv_SY!W414/Inv_SY!$Y414-1,"")</f>
        <v/>
      </c>
      <c r="AJ412" s="59" t="str">
        <f>IFERROR(Inv_SY!X414/Inv_SY!$Y414-1,"")</f>
        <v/>
      </c>
      <c r="AK412" s="59" t="str">
        <f>IFERROR(Inv_SY!V414/Inv_SY!$Z414-1,"")</f>
        <v/>
      </c>
      <c r="AL412" s="59" t="str">
        <f>IFERROR(Inv_SY!W414/Inv_SY!$Z414-1,"")</f>
        <v/>
      </c>
      <c r="AM412" s="59" t="str">
        <f>IFERROR(Inv_SY!X414/Inv_SY!$Z414-1,"")</f>
        <v/>
      </c>
    </row>
    <row r="413" spans="1:39" x14ac:dyDescent="0.3">
      <c r="A413" s="55">
        <f>YEAR(Table5[[#This Row],[Date]])+IF(MONTH(Table5[[#This Row],[Date]])&gt;=4,1,0)</f>
        <v>2027</v>
      </c>
      <c r="B413" s="55">
        <v>373</v>
      </c>
      <c r="C413" s="124">
        <f>YEAR(Table5[[#This Row],[Date]])</f>
        <v>2026</v>
      </c>
      <c r="D413" s="55" t="s">
        <v>329</v>
      </c>
      <c r="E413" s="55" t="s">
        <v>329</v>
      </c>
      <c r="F413" s="126" t="str">
        <f>TEXT(Table5[[#This Row],[Date]],"mmm-yy")</f>
        <v>May-26</v>
      </c>
      <c r="G413" s="124">
        <f t="shared" si="15"/>
        <v>31</v>
      </c>
      <c r="H413" s="125">
        <f t="shared" si="16"/>
        <v>46156</v>
      </c>
      <c r="I413" s="55">
        <v>8.02</v>
      </c>
      <c r="J413" s="59" t="str">
        <f>IFERROR(Inv_SY!J415/Inv_SY!$Y415-1,"")</f>
        <v/>
      </c>
      <c r="K413" s="59" t="str">
        <f>IFERROR(Inv_SY!K415/Inv_SY!$Y415-1,"")</f>
        <v/>
      </c>
      <c r="L413" s="59" t="str">
        <f>IFERROR(Inv_SY!L415/Inv_SY!$Y415-1,"")</f>
        <v/>
      </c>
      <c r="M413" s="59" t="str">
        <f>IFERROR(Inv_SY!M415/Inv_SY!$Y415-1,"")</f>
        <v/>
      </c>
      <c r="N413" s="59" t="str">
        <f>IFERROR(Inv_SY!N415/Inv_SY!$Y415-1,"")</f>
        <v/>
      </c>
      <c r="O413" s="59" t="str">
        <f>IFERROR(Inv_SY!O415/Inv_SY!$Y415-1,"")</f>
        <v/>
      </c>
      <c r="P413" s="59" t="str">
        <f>IFERROR(Inv_SY!P415/Inv_SY!$Y415-1,"")</f>
        <v/>
      </c>
      <c r="Q413" s="59" t="str">
        <f>IFERROR(Inv_SY!Q415/Inv_SY!$Y415-1,"")</f>
        <v/>
      </c>
      <c r="R413" s="59" t="str">
        <f>IFERROR(Inv_SY!R415/Inv_SY!$Y415-1,"")</f>
        <v/>
      </c>
      <c r="S413" s="59" t="str">
        <f>IFERROR(Inv_SY!S415/Inv_SY!$Y415-1,"")</f>
        <v/>
      </c>
      <c r="T413" s="59" t="str">
        <f>IFERROR(Inv_SY!T415/Inv_SY!$Y415-1,"")</f>
        <v/>
      </c>
      <c r="U413" s="59" t="str">
        <f>IFERROR(Inv_SY!U415/Inv_SY!$Y415-1,"")</f>
        <v/>
      </c>
      <c r="V413" s="59" t="str">
        <f>IFERROR(Inv_SY!J415/Inv_SY!$Z415-1,"")</f>
        <v/>
      </c>
      <c r="W413" s="59" t="str">
        <f>IFERROR(Inv_SY!K415/Inv_SY!$Z415-1,"")</f>
        <v/>
      </c>
      <c r="X413" s="59" t="str">
        <f>IFERROR(Inv_SY!L415/Inv_SY!$Z415-1,"")</f>
        <v/>
      </c>
      <c r="Y413" s="59" t="str">
        <f>IFERROR(Inv_SY!M415/Inv_SY!$Z415-1,"")</f>
        <v/>
      </c>
      <c r="Z413" s="59" t="str">
        <f>IFERROR(Inv_SY!N415/Inv_SY!$Z415-1,"")</f>
        <v/>
      </c>
      <c r="AA413" s="59" t="str">
        <f>IFERROR(Inv_SY!O415/Inv_SY!$Z415-1,"")</f>
        <v/>
      </c>
      <c r="AB413" s="59" t="str">
        <f>IFERROR(Inv_SY!P415/Inv_SY!$Z415-1,"")</f>
        <v/>
      </c>
      <c r="AC413" s="59" t="str">
        <f>IFERROR(Inv_SY!Q415/Inv_SY!$Z415-1,"")</f>
        <v/>
      </c>
      <c r="AD413" s="59" t="str">
        <f>IFERROR(Inv_SY!R415/Inv_SY!$Z415-1,"")</f>
        <v/>
      </c>
      <c r="AE413" s="59" t="str">
        <f>IFERROR(Inv_SY!S415/Inv_SY!$Z415-1,"")</f>
        <v/>
      </c>
      <c r="AF413" s="59" t="str">
        <f>IFERROR(Inv_SY!T415/Inv_SY!$Z415-1,"")</f>
        <v/>
      </c>
      <c r="AG413" s="59" t="str">
        <f>IFERROR(Inv_SY!U415/Inv_SY!$Z415-1,"")</f>
        <v/>
      </c>
      <c r="AH413" s="59" t="str">
        <f>IFERROR(Inv_SY!V415/Inv_SY!$Y415-1,"")</f>
        <v/>
      </c>
      <c r="AI413" s="59" t="str">
        <f>IFERROR(Inv_SY!W415/Inv_SY!$Y415-1,"")</f>
        <v/>
      </c>
      <c r="AJ413" s="59" t="str">
        <f>IFERROR(Inv_SY!X415/Inv_SY!$Y415-1,"")</f>
        <v/>
      </c>
      <c r="AK413" s="59" t="str">
        <f>IFERROR(Inv_SY!V415/Inv_SY!$Z415-1,"")</f>
        <v/>
      </c>
      <c r="AL413" s="59" t="str">
        <f>IFERROR(Inv_SY!W415/Inv_SY!$Z415-1,"")</f>
        <v/>
      </c>
      <c r="AM413" s="59" t="str">
        <f>IFERROR(Inv_SY!X415/Inv_SY!$Z415-1,"")</f>
        <v/>
      </c>
    </row>
    <row r="414" spans="1:39" x14ac:dyDescent="0.3">
      <c r="A414" s="55">
        <f>YEAR(Table5[[#This Row],[Date]])+IF(MONTH(Table5[[#This Row],[Date]])&gt;=4,1,0)</f>
        <v>2027</v>
      </c>
      <c r="B414" s="55">
        <v>374</v>
      </c>
      <c r="C414" s="124">
        <f>YEAR(Table5[[#This Row],[Date]])</f>
        <v>2026</v>
      </c>
      <c r="D414" s="55" t="s">
        <v>329</v>
      </c>
      <c r="E414" s="55" t="s">
        <v>329</v>
      </c>
      <c r="F414" s="126" t="str">
        <f>TEXT(Table5[[#This Row],[Date]],"mmm-yy")</f>
        <v>May-26</v>
      </c>
      <c r="G414" s="124">
        <f t="shared" si="15"/>
        <v>31</v>
      </c>
      <c r="H414" s="125">
        <f t="shared" si="16"/>
        <v>46157</v>
      </c>
      <c r="I414" s="55">
        <v>8.02</v>
      </c>
      <c r="J414" s="59" t="str">
        <f>IFERROR(Inv_SY!J416/Inv_SY!$Y416-1,"")</f>
        <v/>
      </c>
      <c r="K414" s="59" t="str">
        <f>IFERROR(Inv_SY!K416/Inv_SY!$Y416-1,"")</f>
        <v/>
      </c>
      <c r="L414" s="59" t="str">
        <f>IFERROR(Inv_SY!L416/Inv_SY!$Y416-1,"")</f>
        <v/>
      </c>
      <c r="M414" s="59" t="str">
        <f>IFERROR(Inv_SY!M416/Inv_SY!$Y416-1,"")</f>
        <v/>
      </c>
      <c r="N414" s="59" t="str">
        <f>IFERROR(Inv_SY!N416/Inv_SY!$Y416-1,"")</f>
        <v/>
      </c>
      <c r="O414" s="59" t="str">
        <f>IFERROR(Inv_SY!O416/Inv_SY!$Y416-1,"")</f>
        <v/>
      </c>
      <c r="P414" s="59" t="str">
        <f>IFERROR(Inv_SY!P416/Inv_SY!$Y416-1,"")</f>
        <v/>
      </c>
      <c r="Q414" s="59" t="str">
        <f>IFERROR(Inv_SY!Q416/Inv_SY!$Y416-1,"")</f>
        <v/>
      </c>
      <c r="R414" s="59" t="str">
        <f>IFERROR(Inv_SY!R416/Inv_SY!$Y416-1,"")</f>
        <v/>
      </c>
      <c r="S414" s="59" t="str">
        <f>IFERROR(Inv_SY!S416/Inv_SY!$Y416-1,"")</f>
        <v/>
      </c>
      <c r="T414" s="59" t="str">
        <f>IFERROR(Inv_SY!T416/Inv_SY!$Y416-1,"")</f>
        <v/>
      </c>
      <c r="U414" s="59" t="str">
        <f>IFERROR(Inv_SY!U416/Inv_SY!$Y416-1,"")</f>
        <v/>
      </c>
      <c r="V414" s="59" t="str">
        <f>IFERROR(Inv_SY!J416/Inv_SY!$Z416-1,"")</f>
        <v/>
      </c>
      <c r="W414" s="59" t="str">
        <f>IFERROR(Inv_SY!K416/Inv_SY!$Z416-1,"")</f>
        <v/>
      </c>
      <c r="X414" s="59" t="str">
        <f>IFERROR(Inv_SY!L416/Inv_SY!$Z416-1,"")</f>
        <v/>
      </c>
      <c r="Y414" s="59" t="str">
        <f>IFERROR(Inv_SY!M416/Inv_SY!$Z416-1,"")</f>
        <v/>
      </c>
      <c r="Z414" s="59" t="str">
        <f>IFERROR(Inv_SY!N416/Inv_SY!$Z416-1,"")</f>
        <v/>
      </c>
      <c r="AA414" s="59" t="str">
        <f>IFERROR(Inv_SY!O416/Inv_SY!$Z416-1,"")</f>
        <v/>
      </c>
      <c r="AB414" s="59" t="str">
        <f>IFERROR(Inv_SY!P416/Inv_SY!$Z416-1,"")</f>
        <v/>
      </c>
      <c r="AC414" s="59" t="str">
        <f>IFERROR(Inv_SY!Q416/Inv_SY!$Z416-1,"")</f>
        <v/>
      </c>
      <c r="AD414" s="59" t="str">
        <f>IFERROR(Inv_SY!R416/Inv_SY!$Z416-1,"")</f>
        <v/>
      </c>
      <c r="AE414" s="59" t="str">
        <f>IFERROR(Inv_SY!S416/Inv_SY!$Z416-1,"")</f>
        <v/>
      </c>
      <c r="AF414" s="59" t="str">
        <f>IFERROR(Inv_SY!T416/Inv_SY!$Z416-1,"")</f>
        <v/>
      </c>
      <c r="AG414" s="59" t="str">
        <f>IFERROR(Inv_SY!U416/Inv_SY!$Z416-1,"")</f>
        <v/>
      </c>
      <c r="AH414" s="59" t="str">
        <f>IFERROR(Inv_SY!V416/Inv_SY!$Y416-1,"")</f>
        <v/>
      </c>
      <c r="AI414" s="59" t="str">
        <f>IFERROR(Inv_SY!W416/Inv_SY!$Y416-1,"")</f>
        <v/>
      </c>
      <c r="AJ414" s="59" t="str">
        <f>IFERROR(Inv_SY!X416/Inv_SY!$Y416-1,"")</f>
        <v/>
      </c>
      <c r="AK414" s="59" t="str">
        <f>IFERROR(Inv_SY!V416/Inv_SY!$Z416-1,"")</f>
        <v/>
      </c>
      <c r="AL414" s="59" t="str">
        <f>IFERROR(Inv_SY!W416/Inv_SY!$Z416-1,"")</f>
        <v/>
      </c>
      <c r="AM414" s="59" t="str">
        <f>IFERROR(Inv_SY!X416/Inv_SY!$Z416-1,"")</f>
        <v/>
      </c>
    </row>
    <row r="415" spans="1:39" x14ac:dyDescent="0.3">
      <c r="A415" s="55">
        <f>YEAR(Table5[[#This Row],[Date]])+IF(MONTH(Table5[[#This Row],[Date]])&gt;=4,1,0)</f>
        <v>2027</v>
      </c>
      <c r="B415" s="55">
        <v>375</v>
      </c>
      <c r="C415" s="124">
        <f>YEAR(Table5[[#This Row],[Date]])</f>
        <v>2026</v>
      </c>
      <c r="D415" s="55" t="s">
        <v>329</v>
      </c>
      <c r="E415" s="55" t="s">
        <v>329</v>
      </c>
      <c r="F415" s="126" t="str">
        <f>TEXT(Table5[[#This Row],[Date]],"mmm-yy")</f>
        <v>May-26</v>
      </c>
      <c r="G415" s="124">
        <f t="shared" si="15"/>
        <v>31</v>
      </c>
      <c r="H415" s="125">
        <f t="shared" si="16"/>
        <v>46158</v>
      </c>
      <c r="I415" s="55">
        <v>8.02</v>
      </c>
      <c r="J415" s="59" t="str">
        <f>IFERROR(Inv_SY!J417/Inv_SY!$Y417-1,"")</f>
        <v/>
      </c>
      <c r="K415" s="59" t="str">
        <f>IFERROR(Inv_SY!K417/Inv_SY!$Y417-1,"")</f>
        <v/>
      </c>
      <c r="L415" s="59" t="str">
        <f>IFERROR(Inv_SY!L417/Inv_SY!$Y417-1,"")</f>
        <v/>
      </c>
      <c r="M415" s="59" t="str">
        <f>IFERROR(Inv_SY!M417/Inv_SY!$Y417-1,"")</f>
        <v/>
      </c>
      <c r="N415" s="59" t="str">
        <f>IFERROR(Inv_SY!N417/Inv_SY!$Y417-1,"")</f>
        <v/>
      </c>
      <c r="O415" s="59" t="str">
        <f>IFERROR(Inv_SY!O417/Inv_SY!$Y417-1,"")</f>
        <v/>
      </c>
      <c r="P415" s="59" t="str">
        <f>IFERROR(Inv_SY!P417/Inv_SY!$Y417-1,"")</f>
        <v/>
      </c>
      <c r="Q415" s="59" t="str">
        <f>IFERROR(Inv_SY!Q417/Inv_SY!$Y417-1,"")</f>
        <v/>
      </c>
      <c r="R415" s="59" t="str">
        <f>IFERROR(Inv_SY!R417/Inv_SY!$Y417-1,"")</f>
        <v/>
      </c>
      <c r="S415" s="59" t="str">
        <f>IFERROR(Inv_SY!S417/Inv_SY!$Y417-1,"")</f>
        <v/>
      </c>
      <c r="T415" s="59" t="str">
        <f>IFERROR(Inv_SY!T417/Inv_SY!$Y417-1,"")</f>
        <v/>
      </c>
      <c r="U415" s="59" t="str">
        <f>IFERROR(Inv_SY!U417/Inv_SY!$Y417-1,"")</f>
        <v/>
      </c>
      <c r="V415" s="59" t="str">
        <f>IFERROR(Inv_SY!J417/Inv_SY!$Z417-1,"")</f>
        <v/>
      </c>
      <c r="W415" s="59" t="str">
        <f>IFERROR(Inv_SY!K417/Inv_SY!$Z417-1,"")</f>
        <v/>
      </c>
      <c r="X415" s="59" t="str">
        <f>IFERROR(Inv_SY!L417/Inv_SY!$Z417-1,"")</f>
        <v/>
      </c>
      <c r="Y415" s="59" t="str">
        <f>IFERROR(Inv_SY!M417/Inv_SY!$Z417-1,"")</f>
        <v/>
      </c>
      <c r="Z415" s="59" t="str">
        <f>IFERROR(Inv_SY!N417/Inv_SY!$Z417-1,"")</f>
        <v/>
      </c>
      <c r="AA415" s="59" t="str">
        <f>IFERROR(Inv_SY!O417/Inv_SY!$Z417-1,"")</f>
        <v/>
      </c>
      <c r="AB415" s="59" t="str">
        <f>IFERROR(Inv_SY!P417/Inv_SY!$Z417-1,"")</f>
        <v/>
      </c>
      <c r="AC415" s="59" t="str">
        <f>IFERROR(Inv_SY!Q417/Inv_SY!$Z417-1,"")</f>
        <v/>
      </c>
      <c r="AD415" s="59" t="str">
        <f>IFERROR(Inv_SY!R417/Inv_SY!$Z417-1,"")</f>
        <v/>
      </c>
      <c r="AE415" s="59" t="str">
        <f>IFERROR(Inv_SY!S417/Inv_SY!$Z417-1,"")</f>
        <v/>
      </c>
      <c r="AF415" s="59" t="str">
        <f>IFERROR(Inv_SY!T417/Inv_SY!$Z417-1,"")</f>
        <v/>
      </c>
      <c r="AG415" s="59" t="str">
        <f>IFERROR(Inv_SY!U417/Inv_SY!$Z417-1,"")</f>
        <v/>
      </c>
      <c r="AH415" s="59" t="str">
        <f>IFERROR(Inv_SY!V417/Inv_SY!$Y417-1,"")</f>
        <v/>
      </c>
      <c r="AI415" s="59" t="str">
        <f>IFERROR(Inv_SY!W417/Inv_SY!$Y417-1,"")</f>
        <v/>
      </c>
      <c r="AJ415" s="59" t="str">
        <f>IFERROR(Inv_SY!X417/Inv_SY!$Y417-1,"")</f>
        <v/>
      </c>
      <c r="AK415" s="59" t="str">
        <f>IFERROR(Inv_SY!V417/Inv_SY!$Z417-1,"")</f>
        <v/>
      </c>
      <c r="AL415" s="59" t="str">
        <f>IFERROR(Inv_SY!W417/Inv_SY!$Z417-1,"")</f>
        <v/>
      </c>
      <c r="AM415" s="59" t="str">
        <f>IFERROR(Inv_SY!X417/Inv_SY!$Z417-1,"")</f>
        <v/>
      </c>
    </row>
    <row r="416" spans="1:39" x14ac:dyDescent="0.3">
      <c r="A416" s="55">
        <f>YEAR(Table5[[#This Row],[Date]])+IF(MONTH(Table5[[#This Row],[Date]])&gt;=4,1,0)</f>
        <v>2027</v>
      </c>
      <c r="B416" s="55">
        <v>376</v>
      </c>
      <c r="C416" s="124">
        <f>YEAR(Table5[[#This Row],[Date]])</f>
        <v>2026</v>
      </c>
      <c r="D416" s="55" t="s">
        <v>329</v>
      </c>
      <c r="E416" s="55" t="s">
        <v>329</v>
      </c>
      <c r="F416" s="126" t="str">
        <f>TEXT(Table5[[#This Row],[Date]],"mmm-yy")</f>
        <v>May-26</v>
      </c>
      <c r="G416" s="124">
        <f t="shared" si="15"/>
        <v>31</v>
      </c>
      <c r="H416" s="125">
        <f t="shared" si="16"/>
        <v>46159</v>
      </c>
      <c r="I416" s="55">
        <v>8.02</v>
      </c>
      <c r="J416" s="59" t="str">
        <f>IFERROR(Inv_SY!J418/Inv_SY!$Y418-1,"")</f>
        <v/>
      </c>
      <c r="K416" s="59" t="str">
        <f>IFERROR(Inv_SY!K418/Inv_SY!$Y418-1,"")</f>
        <v/>
      </c>
      <c r="L416" s="59" t="str">
        <f>IFERROR(Inv_SY!L418/Inv_SY!$Y418-1,"")</f>
        <v/>
      </c>
      <c r="M416" s="59" t="str">
        <f>IFERROR(Inv_SY!M418/Inv_SY!$Y418-1,"")</f>
        <v/>
      </c>
      <c r="N416" s="59" t="str">
        <f>IFERROR(Inv_SY!N418/Inv_SY!$Y418-1,"")</f>
        <v/>
      </c>
      <c r="O416" s="59" t="str">
        <f>IFERROR(Inv_SY!O418/Inv_SY!$Y418-1,"")</f>
        <v/>
      </c>
      <c r="P416" s="59" t="str">
        <f>IFERROR(Inv_SY!P418/Inv_SY!$Y418-1,"")</f>
        <v/>
      </c>
      <c r="Q416" s="59" t="str">
        <f>IFERROR(Inv_SY!Q418/Inv_SY!$Y418-1,"")</f>
        <v/>
      </c>
      <c r="R416" s="59" t="str">
        <f>IFERROR(Inv_SY!R418/Inv_SY!$Y418-1,"")</f>
        <v/>
      </c>
      <c r="S416" s="59" t="str">
        <f>IFERROR(Inv_SY!S418/Inv_SY!$Y418-1,"")</f>
        <v/>
      </c>
      <c r="T416" s="59" t="str">
        <f>IFERROR(Inv_SY!T418/Inv_SY!$Y418-1,"")</f>
        <v/>
      </c>
      <c r="U416" s="59" t="str">
        <f>IFERROR(Inv_SY!U418/Inv_SY!$Y418-1,"")</f>
        <v/>
      </c>
      <c r="V416" s="59" t="str">
        <f>IFERROR(Inv_SY!J418/Inv_SY!$Z418-1,"")</f>
        <v/>
      </c>
      <c r="W416" s="59" t="str">
        <f>IFERROR(Inv_SY!K418/Inv_SY!$Z418-1,"")</f>
        <v/>
      </c>
      <c r="X416" s="59" t="str">
        <f>IFERROR(Inv_SY!L418/Inv_SY!$Z418-1,"")</f>
        <v/>
      </c>
      <c r="Y416" s="59" t="str">
        <f>IFERROR(Inv_SY!M418/Inv_SY!$Z418-1,"")</f>
        <v/>
      </c>
      <c r="Z416" s="59" t="str">
        <f>IFERROR(Inv_SY!N418/Inv_SY!$Z418-1,"")</f>
        <v/>
      </c>
      <c r="AA416" s="59" t="str">
        <f>IFERROR(Inv_SY!O418/Inv_SY!$Z418-1,"")</f>
        <v/>
      </c>
      <c r="AB416" s="59" t="str">
        <f>IFERROR(Inv_SY!P418/Inv_SY!$Z418-1,"")</f>
        <v/>
      </c>
      <c r="AC416" s="59" t="str">
        <f>IFERROR(Inv_SY!Q418/Inv_SY!$Z418-1,"")</f>
        <v/>
      </c>
      <c r="AD416" s="59" t="str">
        <f>IFERROR(Inv_SY!R418/Inv_SY!$Z418-1,"")</f>
        <v/>
      </c>
      <c r="AE416" s="59" t="str">
        <f>IFERROR(Inv_SY!S418/Inv_SY!$Z418-1,"")</f>
        <v/>
      </c>
      <c r="AF416" s="59" t="str">
        <f>IFERROR(Inv_SY!T418/Inv_SY!$Z418-1,"")</f>
        <v/>
      </c>
      <c r="AG416" s="59" t="str">
        <f>IFERROR(Inv_SY!U418/Inv_SY!$Z418-1,"")</f>
        <v/>
      </c>
      <c r="AH416" s="59" t="str">
        <f>IFERROR(Inv_SY!V418/Inv_SY!$Y418-1,"")</f>
        <v/>
      </c>
      <c r="AI416" s="59" t="str">
        <f>IFERROR(Inv_SY!W418/Inv_SY!$Y418-1,"")</f>
        <v/>
      </c>
      <c r="AJ416" s="59" t="str">
        <f>IFERROR(Inv_SY!X418/Inv_SY!$Y418-1,"")</f>
        <v/>
      </c>
      <c r="AK416" s="59" t="str">
        <f>IFERROR(Inv_SY!V418/Inv_SY!$Z418-1,"")</f>
        <v/>
      </c>
      <c r="AL416" s="59" t="str">
        <f>IFERROR(Inv_SY!W418/Inv_SY!$Z418-1,"")</f>
        <v/>
      </c>
      <c r="AM416" s="59" t="str">
        <f>IFERROR(Inv_SY!X418/Inv_SY!$Z418-1,"")</f>
        <v/>
      </c>
    </row>
    <row r="417" spans="1:39" x14ac:dyDescent="0.3">
      <c r="A417" s="55">
        <f>YEAR(Table5[[#This Row],[Date]])+IF(MONTH(Table5[[#This Row],[Date]])&gt;=4,1,0)</f>
        <v>2027</v>
      </c>
      <c r="B417" s="55">
        <v>377</v>
      </c>
      <c r="C417" s="124">
        <f>YEAR(Table5[[#This Row],[Date]])</f>
        <v>2026</v>
      </c>
      <c r="D417" s="55" t="s">
        <v>329</v>
      </c>
      <c r="E417" s="55" t="s">
        <v>329</v>
      </c>
      <c r="F417" s="126" t="str">
        <f>TEXT(Table5[[#This Row],[Date]],"mmm-yy")</f>
        <v>May-26</v>
      </c>
      <c r="G417" s="124">
        <f t="shared" si="15"/>
        <v>31</v>
      </c>
      <c r="H417" s="125">
        <f t="shared" si="16"/>
        <v>46160</v>
      </c>
      <c r="I417" s="55">
        <v>8.02</v>
      </c>
      <c r="J417" s="59" t="str">
        <f>IFERROR(Inv_SY!J419/Inv_SY!$Y419-1,"")</f>
        <v/>
      </c>
      <c r="K417" s="59" t="str">
        <f>IFERROR(Inv_SY!K419/Inv_SY!$Y419-1,"")</f>
        <v/>
      </c>
      <c r="L417" s="59" t="str">
        <f>IFERROR(Inv_SY!L419/Inv_SY!$Y419-1,"")</f>
        <v/>
      </c>
      <c r="M417" s="59" t="str">
        <f>IFERROR(Inv_SY!M419/Inv_SY!$Y419-1,"")</f>
        <v/>
      </c>
      <c r="N417" s="59" t="str">
        <f>IFERROR(Inv_SY!N419/Inv_SY!$Y419-1,"")</f>
        <v/>
      </c>
      <c r="O417" s="59" t="str">
        <f>IFERROR(Inv_SY!O419/Inv_SY!$Y419-1,"")</f>
        <v/>
      </c>
      <c r="P417" s="59" t="str">
        <f>IFERROR(Inv_SY!P419/Inv_SY!$Y419-1,"")</f>
        <v/>
      </c>
      <c r="Q417" s="59" t="str">
        <f>IFERROR(Inv_SY!Q419/Inv_SY!$Y419-1,"")</f>
        <v/>
      </c>
      <c r="R417" s="59" t="str">
        <f>IFERROR(Inv_SY!R419/Inv_SY!$Y419-1,"")</f>
        <v/>
      </c>
      <c r="S417" s="59" t="str">
        <f>IFERROR(Inv_SY!S419/Inv_SY!$Y419-1,"")</f>
        <v/>
      </c>
      <c r="T417" s="59" t="str">
        <f>IFERROR(Inv_SY!T419/Inv_SY!$Y419-1,"")</f>
        <v/>
      </c>
      <c r="U417" s="59" t="str">
        <f>IFERROR(Inv_SY!U419/Inv_SY!$Y419-1,"")</f>
        <v/>
      </c>
      <c r="V417" s="59" t="str">
        <f>IFERROR(Inv_SY!J419/Inv_SY!$Z419-1,"")</f>
        <v/>
      </c>
      <c r="W417" s="59" t="str">
        <f>IFERROR(Inv_SY!K419/Inv_SY!$Z419-1,"")</f>
        <v/>
      </c>
      <c r="X417" s="59" t="str">
        <f>IFERROR(Inv_SY!L419/Inv_SY!$Z419-1,"")</f>
        <v/>
      </c>
      <c r="Y417" s="59" t="str">
        <f>IFERROR(Inv_SY!M419/Inv_SY!$Z419-1,"")</f>
        <v/>
      </c>
      <c r="Z417" s="59" t="str">
        <f>IFERROR(Inv_SY!N419/Inv_SY!$Z419-1,"")</f>
        <v/>
      </c>
      <c r="AA417" s="59" t="str">
        <f>IFERROR(Inv_SY!O419/Inv_SY!$Z419-1,"")</f>
        <v/>
      </c>
      <c r="AB417" s="59" t="str">
        <f>IFERROR(Inv_SY!P419/Inv_SY!$Z419-1,"")</f>
        <v/>
      </c>
      <c r="AC417" s="59" t="str">
        <f>IFERROR(Inv_SY!Q419/Inv_SY!$Z419-1,"")</f>
        <v/>
      </c>
      <c r="AD417" s="59" t="str">
        <f>IFERROR(Inv_SY!R419/Inv_SY!$Z419-1,"")</f>
        <v/>
      </c>
      <c r="AE417" s="59" t="str">
        <f>IFERROR(Inv_SY!S419/Inv_SY!$Z419-1,"")</f>
        <v/>
      </c>
      <c r="AF417" s="59" t="str">
        <f>IFERROR(Inv_SY!T419/Inv_SY!$Z419-1,"")</f>
        <v/>
      </c>
      <c r="AG417" s="59" t="str">
        <f>IFERROR(Inv_SY!U419/Inv_SY!$Z419-1,"")</f>
        <v/>
      </c>
      <c r="AH417" s="59" t="str">
        <f>IFERROR(Inv_SY!V419/Inv_SY!$Y419-1,"")</f>
        <v/>
      </c>
      <c r="AI417" s="59" t="str">
        <f>IFERROR(Inv_SY!W419/Inv_SY!$Y419-1,"")</f>
        <v/>
      </c>
      <c r="AJ417" s="59" t="str">
        <f>IFERROR(Inv_SY!X419/Inv_SY!$Y419-1,"")</f>
        <v/>
      </c>
      <c r="AK417" s="59" t="str">
        <f>IFERROR(Inv_SY!V419/Inv_SY!$Z419-1,"")</f>
        <v/>
      </c>
      <c r="AL417" s="59" t="str">
        <f>IFERROR(Inv_SY!W419/Inv_SY!$Z419-1,"")</f>
        <v/>
      </c>
      <c r="AM417" s="59" t="str">
        <f>IFERROR(Inv_SY!X419/Inv_SY!$Z419-1,"")</f>
        <v/>
      </c>
    </row>
    <row r="418" spans="1:39" x14ac:dyDescent="0.3">
      <c r="A418" s="55">
        <f>YEAR(Table5[[#This Row],[Date]])+IF(MONTH(Table5[[#This Row],[Date]])&gt;=4,1,0)</f>
        <v>2027</v>
      </c>
      <c r="B418" s="55">
        <v>378</v>
      </c>
      <c r="C418" s="124">
        <f>YEAR(Table5[[#This Row],[Date]])</f>
        <v>2026</v>
      </c>
      <c r="D418" s="55" t="s">
        <v>329</v>
      </c>
      <c r="E418" s="55" t="s">
        <v>329</v>
      </c>
      <c r="F418" s="126" t="str">
        <f>TEXT(Table5[[#This Row],[Date]],"mmm-yy")</f>
        <v>May-26</v>
      </c>
      <c r="G418" s="124">
        <f t="shared" si="15"/>
        <v>31</v>
      </c>
      <c r="H418" s="125">
        <f t="shared" si="16"/>
        <v>46161</v>
      </c>
      <c r="I418" s="55">
        <v>8.02</v>
      </c>
      <c r="J418" s="59" t="str">
        <f>IFERROR(Inv_SY!J420/Inv_SY!$Y420-1,"")</f>
        <v/>
      </c>
      <c r="K418" s="59" t="str">
        <f>IFERROR(Inv_SY!K420/Inv_SY!$Y420-1,"")</f>
        <v/>
      </c>
      <c r="L418" s="59" t="str">
        <f>IFERROR(Inv_SY!L420/Inv_SY!$Y420-1,"")</f>
        <v/>
      </c>
      <c r="M418" s="59" t="str">
        <f>IFERROR(Inv_SY!M420/Inv_SY!$Y420-1,"")</f>
        <v/>
      </c>
      <c r="N418" s="59" t="str">
        <f>IFERROR(Inv_SY!N420/Inv_SY!$Y420-1,"")</f>
        <v/>
      </c>
      <c r="O418" s="59" t="str">
        <f>IFERROR(Inv_SY!O420/Inv_SY!$Y420-1,"")</f>
        <v/>
      </c>
      <c r="P418" s="59" t="str">
        <f>IFERROR(Inv_SY!P420/Inv_SY!$Y420-1,"")</f>
        <v/>
      </c>
      <c r="Q418" s="59" t="str">
        <f>IFERROR(Inv_SY!Q420/Inv_SY!$Y420-1,"")</f>
        <v/>
      </c>
      <c r="R418" s="59" t="str">
        <f>IFERROR(Inv_SY!R420/Inv_SY!$Y420-1,"")</f>
        <v/>
      </c>
      <c r="S418" s="59" t="str">
        <f>IFERROR(Inv_SY!S420/Inv_SY!$Y420-1,"")</f>
        <v/>
      </c>
      <c r="T418" s="59" t="str">
        <f>IFERROR(Inv_SY!T420/Inv_SY!$Y420-1,"")</f>
        <v/>
      </c>
      <c r="U418" s="59" t="str">
        <f>IFERROR(Inv_SY!U420/Inv_SY!$Y420-1,"")</f>
        <v/>
      </c>
      <c r="V418" s="59" t="str">
        <f>IFERROR(Inv_SY!J420/Inv_SY!$Z420-1,"")</f>
        <v/>
      </c>
      <c r="W418" s="59" t="str">
        <f>IFERROR(Inv_SY!K420/Inv_SY!$Z420-1,"")</f>
        <v/>
      </c>
      <c r="X418" s="59" t="str">
        <f>IFERROR(Inv_SY!L420/Inv_SY!$Z420-1,"")</f>
        <v/>
      </c>
      <c r="Y418" s="59" t="str">
        <f>IFERROR(Inv_SY!M420/Inv_SY!$Z420-1,"")</f>
        <v/>
      </c>
      <c r="Z418" s="59" t="str">
        <f>IFERROR(Inv_SY!N420/Inv_SY!$Z420-1,"")</f>
        <v/>
      </c>
      <c r="AA418" s="59" t="str">
        <f>IFERROR(Inv_SY!O420/Inv_SY!$Z420-1,"")</f>
        <v/>
      </c>
      <c r="AB418" s="59" t="str">
        <f>IFERROR(Inv_SY!P420/Inv_SY!$Z420-1,"")</f>
        <v/>
      </c>
      <c r="AC418" s="59" t="str">
        <f>IFERROR(Inv_SY!Q420/Inv_SY!$Z420-1,"")</f>
        <v/>
      </c>
      <c r="AD418" s="59" t="str">
        <f>IFERROR(Inv_SY!R420/Inv_SY!$Z420-1,"")</f>
        <v/>
      </c>
      <c r="AE418" s="59" t="str">
        <f>IFERROR(Inv_SY!S420/Inv_SY!$Z420-1,"")</f>
        <v/>
      </c>
      <c r="AF418" s="59" t="str">
        <f>IFERROR(Inv_SY!T420/Inv_SY!$Z420-1,"")</f>
        <v/>
      </c>
      <c r="AG418" s="59" t="str">
        <f>IFERROR(Inv_SY!U420/Inv_SY!$Z420-1,"")</f>
        <v/>
      </c>
      <c r="AH418" s="59" t="str">
        <f>IFERROR(Inv_SY!V420/Inv_SY!$Y420-1,"")</f>
        <v/>
      </c>
      <c r="AI418" s="59" t="str">
        <f>IFERROR(Inv_SY!W420/Inv_SY!$Y420-1,"")</f>
        <v/>
      </c>
      <c r="AJ418" s="59" t="str">
        <f>IFERROR(Inv_SY!X420/Inv_SY!$Y420-1,"")</f>
        <v/>
      </c>
      <c r="AK418" s="59" t="str">
        <f>IFERROR(Inv_SY!V420/Inv_SY!$Z420-1,"")</f>
        <v/>
      </c>
      <c r="AL418" s="59" t="str">
        <f>IFERROR(Inv_SY!W420/Inv_SY!$Z420-1,"")</f>
        <v/>
      </c>
      <c r="AM418" s="59" t="str">
        <f>IFERROR(Inv_SY!X420/Inv_SY!$Z420-1,"")</f>
        <v/>
      </c>
    </row>
    <row r="419" spans="1:39" x14ac:dyDescent="0.3">
      <c r="A419" s="55">
        <f>YEAR(Table5[[#This Row],[Date]])+IF(MONTH(Table5[[#This Row],[Date]])&gt;=4,1,0)</f>
        <v>2027</v>
      </c>
      <c r="B419" s="55">
        <v>379</v>
      </c>
      <c r="C419" s="124">
        <f>YEAR(Table5[[#This Row],[Date]])</f>
        <v>2026</v>
      </c>
      <c r="D419" s="55" t="s">
        <v>329</v>
      </c>
      <c r="E419" s="55" t="s">
        <v>329</v>
      </c>
      <c r="F419" s="126" t="str">
        <f>TEXT(Table5[[#This Row],[Date]],"mmm-yy")</f>
        <v>May-26</v>
      </c>
      <c r="G419" s="124">
        <f t="shared" si="15"/>
        <v>31</v>
      </c>
      <c r="H419" s="125">
        <f t="shared" si="16"/>
        <v>46162</v>
      </c>
      <c r="I419" s="55">
        <v>8.02</v>
      </c>
      <c r="J419" s="59" t="str">
        <f>IFERROR(Inv_SY!J421/Inv_SY!$Y421-1,"")</f>
        <v/>
      </c>
      <c r="K419" s="59" t="str">
        <f>IFERROR(Inv_SY!K421/Inv_SY!$Y421-1,"")</f>
        <v/>
      </c>
      <c r="L419" s="59" t="str">
        <f>IFERROR(Inv_SY!L421/Inv_SY!$Y421-1,"")</f>
        <v/>
      </c>
      <c r="M419" s="59" t="str">
        <f>IFERROR(Inv_SY!M421/Inv_SY!$Y421-1,"")</f>
        <v/>
      </c>
      <c r="N419" s="59" t="str">
        <f>IFERROR(Inv_SY!N421/Inv_SY!$Y421-1,"")</f>
        <v/>
      </c>
      <c r="O419" s="59" t="str">
        <f>IFERROR(Inv_SY!O421/Inv_SY!$Y421-1,"")</f>
        <v/>
      </c>
      <c r="P419" s="59" t="str">
        <f>IFERROR(Inv_SY!P421/Inv_SY!$Y421-1,"")</f>
        <v/>
      </c>
      <c r="Q419" s="59" t="str">
        <f>IFERROR(Inv_SY!Q421/Inv_SY!$Y421-1,"")</f>
        <v/>
      </c>
      <c r="R419" s="59" t="str">
        <f>IFERROR(Inv_SY!R421/Inv_SY!$Y421-1,"")</f>
        <v/>
      </c>
      <c r="S419" s="59" t="str">
        <f>IFERROR(Inv_SY!S421/Inv_SY!$Y421-1,"")</f>
        <v/>
      </c>
      <c r="T419" s="59" t="str">
        <f>IFERROR(Inv_SY!T421/Inv_SY!$Y421-1,"")</f>
        <v/>
      </c>
      <c r="U419" s="59" t="str">
        <f>IFERROR(Inv_SY!U421/Inv_SY!$Y421-1,"")</f>
        <v/>
      </c>
      <c r="V419" s="59" t="str">
        <f>IFERROR(Inv_SY!J421/Inv_SY!$Z421-1,"")</f>
        <v/>
      </c>
      <c r="W419" s="59" t="str">
        <f>IFERROR(Inv_SY!K421/Inv_SY!$Z421-1,"")</f>
        <v/>
      </c>
      <c r="X419" s="59" t="str">
        <f>IFERROR(Inv_SY!L421/Inv_SY!$Z421-1,"")</f>
        <v/>
      </c>
      <c r="Y419" s="59" t="str">
        <f>IFERROR(Inv_SY!M421/Inv_SY!$Z421-1,"")</f>
        <v/>
      </c>
      <c r="Z419" s="59" t="str">
        <f>IFERROR(Inv_SY!N421/Inv_SY!$Z421-1,"")</f>
        <v/>
      </c>
      <c r="AA419" s="59" t="str">
        <f>IFERROR(Inv_SY!O421/Inv_SY!$Z421-1,"")</f>
        <v/>
      </c>
      <c r="AB419" s="59" t="str">
        <f>IFERROR(Inv_SY!P421/Inv_SY!$Z421-1,"")</f>
        <v/>
      </c>
      <c r="AC419" s="59" t="str">
        <f>IFERROR(Inv_SY!Q421/Inv_SY!$Z421-1,"")</f>
        <v/>
      </c>
      <c r="AD419" s="59" t="str">
        <f>IFERROR(Inv_SY!R421/Inv_SY!$Z421-1,"")</f>
        <v/>
      </c>
      <c r="AE419" s="59" t="str">
        <f>IFERROR(Inv_SY!S421/Inv_SY!$Z421-1,"")</f>
        <v/>
      </c>
      <c r="AF419" s="59" t="str">
        <f>IFERROR(Inv_SY!T421/Inv_SY!$Z421-1,"")</f>
        <v/>
      </c>
      <c r="AG419" s="59" t="str">
        <f>IFERROR(Inv_SY!U421/Inv_SY!$Z421-1,"")</f>
        <v/>
      </c>
      <c r="AH419" s="59" t="str">
        <f>IFERROR(Inv_SY!V421/Inv_SY!$Y421-1,"")</f>
        <v/>
      </c>
      <c r="AI419" s="59" t="str">
        <f>IFERROR(Inv_SY!W421/Inv_SY!$Y421-1,"")</f>
        <v/>
      </c>
      <c r="AJ419" s="59" t="str">
        <f>IFERROR(Inv_SY!X421/Inv_SY!$Y421-1,"")</f>
        <v/>
      </c>
      <c r="AK419" s="59" t="str">
        <f>IFERROR(Inv_SY!V421/Inv_SY!$Z421-1,"")</f>
        <v/>
      </c>
      <c r="AL419" s="59" t="str">
        <f>IFERROR(Inv_SY!W421/Inv_SY!$Z421-1,"")</f>
        <v/>
      </c>
      <c r="AM419" s="59" t="str">
        <f>IFERROR(Inv_SY!X421/Inv_SY!$Z421-1,"")</f>
        <v/>
      </c>
    </row>
    <row r="420" spans="1:39" x14ac:dyDescent="0.3">
      <c r="A420" s="55">
        <f>YEAR(Table5[[#This Row],[Date]])+IF(MONTH(Table5[[#This Row],[Date]])&gt;=4,1,0)</f>
        <v>2027</v>
      </c>
      <c r="B420" s="55">
        <v>380</v>
      </c>
      <c r="C420" s="124">
        <f>YEAR(Table5[[#This Row],[Date]])</f>
        <v>2026</v>
      </c>
      <c r="D420" s="55" t="s">
        <v>329</v>
      </c>
      <c r="E420" s="55" t="s">
        <v>329</v>
      </c>
      <c r="F420" s="126" t="str">
        <f>TEXT(Table5[[#This Row],[Date]],"mmm-yy")</f>
        <v>May-26</v>
      </c>
      <c r="G420" s="124">
        <f t="shared" si="15"/>
        <v>31</v>
      </c>
      <c r="H420" s="125">
        <f t="shared" si="16"/>
        <v>46163</v>
      </c>
      <c r="I420" s="55">
        <v>8.02</v>
      </c>
      <c r="J420" s="59" t="str">
        <f>IFERROR(Inv_SY!J422/Inv_SY!$Y422-1,"")</f>
        <v/>
      </c>
      <c r="K420" s="59" t="str">
        <f>IFERROR(Inv_SY!K422/Inv_SY!$Y422-1,"")</f>
        <v/>
      </c>
      <c r="L420" s="59" t="str">
        <f>IFERROR(Inv_SY!L422/Inv_SY!$Y422-1,"")</f>
        <v/>
      </c>
      <c r="M420" s="59" t="str">
        <f>IFERROR(Inv_SY!M422/Inv_SY!$Y422-1,"")</f>
        <v/>
      </c>
      <c r="N420" s="59" t="str">
        <f>IFERROR(Inv_SY!N422/Inv_SY!$Y422-1,"")</f>
        <v/>
      </c>
      <c r="O420" s="59" t="str">
        <f>IFERROR(Inv_SY!O422/Inv_SY!$Y422-1,"")</f>
        <v/>
      </c>
      <c r="P420" s="59" t="str">
        <f>IFERROR(Inv_SY!P422/Inv_SY!$Y422-1,"")</f>
        <v/>
      </c>
      <c r="Q420" s="59" t="str">
        <f>IFERROR(Inv_SY!Q422/Inv_SY!$Y422-1,"")</f>
        <v/>
      </c>
      <c r="R420" s="59" t="str">
        <f>IFERROR(Inv_SY!R422/Inv_SY!$Y422-1,"")</f>
        <v/>
      </c>
      <c r="S420" s="59" t="str">
        <f>IFERROR(Inv_SY!S422/Inv_SY!$Y422-1,"")</f>
        <v/>
      </c>
      <c r="T420" s="59" t="str">
        <f>IFERROR(Inv_SY!T422/Inv_SY!$Y422-1,"")</f>
        <v/>
      </c>
      <c r="U420" s="59" t="str">
        <f>IFERROR(Inv_SY!U422/Inv_SY!$Y422-1,"")</f>
        <v/>
      </c>
      <c r="V420" s="59" t="str">
        <f>IFERROR(Inv_SY!J422/Inv_SY!$Z422-1,"")</f>
        <v/>
      </c>
      <c r="W420" s="59" t="str">
        <f>IFERROR(Inv_SY!K422/Inv_SY!$Z422-1,"")</f>
        <v/>
      </c>
      <c r="X420" s="59" t="str">
        <f>IFERROR(Inv_SY!L422/Inv_SY!$Z422-1,"")</f>
        <v/>
      </c>
      <c r="Y420" s="59" t="str">
        <f>IFERROR(Inv_SY!M422/Inv_SY!$Z422-1,"")</f>
        <v/>
      </c>
      <c r="Z420" s="59" t="str">
        <f>IFERROR(Inv_SY!N422/Inv_SY!$Z422-1,"")</f>
        <v/>
      </c>
      <c r="AA420" s="59" t="str">
        <f>IFERROR(Inv_SY!O422/Inv_SY!$Z422-1,"")</f>
        <v/>
      </c>
      <c r="AB420" s="59" t="str">
        <f>IFERROR(Inv_SY!P422/Inv_SY!$Z422-1,"")</f>
        <v/>
      </c>
      <c r="AC420" s="59" t="str">
        <f>IFERROR(Inv_SY!Q422/Inv_SY!$Z422-1,"")</f>
        <v/>
      </c>
      <c r="AD420" s="59" t="str">
        <f>IFERROR(Inv_SY!R422/Inv_SY!$Z422-1,"")</f>
        <v/>
      </c>
      <c r="AE420" s="59" t="str">
        <f>IFERROR(Inv_SY!S422/Inv_SY!$Z422-1,"")</f>
        <v/>
      </c>
      <c r="AF420" s="59" t="str">
        <f>IFERROR(Inv_SY!T422/Inv_SY!$Z422-1,"")</f>
        <v/>
      </c>
      <c r="AG420" s="59" t="str">
        <f>IFERROR(Inv_SY!U422/Inv_SY!$Z422-1,"")</f>
        <v/>
      </c>
      <c r="AH420" s="59" t="str">
        <f>IFERROR(Inv_SY!V422/Inv_SY!$Y422-1,"")</f>
        <v/>
      </c>
      <c r="AI420" s="59" t="str">
        <f>IFERROR(Inv_SY!W422/Inv_SY!$Y422-1,"")</f>
        <v/>
      </c>
      <c r="AJ420" s="59" t="str">
        <f>IFERROR(Inv_SY!X422/Inv_SY!$Y422-1,"")</f>
        <v/>
      </c>
      <c r="AK420" s="59" t="str">
        <f>IFERROR(Inv_SY!V422/Inv_SY!$Z422-1,"")</f>
        <v/>
      </c>
      <c r="AL420" s="59" t="str">
        <f>IFERROR(Inv_SY!W422/Inv_SY!$Z422-1,"")</f>
        <v/>
      </c>
      <c r="AM420" s="59" t="str">
        <f>IFERROR(Inv_SY!X422/Inv_SY!$Z422-1,"")</f>
        <v/>
      </c>
    </row>
    <row r="421" spans="1:39" x14ac:dyDescent="0.3">
      <c r="A421" s="55">
        <f>YEAR(Table5[[#This Row],[Date]])+IF(MONTH(Table5[[#This Row],[Date]])&gt;=4,1,0)</f>
        <v>2027</v>
      </c>
      <c r="B421" s="55">
        <v>381</v>
      </c>
      <c r="C421" s="124">
        <f>YEAR(Table5[[#This Row],[Date]])</f>
        <v>2026</v>
      </c>
      <c r="D421" s="55" t="s">
        <v>329</v>
      </c>
      <c r="E421" s="55" t="s">
        <v>329</v>
      </c>
      <c r="F421" s="126" t="str">
        <f>TEXT(Table5[[#This Row],[Date]],"mmm-yy")</f>
        <v>May-26</v>
      </c>
      <c r="G421" s="124">
        <f t="shared" si="15"/>
        <v>31</v>
      </c>
      <c r="H421" s="125">
        <f t="shared" si="16"/>
        <v>46164</v>
      </c>
      <c r="I421" s="55">
        <v>8.02</v>
      </c>
      <c r="J421" s="59" t="str">
        <f>IFERROR(Inv_SY!J423/Inv_SY!$Y423-1,"")</f>
        <v/>
      </c>
      <c r="K421" s="59" t="str">
        <f>IFERROR(Inv_SY!K423/Inv_SY!$Y423-1,"")</f>
        <v/>
      </c>
      <c r="L421" s="59" t="str">
        <f>IFERROR(Inv_SY!L423/Inv_SY!$Y423-1,"")</f>
        <v/>
      </c>
      <c r="M421" s="59" t="str">
        <f>IFERROR(Inv_SY!M423/Inv_SY!$Y423-1,"")</f>
        <v/>
      </c>
      <c r="N421" s="59" t="str">
        <f>IFERROR(Inv_SY!N423/Inv_SY!$Y423-1,"")</f>
        <v/>
      </c>
      <c r="O421" s="59" t="str">
        <f>IFERROR(Inv_SY!O423/Inv_SY!$Y423-1,"")</f>
        <v/>
      </c>
      <c r="P421" s="59" t="str">
        <f>IFERROR(Inv_SY!P423/Inv_SY!$Y423-1,"")</f>
        <v/>
      </c>
      <c r="Q421" s="59" t="str">
        <f>IFERROR(Inv_SY!Q423/Inv_SY!$Y423-1,"")</f>
        <v/>
      </c>
      <c r="R421" s="59" t="str">
        <f>IFERROR(Inv_SY!R423/Inv_SY!$Y423-1,"")</f>
        <v/>
      </c>
      <c r="S421" s="59" t="str">
        <f>IFERROR(Inv_SY!S423/Inv_SY!$Y423-1,"")</f>
        <v/>
      </c>
      <c r="T421" s="59" t="str">
        <f>IFERROR(Inv_SY!T423/Inv_SY!$Y423-1,"")</f>
        <v/>
      </c>
      <c r="U421" s="59" t="str">
        <f>IFERROR(Inv_SY!U423/Inv_SY!$Y423-1,"")</f>
        <v/>
      </c>
      <c r="V421" s="59" t="str">
        <f>IFERROR(Inv_SY!J423/Inv_SY!$Z423-1,"")</f>
        <v/>
      </c>
      <c r="W421" s="59" t="str">
        <f>IFERROR(Inv_SY!K423/Inv_SY!$Z423-1,"")</f>
        <v/>
      </c>
      <c r="X421" s="59" t="str">
        <f>IFERROR(Inv_SY!L423/Inv_SY!$Z423-1,"")</f>
        <v/>
      </c>
      <c r="Y421" s="59" t="str">
        <f>IFERROR(Inv_SY!M423/Inv_SY!$Z423-1,"")</f>
        <v/>
      </c>
      <c r="Z421" s="59" t="str">
        <f>IFERROR(Inv_SY!N423/Inv_SY!$Z423-1,"")</f>
        <v/>
      </c>
      <c r="AA421" s="59" t="str">
        <f>IFERROR(Inv_SY!O423/Inv_SY!$Z423-1,"")</f>
        <v/>
      </c>
      <c r="AB421" s="59" t="str">
        <f>IFERROR(Inv_SY!P423/Inv_SY!$Z423-1,"")</f>
        <v/>
      </c>
      <c r="AC421" s="59" t="str">
        <f>IFERROR(Inv_SY!Q423/Inv_SY!$Z423-1,"")</f>
        <v/>
      </c>
      <c r="AD421" s="59" t="str">
        <f>IFERROR(Inv_SY!R423/Inv_SY!$Z423-1,"")</f>
        <v/>
      </c>
      <c r="AE421" s="59" t="str">
        <f>IFERROR(Inv_SY!S423/Inv_SY!$Z423-1,"")</f>
        <v/>
      </c>
      <c r="AF421" s="59" t="str">
        <f>IFERROR(Inv_SY!T423/Inv_SY!$Z423-1,"")</f>
        <v/>
      </c>
      <c r="AG421" s="59" t="str">
        <f>IFERROR(Inv_SY!U423/Inv_SY!$Z423-1,"")</f>
        <v/>
      </c>
      <c r="AH421" s="59" t="str">
        <f>IFERROR(Inv_SY!V423/Inv_SY!$Y423-1,"")</f>
        <v/>
      </c>
      <c r="AI421" s="59" t="str">
        <f>IFERROR(Inv_SY!W423/Inv_SY!$Y423-1,"")</f>
        <v/>
      </c>
      <c r="AJ421" s="59" t="str">
        <f>IFERROR(Inv_SY!X423/Inv_SY!$Y423-1,"")</f>
        <v/>
      </c>
      <c r="AK421" s="59" t="str">
        <f>IFERROR(Inv_SY!V423/Inv_SY!$Z423-1,"")</f>
        <v/>
      </c>
      <c r="AL421" s="59" t="str">
        <f>IFERROR(Inv_SY!W423/Inv_SY!$Z423-1,"")</f>
        <v/>
      </c>
      <c r="AM421" s="59" t="str">
        <f>IFERROR(Inv_SY!X423/Inv_SY!$Z423-1,"")</f>
        <v/>
      </c>
    </row>
    <row r="422" spans="1:39" x14ac:dyDescent="0.3">
      <c r="A422" s="55">
        <f>YEAR(Table5[[#This Row],[Date]])+IF(MONTH(Table5[[#This Row],[Date]])&gt;=4,1,0)</f>
        <v>2027</v>
      </c>
      <c r="B422" s="55">
        <v>382</v>
      </c>
      <c r="C422" s="124">
        <f>YEAR(Table5[[#This Row],[Date]])</f>
        <v>2026</v>
      </c>
      <c r="D422" s="55" t="s">
        <v>329</v>
      </c>
      <c r="E422" s="55" t="s">
        <v>329</v>
      </c>
      <c r="F422" s="126" t="str">
        <f>TEXT(Table5[[#This Row],[Date]],"mmm-yy")</f>
        <v>May-26</v>
      </c>
      <c r="G422" s="124">
        <f t="shared" si="15"/>
        <v>31</v>
      </c>
      <c r="H422" s="125">
        <f t="shared" si="16"/>
        <v>46165</v>
      </c>
      <c r="I422" s="55">
        <v>8.02</v>
      </c>
      <c r="J422" s="59" t="str">
        <f>IFERROR(Inv_SY!J424/Inv_SY!$Y424-1,"")</f>
        <v/>
      </c>
      <c r="K422" s="59" t="str">
        <f>IFERROR(Inv_SY!K424/Inv_SY!$Y424-1,"")</f>
        <v/>
      </c>
      <c r="L422" s="59" t="str">
        <f>IFERROR(Inv_SY!L424/Inv_SY!$Y424-1,"")</f>
        <v/>
      </c>
      <c r="M422" s="59" t="str">
        <f>IFERROR(Inv_SY!M424/Inv_SY!$Y424-1,"")</f>
        <v/>
      </c>
      <c r="N422" s="59" t="str">
        <f>IFERROR(Inv_SY!N424/Inv_SY!$Y424-1,"")</f>
        <v/>
      </c>
      <c r="O422" s="59" t="str">
        <f>IFERROR(Inv_SY!O424/Inv_SY!$Y424-1,"")</f>
        <v/>
      </c>
      <c r="P422" s="59" t="str">
        <f>IFERROR(Inv_SY!P424/Inv_SY!$Y424-1,"")</f>
        <v/>
      </c>
      <c r="Q422" s="59" t="str">
        <f>IFERROR(Inv_SY!Q424/Inv_SY!$Y424-1,"")</f>
        <v/>
      </c>
      <c r="R422" s="59" t="str">
        <f>IFERROR(Inv_SY!R424/Inv_SY!$Y424-1,"")</f>
        <v/>
      </c>
      <c r="S422" s="59" t="str">
        <f>IFERROR(Inv_SY!S424/Inv_SY!$Y424-1,"")</f>
        <v/>
      </c>
      <c r="T422" s="59" t="str">
        <f>IFERROR(Inv_SY!T424/Inv_SY!$Y424-1,"")</f>
        <v/>
      </c>
      <c r="U422" s="59" t="str">
        <f>IFERROR(Inv_SY!U424/Inv_SY!$Y424-1,"")</f>
        <v/>
      </c>
      <c r="V422" s="59" t="str">
        <f>IFERROR(Inv_SY!J424/Inv_SY!$Z424-1,"")</f>
        <v/>
      </c>
      <c r="W422" s="59" t="str">
        <f>IFERROR(Inv_SY!K424/Inv_SY!$Z424-1,"")</f>
        <v/>
      </c>
      <c r="X422" s="59" t="str">
        <f>IFERROR(Inv_SY!L424/Inv_SY!$Z424-1,"")</f>
        <v/>
      </c>
      <c r="Y422" s="59" t="str">
        <f>IFERROR(Inv_SY!M424/Inv_SY!$Z424-1,"")</f>
        <v/>
      </c>
      <c r="Z422" s="59" t="str">
        <f>IFERROR(Inv_SY!N424/Inv_SY!$Z424-1,"")</f>
        <v/>
      </c>
      <c r="AA422" s="59" t="str">
        <f>IFERROR(Inv_SY!O424/Inv_SY!$Z424-1,"")</f>
        <v/>
      </c>
      <c r="AB422" s="59" t="str">
        <f>IFERROR(Inv_SY!P424/Inv_SY!$Z424-1,"")</f>
        <v/>
      </c>
      <c r="AC422" s="59" t="str">
        <f>IFERROR(Inv_SY!Q424/Inv_SY!$Z424-1,"")</f>
        <v/>
      </c>
      <c r="AD422" s="59" t="str">
        <f>IFERROR(Inv_SY!R424/Inv_SY!$Z424-1,"")</f>
        <v/>
      </c>
      <c r="AE422" s="59" t="str">
        <f>IFERROR(Inv_SY!S424/Inv_SY!$Z424-1,"")</f>
        <v/>
      </c>
      <c r="AF422" s="59" t="str">
        <f>IFERROR(Inv_SY!T424/Inv_SY!$Z424-1,"")</f>
        <v/>
      </c>
      <c r="AG422" s="59" t="str">
        <f>IFERROR(Inv_SY!U424/Inv_SY!$Z424-1,"")</f>
        <v/>
      </c>
      <c r="AH422" s="59" t="str">
        <f>IFERROR(Inv_SY!V424/Inv_SY!$Y424-1,"")</f>
        <v/>
      </c>
      <c r="AI422" s="59" t="str">
        <f>IFERROR(Inv_SY!W424/Inv_SY!$Y424-1,"")</f>
        <v/>
      </c>
      <c r="AJ422" s="59" t="str">
        <f>IFERROR(Inv_SY!X424/Inv_SY!$Y424-1,"")</f>
        <v/>
      </c>
      <c r="AK422" s="59" t="str">
        <f>IFERROR(Inv_SY!V424/Inv_SY!$Z424-1,"")</f>
        <v/>
      </c>
      <c r="AL422" s="59" t="str">
        <f>IFERROR(Inv_SY!W424/Inv_SY!$Z424-1,"")</f>
        <v/>
      </c>
      <c r="AM422" s="59" t="str">
        <f>IFERROR(Inv_SY!X424/Inv_SY!$Z424-1,"")</f>
        <v/>
      </c>
    </row>
    <row r="423" spans="1:39" x14ac:dyDescent="0.3">
      <c r="A423" s="55">
        <f>YEAR(Table5[[#This Row],[Date]])+IF(MONTH(Table5[[#This Row],[Date]])&gt;=4,1,0)</f>
        <v>2027</v>
      </c>
      <c r="B423" s="55">
        <v>383</v>
      </c>
      <c r="C423" s="124">
        <f>YEAR(Table5[[#This Row],[Date]])</f>
        <v>2026</v>
      </c>
      <c r="D423" s="55" t="s">
        <v>329</v>
      </c>
      <c r="E423" s="55" t="s">
        <v>329</v>
      </c>
      <c r="F423" s="126" t="str">
        <f>TEXT(Table5[[#This Row],[Date]],"mmm-yy")</f>
        <v>May-26</v>
      </c>
      <c r="G423" s="124">
        <f t="shared" si="15"/>
        <v>31</v>
      </c>
      <c r="H423" s="125">
        <f t="shared" si="16"/>
        <v>46166</v>
      </c>
      <c r="I423" s="55">
        <v>8.02</v>
      </c>
      <c r="J423" s="59" t="str">
        <f>IFERROR(Inv_SY!J425/Inv_SY!$Y425-1,"")</f>
        <v/>
      </c>
      <c r="K423" s="59" t="str">
        <f>IFERROR(Inv_SY!K425/Inv_SY!$Y425-1,"")</f>
        <v/>
      </c>
      <c r="L423" s="59" t="str">
        <f>IFERROR(Inv_SY!L425/Inv_SY!$Y425-1,"")</f>
        <v/>
      </c>
      <c r="M423" s="59" t="str">
        <f>IFERROR(Inv_SY!M425/Inv_SY!$Y425-1,"")</f>
        <v/>
      </c>
      <c r="N423" s="59" t="str">
        <f>IFERROR(Inv_SY!N425/Inv_SY!$Y425-1,"")</f>
        <v/>
      </c>
      <c r="O423" s="59" t="str">
        <f>IFERROR(Inv_SY!O425/Inv_SY!$Y425-1,"")</f>
        <v/>
      </c>
      <c r="P423" s="59" t="str">
        <f>IFERROR(Inv_SY!P425/Inv_SY!$Y425-1,"")</f>
        <v/>
      </c>
      <c r="Q423" s="59" t="str">
        <f>IFERROR(Inv_SY!Q425/Inv_SY!$Y425-1,"")</f>
        <v/>
      </c>
      <c r="R423" s="59" t="str">
        <f>IFERROR(Inv_SY!R425/Inv_SY!$Y425-1,"")</f>
        <v/>
      </c>
      <c r="S423" s="59" t="str">
        <f>IFERROR(Inv_SY!S425/Inv_SY!$Y425-1,"")</f>
        <v/>
      </c>
      <c r="T423" s="59" t="str">
        <f>IFERROR(Inv_SY!T425/Inv_SY!$Y425-1,"")</f>
        <v/>
      </c>
      <c r="U423" s="59" t="str">
        <f>IFERROR(Inv_SY!U425/Inv_SY!$Y425-1,"")</f>
        <v/>
      </c>
      <c r="V423" s="59" t="str">
        <f>IFERROR(Inv_SY!J425/Inv_SY!$Z425-1,"")</f>
        <v/>
      </c>
      <c r="W423" s="59" t="str">
        <f>IFERROR(Inv_SY!K425/Inv_SY!$Z425-1,"")</f>
        <v/>
      </c>
      <c r="X423" s="59" t="str">
        <f>IFERROR(Inv_SY!L425/Inv_SY!$Z425-1,"")</f>
        <v/>
      </c>
      <c r="Y423" s="59" t="str">
        <f>IFERROR(Inv_SY!M425/Inv_SY!$Z425-1,"")</f>
        <v/>
      </c>
      <c r="Z423" s="59" t="str">
        <f>IFERROR(Inv_SY!N425/Inv_SY!$Z425-1,"")</f>
        <v/>
      </c>
      <c r="AA423" s="59" t="str">
        <f>IFERROR(Inv_SY!O425/Inv_SY!$Z425-1,"")</f>
        <v/>
      </c>
      <c r="AB423" s="59" t="str">
        <f>IFERROR(Inv_SY!P425/Inv_SY!$Z425-1,"")</f>
        <v/>
      </c>
      <c r="AC423" s="59" t="str">
        <f>IFERROR(Inv_SY!Q425/Inv_SY!$Z425-1,"")</f>
        <v/>
      </c>
      <c r="AD423" s="59" t="str">
        <f>IFERROR(Inv_SY!R425/Inv_SY!$Z425-1,"")</f>
        <v/>
      </c>
      <c r="AE423" s="59" t="str">
        <f>IFERROR(Inv_SY!S425/Inv_SY!$Z425-1,"")</f>
        <v/>
      </c>
      <c r="AF423" s="59" t="str">
        <f>IFERROR(Inv_SY!T425/Inv_SY!$Z425-1,"")</f>
        <v/>
      </c>
      <c r="AG423" s="59" t="str">
        <f>IFERROR(Inv_SY!U425/Inv_SY!$Z425-1,"")</f>
        <v/>
      </c>
      <c r="AH423" s="59" t="str">
        <f>IFERROR(Inv_SY!V425/Inv_SY!$Y425-1,"")</f>
        <v/>
      </c>
      <c r="AI423" s="59" t="str">
        <f>IFERROR(Inv_SY!W425/Inv_SY!$Y425-1,"")</f>
        <v/>
      </c>
      <c r="AJ423" s="59" t="str">
        <f>IFERROR(Inv_SY!X425/Inv_SY!$Y425-1,"")</f>
        <v/>
      </c>
      <c r="AK423" s="59" t="str">
        <f>IFERROR(Inv_SY!V425/Inv_SY!$Z425-1,"")</f>
        <v/>
      </c>
      <c r="AL423" s="59" t="str">
        <f>IFERROR(Inv_SY!W425/Inv_SY!$Z425-1,"")</f>
        <v/>
      </c>
      <c r="AM423" s="59" t="str">
        <f>IFERROR(Inv_SY!X425/Inv_SY!$Z425-1,"")</f>
        <v/>
      </c>
    </row>
    <row r="424" spans="1:39" x14ac:dyDescent="0.3">
      <c r="A424" s="55">
        <f>YEAR(Table5[[#This Row],[Date]])+IF(MONTH(Table5[[#This Row],[Date]])&gt;=4,1,0)</f>
        <v>2027</v>
      </c>
      <c r="B424" s="55">
        <v>384</v>
      </c>
      <c r="C424" s="124">
        <f>YEAR(Table5[[#This Row],[Date]])</f>
        <v>2026</v>
      </c>
      <c r="D424" s="55" t="s">
        <v>329</v>
      </c>
      <c r="E424" s="55" t="s">
        <v>329</v>
      </c>
      <c r="F424" s="126" t="str">
        <f>TEXT(Table5[[#This Row],[Date]],"mmm-yy")</f>
        <v>May-26</v>
      </c>
      <c r="G424" s="124">
        <f t="shared" si="15"/>
        <v>31</v>
      </c>
      <c r="H424" s="125">
        <f t="shared" si="16"/>
        <v>46167</v>
      </c>
      <c r="I424" s="55">
        <v>8.02</v>
      </c>
      <c r="J424" s="59" t="str">
        <f>IFERROR(Inv_SY!J426/Inv_SY!$Y426-1,"")</f>
        <v/>
      </c>
      <c r="K424" s="59" t="str">
        <f>IFERROR(Inv_SY!K426/Inv_SY!$Y426-1,"")</f>
        <v/>
      </c>
      <c r="L424" s="59" t="str">
        <f>IFERROR(Inv_SY!L426/Inv_SY!$Y426-1,"")</f>
        <v/>
      </c>
      <c r="M424" s="59" t="str">
        <f>IFERROR(Inv_SY!M426/Inv_SY!$Y426-1,"")</f>
        <v/>
      </c>
      <c r="N424" s="59" t="str">
        <f>IFERROR(Inv_SY!N426/Inv_SY!$Y426-1,"")</f>
        <v/>
      </c>
      <c r="O424" s="59" t="str">
        <f>IFERROR(Inv_SY!O426/Inv_SY!$Y426-1,"")</f>
        <v/>
      </c>
      <c r="P424" s="59" t="str">
        <f>IFERROR(Inv_SY!P426/Inv_SY!$Y426-1,"")</f>
        <v/>
      </c>
      <c r="Q424" s="59" t="str">
        <f>IFERROR(Inv_SY!Q426/Inv_SY!$Y426-1,"")</f>
        <v/>
      </c>
      <c r="R424" s="59" t="str">
        <f>IFERROR(Inv_SY!R426/Inv_SY!$Y426-1,"")</f>
        <v/>
      </c>
      <c r="S424" s="59" t="str">
        <f>IFERROR(Inv_SY!S426/Inv_SY!$Y426-1,"")</f>
        <v/>
      </c>
      <c r="T424" s="59" t="str">
        <f>IFERROR(Inv_SY!T426/Inv_SY!$Y426-1,"")</f>
        <v/>
      </c>
      <c r="U424" s="59" t="str">
        <f>IFERROR(Inv_SY!U426/Inv_SY!$Y426-1,"")</f>
        <v/>
      </c>
      <c r="V424" s="59" t="str">
        <f>IFERROR(Inv_SY!J426/Inv_SY!$Z426-1,"")</f>
        <v/>
      </c>
      <c r="W424" s="59" t="str">
        <f>IFERROR(Inv_SY!K426/Inv_SY!$Z426-1,"")</f>
        <v/>
      </c>
      <c r="X424" s="59" t="str">
        <f>IFERROR(Inv_SY!L426/Inv_SY!$Z426-1,"")</f>
        <v/>
      </c>
      <c r="Y424" s="59" t="str">
        <f>IFERROR(Inv_SY!M426/Inv_SY!$Z426-1,"")</f>
        <v/>
      </c>
      <c r="Z424" s="59" t="str">
        <f>IFERROR(Inv_SY!N426/Inv_SY!$Z426-1,"")</f>
        <v/>
      </c>
      <c r="AA424" s="59" t="str">
        <f>IFERROR(Inv_SY!O426/Inv_SY!$Z426-1,"")</f>
        <v/>
      </c>
      <c r="AB424" s="59" t="str">
        <f>IFERROR(Inv_SY!P426/Inv_SY!$Z426-1,"")</f>
        <v/>
      </c>
      <c r="AC424" s="59" t="str">
        <f>IFERROR(Inv_SY!Q426/Inv_SY!$Z426-1,"")</f>
        <v/>
      </c>
      <c r="AD424" s="59" t="str">
        <f>IFERROR(Inv_SY!R426/Inv_SY!$Z426-1,"")</f>
        <v/>
      </c>
      <c r="AE424" s="59" t="str">
        <f>IFERROR(Inv_SY!S426/Inv_SY!$Z426-1,"")</f>
        <v/>
      </c>
      <c r="AF424" s="59" t="str">
        <f>IFERROR(Inv_SY!T426/Inv_SY!$Z426-1,"")</f>
        <v/>
      </c>
      <c r="AG424" s="59" t="str">
        <f>IFERROR(Inv_SY!U426/Inv_SY!$Z426-1,"")</f>
        <v/>
      </c>
      <c r="AH424" s="59" t="str">
        <f>IFERROR(Inv_SY!V426/Inv_SY!$Y426-1,"")</f>
        <v/>
      </c>
      <c r="AI424" s="59" t="str">
        <f>IFERROR(Inv_SY!W426/Inv_SY!$Y426-1,"")</f>
        <v/>
      </c>
      <c r="AJ424" s="59" t="str">
        <f>IFERROR(Inv_SY!X426/Inv_SY!$Y426-1,"")</f>
        <v/>
      </c>
      <c r="AK424" s="59" t="str">
        <f>IFERROR(Inv_SY!V426/Inv_SY!$Z426-1,"")</f>
        <v/>
      </c>
      <c r="AL424" s="59" t="str">
        <f>IFERROR(Inv_SY!W426/Inv_SY!$Z426-1,"")</f>
        <v/>
      </c>
      <c r="AM424" s="59" t="str">
        <f>IFERROR(Inv_SY!X426/Inv_SY!$Z426-1,"")</f>
        <v/>
      </c>
    </row>
    <row r="425" spans="1:39" x14ac:dyDescent="0.3">
      <c r="A425" s="55">
        <f>YEAR(Table5[[#This Row],[Date]])+IF(MONTH(Table5[[#This Row],[Date]])&gt;=4,1,0)</f>
        <v>2027</v>
      </c>
      <c r="B425" s="55">
        <v>385</v>
      </c>
      <c r="C425" s="124">
        <f>YEAR(Table5[[#This Row],[Date]])</f>
        <v>2026</v>
      </c>
      <c r="D425" s="55" t="s">
        <v>329</v>
      </c>
      <c r="E425" s="55" t="s">
        <v>329</v>
      </c>
      <c r="F425" s="126" t="str">
        <f>TEXT(Table5[[#This Row],[Date]],"mmm-yy")</f>
        <v>May-26</v>
      </c>
      <c r="G425" s="124">
        <f t="shared" si="15"/>
        <v>31</v>
      </c>
      <c r="H425" s="125">
        <f t="shared" si="16"/>
        <v>46168</v>
      </c>
      <c r="I425" s="55">
        <v>8.02</v>
      </c>
      <c r="J425" s="59" t="str">
        <f>IFERROR(Inv_SY!J427/Inv_SY!$Y427-1,"")</f>
        <v/>
      </c>
      <c r="K425" s="59" t="str">
        <f>IFERROR(Inv_SY!K427/Inv_SY!$Y427-1,"")</f>
        <v/>
      </c>
      <c r="L425" s="59" t="str">
        <f>IFERROR(Inv_SY!L427/Inv_SY!$Y427-1,"")</f>
        <v/>
      </c>
      <c r="M425" s="59" t="str">
        <f>IFERROR(Inv_SY!M427/Inv_SY!$Y427-1,"")</f>
        <v/>
      </c>
      <c r="N425" s="59" t="str">
        <f>IFERROR(Inv_SY!N427/Inv_SY!$Y427-1,"")</f>
        <v/>
      </c>
      <c r="O425" s="59" t="str">
        <f>IFERROR(Inv_SY!O427/Inv_SY!$Y427-1,"")</f>
        <v/>
      </c>
      <c r="P425" s="59" t="str">
        <f>IFERROR(Inv_SY!P427/Inv_SY!$Y427-1,"")</f>
        <v/>
      </c>
      <c r="Q425" s="59" t="str">
        <f>IFERROR(Inv_SY!Q427/Inv_SY!$Y427-1,"")</f>
        <v/>
      </c>
      <c r="R425" s="59" t="str">
        <f>IFERROR(Inv_SY!R427/Inv_SY!$Y427-1,"")</f>
        <v/>
      </c>
      <c r="S425" s="59" t="str">
        <f>IFERROR(Inv_SY!S427/Inv_SY!$Y427-1,"")</f>
        <v/>
      </c>
      <c r="T425" s="59" t="str">
        <f>IFERROR(Inv_SY!T427/Inv_SY!$Y427-1,"")</f>
        <v/>
      </c>
      <c r="U425" s="59" t="str">
        <f>IFERROR(Inv_SY!U427/Inv_SY!$Y427-1,"")</f>
        <v/>
      </c>
      <c r="V425" s="59" t="str">
        <f>IFERROR(Inv_SY!J427/Inv_SY!$Z427-1,"")</f>
        <v/>
      </c>
      <c r="W425" s="59" t="str">
        <f>IFERROR(Inv_SY!K427/Inv_SY!$Z427-1,"")</f>
        <v/>
      </c>
      <c r="X425" s="59" t="str">
        <f>IFERROR(Inv_SY!L427/Inv_SY!$Z427-1,"")</f>
        <v/>
      </c>
      <c r="Y425" s="59" t="str">
        <f>IFERROR(Inv_SY!M427/Inv_SY!$Z427-1,"")</f>
        <v/>
      </c>
      <c r="Z425" s="59" t="str">
        <f>IFERROR(Inv_SY!N427/Inv_SY!$Z427-1,"")</f>
        <v/>
      </c>
      <c r="AA425" s="59" t="str">
        <f>IFERROR(Inv_SY!O427/Inv_SY!$Z427-1,"")</f>
        <v/>
      </c>
      <c r="AB425" s="59" t="str">
        <f>IFERROR(Inv_SY!P427/Inv_SY!$Z427-1,"")</f>
        <v/>
      </c>
      <c r="AC425" s="59" t="str">
        <f>IFERROR(Inv_SY!Q427/Inv_SY!$Z427-1,"")</f>
        <v/>
      </c>
      <c r="AD425" s="59" t="str">
        <f>IFERROR(Inv_SY!R427/Inv_SY!$Z427-1,"")</f>
        <v/>
      </c>
      <c r="AE425" s="59" t="str">
        <f>IFERROR(Inv_SY!S427/Inv_SY!$Z427-1,"")</f>
        <v/>
      </c>
      <c r="AF425" s="59" t="str">
        <f>IFERROR(Inv_SY!T427/Inv_SY!$Z427-1,"")</f>
        <v/>
      </c>
      <c r="AG425" s="59" t="str">
        <f>IFERROR(Inv_SY!U427/Inv_SY!$Z427-1,"")</f>
        <v/>
      </c>
      <c r="AH425" s="59" t="str">
        <f>IFERROR(Inv_SY!V427/Inv_SY!$Y427-1,"")</f>
        <v/>
      </c>
      <c r="AI425" s="59" t="str">
        <f>IFERROR(Inv_SY!W427/Inv_SY!$Y427-1,"")</f>
        <v/>
      </c>
      <c r="AJ425" s="59" t="str">
        <f>IFERROR(Inv_SY!X427/Inv_SY!$Y427-1,"")</f>
        <v/>
      </c>
      <c r="AK425" s="59" t="str">
        <f>IFERROR(Inv_SY!V427/Inv_SY!$Z427-1,"")</f>
        <v/>
      </c>
      <c r="AL425" s="59" t="str">
        <f>IFERROR(Inv_SY!W427/Inv_SY!$Z427-1,"")</f>
        <v/>
      </c>
      <c r="AM425" s="59" t="str">
        <f>IFERROR(Inv_SY!X427/Inv_SY!$Z427-1,"")</f>
        <v/>
      </c>
    </row>
    <row r="426" spans="1:39" x14ac:dyDescent="0.3">
      <c r="A426" s="55">
        <f>YEAR(Table5[[#This Row],[Date]])+IF(MONTH(Table5[[#This Row],[Date]])&gt;=4,1,0)</f>
        <v>2027</v>
      </c>
      <c r="B426" s="55">
        <v>386</v>
      </c>
      <c r="C426" s="124">
        <f>YEAR(Table5[[#This Row],[Date]])</f>
        <v>2026</v>
      </c>
      <c r="D426" s="55" t="s">
        <v>329</v>
      </c>
      <c r="E426" s="55" t="s">
        <v>329</v>
      </c>
      <c r="F426" s="126" t="str">
        <f>TEXT(Table5[[#This Row],[Date]],"mmm-yy")</f>
        <v>May-26</v>
      </c>
      <c r="G426" s="124">
        <f t="shared" si="15"/>
        <v>31</v>
      </c>
      <c r="H426" s="125">
        <f t="shared" si="16"/>
        <v>46169</v>
      </c>
      <c r="I426" s="55">
        <v>8.02</v>
      </c>
      <c r="J426" s="59" t="str">
        <f>IFERROR(Inv_SY!J428/Inv_SY!$Y428-1,"")</f>
        <v/>
      </c>
      <c r="K426" s="59" t="str">
        <f>IFERROR(Inv_SY!K428/Inv_SY!$Y428-1,"")</f>
        <v/>
      </c>
      <c r="L426" s="59" t="str">
        <f>IFERROR(Inv_SY!L428/Inv_SY!$Y428-1,"")</f>
        <v/>
      </c>
      <c r="M426" s="59" t="str">
        <f>IFERROR(Inv_SY!M428/Inv_SY!$Y428-1,"")</f>
        <v/>
      </c>
      <c r="N426" s="59" t="str">
        <f>IFERROR(Inv_SY!N428/Inv_SY!$Y428-1,"")</f>
        <v/>
      </c>
      <c r="O426" s="59" t="str">
        <f>IFERROR(Inv_SY!O428/Inv_SY!$Y428-1,"")</f>
        <v/>
      </c>
      <c r="P426" s="59" t="str">
        <f>IFERROR(Inv_SY!P428/Inv_SY!$Y428-1,"")</f>
        <v/>
      </c>
      <c r="Q426" s="59" t="str">
        <f>IFERROR(Inv_SY!Q428/Inv_SY!$Y428-1,"")</f>
        <v/>
      </c>
      <c r="R426" s="59" t="str">
        <f>IFERROR(Inv_SY!R428/Inv_SY!$Y428-1,"")</f>
        <v/>
      </c>
      <c r="S426" s="59" t="str">
        <f>IFERROR(Inv_SY!S428/Inv_SY!$Y428-1,"")</f>
        <v/>
      </c>
      <c r="T426" s="59" t="str">
        <f>IFERROR(Inv_SY!T428/Inv_SY!$Y428-1,"")</f>
        <v/>
      </c>
      <c r="U426" s="59" t="str">
        <f>IFERROR(Inv_SY!U428/Inv_SY!$Y428-1,"")</f>
        <v/>
      </c>
      <c r="V426" s="59" t="str">
        <f>IFERROR(Inv_SY!J428/Inv_SY!$Z428-1,"")</f>
        <v/>
      </c>
      <c r="W426" s="59" t="str">
        <f>IFERROR(Inv_SY!K428/Inv_SY!$Z428-1,"")</f>
        <v/>
      </c>
      <c r="X426" s="59" t="str">
        <f>IFERROR(Inv_SY!L428/Inv_SY!$Z428-1,"")</f>
        <v/>
      </c>
      <c r="Y426" s="59" t="str">
        <f>IFERROR(Inv_SY!M428/Inv_SY!$Z428-1,"")</f>
        <v/>
      </c>
      <c r="Z426" s="59" t="str">
        <f>IFERROR(Inv_SY!N428/Inv_SY!$Z428-1,"")</f>
        <v/>
      </c>
      <c r="AA426" s="59" t="str">
        <f>IFERROR(Inv_SY!O428/Inv_SY!$Z428-1,"")</f>
        <v/>
      </c>
      <c r="AB426" s="59" t="str">
        <f>IFERROR(Inv_SY!P428/Inv_SY!$Z428-1,"")</f>
        <v/>
      </c>
      <c r="AC426" s="59" t="str">
        <f>IFERROR(Inv_SY!Q428/Inv_SY!$Z428-1,"")</f>
        <v/>
      </c>
      <c r="AD426" s="59" t="str">
        <f>IFERROR(Inv_SY!R428/Inv_SY!$Z428-1,"")</f>
        <v/>
      </c>
      <c r="AE426" s="59" t="str">
        <f>IFERROR(Inv_SY!S428/Inv_SY!$Z428-1,"")</f>
        <v/>
      </c>
      <c r="AF426" s="59" t="str">
        <f>IFERROR(Inv_SY!T428/Inv_SY!$Z428-1,"")</f>
        <v/>
      </c>
      <c r="AG426" s="59" t="str">
        <f>IFERROR(Inv_SY!U428/Inv_SY!$Z428-1,"")</f>
        <v/>
      </c>
      <c r="AH426" s="59" t="str">
        <f>IFERROR(Inv_SY!V428/Inv_SY!$Y428-1,"")</f>
        <v/>
      </c>
      <c r="AI426" s="59" t="str">
        <f>IFERROR(Inv_SY!W428/Inv_SY!$Y428-1,"")</f>
        <v/>
      </c>
      <c r="AJ426" s="59" t="str">
        <f>IFERROR(Inv_SY!X428/Inv_SY!$Y428-1,"")</f>
        <v/>
      </c>
      <c r="AK426" s="59" t="str">
        <f>IFERROR(Inv_SY!V428/Inv_SY!$Z428-1,"")</f>
        <v/>
      </c>
      <c r="AL426" s="59" t="str">
        <f>IFERROR(Inv_SY!W428/Inv_SY!$Z428-1,"")</f>
        <v/>
      </c>
      <c r="AM426" s="59" t="str">
        <f>IFERROR(Inv_SY!X428/Inv_SY!$Z428-1,"")</f>
        <v/>
      </c>
    </row>
    <row r="427" spans="1:39" x14ac:dyDescent="0.3">
      <c r="A427" s="55">
        <f>YEAR(Table5[[#This Row],[Date]])+IF(MONTH(Table5[[#This Row],[Date]])&gt;=4,1,0)</f>
        <v>2027</v>
      </c>
      <c r="B427" s="55">
        <v>387</v>
      </c>
      <c r="C427" s="124">
        <f>YEAR(Table5[[#This Row],[Date]])</f>
        <v>2026</v>
      </c>
      <c r="D427" s="55" t="s">
        <v>329</v>
      </c>
      <c r="E427" s="55" t="s">
        <v>329</v>
      </c>
      <c r="F427" s="126" t="str">
        <f>TEXT(Table5[[#This Row],[Date]],"mmm-yy")</f>
        <v>May-26</v>
      </c>
      <c r="G427" s="124">
        <f t="shared" si="15"/>
        <v>31</v>
      </c>
      <c r="H427" s="125">
        <f t="shared" si="16"/>
        <v>46170</v>
      </c>
      <c r="I427" s="55">
        <v>8.02</v>
      </c>
      <c r="J427" s="59" t="str">
        <f>IFERROR(Inv_SY!J429/Inv_SY!$Y429-1,"")</f>
        <v/>
      </c>
      <c r="K427" s="59" t="str">
        <f>IFERROR(Inv_SY!K429/Inv_SY!$Y429-1,"")</f>
        <v/>
      </c>
      <c r="L427" s="59" t="str">
        <f>IFERROR(Inv_SY!L429/Inv_SY!$Y429-1,"")</f>
        <v/>
      </c>
      <c r="M427" s="59" t="str">
        <f>IFERROR(Inv_SY!M429/Inv_SY!$Y429-1,"")</f>
        <v/>
      </c>
      <c r="N427" s="59" t="str">
        <f>IFERROR(Inv_SY!N429/Inv_SY!$Y429-1,"")</f>
        <v/>
      </c>
      <c r="O427" s="59" t="str">
        <f>IFERROR(Inv_SY!O429/Inv_SY!$Y429-1,"")</f>
        <v/>
      </c>
      <c r="P427" s="59" t="str">
        <f>IFERROR(Inv_SY!P429/Inv_SY!$Y429-1,"")</f>
        <v/>
      </c>
      <c r="Q427" s="59" t="str">
        <f>IFERROR(Inv_SY!Q429/Inv_SY!$Y429-1,"")</f>
        <v/>
      </c>
      <c r="R427" s="59" t="str">
        <f>IFERROR(Inv_SY!R429/Inv_SY!$Y429-1,"")</f>
        <v/>
      </c>
      <c r="S427" s="59" t="str">
        <f>IFERROR(Inv_SY!S429/Inv_SY!$Y429-1,"")</f>
        <v/>
      </c>
      <c r="T427" s="59" t="str">
        <f>IFERROR(Inv_SY!T429/Inv_SY!$Y429-1,"")</f>
        <v/>
      </c>
      <c r="U427" s="59" t="str">
        <f>IFERROR(Inv_SY!U429/Inv_SY!$Y429-1,"")</f>
        <v/>
      </c>
      <c r="V427" s="59" t="str">
        <f>IFERROR(Inv_SY!J429/Inv_SY!$Z429-1,"")</f>
        <v/>
      </c>
      <c r="W427" s="59" t="str">
        <f>IFERROR(Inv_SY!K429/Inv_SY!$Z429-1,"")</f>
        <v/>
      </c>
      <c r="X427" s="59" t="str">
        <f>IFERROR(Inv_SY!L429/Inv_SY!$Z429-1,"")</f>
        <v/>
      </c>
      <c r="Y427" s="59" t="str">
        <f>IFERROR(Inv_SY!M429/Inv_SY!$Z429-1,"")</f>
        <v/>
      </c>
      <c r="Z427" s="59" t="str">
        <f>IFERROR(Inv_SY!N429/Inv_SY!$Z429-1,"")</f>
        <v/>
      </c>
      <c r="AA427" s="59" t="str">
        <f>IFERROR(Inv_SY!O429/Inv_SY!$Z429-1,"")</f>
        <v/>
      </c>
      <c r="AB427" s="59" t="str">
        <f>IFERROR(Inv_SY!P429/Inv_SY!$Z429-1,"")</f>
        <v/>
      </c>
      <c r="AC427" s="59" t="str">
        <f>IFERROR(Inv_SY!Q429/Inv_SY!$Z429-1,"")</f>
        <v/>
      </c>
      <c r="AD427" s="59" t="str">
        <f>IFERROR(Inv_SY!R429/Inv_SY!$Z429-1,"")</f>
        <v/>
      </c>
      <c r="AE427" s="59" t="str">
        <f>IFERROR(Inv_SY!S429/Inv_SY!$Z429-1,"")</f>
        <v/>
      </c>
      <c r="AF427" s="59" t="str">
        <f>IFERROR(Inv_SY!T429/Inv_SY!$Z429-1,"")</f>
        <v/>
      </c>
      <c r="AG427" s="59" t="str">
        <f>IFERROR(Inv_SY!U429/Inv_SY!$Z429-1,"")</f>
        <v/>
      </c>
      <c r="AH427" s="59" t="str">
        <f>IFERROR(Inv_SY!V429/Inv_SY!$Y429-1,"")</f>
        <v/>
      </c>
      <c r="AI427" s="59" t="str">
        <f>IFERROR(Inv_SY!W429/Inv_SY!$Y429-1,"")</f>
        <v/>
      </c>
      <c r="AJ427" s="59" t="str">
        <f>IFERROR(Inv_SY!X429/Inv_SY!$Y429-1,"")</f>
        <v/>
      </c>
      <c r="AK427" s="59" t="str">
        <f>IFERROR(Inv_SY!V429/Inv_SY!$Z429-1,"")</f>
        <v/>
      </c>
      <c r="AL427" s="59" t="str">
        <f>IFERROR(Inv_SY!W429/Inv_SY!$Z429-1,"")</f>
        <v/>
      </c>
      <c r="AM427" s="59" t="str">
        <f>IFERROR(Inv_SY!X429/Inv_SY!$Z429-1,"")</f>
        <v/>
      </c>
    </row>
    <row r="428" spans="1:39" x14ac:dyDescent="0.3">
      <c r="A428" s="55">
        <f>YEAR(Table5[[#This Row],[Date]])+IF(MONTH(Table5[[#This Row],[Date]])&gt;=4,1,0)</f>
        <v>2027</v>
      </c>
      <c r="B428" s="55">
        <v>388</v>
      </c>
      <c r="C428" s="124">
        <f>YEAR(Table5[[#This Row],[Date]])</f>
        <v>2026</v>
      </c>
      <c r="D428" s="55" t="s">
        <v>329</v>
      </c>
      <c r="E428" s="55" t="s">
        <v>329</v>
      </c>
      <c r="F428" s="126" t="str">
        <f>TEXT(Table5[[#This Row],[Date]],"mmm-yy")</f>
        <v>May-26</v>
      </c>
      <c r="G428" s="124">
        <f t="shared" si="15"/>
        <v>31</v>
      </c>
      <c r="H428" s="125">
        <f t="shared" si="16"/>
        <v>46171</v>
      </c>
      <c r="I428" s="55">
        <v>8.02</v>
      </c>
      <c r="J428" s="59" t="str">
        <f>IFERROR(Inv_SY!J430/Inv_SY!$Y430-1,"")</f>
        <v/>
      </c>
      <c r="K428" s="59" t="str">
        <f>IFERROR(Inv_SY!K430/Inv_SY!$Y430-1,"")</f>
        <v/>
      </c>
      <c r="L428" s="59" t="str">
        <f>IFERROR(Inv_SY!L430/Inv_SY!$Y430-1,"")</f>
        <v/>
      </c>
      <c r="M428" s="59" t="str">
        <f>IFERROR(Inv_SY!M430/Inv_SY!$Y430-1,"")</f>
        <v/>
      </c>
      <c r="N428" s="59" t="str">
        <f>IFERROR(Inv_SY!N430/Inv_SY!$Y430-1,"")</f>
        <v/>
      </c>
      <c r="O428" s="59" t="str">
        <f>IFERROR(Inv_SY!O430/Inv_SY!$Y430-1,"")</f>
        <v/>
      </c>
      <c r="P428" s="59" t="str">
        <f>IFERROR(Inv_SY!P430/Inv_SY!$Y430-1,"")</f>
        <v/>
      </c>
      <c r="Q428" s="59" t="str">
        <f>IFERROR(Inv_SY!Q430/Inv_SY!$Y430-1,"")</f>
        <v/>
      </c>
      <c r="R428" s="59" t="str">
        <f>IFERROR(Inv_SY!R430/Inv_SY!$Y430-1,"")</f>
        <v/>
      </c>
      <c r="S428" s="59" t="str">
        <f>IFERROR(Inv_SY!S430/Inv_SY!$Y430-1,"")</f>
        <v/>
      </c>
      <c r="T428" s="59" t="str">
        <f>IFERROR(Inv_SY!T430/Inv_SY!$Y430-1,"")</f>
        <v/>
      </c>
      <c r="U428" s="59" t="str">
        <f>IFERROR(Inv_SY!U430/Inv_SY!$Y430-1,"")</f>
        <v/>
      </c>
      <c r="V428" s="59" t="str">
        <f>IFERROR(Inv_SY!J430/Inv_SY!$Z430-1,"")</f>
        <v/>
      </c>
      <c r="W428" s="59" t="str">
        <f>IFERROR(Inv_SY!K430/Inv_SY!$Z430-1,"")</f>
        <v/>
      </c>
      <c r="X428" s="59" t="str">
        <f>IFERROR(Inv_SY!L430/Inv_SY!$Z430-1,"")</f>
        <v/>
      </c>
      <c r="Y428" s="59" t="str">
        <f>IFERROR(Inv_SY!M430/Inv_SY!$Z430-1,"")</f>
        <v/>
      </c>
      <c r="Z428" s="59" t="str">
        <f>IFERROR(Inv_SY!N430/Inv_SY!$Z430-1,"")</f>
        <v/>
      </c>
      <c r="AA428" s="59" t="str">
        <f>IFERROR(Inv_SY!O430/Inv_SY!$Z430-1,"")</f>
        <v/>
      </c>
      <c r="AB428" s="59" t="str">
        <f>IFERROR(Inv_SY!P430/Inv_SY!$Z430-1,"")</f>
        <v/>
      </c>
      <c r="AC428" s="59" t="str">
        <f>IFERROR(Inv_SY!Q430/Inv_SY!$Z430-1,"")</f>
        <v/>
      </c>
      <c r="AD428" s="59" t="str">
        <f>IFERROR(Inv_SY!R430/Inv_SY!$Z430-1,"")</f>
        <v/>
      </c>
      <c r="AE428" s="59" t="str">
        <f>IFERROR(Inv_SY!S430/Inv_SY!$Z430-1,"")</f>
        <v/>
      </c>
      <c r="AF428" s="59" t="str">
        <f>IFERROR(Inv_SY!T430/Inv_SY!$Z430-1,"")</f>
        <v/>
      </c>
      <c r="AG428" s="59" t="str">
        <f>IFERROR(Inv_SY!U430/Inv_SY!$Z430-1,"")</f>
        <v/>
      </c>
      <c r="AH428" s="59" t="str">
        <f>IFERROR(Inv_SY!V430/Inv_SY!$Y430-1,"")</f>
        <v/>
      </c>
      <c r="AI428" s="59" t="str">
        <f>IFERROR(Inv_SY!W430/Inv_SY!$Y430-1,"")</f>
        <v/>
      </c>
      <c r="AJ428" s="59" t="str">
        <f>IFERROR(Inv_SY!X430/Inv_SY!$Y430-1,"")</f>
        <v/>
      </c>
      <c r="AK428" s="59" t="str">
        <f>IFERROR(Inv_SY!V430/Inv_SY!$Z430-1,"")</f>
        <v/>
      </c>
      <c r="AL428" s="59" t="str">
        <f>IFERROR(Inv_SY!W430/Inv_SY!$Z430-1,"")</f>
        <v/>
      </c>
      <c r="AM428" s="59" t="str">
        <f>IFERROR(Inv_SY!X430/Inv_SY!$Z430-1,"")</f>
        <v/>
      </c>
    </row>
    <row r="429" spans="1:39" x14ac:dyDescent="0.3">
      <c r="A429" s="55">
        <f>YEAR(Table5[[#This Row],[Date]])+IF(MONTH(Table5[[#This Row],[Date]])&gt;=4,1,0)</f>
        <v>2027</v>
      </c>
      <c r="B429" s="55">
        <v>389</v>
      </c>
      <c r="C429" s="124">
        <f>YEAR(Table5[[#This Row],[Date]])</f>
        <v>2026</v>
      </c>
      <c r="D429" s="55" t="s">
        <v>329</v>
      </c>
      <c r="E429" s="55" t="s">
        <v>329</v>
      </c>
      <c r="F429" s="126" t="str">
        <f>TEXT(Table5[[#This Row],[Date]],"mmm-yy")</f>
        <v>May-26</v>
      </c>
      <c r="G429" s="124">
        <f t="shared" ref="G429:G478" si="17">DAY(EOMONTH(F429,0))</f>
        <v>31</v>
      </c>
      <c r="H429" s="125">
        <f t="shared" si="16"/>
        <v>46172</v>
      </c>
      <c r="I429" s="55">
        <v>8.02</v>
      </c>
      <c r="J429" s="59" t="str">
        <f>IFERROR(Inv_SY!J431/Inv_SY!$Y431-1,"")</f>
        <v/>
      </c>
      <c r="K429" s="59" t="str">
        <f>IFERROR(Inv_SY!K431/Inv_SY!$Y431-1,"")</f>
        <v/>
      </c>
      <c r="L429" s="59" t="str">
        <f>IFERROR(Inv_SY!L431/Inv_SY!$Y431-1,"")</f>
        <v/>
      </c>
      <c r="M429" s="59" t="str">
        <f>IFERROR(Inv_SY!M431/Inv_SY!$Y431-1,"")</f>
        <v/>
      </c>
      <c r="N429" s="59" t="str">
        <f>IFERROR(Inv_SY!N431/Inv_SY!$Y431-1,"")</f>
        <v/>
      </c>
      <c r="O429" s="59" t="str">
        <f>IFERROR(Inv_SY!O431/Inv_SY!$Y431-1,"")</f>
        <v/>
      </c>
      <c r="P429" s="59" t="str">
        <f>IFERROR(Inv_SY!P431/Inv_SY!$Y431-1,"")</f>
        <v/>
      </c>
      <c r="Q429" s="59" t="str">
        <f>IFERROR(Inv_SY!Q431/Inv_SY!$Y431-1,"")</f>
        <v/>
      </c>
      <c r="R429" s="59" t="str">
        <f>IFERROR(Inv_SY!R431/Inv_SY!$Y431-1,"")</f>
        <v/>
      </c>
      <c r="S429" s="59" t="str">
        <f>IFERROR(Inv_SY!S431/Inv_SY!$Y431-1,"")</f>
        <v/>
      </c>
      <c r="T429" s="59" t="str">
        <f>IFERROR(Inv_SY!T431/Inv_SY!$Y431-1,"")</f>
        <v/>
      </c>
      <c r="U429" s="59" t="str">
        <f>IFERROR(Inv_SY!U431/Inv_SY!$Y431-1,"")</f>
        <v/>
      </c>
      <c r="V429" s="59" t="str">
        <f>IFERROR(Inv_SY!J431/Inv_SY!$Z431-1,"")</f>
        <v/>
      </c>
      <c r="W429" s="59" t="str">
        <f>IFERROR(Inv_SY!K431/Inv_SY!$Z431-1,"")</f>
        <v/>
      </c>
      <c r="X429" s="59" t="str">
        <f>IFERROR(Inv_SY!L431/Inv_SY!$Z431-1,"")</f>
        <v/>
      </c>
      <c r="Y429" s="59" t="str">
        <f>IFERROR(Inv_SY!M431/Inv_SY!$Z431-1,"")</f>
        <v/>
      </c>
      <c r="Z429" s="59" t="str">
        <f>IFERROR(Inv_SY!N431/Inv_SY!$Z431-1,"")</f>
        <v/>
      </c>
      <c r="AA429" s="59" t="str">
        <f>IFERROR(Inv_SY!O431/Inv_SY!$Z431-1,"")</f>
        <v/>
      </c>
      <c r="AB429" s="59" t="str">
        <f>IFERROR(Inv_SY!P431/Inv_SY!$Z431-1,"")</f>
        <v/>
      </c>
      <c r="AC429" s="59" t="str">
        <f>IFERROR(Inv_SY!Q431/Inv_SY!$Z431-1,"")</f>
        <v/>
      </c>
      <c r="AD429" s="59" t="str">
        <f>IFERROR(Inv_SY!R431/Inv_SY!$Z431-1,"")</f>
        <v/>
      </c>
      <c r="AE429" s="59" t="str">
        <f>IFERROR(Inv_SY!S431/Inv_SY!$Z431-1,"")</f>
        <v/>
      </c>
      <c r="AF429" s="59" t="str">
        <f>IFERROR(Inv_SY!T431/Inv_SY!$Z431-1,"")</f>
        <v/>
      </c>
      <c r="AG429" s="59" t="str">
        <f>IFERROR(Inv_SY!U431/Inv_SY!$Z431-1,"")</f>
        <v/>
      </c>
      <c r="AH429" s="59" t="str">
        <f>IFERROR(Inv_SY!V431/Inv_SY!$Y431-1,"")</f>
        <v/>
      </c>
      <c r="AI429" s="59" t="str">
        <f>IFERROR(Inv_SY!W431/Inv_SY!$Y431-1,"")</f>
        <v/>
      </c>
      <c r="AJ429" s="59" t="str">
        <f>IFERROR(Inv_SY!X431/Inv_SY!$Y431-1,"")</f>
        <v/>
      </c>
      <c r="AK429" s="59" t="str">
        <f>IFERROR(Inv_SY!V431/Inv_SY!$Z431-1,"")</f>
        <v/>
      </c>
      <c r="AL429" s="59" t="str">
        <f>IFERROR(Inv_SY!W431/Inv_SY!$Z431-1,"")</f>
        <v/>
      </c>
      <c r="AM429" s="59" t="str">
        <f>IFERROR(Inv_SY!X431/Inv_SY!$Z431-1,"")</f>
        <v/>
      </c>
    </row>
    <row r="430" spans="1:39" x14ac:dyDescent="0.3">
      <c r="A430" s="55">
        <f>YEAR(Table5[[#This Row],[Date]])+IF(MONTH(Table5[[#This Row],[Date]])&gt;=4,1,0)</f>
        <v>2027</v>
      </c>
      <c r="B430" s="55">
        <v>390</v>
      </c>
      <c r="C430" s="124">
        <f>YEAR(Table5[[#This Row],[Date]])</f>
        <v>2026</v>
      </c>
      <c r="D430" s="55" t="s">
        <v>329</v>
      </c>
      <c r="E430" s="55" t="s">
        <v>329</v>
      </c>
      <c r="F430" s="126" t="str">
        <f>TEXT(Table5[[#This Row],[Date]],"mmm-yy")</f>
        <v>May-26</v>
      </c>
      <c r="G430" s="124">
        <f t="shared" si="17"/>
        <v>31</v>
      </c>
      <c r="H430" s="125">
        <f t="shared" si="16"/>
        <v>46173</v>
      </c>
      <c r="I430" s="55">
        <v>8.02</v>
      </c>
      <c r="J430" s="59" t="str">
        <f>IFERROR(Inv_SY!J432/Inv_SY!$Y432-1,"")</f>
        <v/>
      </c>
      <c r="K430" s="59" t="str">
        <f>IFERROR(Inv_SY!K432/Inv_SY!$Y432-1,"")</f>
        <v/>
      </c>
      <c r="L430" s="59" t="str">
        <f>IFERROR(Inv_SY!L432/Inv_SY!$Y432-1,"")</f>
        <v/>
      </c>
      <c r="M430" s="59" t="str">
        <f>IFERROR(Inv_SY!M432/Inv_SY!$Y432-1,"")</f>
        <v/>
      </c>
      <c r="N430" s="59" t="str">
        <f>IFERROR(Inv_SY!N432/Inv_SY!$Y432-1,"")</f>
        <v/>
      </c>
      <c r="O430" s="59" t="str">
        <f>IFERROR(Inv_SY!O432/Inv_SY!$Y432-1,"")</f>
        <v/>
      </c>
      <c r="P430" s="59" t="str">
        <f>IFERROR(Inv_SY!P432/Inv_SY!$Y432-1,"")</f>
        <v/>
      </c>
      <c r="Q430" s="59" t="str">
        <f>IFERROR(Inv_SY!Q432/Inv_SY!$Y432-1,"")</f>
        <v/>
      </c>
      <c r="R430" s="59" t="str">
        <f>IFERROR(Inv_SY!R432/Inv_SY!$Y432-1,"")</f>
        <v/>
      </c>
      <c r="S430" s="59" t="str">
        <f>IFERROR(Inv_SY!S432/Inv_SY!$Y432-1,"")</f>
        <v/>
      </c>
      <c r="T430" s="59" t="str">
        <f>IFERROR(Inv_SY!T432/Inv_SY!$Y432-1,"")</f>
        <v/>
      </c>
      <c r="U430" s="59" t="str">
        <f>IFERROR(Inv_SY!U432/Inv_SY!$Y432-1,"")</f>
        <v/>
      </c>
      <c r="V430" s="59" t="str">
        <f>IFERROR(Inv_SY!J432/Inv_SY!$Z432-1,"")</f>
        <v/>
      </c>
      <c r="W430" s="59" t="str">
        <f>IFERROR(Inv_SY!K432/Inv_SY!$Z432-1,"")</f>
        <v/>
      </c>
      <c r="X430" s="59" t="str">
        <f>IFERROR(Inv_SY!L432/Inv_SY!$Z432-1,"")</f>
        <v/>
      </c>
      <c r="Y430" s="59" t="str">
        <f>IFERROR(Inv_SY!M432/Inv_SY!$Z432-1,"")</f>
        <v/>
      </c>
      <c r="Z430" s="59" t="str">
        <f>IFERROR(Inv_SY!N432/Inv_SY!$Z432-1,"")</f>
        <v/>
      </c>
      <c r="AA430" s="59" t="str">
        <f>IFERROR(Inv_SY!O432/Inv_SY!$Z432-1,"")</f>
        <v/>
      </c>
      <c r="AB430" s="59" t="str">
        <f>IFERROR(Inv_SY!P432/Inv_SY!$Z432-1,"")</f>
        <v/>
      </c>
      <c r="AC430" s="59" t="str">
        <f>IFERROR(Inv_SY!Q432/Inv_SY!$Z432-1,"")</f>
        <v/>
      </c>
      <c r="AD430" s="59" t="str">
        <f>IFERROR(Inv_SY!R432/Inv_SY!$Z432-1,"")</f>
        <v/>
      </c>
      <c r="AE430" s="59" t="str">
        <f>IFERROR(Inv_SY!S432/Inv_SY!$Z432-1,"")</f>
        <v/>
      </c>
      <c r="AF430" s="59" t="str">
        <f>IFERROR(Inv_SY!T432/Inv_SY!$Z432-1,"")</f>
        <v/>
      </c>
      <c r="AG430" s="59" t="str">
        <f>IFERROR(Inv_SY!U432/Inv_SY!$Z432-1,"")</f>
        <v/>
      </c>
      <c r="AH430" s="59" t="str">
        <f>IFERROR(Inv_SY!V432/Inv_SY!$Y432-1,"")</f>
        <v/>
      </c>
      <c r="AI430" s="59" t="str">
        <f>IFERROR(Inv_SY!W432/Inv_SY!$Y432-1,"")</f>
        <v/>
      </c>
      <c r="AJ430" s="59" t="str">
        <f>IFERROR(Inv_SY!X432/Inv_SY!$Y432-1,"")</f>
        <v/>
      </c>
      <c r="AK430" s="59" t="str">
        <f>IFERROR(Inv_SY!V432/Inv_SY!$Z432-1,"")</f>
        <v/>
      </c>
      <c r="AL430" s="59" t="str">
        <f>IFERROR(Inv_SY!W432/Inv_SY!$Z432-1,"")</f>
        <v/>
      </c>
      <c r="AM430" s="59" t="str">
        <f>IFERROR(Inv_SY!X432/Inv_SY!$Z432-1,"")</f>
        <v/>
      </c>
    </row>
    <row r="431" spans="1:39" x14ac:dyDescent="0.3">
      <c r="A431" s="55">
        <f>YEAR(Table5[[#This Row],[Date]])+IF(MONTH(Table5[[#This Row],[Date]])&gt;=4,1,0)</f>
        <v>2027</v>
      </c>
      <c r="B431" s="55">
        <v>391</v>
      </c>
      <c r="C431" s="124">
        <f>YEAR(Table5[[#This Row],[Date]])</f>
        <v>2026</v>
      </c>
      <c r="D431" s="55" t="s">
        <v>329</v>
      </c>
      <c r="E431" s="55" t="s">
        <v>329</v>
      </c>
      <c r="F431" s="126" t="str">
        <f>TEXT(Table5[[#This Row],[Date]],"mmm-yy")</f>
        <v>Jun-26</v>
      </c>
      <c r="G431" s="124">
        <f t="shared" si="17"/>
        <v>30</v>
      </c>
      <c r="H431" s="125">
        <f t="shared" si="16"/>
        <v>46174</v>
      </c>
      <c r="I431" s="55">
        <v>8.02</v>
      </c>
      <c r="J431" s="59" t="str">
        <f>IFERROR(Inv_SY!J433/Inv_SY!$Y433-1,"")</f>
        <v/>
      </c>
      <c r="K431" s="59" t="str">
        <f>IFERROR(Inv_SY!K433/Inv_SY!$Y433-1,"")</f>
        <v/>
      </c>
      <c r="L431" s="59" t="str">
        <f>IFERROR(Inv_SY!L433/Inv_SY!$Y433-1,"")</f>
        <v/>
      </c>
      <c r="M431" s="59" t="str">
        <f>IFERROR(Inv_SY!M433/Inv_SY!$Y433-1,"")</f>
        <v/>
      </c>
      <c r="N431" s="59" t="str">
        <f>IFERROR(Inv_SY!N433/Inv_SY!$Y433-1,"")</f>
        <v/>
      </c>
      <c r="O431" s="59" t="str">
        <f>IFERROR(Inv_SY!O433/Inv_SY!$Y433-1,"")</f>
        <v/>
      </c>
      <c r="P431" s="59" t="str">
        <f>IFERROR(Inv_SY!P433/Inv_SY!$Y433-1,"")</f>
        <v/>
      </c>
      <c r="Q431" s="59" t="str">
        <f>IFERROR(Inv_SY!Q433/Inv_SY!$Y433-1,"")</f>
        <v/>
      </c>
      <c r="R431" s="59" t="str">
        <f>IFERROR(Inv_SY!R433/Inv_SY!$Y433-1,"")</f>
        <v/>
      </c>
      <c r="S431" s="59" t="str">
        <f>IFERROR(Inv_SY!S433/Inv_SY!$Y433-1,"")</f>
        <v/>
      </c>
      <c r="T431" s="59" t="str">
        <f>IFERROR(Inv_SY!T433/Inv_SY!$Y433-1,"")</f>
        <v/>
      </c>
      <c r="U431" s="59" t="str">
        <f>IFERROR(Inv_SY!U433/Inv_SY!$Y433-1,"")</f>
        <v/>
      </c>
      <c r="V431" s="59" t="str">
        <f>IFERROR(Inv_SY!J433/Inv_SY!$Z433-1,"")</f>
        <v/>
      </c>
      <c r="W431" s="59" t="str">
        <f>IFERROR(Inv_SY!K433/Inv_SY!$Z433-1,"")</f>
        <v/>
      </c>
      <c r="X431" s="59" t="str">
        <f>IFERROR(Inv_SY!L433/Inv_SY!$Z433-1,"")</f>
        <v/>
      </c>
      <c r="Y431" s="59" t="str">
        <f>IFERROR(Inv_SY!M433/Inv_SY!$Z433-1,"")</f>
        <v/>
      </c>
      <c r="Z431" s="59" t="str">
        <f>IFERROR(Inv_SY!N433/Inv_SY!$Z433-1,"")</f>
        <v/>
      </c>
      <c r="AA431" s="59" t="str">
        <f>IFERROR(Inv_SY!O433/Inv_SY!$Z433-1,"")</f>
        <v/>
      </c>
      <c r="AB431" s="59" t="str">
        <f>IFERROR(Inv_SY!P433/Inv_SY!$Z433-1,"")</f>
        <v/>
      </c>
      <c r="AC431" s="59" t="str">
        <f>IFERROR(Inv_SY!Q433/Inv_SY!$Z433-1,"")</f>
        <v/>
      </c>
      <c r="AD431" s="59" t="str">
        <f>IFERROR(Inv_SY!R433/Inv_SY!$Z433-1,"")</f>
        <v/>
      </c>
      <c r="AE431" s="59" t="str">
        <f>IFERROR(Inv_SY!S433/Inv_SY!$Z433-1,"")</f>
        <v/>
      </c>
      <c r="AF431" s="59" t="str">
        <f>IFERROR(Inv_SY!T433/Inv_SY!$Z433-1,"")</f>
        <v/>
      </c>
      <c r="AG431" s="59" t="str">
        <f>IFERROR(Inv_SY!U433/Inv_SY!$Z433-1,"")</f>
        <v/>
      </c>
      <c r="AH431" s="59" t="str">
        <f>IFERROR(Inv_SY!V433/Inv_SY!$Y433-1,"")</f>
        <v/>
      </c>
      <c r="AI431" s="59" t="str">
        <f>IFERROR(Inv_SY!W433/Inv_SY!$Y433-1,"")</f>
        <v/>
      </c>
      <c r="AJ431" s="59" t="str">
        <f>IFERROR(Inv_SY!X433/Inv_SY!$Y433-1,"")</f>
        <v/>
      </c>
      <c r="AK431" s="59" t="str">
        <f>IFERROR(Inv_SY!V433/Inv_SY!$Z433-1,"")</f>
        <v/>
      </c>
      <c r="AL431" s="59" t="str">
        <f>IFERROR(Inv_SY!W433/Inv_SY!$Z433-1,"")</f>
        <v/>
      </c>
      <c r="AM431" s="59" t="str">
        <f>IFERROR(Inv_SY!X433/Inv_SY!$Z433-1,"")</f>
        <v/>
      </c>
    </row>
    <row r="432" spans="1:39" x14ac:dyDescent="0.3">
      <c r="A432" s="55">
        <f>YEAR(Table5[[#This Row],[Date]])+IF(MONTH(Table5[[#This Row],[Date]])&gt;=4,1,0)</f>
        <v>2027</v>
      </c>
      <c r="B432" s="55">
        <v>392</v>
      </c>
      <c r="C432" s="124">
        <f>YEAR(Table5[[#This Row],[Date]])</f>
        <v>2026</v>
      </c>
      <c r="D432" s="55" t="s">
        <v>329</v>
      </c>
      <c r="E432" s="55" t="s">
        <v>329</v>
      </c>
      <c r="F432" s="126" t="str">
        <f>TEXT(Table5[[#This Row],[Date]],"mmm-yy")</f>
        <v>Jun-26</v>
      </c>
      <c r="G432" s="124">
        <f t="shared" si="17"/>
        <v>30</v>
      </c>
      <c r="H432" s="125">
        <f t="shared" si="16"/>
        <v>46175</v>
      </c>
      <c r="I432" s="55">
        <v>8.02</v>
      </c>
      <c r="J432" s="59" t="str">
        <f>IFERROR(Inv_SY!J434/Inv_SY!$Y434-1,"")</f>
        <v/>
      </c>
      <c r="K432" s="59" t="str">
        <f>IFERROR(Inv_SY!K434/Inv_SY!$Y434-1,"")</f>
        <v/>
      </c>
      <c r="L432" s="59" t="str">
        <f>IFERROR(Inv_SY!L434/Inv_SY!$Y434-1,"")</f>
        <v/>
      </c>
      <c r="M432" s="59" t="str">
        <f>IFERROR(Inv_SY!M434/Inv_SY!$Y434-1,"")</f>
        <v/>
      </c>
      <c r="N432" s="59" t="str">
        <f>IFERROR(Inv_SY!N434/Inv_SY!$Y434-1,"")</f>
        <v/>
      </c>
      <c r="O432" s="59" t="str">
        <f>IFERROR(Inv_SY!O434/Inv_SY!$Y434-1,"")</f>
        <v/>
      </c>
      <c r="P432" s="59" t="str">
        <f>IFERROR(Inv_SY!P434/Inv_SY!$Y434-1,"")</f>
        <v/>
      </c>
      <c r="Q432" s="59" t="str">
        <f>IFERROR(Inv_SY!Q434/Inv_SY!$Y434-1,"")</f>
        <v/>
      </c>
      <c r="R432" s="59" t="str">
        <f>IFERROR(Inv_SY!R434/Inv_SY!$Y434-1,"")</f>
        <v/>
      </c>
      <c r="S432" s="59" t="str">
        <f>IFERROR(Inv_SY!S434/Inv_SY!$Y434-1,"")</f>
        <v/>
      </c>
      <c r="T432" s="59" t="str">
        <f>IFERROR(Inv_SY!T434/Inv_SY!$Y434-1,"")</f>
        <v/>
      </c>
      <c r="U432" s="59" t="str">
        <f>IFERROR(Inv_SY!U434/Inv_SY!$Y434-1,"")</f>
        <v/>
      </c>
      <c r="V432" s="59" t="str">
        <f>IFERROR(Inv_SY!J434/Inv_SY!$Z434-1,"")</f>
        <v/>
      </c>
      <c r="W432" s="59" t="str">
        <f>IFERROR(Inv_SY!K434/Inv_SY!$Z434-1,"")</f>
        <v/>
      </c>
      <c r="X432" s="59" t="str">
        <f>IFERROR(Inv_SY!L434/Inv_SY!$Z434-1,"")</f>
        <v/>
      </c>
      <c r="Y432" s="59" t="str">
        <f>IFERROR(Inv_SY!M434/Inv_SY!$Z434-1,"")</f>
        <v/>
      </c>
      <c r="Z432" s="59" t="str">
        <f>IFERROR(Inv_SY!N434/Inv_SY!$Z434-1,"")</f>
        <v/>
      </c>
      <c r="AA432" s="59" t="str">
        <f>IFERROR(Inv_SY!O434/Inv_SY!$Z434-1,"")</f>
        <v/>
      </c>
      <c r="AB432" s="59" t="str">
        <f>IFERROR(Inv_SY!P434/Inv_SY!$Z434-1,"")</f>
        <v/>
      </c>
      <c r="AC432" s="59" t="str">
        <f>IFERROR(Inv_SY!Q434/Inv_SY!$Z434-1,"")</f>
        <v/>
      </c>
      <c r="AD432" s="59" t="str">
        <f>IFERROR(Inv_SY!R434/Inv_SY!$Z434-1,"")</f>
        <v/>
      </c>
      <c r="AE432" s="59" t="str">
        <f>IFERROR(Inv_SY!S434/Inv_SY!$Z434-1,"")</f>
        <v/>
      </c>
      <c r="AF432" s="59" t="str">
        <f>IFERROR(Inv_SY!T434/Inv_SY!$Z434-1,"")</f>
        <v/>
      </c>
      <c r="AG432" s="59" t="str">
        <f>IFERROR(Inv_SY!U434/Inv_SY!$Z434-1,"")</f>
        <v/>
      </c>
      <c r="AH432" s="59" t="str">
        <f>IFERROR(Inv_SY!V434/Inv_SY!$Y434-1,"")</f>
        <v/>
      </c>
      <c r="AI432" s="59" t="str">
        <f>IFERROR(Inv_SY!W434/Inv_SY!$Y434-1,"")</f>
        <v/>
      </c>
      <c r="AJ432" s="59" t="str">
        <f>IFERROR(Inv_SY!X434/Inv_SY!$Y434-1,"")</f>
        <v/>
      </c>
      <c r="AK432" s="59" t="str">
        <f>IFERROR(Inv_SY!V434/Inv_SY!$Z434-1,"")</f>
        <v/>
      </c>
      <c r="AL432" s="59" t="str">
        <f>IFERROR(Inv_SY!W434/Inv_SY!$Z434-1,"")</f>
        <v/>
      </c>
      <c r="AM432" s="59" t="str">
        <f>IFERROR(Inv_SY!X434/Inv_SY!$Z434-1,"")</f>
        <v/>
      </c>
    </row>
    <row r="433" spans="1:39" x14ac:dyDescent="0.3">
      <c r="A433" s="55">
        <f>YEAR(Table5[[#This Row],[Date]])+IF(MONTH(Table5[[#This Row],[Date]])&gt;=4,1,0)</f>
        <v>2027</v>
      </c>
      <c r="B433" s="55">
        <v>393</v>
      </c>
      <c r="C433" s="124">
        <f>YEAR(Table5[[#This Row],[Date]])</f>
        <v>2026</v>
      </c>
      <c r="D433" s="55" t="s">
        <v>329</v>
      </c>
      <c r="E433" s="55" t="s">
        <v>329</v>
      </c>
      <c r="F433" s="126" t="str">
        <f>TEXT(Table5[[#This Row],[Date]],"mmm-yy")</f>
        <v>Jun-26</v>
      </c>
      <c r="G433" s="124">
        <f t="shared" si="17"/>
        <v>30</v>
      </c>
      <c r="H433" s="125">
        <f t="shared" si="16"/>
        <v>46176</v>
      </c>
      <c r="I433" s="55">
        <v>8.02</v>
      </c>
      <c r="J433" s="59" t="str">
        <f>IFERROR(Inv_SY!J435/Inv_SY!$Y435-1,"")</f>
        <v/>
      </c>
      <c r="K433" s="59" t="str">
        <f>IFERROR(Inv_SY!K435/Inv_SY!$Y435-1,"")</f>
        <v/>
      </c>
      <c r="L433" s="59" t="str">
        <f>IFERROR(Inv_SY!L435/Inv_SY!$Y435-1,"")</f>
        <v/>
      </c>
      <c r="M433" s="59" t="str">
        <f>IFERROR(Inv_SY!M435/Inv_SY!$Y435-1,"")</f>
        <v/>
      </c>
      <c r="N433" s="59" t="str">
        <f>IFERROR(Inv_SY!N435/Inv_SY!$Y435-1,"")</f>
        <v/>
      </c>
      <c r="O433" s="59" t="str">
        <f>IFERROR(Inv_SY!O435/Inv_SY!$Y435-1,"")</f>
        <v/>
      </c>
      <c r="P433" s="59" t="str">
        <f>IFERROR(Inv_SY!P435/Inv_SY!$Y435-1,"")</f>
        <v/>
      </c>
      <c r="Q433" s="59" t="str">
        <f>IFERROR(Inv_SY!Q435/Inv_SY!$Y435-1,"")</f>
        <v/>
      </c>
      <c r="R433" s="59" t="str">
        <f>IFERROR(Inv_SY!R435/Inv_SY!$Y435-1,"")</f>
        <v/>
      </c>
      <c r="S433" s="59" t="str">
        <f>IFERROR(Inv_SY!S435/Inv_SY!$Y435-1,"")</f>
        <v/>
      </c>
      <c r="T433" s="59" t="str">
        <f>IFERROR(Inv_SY!T435/Inv_SY!$Y435-1,"")</f>
        <v/>
      </c>
      <c r="U433" s="59" t="str">
        <f>IFERROR(Inv_SY!U435/Inv_SY!$Y435-1,"")</f>
        <v/>
      </c>
      <c r="V433" s="59" t="str">
        <f>IFERROR(Inv_SY!J435/Inv_SY!$Z435-1,"")</f>
        <v/>
      </c>
      <c r="W433" s="59" t="str">
        <f>IFERROR(Inv_SY!K435/Inv_SY!$Z435-1,"")</f>
        <v/>
      </c>
      <c r="X433" s="59" t="str">
        <f>IFERROR(Inv_SY!L435/Inv_SY!$Z435-1,"")</f>
        <v/>
      </c>
      <c r="Y433" s="59" t="str">
        <f>IFERROR(Inv_SY!M435/Inv_SY!$Z435-1,"")</f>
        <v/>
      </c>
      <c r="Z433" s="59" t="str">
        <f>IFERROR(Inv_SY!N435/Inv_SY!$Z435-1,"")</f>
        <v/>
      </c>
      <c r="AA433" s="59" t="str">
        <f>IFERROR(Inv_SY!O435/Inv_SY!$Z435-1,"")</f>
        <v/>
      </c>
      <c r="AB433" s="59" t="str">
        <f>IFERROR(Inv_SY!P435/Inv_SY!$Z435-1,"")</f>
        <v/>
      </c>
      <c r="AC433" s="59" t="str">
        <f>IFERROR(Inv_SY!Q435/Inv_SY!$Z435-1,"")</f>
        <v/>
      </c>
      <c r="AD433" s="59" t="str">
        <f>IFERROR(Inv_SY!R435/Inv_SY!$Z435-1,"")</f>
        <v/>
      </c>
      <c r="AE433" s="59" t="str">
        <f>IFERROR(Inv_SY!S435/Inv_SY!$Z435-1,"")</f>
        <v/>
      </c>
      <c r="AF433" s="59" t="str">
        <f>IFERROR(Inv_SY!T435/Inv_SY!$Z435-1,"")</f>
        <v/>
      </c>
      <c r="AG433" s="59" t="str">
        <f>IFERROR(Inv_SY!U435/Inv_SY!$Z435-1,"")</f>
        <v/>
      </c>
      <c r="AH433" s="59" t="str">
        <f>IFERROR(Inv_SY!V435/Inv_SY!$Y435-1,"")</f>
        <v/>
      </c>
      <c r="AI433" s="59" t="str">
        <f>IFERROR(Inv_SY!W435/Inv_SY!$Y435-1,"")</f>
        <v/>
      </c>
      <c r="AJ433" s="59" t="str">
        <f>IFERROR(Inv_SY!X435/Inv_SY!$Y435-1,"")</f>
        <v/>
      </c>
      <c r="AK433" s="59" t="str">
        <f>IFERROR(Inv_SY!V435/Inv_SY!$Z435-1,"")</f>
        <v/>
      </c>
      <c r="AL433" s="59" t="str">
        <f>IFERROR(Inv_SY!W435/Inv_SY!$Z435-1,"")</f>
        <v/>
      </c>
      <c r="AM433" s="59" t="str">
        <f>IFERROR(Inv_SY!X435/Inv_SY!$Z435-1,"")</f>
        <v/>
      </c>
    </row>
    <row r="434" spans="1:39" x14ac:dyDescent="0.3">
      <c r="A434" s="55">
        <f>YEAR(Table5[[#This Row],[Date]])+IF(MONTH(Table5[[#This Row],[Date]])&gt;=4,1,0)</f>
        <v>2027</v>
      </c>
      <c r="B434" s="55">
        <v>394</v>
      </c>
      <c r="C434" s="124">
        <f>YEAR(Table5[[#This Row],[Date]])</f>
        <v>2026</v>
      </c>
      <c r="D434" s="55" t="s">
        <v>329</v>
      </c>
      <c r="E434" s="55" t="s">
        <v>329</v>
      </c>
      <c r="F434" s="126" t="str">
        <f>TEXT(Table5[[#This Row],[Date]],"mmm-yy")</f>
        <v>Jun-26</v>
      </c>
      <c r="G434" s="124">
        <f t="shared" si="17"/>
        <v>30</v>
      </c>
      <c r="H434" s="125">
        <f t="shared" si="16"/>
        <v>46177</v>
      </c>
      <c r="I434" s="55">
        <v>8.02</v>
      </c>
      <c r="J434" s="59" t="str">
        <f>IFERROR(Inv_SY!J436/Inv_SY!$Y436-1,"")</f>
        <v/>
      </c>
      <c r="K434" s="59" t="str">
        <f>IFERROR(Inv_SY!K436/Inv_SY!$Y436-1,"")</f>
        <v/>
      </c>
      <c r="L434" s="59" t="str">
        <f>IFERROR(Inv_SY!L436/Inv_SY!$Y436-1,"")</f>
        <v/>
      </c>
      <c r="M434" s="59" t="str">
        <f>IFERROR(Inv_SY!M436/Inv_SY!$Y436-1,"")</f>
        <v/>
      </c>
      <c r="N434" s="59" t="str">
        <f>IFERROR(Inv_SY!N436/Inv_SY!$Y436-1,"")</f>
        <v/>
      </c>
      <c r="O434" s="59" t="str">
        <f>IFERROR(Inv_SY!O436/Inv_SY!$Y436-1,"")</f>
        <v/>
      </c>
      <c r="P434" s="59" t="str">
        <f>IFERROR(Inv_SY!P436/Inv_SY!$Y436-1,"")</f>
        <v/>
      </c>
      <c r="Q434" s="59" t="str">
        <f>IFERROR(Inv_SY!Q436/Inv_SY!$Y436-1,"")</f>
        <v/>
      </c>
      <c r="R434" s="59" t="str">
        <f>IFERROR(Inv_SY!R436/Inv_SY!$Y436-1,"")</f>
        <v/>
      </c>
      <c r="S434" s="59" t="str">
        <f>IFERROR(Inv_SY!S436/Inv_SY!$Y436-1,"")</f>
        <v/>
      </c>
      <c r="T434" s="59" t="str">
        <f>IFERROR(Inv_SY!T436/Inv_SY!$Y436-1,"")</f>
        <v/>
      </c>
      <c r="U434" s="59" t="str">
        <f>IFERROR(Inv_SY!U436/Inv_SY!$Y436-1,"")</f>
        <v/>
      </c>
      <c r="V434" s="59" t="str">
        <f>IFERROR(Inv_SY!J436/Inv_SY!$Z436-1,"")</f>
        <v/>
      </c>
      <c r="W434" s="59" t="str">
        <f>IFERROR(Inv_SY!K436/Inv_SY!$Z436-1,"")</f>
        <v/>
      </c>
      <c r="X434" s="59" t="str">
        <f>IFERROR(Inv_SY!L436/Inv_SY!$Z436-1,"")</f>
        <v/>
      </c>
      <c r="Y434" s="59" t="str">
        <f>IFERROR(Inv_SY!M436/Inv_SY!$Z436-1,"")</f>
        <v/>
      </c>
      <c r="Z434" s="59" t="str">
        <f>IFERROR(Inv_SY!N436/Inv_SY!$Z436-1,"")</f>
        <v/>
      </c>
      <c r="AA434" s="59" t="str">
        <f>IFERROR(Inv_SY!O436/Inv_SY!$Z436-1,"")</f>
        <v/>
      </c>
      <c r="AB434" s="59" t="str">
        <f>IFERROR(Inv_SY!P436/Inv_SY!$Z436-1,"")</f>
        <v/>
      </c>
      <c r="AC434" s="59" t="str">
        <f>IFERROR(Inv_SY!Q436/Inv_SY!$Z436-1,"")</f>
        <v/>
      </c>
      <c r="AD434" s="59" t="str">
        <f>IFERROR(Inv_SY!R436/Inv_SY!$Z436-1,"")</f>
        <v/>
      </c>
      <c r="AE434" s="59" t="str">
        <f>IFERROR(Inv_SY!S436/Inv_SY!$Z436-1,"")</f>
        <v/>
      </c>
      <c r="AF434" s="59" t="str">
        <f>IFERROR(Inv_SY!T436/Inv_SY!$Z436-1,"")</f>
        <v/>
      </c>
      <c r="AG434" s="59" t="str">
        <f>IFERROR(Inv_SY!U436/Inv_SY!$Z436-1,"")</f>
        <v/>
      </c>
      <c r="AH434" s="59" t="str">
        <f>IFERROR(Inv_SY!V436/Inv_SY!$Y436-1,"")</f>
        <v/>
      </c>
      <c r="AI434" s="59" t="str">
        <f>IFERROR(Inv_SY!W436/Inv_SY!$Y436-1,"")</f>
        <v/>
      </c>
      <c r="AJ434" s="59" t="str">
        <f>IFERROR(Inv_SY!X436/Inv_SY!$Y436-1,"")</f>
        <v/>
      </c>
      <c r="AK434" s="59" t="str">
        <f>IFERROR(Inv_SY!V436/Inv_SY!$Z436-1,"")</f>
        <v/>
      </c>
      <c r="AL434" s="59" t="str">
        <f>IFERROR(Inv_SY!W436/Inv_SY!$Z436-1,"")</f>
        <v/>
      </c>
      <c r="AM434" s="59" t="str">
        <f>IFERROR(Inv_SY!X436/Inv_SY!$Z436-1,"")</f>
        <v/>
      </c>
    </row>
    <row r="435" spans="1:39" x14ac:dyDescent="0.3">
      <c r="A435" s="55">
        <f>YEAR(Table5[[#This Row],[Date]])+IF(MONTH(Table5[[#This Row],[Date]])&gt;=4,1,0)</f>
        <v>2027</v>
      </c>
      <c r="B435" s="55">
        <v>395</v>
      </c>
      <c r="C435" s="124">
        <f>YEAR(Table5[[#This Row],[Date]])</f>
        <v>2026</v>
      </c>
      <c r="D435" s="55" t="s">
        <v>329</v>
      </c>
      <c r="E435" s="55" t="s">
        <v>329</v>
      </c>
      <c r="F435" s="126" t="str">
        <f>TEXT(Table5[[#This Row],[Date]],"mmm-yy")</f>
        <v>Jun-26</v>
      </c>
      <c r="G435" s="124">
        <f t="shared" si="17"/>
        <v>30</v>
      </c>
      <c r="H435" s="125">
        <f t="shared" si="16"/>
        <v>46178</v>
      </c>
      <c r="I435" s="55">
        <v>8.02</v>
      </c>
      <c r="J435" s="59" t="str">
        <f>IFERROR(Inv_SY!J437/Inv_SY!$Y437-1,"")</f>
        <v/>
      </c>
      <c r="K435" s="59" t="str">
        <f>IFERROR(Inv_SY!K437/Inv_SY!$Y437-1,"")</f>
        <v/>
      </c>
      <c r="L435" s="59" t="str">
        <f>IFERROR(Inv_SY!L437/Inv_SY!$Y437-1,"")</f>
        <v/>
      </c>
      <c r="M435" s="59" t="str">
        <f>IFERROR(Inv_SY!M437/Inv_SY!$Y437-1,"")</f>
        <v/>
      </c>
      <c r="N435" s="59" t="str">
        <f>IFERROR(Inv_SY!N437/Inv_SY!$Y437-1,"")</f>
        <v/>
      </c>
      <c r="O435" s="59" t="str">
        <f>IFERROR(Inv_SY!O437/Inv_SY!$Y437-1,"")</f>
        <v/>
      </c>
      <c r="P435" s="59" t="str">
        <f>IFERROR(Inv_SY!P437/Inv_SY!$Y437-1,"")</f>
        <v/>
      </c>
      <c r="Q435" s="59" t="str">
        <f>IFERROR(Inv_SY!Q437/Inv_SY!$Y437-1,"")</f>
        <v/>
      </c>
      <c r="R435" s="59" t="str">
        <f>IFERROR(Inv_SY!R437/Inv_SY!$Y437-1,"")</f>
        <v/>
      </c>
      <c r="S435" s="59" t="str">
        <f>IFERROR(Inv_SY!S437/Inv_SY!$Y437-1,"")</f>
        <v/>
      </c>
      <c r="T435" s="59" t="str">
        <f>IFERROR(Inv_SY!T437/Inv_SY!$Y437-1,"")</f>
        <v/>
      </c>
      <c r="U435" s="59" t="str">
        <f>IFERROR(Inv_SY!U437/Inv_SY!$Y437-1,"")</f>
        <v/>
      </c>
      <c r="V435" s="59" t="str">
        <f>IFERROR(Inv_SY!J437/Inv_SY!$Z437-1,"")</f>
        <v/>
      </c>
      <c r="W435" s="59" t="str">
        <f>IFERROR(Inv_SY!K437/Inv_SY!$Z437-1,"")</f>
        <v/>
      </c>
      <c r="X435" s="59" t="str">
        <f>IFERROR(Inv_SY!L437/Inv_SY!$Z437-1,"")</f>
        <v/>
      </c>
      <c r="Y435" s="59" t="str">
        <f>IFERROR(Inv_SY!M437/Inv_SY!$Z437-1,"")</f>
        <v/>
      </c>
      <c r="Z435" s="59" t="str">
        <f>IFERROR(Inv_SY!N437/Inv_SY!$Z437-1,"")</f>
        <v/>
      </c>
      <c r="AA435" s="59" t="str">
        <f>IFERROR(Inv_SY!O437/Inv_SY!$Z437-1,"")</f>
        <v/>
      </c>
      <c r="AB435" s="59" t="str">
        <f>IFERROR(Inv_SY!P437/Inv_SY!$Z437-1,"")</f>
        <v/>
      </c>
      <c r="AC435" s="59" t="str">
        <f>IFERROR(Inv_SY!Q437/Inv_SY!$Z437-1,"")</f>
        <v/>
      </c>
      <c r="AD435" s="59" t="str">
        <f>IFERROR(Inv_SY!R437/Inv_SY!$Z437-1,"")</f>
        <v/>
      </c>
      <c r="AE435" s="59" t="str">
        <f>IFERROR(Inv_SY!S437/Inv_SY!$Z437-1,"")</f>
        <v/>
      </c>
      <c r="AF435" s="59" t="str">
        <f>IFERROR(Inv_SY!T437/Inv_SY!$Z437-1,"")</f>
        <v/>
      </c>
      <c r="AG435" s="59" t="str">
        <f>IFERROR(Inv_SY!U437/Inv_SY!$Z437-1,"")</f>
        <v/>
      </c>
      <c r="AH435" s="59" t="str">
        <f>IFERROR(Inv_SY!V437/Inv_SY!$Y437-1,"")</f>
        <v/>
      </c>
      <c r="AI435" s="59" t="str">
        <f>IFERROR(Inv_SY!W437/Inv_SY!$Y437-1,"")</f>
        <v/>
      </c>
      <c r="AJ435" s="59" t="str">
        <f>IFERROR(Inv_SY!X437/Inv_SY!$Y437-1,"")</f>
        <v/>
      </c>
      <c r="AK435" s="59" t="str">
        <f>IFERROR(Inv_SY!V437/Inv_SY!$Z437-1,"")</f>
        <v/>
      </c>
      <c r="AL435" s="59" t="str">
        <f>IFERROR(Inv_SY!W437/Inv_SY!$Z437-1,"")</f>
        <v/>
      </c>
      <c r="AM435" s="59" t="str">
        <f>IFERROR(Inv_SY!X437/Inv_SY!$Z437-1,"")</f>
        <v/>
      </c>
    </row>
    <row r="436" spans="1:39" x14ac:dyDescent="0.3">
      <c r="A436" s="55">
        <f>YEAR(Table5[[#This Row],[Date]])+IF(MONTH(Table5[[#This Row],[Date]])&gt;=4,1,0)</f>
        <v>2027</v>
      </c>
      <c r="B436" s="55">
        <v>396</v>
      </c>
      <c r="C436" s="124">
        <f>YEAR(Table5[[#This Row],[Date]])</f>
        <v>2026</v>
      </c>
      <c r="D436" s="55" t="s">
        <v>329</v>
      </c>
      <c r="E436" s="55" t="s">
        <v>329</v>
      </c>
      <c r="F436" s="126" t="str">
        <f>TEXT(Table5[[#This Row],[Date]],"mmm-yy")</f>
        <v>Jun-26</v>
      </c>
      <c r="G436" s="124">
        <f t="shared" si="17"/>
        <v>30</v>
      </c>
      <c r="H436" s="125">
        <f t="shared" si="16"/>
        <v>46179</v>
      </c>
      <c r="I436" s="55">
        <v>8.02</v>
      </c>
      <c r="J436" s="59" t="str">
        <f>IFERROR(Inv_SY!J438/Inv_SY!$Y438-1,"")</f>
        <v/>
      </c>
      <c r="K436" s="59" t="str">
        <f>IFERROR(Inv_SY!K438/Inv_SY!$Y438-1,"")</f>
        <v/>
      </c>
      <c r="L436" s="59" t="str">
        <f>IFERROR(Inv_SY!L438/Inv_SY!$Y438-1,"")</f>
        <v/>
      </c>
      <c r="M436" s="59" t="str">
        <f>IFERROR(Inv_SY!M438/Inv_SY!$Y438-1,"")</f>
        <v/>
      </c>
      <c r="N436" s="59" t="str">
        <f>IFERROR(Inv_SY!N438/Inv_SY!$Y438-1,"")</f>
        <v/>
      </c>
      <c r="O436" s="59" t="str">
        <f>IFERROR(Inv_SY!O438/Inv_SY!$Y438-1,"")</f>
        <v/>
      </c>
      <c r="P436" s="59" t="str">
        <f>IFERROR(Inv_SY!P438/Inv_SY!$Y438-1,"")</f>
        <v/>
      </c>
      <c r="Q436" s="59" t="str">
        <f>IFERROR(Inv_SY!Q438/Inv_SY!$Y438-1,"")</f>
        <v/>
      </c>
      <c r="R436" s="59" t="str">
        <f>IFERROR(Inv_SY!R438/Inv_SY!$Y438-1,"")</f>
        <v/>
      </c>
      <c r="S436" s="59" t="str">
        <f>IFERROR(Inv_SY!S438/Inv_SY!$Y438-1,"")</f>
        <v/>
      </c>
      <c r="T436" s="59" t="str">
        <f>IFERROR(Inv_SY!T438/Inv_SY!$Y438-1,"")</f>
        <v/>
      </c>
      <c r="U436" s="59" t="str">
        <f>IFERROR(Inv_SY!U438/Inv_SY!$Y438-1,"")</f>
        <v/>
      </c>
      <c r="V436" s="59" t="str">
        <f>IFERROR(Inv_SY!J438/Inv_SY!$Z438-1,"")</f>
        <v/>
      </c>
      <c r="W436" s="59" t="str">
        <f>IFERROR(Inv_SY!K438/Inv_SY!$Z438-1,"")</f>
        <v/>
      </c>
      <c r="X436" s="59" t="str">
        <f>IFERROR(Inv_SY!L438/Inv_SY!$Z438-1,"")</f>
        <v/>
      </c>
      <c r="Y436" s="59" t="str">
        <f>IFERROR(Inv_SY!M438/Inv_SY!$Z438-1,"")</f>
        <v/>
      </c>
      <c r="Z436" s="59" t="str">
        <f>IFERROR(Inv_SY!N438/Inv_SY!$Z438-1,"")</f>
        <v/>
      </c>
      <c r="AA436" s="59" t="str">
        <f>IFERROR(Inv_SY!O438/Inv_SY!$Z438-1,"")</f>
        <v/>
      </c>
      <c r="AB436" s="59" t="str">
        <f>IFERROR(Inv_SY!P438/Inv_SY!$Z438-1,"")</f>
        <v/>
      </c>
      <c r="AC436" s="59" t="str">
        <f>IFERROR(Inv_SY!Q438/Inv_SY!$Z438-1,"")</f>
        <v/>
      </c>
      <c r="AD436" s="59" t="str">
        <f>IFERROR(Inv_SY!R438/Inv_SY!$Z438-1,"")</f>
        <v/>
      </c>
      <c r="AE436" s="59" t="str">
        <f>IFERROR(Inv_SY!S438/Inv_SY!$Z438-1,"")</f>
        <v/>
      </c>
      <c r="AF436" s="59" t="str">
        <f>IFERROR(Inv_SY!T438/Inv_SY!$Z438-1,"")</f>
        <v/>
      </c>
      <c r="AG436" s="59" t="str">
        <f>IFERROR(Inv_SY!U438/Inv_SY!$Z438-1,"")</f>
        <v/>
      </c>
      <c r="AH436" s="59" t="str">
        <f>IFERROR(Inv_SY!V438/Inv_SY!$Y438-1,"")</f>
        <v/>
      </c>
      <c r="AI436" s="59" t="str">
        <f>IFERROR(Inv_SY!W438/Inv_SY!$Y438-1,"")</f>
        <v/>
      </c>
      <c r="AJ436" s="59" t="str">
        <f>IFERROR(Inv_SY!X438/Inv_SY!$Y438-1,"")</f>
        <v/>
      </c>
      <c r="AK436" s="59" t="str">
        <f>IFERROR(Inv_SY!V438/Inv_SY!$Z438-1,"")</f>
        <v/>
      </c>
      <c r="AL436" s="59" t="str">
        <f>IFERROR(Inv_SY!W438/Inv_SY!$Z438-1,"")</f>
        <v/>
      </c>
      <c r="AM436" s="59" t="str">
        <f>IFERROR(Inv_SY!X438/Inv_SY!$Z438-1,"")</f>
        <v/>
      </c>
    </row>
    <row r="437" spans="1:39" x14ac:dyDescent="0.3">
      <c r="A437" s="55">
        <f>YEAR(Table5[[#This Row],[Date]])+IF(MONTH(Table5[[#This Row],[Date]])&gt;=4,1,0)</f>
        <v>2027</v>
      </c>
      <c r="B437" s="55">
        <v>397</v>
      </c>
      <c r="C437" s="124">
        <f>YEAR(Table5[[#This Row],[Date]])</f>
        <v>2026</v>
      </c>
      <c r="D437" s="55" t="s">
        <v>329</v>
      </c>
      <c r="E437" s="55" t="s">
        <v>329</v>
      </c>
      <c r="F437" s="126" t="str">
        <f>TEXT(Table5[[#This Row],[Date]],"mmm-yy")</f>
        <v>Jun-26</v>
      </c>
      <c r="G437" s="124">
        <f t="shared" si="17"/>
        <v>30</v>
      </c>
      <c r="H437" s="125">
        <f t="shared" si="16"/>
        <v>46180</v>
      </c>
      <c r="I437" s="55">
        <v>8.02</v>
      </c>
      <c r="J437" s="59" t="str">
        <f>IFERROR(Inv_SY!J439/Inv_SY!$Y439-1,"")</f>
        <v/>
      </c>
      <c r="K437" s="59" t="str">
        <f>IFERROR(Inv_SY!K439/Inv_SY!$Y439-1,"")</f>
        <v/>
      </c>
      <c r="L437" s="59" t="str">
        <f>IFERROR(Inv_SY!L439/Inv_SY!$Y439-1,"")</f>
        <v/>
      </c>
      <c r="M437" s="59" t="str">
        <f>IFERROR(Inv_SY!M439/Inv_SY!$Y439-1,"")</f>
        <v/>
      </c>
      <c r="N437" s="59" t="str">
        <f>IFERROR(Inv_SY!N439/Inv_SY!$Y439-1,"")</f>
        <v/>
      </c>
      <c r="O437" s="59" t="str">
        <f>IFERROR(Inv_SY!O439/Inv_SY!$Y439-1,"")</f>
        <v/>
      </c>
      <c r="P437" s="59" t="str">
        <f>IFERROR(Inv_SY!P439/Inv_SY!$Y439-1,"")</f>
        <v/>
      </c>
      <c r="Q437" s="59" t="str">
        <f>IFERROR(Inv_SY!Q439/Inv_SY!$Y439-1,"")</f>
        <v/>
      </c>
      <c r="R437" s="59" t="str">
        <f>IFERROR(Inv_SY!R439/Inv_SY!$Y439-1,"")</f>
        <v/>
      </c>
      <c r="S437" s="59" t="str">
        <f>IFERROR(Inv_SY!S439/Inv_SY!$Y439-1,"")</f>
        <v/>
      </c>
      <c r="T437" s="59" t="str">
        <f>IFERROR(Inv_SY!T439/Inv_SY!$Y439-1,"")</f>
        <v/>
      </c>
      <c r="U437" s="59" t="str">
        <f>IFERROR(Inv_SY!U439/Inv_SY!$Y439-1,"")</f>
        <v/>
      </c>
      <c r="V437" s="59" t="str">
        <f>IFERROR(Inv_SY!J439/Inv_SY!$Z439-1,"")</f>
        <v/>
      </c>
      <c r="W437" s="59" t="str">
        <f>IFERROR(Inv_SY!K439/Inv_SY!$Z439-1,"")</f>
        <v/>
      </c>
      <c r="X437" s="59" t="str">
        <f>IFERROR(Inv_SY!L439/Inv_SY!$Z439-1,"")</f>
        <v/>
      </c>
      <c r="Y437" s="59" t="str">
        <f>IFERROR(Inv_SY!M439/Inv_SY!$Z439-1,"")</f>
        <v/>
      </c>
      <c r="Z437" s="59" t="str">
        <f>IFERROR(Inv_SY!N439/Inv_SY!$Z439-1,"")</f>
        <v/>
      </c>
      <c r="AA437" s="59" t="str">
        <f>IFERROR(Inv_SY!O439/Inv_SY!$Z439-1,"")</f>
        <v/>
      </c>
      <c r="AB437" s="59" t="str">
        <f>IFERROR(Inv_SY!P439/Inv_SY!$Z439-1,"")</f>
        <v/>
      </c>
      <c r="AC437" s="59" t="str">
        <f>IFERROR(Inv_SY!Q439/Inv_SY!$Z439-1,"")</f>
        <v/>
      </c>
      <c r="AD437" s="59" t="str">
        <f>IFERROR(Inv_SY!R439/Inv_SY!$Z439-1,"")</f>
        <v/>
      </c>
      <c r="AE437" s="59" t="str">
        <f>IFERROR(Inv_SY!S439/Inv_SY!$Z439-1,"")</f>
        <v/>
      </c>
      <c r="AF437" s="59" t="str">
        <f>IFERROR(Inv_SY!T439/Inv_SY!$Z439-1,"")</f>
        <v/>
      </c>
      <c r="AG437" s="59" t="str">
        <f>IFERROR(Inv_SY!U439/Inv_SY!$Z439-1,"")</f>
        <v/>
      </c>
      <c r="AH437" s="59" t="str">
        <f>IFERROR(Inv_SY!V439/Inv_SY!$Y439-1,"")</f>
        <v/>
      </c>
      <c r="AI437" s="59" t="str">
        <f>IFERROR(Inv_SY!W439/Inv_SY!$Y439-1,"")</f>
        <v/>
      </c>
      <c r="AJ437" s="59" t="str">
        <f>IFERROR(Inv_SY!X439/Inv_SY!$Y439-1,"")</f>
        <v/>
      </c>
      <c r="AK437" s="59" t="str">
        <f>IFERROR(Inv_SY!V439/Inv_SY!$Z439-1,"")</f>
        <v/>
      </c>
      <c r="AL437" s="59" t="str">
        <f>IFERROR(Inv_SY!W439/Inv_SY!$Z439-1,"")</f>
        <v/>
      </c>
      <c r="AM437" s="59" t="str">
        <f>IFERROR(Inv_SY!X439/Inv_SY!$Z439-1,"")</f>
        <v/>
      </c>
    </row>
    <row r="438" spans="1:39" x14ac:dyDescent="0.3">
      <c r="A438" s="55">
        <f>YEAR(Table5[[#This Row],[Date]])+IF(MONTH(Table5[[#This Row],[Date]])&gt;=4,1,0)</f>
        <v>2027</v>
      </c>
      <c r="B438" s="55">
        <v>398</v>
      </c>
      <c r="C438" s="124">
        <f>YEAR(Table5[[#This Row],[Date]])</f>
        <v>2026</v>
      </c>
      <c r="D438" s="55" t="s">
        <v>329</v>
      </c>
      <c r="E438" s="55" t="s">
        <v>329</v>
      </c>
      <c r="F438" s="126" t="str">
        <f>TEXT(Table5[[#This Row],[Date]],"mmm-yy")</f>
        <v>Jun-26</v>
      </c>
      <c r="G438" s="124">
        <f t="shared" si="17"/>
        <v>30</v>
      </c>
      <c r="H438" s="125">
        <f t="shared" si="16"/>
        <v>46181</v>
      </c>
      <c r="I438" s="55">
        <v>8.02</v>
      </c>
      <c r="J438" s="59" t="str">
        <f>IFERROR(Inv_SY!J440/Inv_SY!$Y440-1,"")</f>
        <v/>
      </c>
      <c r="K438" s="59" t="str">
        <f>IFERROR(Inv_SY!K440/Inv_SY!$Y440-1,"")</f>
        <v/>
      </c>
      <c r="L438" s="59" t="str">
        <f>IFERROR(Inv_SY!L440/Inv_SY!$Y440-1,"")</f>
        <v/>
      </c>
      <c r="M438" s="59" t="str">
        <f>IFERROR(Inv_SY!M440/Inv_SY!$Y440-1,"")</f>
        <v/>
      </c>
      <c r="N438" s="59" t="str">
        <f>IFERROR(Inv_SY!N440/Inv_SY!$Y440-1,"")</f>
        <v/>
      </c>
      <c r="O438" s="59" t="str">
        <f>IFERROR(Inv_SY!O440/Inv_SY!$Y440-1,"")</f>
        <v/>
      </c>
      <c r="P438" s="59" t="str">
        <f>IFERROR(Inv_SY!P440/Inv_SY!$Y440-1,"")</f>
        <v/>
      </c>
      <c r="Q438" s="59" t="str">
        <f>IFERROR(Inv_SY!Q440/Inv_SY!$Y440-1,"")</f>
        <v/>
      </c>
      <c r="R438" s="59" t="str">
        <f>IFERROR(Inv_SY!R440/Inv_SY!$Y440-1,"")</f>
        <v/>
      </c>
      <c r="S438" s="59" t="str">
        <f>IFERROR(Inv_SY!S440/Inv_SY!$Y440-1,"")</f>
        <v/>
      </c>
      <c r="T438" s="59" t="str">
        <f>IFERROR(Inv_SY!T440/Inv_SY!$Y440-1,"")</f>
        <v/>
      </c>
      <c r="U438" s="59" t="str">
        <f>IFERROR(Inv_SY!U440/Inv_SY!$Y440-1,"")</f>
        <v/>
      </c>
      <c r="V438" s="59" t="str">
        <f>IFERROR(Inv_SY!J440/Inv_SY!$Z440-1,"")</f>
        <v/>
      </c>
      <c r="W438" s="59" t="str">
        <f>IFERROR(Inv_SY!K440/Inv_SY!$Z440-1,"")</f>
        <v/>
      </c>
      <c r="X438" s="59" t="str">
        <f>IFERROR(Inv_SY!L440/Inv_SY!$Z440-1,"")</f>
        <v/>
      </c>
      <c r="Y438" s="59" t="str">
        <f>IFERROR(Inv_SY!M440/Inv_SY!$Z440-1,"")</f>
        <v/>
      </c>
      <c r="Z438" s="59" t="str">
        <f>IFERROR(Inv_SY!N440/Inv_SY!$Z440-1,"")</f>
        <v/>
      </c>
      <c r="AA438" s="59" t="str">
        <f>IFERROR(Inv_SY!O440/Inv_SY!$Z440-1,"")</f>
        <v/>
      </c>
      <c r="AB438" s="59" t="str">
        <f>IFERROR(Inv_SY!P440/Inv_SY!$Z440-1,"")</f>
        <v/>
      </c>
      <c r="AC438" s="59" t="str">
        <f>IFERROR(Inv_SY!Q440/Inv_SY!$Z440-1,"")</f>
        <v/>
      </c>
      <c r="AD438" s="59" t="str">
        <f>IFERROR(Inv_SY!R440/Inv_SY!$Z440-1,"")</f>
        <v/>
      </c>
      <c r="AE438" s="59" t="str">
        <f>IFERROR(Inv_SY!S440/Inv_SY!$Z440-1,"")</f>
        <v/>
      </c>
      <c r="AF438" s="59" t="str">
        <f>IFERROR(Inv_SY!T440/Inv_SY!$Z440-1,"")</f>
        <v/>
      </c>
      <c r="AG438" s="59" t="str">
        <f>IFERROR(Inv_SY!U440/Inv_SY!$Z440-1,"")</f>
        <v/>
      </c>
      <c r="AH438" s="59" t="str">
        <f>IFERROR(Inv_SY!V440/Inv_SY!$Y440-1,"")</f>
        <v/>
      </c>
      <c r="AI438" s="59" t="str">
        <f>IFERROR(Inv_SY!W440/Inv_SY!$Y440-1,"")</f>
        <v/>
      </c>
      <c r="AJ438" s="59" t="str">
        <f>IFERROR(Inv_SY!X440/Inv_SY!$Y440-1,"")</f>
        <v/>
      </c>
      <c r="AK438" s="59" t="str">
        <f>IFERROR(Inv_SY!V440/Inv_SY!$Z440-1,"")</f>
        <v/>
      </c>
      <c r="AL438" s="59" t="str">
        <f>IFERROR(Inv_SY!W440/Inv_SY!$Z440-1,"")</f>
        <v/>
      </c>
      <c r="AM438" s="59" t="str">
        <f>IFERROR(Inv_SY!X440/Inv_SY!$Z440-1,"")</f>
        <v/>
      </c>
    </row>
    <row r="439" spans="1:39" x14ac:dyDescent="0.3">
      <c r="A439" s="55">
        <f>YEAR(Table5[[#This Row],[Date]])+IF(MONTH(Table5[[#This Row],[Date]])&gt;=4,1,0)</f>
        <v>2027</v>
      </c>
      <c r="B439" s="55">
        <v>399</v>
      </c>
      <c r="C439" s="124">
        <f>YEAR(Table5[[#This Row],[Date]])</f>
        <v>2026</v>
      </c>
      <c r="D439" s="55" t="s">
        <v>329</v>
      </c>
      <c r="E439" s="55" t="s">
        <v>329</v>
      </c>
      <c r="F439" s="126" t="str">
        <f>TEXT(Table5[[#This Row],[Date]],"mmm-yy")</f>
        <v>Jun-26</v>
      </c>
      <c r="G439" s="124">
        <f t="shared" si="17"/>
        <v>30</v>
      </c>
      <c r="H439" s="125">
        <f t="shared" si="16"/>
        <v>46182</v>
      </c>
      <c r="I439" s="55">
        <v>8.02</v>
      </c>
      <c r="J439" s="59" t="str">
        <f>IFERROR(Inv_SY!J441/Inv_SY!$Y441-1,"")</f>
        <v/>
      </c>
      <c r="K439" s="59" t="str">
        <f>IFERROR(Inv_SY!K441/Inv_SY!$Y441-1,"")</f>
        <v/>
      </c>
      <c r="L439" s="59" t="str">
        <f>IFERROR(Inv_SY!L441/Inv_SY!$Y441-1,"")</f>
        <v/>
      </c>
      <c r="M439" s="59" t="str">
        <f>IFERROR(Inv_SY!M441/Inv_SY!$Y441-1,"")</f>
        <v/>
      </c>
      <c r="N439" s="59" t="str">
        <f>IFERROR(Inv_SY!N441/Inv_SY!$Y441-1,"")</f>
        <v/>
      </c>
      <c r="O439" s="59" t="str">
        <f>IFERROR(Inv_SY!O441/Inv_SY!$Y441-1,"")</f>
        <v/>
      </c>
      <c r="P439" s="59" t="str">
        <f>IFERROR(Inv_SY!P441/Inv_SY!$Y441-1,"")</f>
        <v/>
      </c>
      <c r="Q439" s="59" t="str">
        <f>IFERROR(Inv_SY!Q441/Inv_SY!$Y441-1,"")</f>
        <v/>
      </c>
      <c r="R439" s="59" t="str">
        <f>IFERROR(Inv_SY!R441/Inv_SY!$Y441-1,"")</f>
        <v/>
      </c>
      <c r="S439" s="59" t="str">
        <f>IFERROR(Inv_SY!S441/Inv_SY!$Y441-1,"")</f>
        <v/>
      </c>
      <c r="T439" s="59" t="str">
        <f>IFERROR(Inv_SY!T441/Inv_SY!$Y441-1,"")</f>
        <v/>
      </c>
      <c r="U439" s="59" t="str">
        <f>IFERROR(Inv_SY!U441/Inv_SY!$Y441-1,"")</f>
        <v/>
      </c>
      <c r="V439" s="59" t="str">
        <f>IFERROR(Inv_SY!J441/Inv_SY!$Z441-1,"")</f>
        <v/>
      </c>
      <c r="W439" s="59" t="str">
        <f>IFERROR(Inv_SY!K441/Inv_SY!$Z441-1,"")</f>
        <v/>
      </c>
      <c r="X439" s="59" t="str">
        <f>IFERROR(Inv_SY!L441/Inv_SY!$Z441-1,"")</f>
        <v/>
      </c>
      <c r="Y439" s="59" t="str">
        <f>IFERROR(Inv_SY!M441/Inv_SY!$Z441-1,"")</f>
        <v/>
      </c>
      <c r="Z439" s="59" t="str">
        <f>IFERROR(Inv_SY!N441/Inv_SY!$Z441-1,"")</f>
        <v/>
      </c>
      <c r="AA439" s="59" t="str">
        <f>IFERROR(Inv_SY!O441/Inv_SY!$Z441-1,"")</f>
        <v/>
      </c>
      <c r="AB439" s="59" t="str">
        <f>IFERROR(Inv_SY!P441/Inv_SY!$Z441-1,"")</f>
        <v/>
      </c>
      <c r="AC439" s="59" t="str">
        <f>IFERROR(Inv_SY!Q441/Inv_SY!$Z441-1,"")</f>
        <v/>
      </c>
      <c r="AD439" s="59" t="str">
        <f>IFERROR(Inv_SY!R441/Inv_SY!$Z441-1,"")</f>
        <v/>
      </c>
      <c r="AE439" s="59" t="str">
        <f>IFERROR(Inv_SY!S441/Inv_SY!$Z441-1,"")</f>
        <v/>
      </c>
      <c r="AF439" s="59" t="str">
        <f>IFERROR(Inv_SY!T441/Inv_SY!$Z441-1,"")</f>
        <v/>
      </c>
      <c r="AG439" s="59" t="str">
        <f>IFERROR(Inv_SY!U441/Inv_SY!$Z441-1,"")</f>
        <v/>
      </c>
      <c r="AH439" s="59" t="str">
        <f>IFERROR(Inv_SY!V441/Inv_SY!$Y441-1,"")</f>
        <v/>
      </c>
      <c r="AI439" s="59" t="str">
        <f>IFERROR(Inv_SY!W441/Inv_SY!$Y441-1,"")</f>
        <v/>
      </c>
      <c r="AJ439" s="59" t="str">
        <f>IFERROR(Inv_SY!X441/Inv_SY!$Y441-1,"")</f>
        <v/>
      </c>
      <c r="AK439" s="59" t="str">
        <f>IFERROR(Inv_SY!V441/Inv_SY!$Z441-1,"")</f>
        <v/>
      </c>
      <c r="AL439" s="59" t="str">
        <f>IFERROR(Inv_SY!W441/Inv_SY!$Z441-1,"")</f>
        <v/>
      </c>
      <c r="AM439" s="59" t="str">
        <f>IFERROR(Inv_SY!X441/Inv_SY!$Z441-1,"")</f>
        <v/>
      </c>
    </row>
    <row r="440" spans="1:39" x14ac:dyDescent="0.3">
      <c r="A440" s="55">
        <f>YEAR(Table5[[#This Row],[Date]])+IF(MONTH(Table5[[#This Row],[Date]])&gt;=4,1,0)</f>
        <v>2027</v>
      </c>
      <c r="B440" s="55">
        <v>400</v>
      </c>
      <c r="C440" s="124">
        <f>YEAR(Table5[[#This Row],[Date]])</f>
        <v>2026</v>
      </c>
      <c r="D440" s="55" t="s">
        <v>329</v>
      </c>
      <c r="E440" s="55" t="s">
        <v>329</v>
      </c>
      <c r="F440" s="126" t="str">
        <f>TEXT(Table5[[#This Row],[Date]],"mmm-yy")</f>
        <v>Jun-26</v>
      </c>
      <c r="G440" s="124">
        <f t="shared" si="17"/>
        <v>30</v>
      </c>
      <c r="H440" s="125">
        <f t="shared" si="16"/>
        <v>46183</v>
      </c>
      <c r="I440" s="55">
        <v>8.02</v>
      </c>
      <c r="J440" s="59" t="str">
        <f>IFERROR(Inv_SY!J442/Inv_SY!$Y442-1,"")</f>
        <v/>
      </c>
      <c r="K440" s="59" t="str">
        <f>IFERROR(Inv_SY!K442/Inv_SY!$Y442-1,"")</f>
        <v/>
      </c>
      <c r="L440" s="59" t="str">
        <f>IFERROR(Inv_SY!L442/Inv_SY!$Y442-1,"")</f>
        <v/>
      </c>
      <c r="M440" s="59" t="str">
        <f>IFERROR(Inv_SY!M442/Inv_SY!$Y442-1,"")</f>
        <v/>
      </c>
      <c r="N440" s="59" t="str">
        <f>IFERROR(Inv_SY!N442/Inv_SY!$Y442-1,"")</f>
        <v/>
      </c>
      <c r="O440" s="59" t="str">
        <f>IFERROR(Inv_SY!O442/Inv_SY!$Y442-1,"")</f>
        <v/>
      </c>
      <c r="P440" s="59" t="str">
        <f>IFERROR(Inv_SY!P442/Inv_SY!$Y442-1,"")</f>
        <v/>
      </c>
      <c r="Q440" s="59" t="str">
        <f>IFERROR(Inv_SY!Q442/Inv_SY!$Y442-1,"")</f>
        <v/>
      </c>
      <c r="R440" s="59" t="str">
        <f>IFERROR(Inv_SY!R442/Inv_SY!$Y442-1,"")</f>
        <v/>
      </c>
      <c r="S440" s="59" t="str">
        <f>IFERROR(Inv_SY!S442/Inv_SY!$Y442-1,"")</f>
        <v/>
      </c>
      <c r="T440" s="59" t="str">
        <f>IFERROR(Inv_SY!T442/Inv_SY!$Y442-1,"")</f>
        <v/>
      </c>
      <c r="U440" s="59" t="str">
        <f>IFERROR(Inv_SY!U442/Inv_SY!$Y442-1,"")</f>
        <v/>
      </c>
      <c r="V440" s="59" t="str">
        <f>IFERROR(Inv_SY!J442/Inv_SY!$Z442-1,"")</f>
        <v/>
      </c>
      <c r="W440" s="59" t="str">
        <f>IFERROR(Inv_SY!K442/Inv_SY!$Z442-1,"")</f>
        <v/>
      </c>
      <c r="X440" s="59" t="str">
        <f>IFERROR(Inv_SY!L442/Inv_SY!$Z442-1,"")</f>
        <v/>
      </c>
      <c r="Y440" s="59" t="str">
        <f>IFERROR(Inv_SY!M442/Inv_SY!$Z442-1,"")</f>
        <v/>
      </c>
      <c r="Z440" s="59" t="str">
        <f>IFERROR(Inv_SY!N442/Inv_SY!$Z442-1,"")</f>
        <v/>
      </c>
      <c r="AA440" s="59" t="str">
        <f>IFERROR(Inv_SY!O442/Inv_SY!$Z442-1,"")</f>
        <v/>
      </c>
      <c r="AB440" s="59" t="str">
        <f>IFERROR(Inv_SY!P442/Inv_SY!$Z442-1,"")</f>
        <v/>
      </c>
      <c r="AC440" s="59" t="str">
        <f>IFERROR(Inv_SY!Q442/Inv_SY!$Z442-1,"")</f>
        <v/>
      </c>
      <c r="AD440" s="59" t="str">
        <f>IFERROR(Inv_SY!R442/Inv_SY!$Z442-1,"")</f>
        <v/>
      </c>
      <c r="AE440" s="59" t="str">
        <f>IFERROR(Inv_SY!S442/Inv_SY!$Z442-1,"")</f>
        <v/>
      </c>
      <c r="AF440" s="59" t="str">
        <f>IFERROR(Inv_SY!T442/Inv_SY!$Z442-1,"")</f>
        <v/>
      </c>
      <c r="AG440" s="59" t="str">
        <f>IFERROR(Inv_SY!U442/Inv_SY!$Z442-1,"")</f>
        <v/>
      </c>
      <c r="AH440" s="59" t="str">
        <f>IFERROR(Inv_SY!V442/Inv_SY!$Y442-1,"")</f>
        <v/>
      </c>
      <c r="AI440" s="59" t="str">
        <f>IFERROR(Inv_SY!W442/Inv_SY!$Y442-1,"")</f>
        <v/>
      </c>
      <c r="AJ440" s="59" t="str">
        <f>IFERROR(Inv_SY!X442/Inv_SY!$Y442-1,"")</f>
        <v/>
      </c>
      <c r="AK440" s="59" t="str">
        <f>IFERROR(Inv_SY!V442/Inv_SY!$Z442-1,"")</f>
        <v/>
      </c>
      <c r="AL440" s="59" t="str">
        <f>IFERROR(Inv_SY!W442/Inv_SY!$Z442-1,"")</f>
        <v/>
      </c>
      <c r="AM440" s="59" t="str">
        <f>IFERROR(Inv_SY!X442/Inv_SY!$Z442-1,"")</f>
        <v/>
      </c>
    </row>
    <row r="441" spans="1:39" x14ac:dyDescent="0.3">
      <c r="A441" s="55">
        <f>YEAR(Table5[[#This Row],[Date]])+IF(MONTH(Table5[[#This Row],[Date]])&gt;=4,1,0)</f>
        <v>2027</v>
      </c>
      <c r="B441" s="55">
        <v>401</v>
      </c>
      <c r="C441" s="124">
        <f>YEAR(Table5[[#This Row],[Date]])</f>
        <v>2026</v>
      </c>
      <c r="D441" s="55" t="s">
        <v>329</v>
      </c>
      <c r="E441" s="55" t="s">
        <v>329</v>
      </c>
      <c r="F441" s="126" t="str">
        <f>TEXT(Table5[[#This Row],[Date]],"mmm-yy")</f>
        <v>Jun-26</v>
      </c>
      <c r="G441" s="124">
        <f t="shared" si="17"/>
        <v>30</v>
      </c>
      <c r="H441" s="125">
        <f t="shared" si="16"/>
        <v>46184</v>
      </c>
      <c r="I441" s="55">
        <v>8.02</v>
      </c>
      <c r="J441" s="59" t="str">
        <f>IFERROR(Inv_SY!J443/Inv_SY!$Y443-1,"")</f>
        <v/>
      </c>
      <c r="K441" s="59" t="str">
        <f>IFERROR(Inv_SY!K443/Inv_SY!$Y443-1,"")</f>
        <v/>
      </c>
      <c r="L441" s="59" t="str">
        <f>IFERROR(Inv_SY!L443/Inv_SY!$Y443-1,"")</f>
        <v/>
      </c>
      <c r="M441" s="59" t="str">
        <f>IFERROR(Inv_SY!M443/Inv_SY!$Y443-1,"")</f>
        <v/>
      </c>
      <c r="N441" s="59" t="str">
        <f>IFERROR(Inv_SY!N443/Inv_SY!$Y443-1,"")</f>
        <v/>
      </c>
      <c r="O441" s="59" t="str">
        <f>IFERROR(Inv_SY!O443/Inv_SY!$Y443-1,"")</f>
        <v/>
      </c>
      <c r="P441" s="59" t="str">
        <f>IFERROR(Inv_SY!P443/Inv_SY!$Y443-1,"")</f>
        <v/>
      </c>
      <c r="Q441" s="59" t="str">
        <f>IFERROR(Inv_SY!Q443/Inv_SY!$Y443-1,"")</f>
        <v/>
      </c>
      <c r="R441" s="59" t="str">
        <f>IFERROR(Inv_SY!R443/Inv_SY!$Y443-1,"")</f>
        <v/>
      </c>
      <c r="S441" s="59" t="str">
        <f>IFERROR(Inv_SY!S443/Inv_SY!$Y443-1,"")</f>
        <v/>
      </c>
      <c r="T441" s="59" t="str">
        <f>IFERROR(Inv_SY!T443/Inv_SY!$Y443-1,"")</f>
        <v/>
      </c>
      <c r="U441" s="59" t="str">
        <f>IFERROR(Inv_SY!U443/Inv_SY!$Y443-1,"")</f>
        <v/>
      </c>
      <c r="V441" s="59" t="str">
        <f>IFERROR(Inv_SY!J443/Inv_SY!$Z443-1,"")</f>
        <v/>
      </c>
      <c r="W441" s="59" t="str">
        <f>IFERROR(Inv_SY!K443/Inv_SY!$Z443-1,"")</f>
        <v/>
      </c>
      <c r="X441" s="59" t="str">
        <f>IFERROR(Inv_SY!L443/Inv_SY!$Z443-1,"")</f>
        <v/>
      </c>
      <c r="Y441" s="59" t="str">
        <f>IFERROR(Inv_SY!M443/Inv_SY!$Z443-1,"")</f>
        <v/>
      </c>
      <c r="Z441" s="59" t="str">
        <f>IFERROR(Inv_SY!N443/Inv_SY!$Z443-1,"")</f>
        <v/>
      </c>
      <c r="AA441" s="59" t="str">
        <f>IFERROR(Inv_SY!O443/Inv_SY!$Z443-1,"")</f>
        <v/>
      </c>
      <c r="AB441" s="59" t="str">
        <f>IFERROR(Inv_SY!P443/Inv_SY!$Z443-1,"")</f>
        <v/>
      </c>
      <c r="AC441" s="59" t="str">
        <f>IFERROR(Inv_SY!Q443/Inv_SY!$Z443-1,"")</f>
        <v/>
      </c>
      <c r="AD441" s="59" t="str">
        <f>IFERROR(Inv_SY!R443/Inv_SY!$Z443-1,"")</f>
        <v/>
      </c>
      <c r="AE441" s="59" t="str">
        <f>IFERROR(Inv_SY!S443/Inv_SY!$Z443-1,"")</f>
        <v/>
      </c>
      <c r="AF441" s="59" t="str">
        <f>IFERROR(Inv_SY!T443/Inv_SY!$Z443-1,"")</f>
        <v/>
      </c>
      <c r="AG441" s="59" t="str">
        <f>IFERROR(Inv_SY!U443/Inv_SY!$Z443-1,"")</f>
        <v/>
      </c>
      <c r="AH441" s="59" t="str">
        <f>IFERROR(Inv_SY!V443/Inv_SY!$Y443-1,"")</f>
        <v/>
      </c>
      <c r="AI441" s="59" t="str">
        <f>IFERROR(Inv_SY!W443/Inv_SY!$Y443-1,"")</f>
        <v/>
      </c>
      <c r="AJ441" s="59" t="str">
        <f>IFERROR(Inv_SY!X443/Inv_SY!$Y443-1,"")</f>
        <v/>
      </c>
      <c r="AK441" s="59" t="str">
        <f>IFERROR(Inv_SY!V443/Inv_SY!$Z443-1,"")</f>
        <v/>
      </c>
      <c r="AL441" s="59" t="str">
        <f>IFERROR(Inv_SY!W443/Inv_SY!$Z443-1,"")</f>
        <v/>
      </c>
      <c r="AM441" s="59" t="str">
        <f>IFERROR(Inv_SY!X443/Inv_SY!$Z443-1,"")</f>
        <v/>
      </c>
    </row>
    <row r="442" spans="1:39" x14ac:dyDescent="0.3">
      <c r="A442" s="55">
        <f>YEAR(Table5[[#This Row],[Date]])+IF(MONTH(Table5[[#This Row],[Date]])&gt;=4,1,0)</f>
        <v>2027</v>
      </c>
      <c r="B442" s="55">
        <v>402</v>
      </c>
      <c r="C442" s="124">
        <f>YEAR(Table5[[#This Row],[Date]])</f>
        <v>2026</v>
      </c>
      <c r="D442" s="55" t="s">
        <v>329</v>
      </c>
      <c r="E442" s="55" t="s">
        <v>329</v>
      </c>
      <c r="F442" s="126" t="str">
        <f>TEXT(Table5[[#This Row],[Date]],"mmm-yy")</f>
        <v>Jun-26</v>
      </c>
      <c r="G442" s="124">
        <f t="shared" si="17"/>
        <v>30</v>
      </c>
      <c r="H442" s="125">
        <f t="shared" si="16"/>
        <v>46185</v>
      </c>
      <c r="I442" s="55">
        <v>8.02</v>
      </c>
      <c r="J442" s="59" t="str">
        <f>IFERROR(Inv_SY!J444/Inv_SY!$Y444-1,"")</f>
        <v/>
      </c>
      <c r="K442" s="59" t="str">
        <f>IFERROR(Inv_SY!K444/Inv_SY!$Y444-1,"")</f>
        <v/>
      </c>
      <c r="L442" s="59" t="str">
        <f>IFERROR(Inv_SY!L444/Inv_SY!$Y444-1,"")</f>
        <v/>
      </c>
      <c r="M442" s="59" t="str">
        <f>IFERROR(Inv_SY!M444/Inv_SY!$Y444-1,"")</f>
        <v/>
      </c>
      <c r="N442" s="59" t="str">
        <f>IFERROR(Inv_SY!N444/Inv_SY!$Y444-1,"")</f>
        <v/>
      </c>
      <c r="O442" s="59" t="str">
        <f>IFERROR(Inv_SY!O444/Inv_SY!$Y444-1,"")</f>
        <v/>
      </c>
      <c r="P442" s="59" t="str">
        <f>IFERROR(Inv_SY!P444/Inv_SY!$Y444-1,"")</f>
        <v/>
      </c>
      <c r="Q442" s="59" t="str">
        <f>IFERROR(Inv_SY!Q444/Inv_SY!$Y444-1,"")</f>
        <v/>
      </c>
      <c r="R442" s="59" t="str">
        <f>IFERROR(Inv_SY!R444/Inv_SY!$Y444-1,"")</f>
        <v/>
      </c>
      <c r="S442" s="59" t="str">
        <f>IFERROR(Inv_SY!S444/Inv_SY!$Y444-1,"")</f>
        <v/>
      </c>
      <c r="T442" s="59" t="str">
        <f>IFERROR(Inv_SY!T444/Inv_SY!$Y444-1,"")</f>
        <v/>
      </c>
      <c r="U442" s="59" t="str">
        <f>IFERROR(Inv_SY!U444/Inv_SY!$Y444-1,"")</f>
        <v/>
      </c>
      <c r="V442" s="59" t="str">
        <f>IFERROR(Inv_SY!J444/Inv_SY!$Z444-1,"")</f>
        <v/>
      </c>
      <c r="W442" s="59" t="str">
        <f>IFERROR(Inv_SY!K444/Inv_SY!$Z444-1,"")</f>
        <v/>
      </c>
      <c r="X442" s="59" t="str">
        <f>IFERROR(Inv_SY!L444/Inv_SY!$Z444-1,"")</f>
        <v/>
      </c>
      <c r="Y442" s="59" t="str">
        <f>IFERROR(Inv_SY!M444/Inv_SY!$Z444-1,"")</f>
        <v/>
      </c>
      <c r="Z442" s="59" t="str">
        <f>IFERROR(Inv_SY!N444/Inv_SY!$Z444-1,"")</f>
        <v/>
      </c>
      <c r="AA442" s="59" t="str">
        <f>IFERROR(Inv_SY!O444/Inv_SY!$Z444-1,"")</f>
        <v/>
      </c>
      <c r="AB442" s="59" t="str">
        <f>IFERROR(Inv_SY!P444/Inv_SY!$Z444-1,"")</f>
        <v/>
      </c>
      <c r="AC442" s="59" t="str">
        <f>IFERROR(Inv_SY!Q444/Inv_SY!$Z444-1,"")</f>
        <v/>
      </c>
      <c r="AD442" s="59" t="str">
        <f>IFERROR(Inv_SY!R444/Inv_SY!$Z444-1,"")</f>
        <v/>
      </c>
      <c r="AE442" s="59" t="str">
        <f>IFERROR(Inv_SY!S444/Inv_SY!$Z444-1,"")</f>
        <v/>
      </c>
      <c r="AF442" s="59" t="str">
        <f>IFERROR(Inv_SY!T444/Inv_SY!$Z444-1,"")</f>
        <v/>
      </c>
      <c r="AG442" s="59" t="str">
        <f>IFERROR(Inv_SY!U444/Inv_SY!$Z444-1,"")</f>
        <v/>
      </c>
      <c r="AH442" s="59" t="str">
        <f>IFERROR(Inv_SY!V444/Inv_SY!$Y444-1,"")</f>
        <v/>
      </c>
      <c r="AI442" s="59" t="str">
        <f>IFERROR(Inv_SY!W444/Inv_SY!$Y444-1,"")</f>
        <v/>
      </c>
      <c r="AJ442" s="59" t="str">
        <f>IFERROR(Inv_SY!X444/Inv_SY!$Y444-1,"")</f>
        <v/>
      </c>
      <c r="AK442" s="59" t="str">
        <f>IFERROR(Inv_SY!V444/Inv_SY!$Z444-1,"")</f>
        <v/>
      </c>
      <c r="AL442" s="59" t="str">
        <f>IFERROR(Inv_SY!W444/Inv_SY!$Z444-1,"")</f>
        <v/>
      </c>
      <c r="AM442" s="59" t="str">
        <f>IFERROR(Inv_SY!X444/Inv_SY!$Z444-1,"")</f>
        <v/>
      </c>
    </row>
    <row r="443" spans="1:39" x14ac:dyDescent="0.3">
      <c r="A443" s="55">
        <f>YEAR(Table5[[#This Row],[Date]])+IF(MONTH(Table5[[#This Row],[Date]])&gt;=4,1,0)</f>
        <v>2027</v>
      </c>
      <c r="B443" s="55">
        <v>403</v>
      </c>
      <c r="C443" s="124">
        <f>YEAR(Table5[[#This Row],[Date]])</f>
        <v>2026</v>
      </c>
      <c r="D443" s="55" t="s">
        <v>329</v>
      </c>
      <c r="E443" s="55" t="s">
        <v>329</v>
      </c>
      <c r="F443" s="126" t="str">
        <f>TEXT(Table5[[#This Row],[Date]],"mmm-yy")</f>
        <v>Jun-26</v>
      </c>
      <c r="G443" s="124">
        <f t="shared" si="17"/>
        <v>30</v>
      </c>
      <c r="H443" s="125">
        <f t="shared" si="16"/>
        <v>46186</v>
      </c>
      <c r="I443" s="55">
        <v>8.02</v>
      </c>
      <c r="J443" s="59" t="str">
        <f>IFERROR(Inv_SY!J445/Inv_SY!$Y445-1,"")</f>
        <v/>
      </c>
      <c r="K443" s="59" t="str">
        <f>IFERROR(Inv_SY!K445/Inv_SY!$Y445-1,"")</f>
        <v/>
      </c>
      <c r="L443" s="59" t="str">
        <f>IFERROR(Inv_SY!L445/Inv_SY!$Y445-1,"")</f>
        <v/>
      </c>
      <c r="M443" s="59" t="str">
        <f>IFERROR(Inv_SY!M445/Inv_SY!$Y445-1,"")</f>
        <v/>
      </c>
      <c r="N443" s="59" t="str">
        <f>IFERROR(Inv_SY!N445/Inv_SY!$Y445-1,"")</f>
        <v/>
      </c>
      <c r="O443" s="59" t="str">
        <f>IFERROR(Inv_SY!O445/Inv_SY!$Y445-1,"")</f>
        <v/>
      </c>
      <c r="P443" s="59" t="str">
        <f>IFERROR(Inv_SY!P445/Inv_SY!$Y445-1,"")</f>
        <v/>
      </c>
      <c r="Q443" s="59" t="str">
        <f>IFERROR(Inv_SY!Q445/Inv_SY!$Y445-1,"")</f>
        <v/>
      </c>
      <c r="R443" s="59" t="str">
        <f>IFERROR(Inv_SY!R445/Inv_SY!$Y445-1,"")</f>
        <v/>
      </c>
      <c r="S443" s="59" t="str">
        <f>IFERROR(Inv_SY!S445/Inv_SY!$Y445-1,"")</f>
        <v/>
      </c>
      <c r="T443" s="59" t="str">
        <f>IFERROR(Inv_SY!T445/Inv_SY!$Y445-1,"")</f>
        <v/>
      </c>
      <c r="U443" s="59" t="str">
        <f>IFERROR(Inv_SY!U445/Inv_SY!$Y445-1,"")</f>
        <v/>
      </c>
      <c r="V443" s="59" t="str">
        <f>IFERROR(Inv_SY!J445/Inv_SY!$Z445-1,"")</f>
        <v/>
      </c>
      <c r="W443" s="59" t="str">
        <f>IFERROR(Inv_SY!K445/Inv_SY!$Z445-1,"")</f>
        <v/>
      </c>
      <c r="X443" s="59" t="str">
        <f>IFERROR(Inv_SY!L445/Inv_SY!$Z445-1,"")</f>
        <v/>
      </c>
      <c r="Y443" s="59" t="str">
        <f>IFERROR(Inv_SY!M445/Inv_SY!$Z445-1,"")</f>
        <v/>
      </c>
      <c r="Z443" s="59" t="str">
        <f>IFERROR(Inv_SY!N445/Inv_SY!$Z445-1,"")</f>
        <v/>
      </c>
      <c r="AA443" s="59" t="str">
        <f>IFERROR(Inv_SY!O445/Inv_SY!$Z445-1,"")</f>
        <v/>
      </c>
      <c r="AB443" s="59" t="str">
        <f>IFERROR(Inv_SY!P445/Inv_SY!$Z445-1,"")</f>
        <v/>
      </c>
      <c r="AC443" s="59" t="str">
        <f>IFERROR(Inv_SY!Q445/Inv_SY!$Z445-1,"")</f>
        <v/>
      </c>
      <c r="AD443" s="59" t="str">
        <f>IFERROR(Inv_SY!R445/Inv_SY!$Z445-1,"")</f>
        <v/>
      </c>
      <c r="AE443" s="59" t="str">
        <f>IFERROR(Inv_SY!S445/Inv_SY!$Z445-1,"")</f>
        <v/>
      </c>
      <c r="AF443" s="59" t="str">
        <f>IFERROR(Inv_SY!T445/Inv_SY!$Z445-1,"")</f>
        <v/>
      </c>
      <c r="AG443" s="59" t="str">
        <f>IFERROR(Inv_SY!U445/Inv_SY!$Z445-1,"")</f>
        <v/>
      </c>
      <c r="AH443" s="59" t="str">
        <f>IFERROR(Inv_SY!V445/Inv_SY!$Y445-1,"")</f>
        <v/>
      </c>
      <c r="AI443" s="59" t="str">
        <f>IFERROR(Inv_SY!W445/Inv_SY!$Y445-1,"")</f>
        <v/>
      </c>
      <c r="AJ443" s="59" t="str">
        <f>IFERROR(Inv_SY!X445/Inv_SY!$Y445-1,"")</f>
        <v/>
      </c>
      <c r="AK443" s="59" t="str">
        <f>IFERROR(Inv_SY!V445/Inv_SY!$Z445-1,"")</f>
        <v/>
      </c>
      <c r="AL443" s="59" t="str">
        <f>IFERROR(Inv_SY!W445/Inv_SY!$Z445-1,"")</f>
        <v/>
      </c>
      <c r="AM443" s="59" t="str">
        <f>IFERROR(Inv_SY!X445/Inv_SY!$Z445-1,"")</f>
        <v/>
      </c>
    </row>
    <row r="444" spans="1:39" x14ac:dyDescent="0.3">
      <c r="A444" s="55">
        <f>YEAR(Table5[[#This Row],[Date]])+IF(MONTH(Table5[[#This Row],[Date]])&gt;=4,1,0)</f>
        <v>2027</v>
      </c>
      <c r="B444" s="55">
        <v>404</v>
      </c>
      <c r="C444" s="124">
        <f>YEAR(Table5[[#This Row],[Date]])</f>
        <v>2026</v>
      </c>
      <c r="D444" s="55" t="s">
        <v>329</v>
      </c>
      <c r="E444" s="55" t="s">
        <v>329</v>
      </c>
      <c r="F444" s="126" t="str">
        <f>TEXT(Table5[[#This Row],[Date]],"mmm-yy")</f>
        <v>Jun-26</v>
      </c>
      <c r="G444" s="124">
        <f t="shared" si="17"/>
        <v>30</v>
      </c>
      <c r="H444" s="125">
        <f t="shared" si="16"/>
        <v>46187</v>
      </c>
      <c r="I444" s="55">
        <v>8.02</v>
      </c>
      <c r="J444" s="59" t="str">
        <f>IFERROR(Inv_SY!J446/Inv_SY!$Y446-1,"")</f>
        <v/>
      </c>
      <c r="K444" s="59" t="str">
        <f>IFERROR(Inv_SY!K446/Inv_SY!$Y446-1,"")</f>
        <v/>
      </c>
      <c r="L444" s="59" t="str">
        <f>IFERROR(Inv_SY!L446/Inv_SY!$Y446-1,"")</f>
        <v/>
      </c>
      <c r="M444" s="59" t="str">
        <f>IFERROR(Inv_SY!M446/Inv_SY!$Y446-1,"")</f>
        <v/>
      </c>
      <c r="N444" s="59" t="str">
        <f>IFERROR(Inv_SY!N446/Inv_SY!$Y446-1,"")</f>
        <v/>
      </c>
      <c r="O444" s="59" t="str">
        <f>IFERROR(Inv_SY!O446/Inv_SY!$Y446-1,"")</f>
        <v/>
      </c>
      <c r="P444" s="59" t="str">
        <f>IFERROR(Inv_SY!P446/Inv_SY!$Y446-1,"")</f>
        <v/>
      </c>
      <c r="Q444" s="59" t="str">
        <f>IFERROR(Inv_SY!Q446/Inv_SY!$Y446-1,"")</f>
        <v/>
      </c>
      <c r="R444" s="59" t="str">
        <f>IFERROR(Inv_SY!R446/Inv_SY!$Y446-1,"")</f>
        <v/>
      </c>
      <c r="S444" s="59" t="str">
        <f>IFERROR(Inv_SY!S446/Inv_SY!$Y446-1,"")</f>
        <v/>
      </c>
      <c r="T444" s="59" t="str">
        <f>IFERROR(Inv_SY!T446/Inv_SY!$Y446-1,"")</f>
        <v/>
      </c>
      <c r="U444" s="59" t="str">
        <f>IFERROR(Inv_SY!U446/Inv_SY!$Y446-1,"")</f>
        <v/>
      </c>
      <c r="V444" s="59" t="str">
        <f>IFERROR(Inv_SY!J446/Inv_SY!$Z446-1,"")</f>
        <v/>
      </c>
      <c r="W444" s="59" t="str">
        <f>IFERROR(Inv_SY!K446/Inv_SY!$Z446-1,"")</f>
        <v/>
      </c>
      <c r="X444" s="59" t="str">
        <f>IFERROR(Inv_SY!L446/Inv_SY!$Z446-1,"")</f>
        <v/>
      </c>
      <c r="Y444" s="59" t="str">
        <f>IFERROR(Inv_SY!M446/Inv_SY!$Z446-1,"")</f>
        <v/>
      </c>
      <c r="Z444" s="59" t="str">
        <f>IFERROR(Inv_SY!N446/Inv_SY!$Z446-1,"")</f>
        <v/>
      </c>
      <c r="AA444" s="59" t="str">
        <f>IFERROR(Inv_SY!O446/Inv_SY!$Z446-1,"")</f>
        <v/>
      </c>
      <c r="AB444" s="59" t="str">
        <f>IFERROR(Inv_SY!P446/Inv_SY!$Z446-1,"")</f>
        <v/>
      </c>
      <c r="AC444" s="59" t="str">
        <f>IFERROR(Inv_SY!Q446/Inv_SY!$Z446-1,"")</f>
        <v/>
      </c>
      <c r="AD444" s="59" t="str">
        <f>IFERROR(Inv_SY!R446/Inv_SY!$Z446-1,"")</f>
        <v/>
      </c>
      <c r="AE444" s="59" t="str">
        <f>IFERROR(Inv_SY!S446/Inv_SY!$Z446-1,"")</f>
        <v/>
      </c>
      <c r="AF444" s="59" t="str">
        <f>IFERROR(Inv_SY!T446/Inv_SY!$Z446-1,"")</f>
        <v/>
      </c>
      <c r="AG444" s="59" t="str">
        <f>IFERROR(Inv_SY!U446/Inv_SY!$Z446-1,"")</f>
        <v/>
      </c>
      <c r="AH444" s="59" t="str">
        <f>IFERROR(Inv_SY!V446/Inv_SY!$Y446-1,"")</f>
        <v/>
      </c>
      <c r="AI444" s="59" t="str">
        <f>IFERROR(Inv_SY!W446/Inv_SY!$Y446-1,"")</f>
        <v/>
      </c>
      <c r="AJ444" s="59" t="str">
        <f>IFERROR(Inv_SY!X446/Inv_SY!$Y446-1,"")</f>
        <v/>
      </c>
      <c r="AK444" s="59" t="str">
        <f>IFERROR(Inv_SY!V446/Inv_SY!$Z446-1,"")</f>
        <v/>
      </c>
      <c r="AL444" s="59" t="str">
        <f>IFERROR(Inv_SY!W446/Inv_SY!$Z446-1,"")</f>
        <v/>
      </c>
      <c r="AM444" s="59" t="str">
        <f>IFERROR(Inv_SY!X446/Inv_SY!$Z446-1,"")</f>
        <v/>
      </c>
    </row>
    <row r="445" spans="1:39" x14ac:dyDescent="0.3">
      <c r="A445" s="55">
        <f>YEAR(Table5[[#This Row],[Date]])+IF(MONTH(Table5[[#This Row],[Date]])&gt;=4,1,0)</f>
        <v>2027</v>
      </c>
      <c r="B445" s="55">
        <v>405</v>
      </c>
      <c r="C445" s="124">
        <f>YEAR(Table5[[#This Row],[Date]])</f>
        <v>2026</v>
      </c>
      <c r="D445" s="55" t="s">
        <v>329</v>
      </c>
      <c r="E445" s="55" t="s">
        <v>329</v>
      </c>
      <c r="F445" s="126" t="str">
        <f>TEXT(Table5[[#This Row],[Date]],"mmm-yy")</f>
        <v>Jun-26</v>
      </c>
      <c r="G445" s="124">
        <f t="shared" si="17"/>
        <v>30</v>
      </c>
      <c r="H445" s="125">
        <f t="shared" si="16"/>
        <v>46188</v>
      </c>
      <c r="I445" s="55">
        <v>8.02</v>
      </c>
      <c r="J445" s="59" t="str">
        <f>IFERROR(Inv_SY!J447/Inv_SY!$Y447-1,"")</f>
        <v/>
      </c>
      <c r="K445" s="59" t="str">
        <f>IFERROR(Inv_SY!K447/Inv_SY!$Y447-1,"")</f>
        <v/>
      </c>
      <c r="L445" s="59" t="str">
        <f>IFERROR(Inv_SY!L447/Inv_SY!$Y447-1,"")</f>
        <v/>
      </c>
      <c r="M445" s="59" t="str">
        <f>IFERROR(Inv_SY!M447/Inv_SY!$Y447-1,"")</f>
        <v/>
      </c>
      <c r="N445" s="59" t="str">
        <f>IFERROR(Inv_SY!N447/Inv_SY!$Y447-1,"")</f>
        <v/>
      </c>
      <c r="O445" s="59" t="str">
        <f>IFERROR(Inv_SY!O447/Inv_SY!$Y447-1,"")</f>
        <v/>
      </c>
      <c r="P445" s="59" t="str">
        <f>IFERROR(Inv_SY!P447/Inv_SY!$Y447-1,"")</f>
        <v/>
      </c>
      <c r="Q445" s="59" t="str">
        <f>IFERROR(Inv_SY!Q447/Inv_SY!$Y447-1,"")</f>
        <v/>
      </c>
      <c r="R445" s="59" t="str">
        <f>IFERROR(Inv_SY!R447/Inv_SY!$Y447-1,"")</f>
        <v/>
      </c>
      <c r="S445" s="59" t="str">
        <f>IFERROR(Inv_SY!S447/Inv_SY!$Y447-1,"")</f>
        <v/>
      </c>
      <c r="T445" s="59" t="str">
        <f>IFERROR(Inv_SY!T447/Inv_SY!$Y447-1,"")</f>
        <v/>
      </c>
      <c r="U445" s="59" t="str">
        <f>IFERROR(Inv_SY!U447/Inv_SY!$Y447-1,"")</f>
        <v/>
      </c>
      <c r="V445" s="59" t="str">
        <f>IFERROR(Inv_SY!J447/Inv_SY!$Z447-1,"")</f>
        <v/>
      </c>
      <c r="W445" s="59" t="str">
        <f>IFERROR(Inv_SY!K447/Inv_SY!$Z447-1,"")</f>
        <v/>
      </c>
      <c r="X445" s="59" t="str">
        <f>IFERROR(Inv_SY!L447/Inv_SY!$Z447-1,"")</f>
        <v/>
      </c>
      <c r="Y445" s="59" t="str">
        <f>IFERROR(Inv_SY!M447/Inv_SY!$Z447-1,"")</f>
        <v/>
      </c>
      <c r="Z445" s="59" t="str">
        <f>IFERROR(Inv_SY!N447/Inv_SY!$Z447-1,"")</f>
        <v/>
      </c>
      <c r="AA445" s="59" t="str">
        <f>IFERROR(Inv_SY!O447/Inv_SY!$Z447-1,"")</f>
        <v/>
      </c>
      <c r="AB445" s="59" t="str">
        <f>IFERROR(Inv_SY!P447/Inv_SY!$Z447-1,"")</f>
        <v/>
      </c>
      <c r="AC445" s="59" t="str">
        <f>IFERROR(Inv_SY!Q447/Inv_SY!$Z447-1,"")</f>
        <v/>
      </c>
      <c r="AD445" s="59" t="str">
        <f>IFERROR(Inv_SY!R447/Inv_SY!$Z447-1,"")</f>
        <v/>
      </c>
      <c r="AE445" s="59" t="str">
        <f>IFERROR(Inv_SY!S447/Inv_SY!$Z447-1,"")</f>
        <v/>
      </c>
      <c r="AF445" s="59" t="str">
        <f>IFERROR(Inv_SY!T447/Inv_SY!$Z447-1,"")</f>
        <v/>
      </c>
      <c r="AG445" s="59" t="str">
        <f>IFERROR(Inv_SY!U447/Inv_SY!$Z447-1,"")</f>
        <v/>
      </c>
      <c r="AH445" s="59" t="str">
        <f>IFERROR(Inv_SY!V447/Inv_SY!$Y447-1,"")</f>
        <v/>
      </c>
      <c r="AI445" s="59" t="str">
        <f>IFERROR(Inv_SY!W447/Inv_SY!$Y447-1,"")</f>
        <v/>
      </c>
      <c r="AJ445" s="59" t="str">
        <f>IFERROR(Inv_SY!X447/Inv_SY!$Y447-1,"")</f>
        <v/>
      </c>
      <c r="AK445" s="59" t="str">
        <f>IFERROR(Inv_SY!V447/Inv_SY!$Z447-1,"")</f>
        <v/>
      </c>
      <c r="AL445" s="59" t="str">
        <f>IFERROR(Inv_SY!W447/Inv_SY!$Z447-1,"")</f>
        <v/>
      </c>
      <c r="AM445" s="59" t="str">
        <f>IFERROR(Inv_SY!X447/Inv_SY!$Z447-1,"")</f>
        <v/>
      </c>
    </row>
    <row r="446" spans="1:39" x14ac:dyDescent="0.3">
      <c r="A446" s="55">
        <f>YEAR(Table5[[#This Row],[Date]])+IF(MONTH(Table5[[#This Row],[Date]])&gt;=4,1,0)</f>
        <v>2027</v>
      </c>
      <c r="B446" s="55">
        <v>406</v>
      </c>
      <c r="C446" s="124">
        <f>YEAR(Table5[[#This Row],[Date]])</f>
        <v>2026</v>
      </c>
      <c r="D446" s="55" t="s">
        <v>329</v>
      </c>
      <c r="E446" s="55" t="s">
        <v>329</v>
      </c>
      <c r="F446" s="126" t="str">
        <f>TEXT(Table5[[#This Row],[Date]],"mmm-yy")</f>
        <v>Jun-26</v>
      </c>
      <c r="G446" s="124">
        <f t="shared" si="17"/>
        <v>30</v>
      </c>
      <c r="H446" s="125">
        <f t="shared" si="16"/>
        <v>46189</v>
      </c>
      <c r="I446" s="55">
        <v>8.02</v>
      </c>
      <c r="J446" s="59" t="str">
        <f>IFERROR(Inv_SY!J448/Inv_SY!$Y448-1,"")</f>
        <v/>
      </c>
      <c r="K446" s="59" t="str">
        <f>IFERROR(Inv_SY!K448/Inv_SY!$Y448-1,"")</f>
        <v/>
      </c>
      <c r="L446" s="59" t="str">
        <f>IFERROR(Inv_SY!L448/Inv_SY!$Y448-1,"")</f>
        <v/>
      </c>
      <c r="M446" s="59" t="str">
        <f>IFERROR(Inv_SY!M448/Inv_SY!$Y448-1,"")</f>
        <v/>
      </c>
      <c r="N446" s="59" t="str">
        <f>IFERROR(Inv_SY!N448/Inv_SY!$Y448-1,"")</f>
        <v/>
      </c>
      <c r="O446" s="59" t="str">
        <f>IFERROR(Inv_SY!O448/Inv_SY!$Y448-1,"")</f>
        <v/>
      </c>
      <c r="P446" s="59" t="str">
        <f>IFERROR(Inv_SY!P448/Inv_SY!$Y448-1,"")</f>
        <v/>
      </c>
      <c r="Q446" s="59" t="str">
        <f>IFERROR(Inv_SY!Q448/Inv_SY!$Y448-1,"")</f>
        <v/>
      </c>
      <c r="R446" s="59" t="str">
        <f>IFERROR(Inv_SY!R448/Inv_SY!$Y448-1,"")</f>
        <v/>
      </c>
      <c r="S446" s="59" t="str">
        <f>IFERROR(Inv_SY!S448/Inv_SY!$Y448-1,"")</f>
        <v/>
      </c>
      <c r="T446" s="59" t="str">
        <f>IFERROR(Inv_SY!T448/Inv_SY!$Y448-1,"")</f>
        <v/>
      </c>
      <c r="U446" s="59" t="str">
        <f>IFERROR(Inv_SY!U448/Inv_SY!$Y448-1,"")</f>
        <v/>
      </c>
      <c r="V446" s="59" t="str">
        <f>IFERROR(Inv_SY!J448/Inv_SY!$Z448-1,"")</f>
        <v/>
      </c>
      <c r="W446" s="59" t="str">
        <f>IFERROR(Inv_SY!K448/Inv_SY!$Z448-1,"")</f>
        <v/>
      </c>
      <c r="X446" s="59" t="str">
        <f>IFERROR(Inv_SY!L448/Inv_SY!$Z448-1,"")</f>
        <v/>
      </c>
      <c r="Y446" s="59" t="str">
        <f>IFERROR(Inv_SY!M448/Inv_SY!$Z448-1,"")</f>
        <v/>
      </c>
      <c r="Z446" s="59" t="str">
        <f>IFERROR(Inv_SY!N448/Inv_SY!$Z448-1,"")</f>
        <v/>
      </c>
      <c r="AA446" s="59" t="str">
        <f>IFERROR(Inv_SY!O448/Inv_SY!$Z448-1,"")</f>
        <v/>
      </c>
      <c r="AB446" s="59" t="str">
        <f>IFERROR(Inv_SY!P448/Inv_SY!$Z448-1,"")</f>
        <v/>
      </c>
      <c r="AC446" s="59" t="str">
        <f>IFERROR(Inv_SY!Q448/Inv_SY!$Z448-1,"")</f>
        <v/>
      </c>
      <c r="AD446" s="59" t="str">
        <f>IFERROR(Inv_SY!R448/Inv_SY!$Z448-1,"")</f>
        <v/>
      </c>
      <c r="AE446" s="59" t="str">
        <f>IFERROR(Inv_SY!S448/Inv_SY!$Z448-1,"")</f>
        <v/>
      </c>
      <c r="AF446" s="59" t="str">
        <f>IFERROR(Inv_SY!T448/Inv_SY!$Z448-1,"")</f>
        <v/>
      </c>
      <c r="AG446" s="59" t="str">
        <f>IFERROR(Inv_SY!U448/Inv_SY!$Z448-1,"")</f>
        <v/>
      </c>
      <c r="AH446" s="59" t="str">
        <f>IFERROR(Inv_SY!V448/Inv_SY!$Y448-1,"")</f>
        <v/>
      </c>
      <c r="AI446" s="59" t="str">
        <f>IFERROR(Inv_SY!W448/Inv_SY!$Y448-1,"")</f>
        <v/>
      </c>
      <c r="AJ446" s="59" t="str">
        <f>IFERROR(Inv_SY!X448/Inv_SY!$Y448-1,"")</f>
        <v/>
      </c>
      <c r="AK446" s="59" t="str">
        <f>IFERROR(Inv_SY!V448/Inv_SY!$Z448-1,"")</f>
        <v/>
      </c>
      <c r="AL446" s="59" t="str">
        <f>IFERROR(Inv_SY!W448/Inv_SY!$Z448-1,"")</f>
        <v/>
      </c>
      <c r="AM446" s="59" t="str">
        <f>IFERROR(Inv_SY!X448/Inv_SY!$Z448-1,"")</f>
        <v/>
      </c>
    </row>
    <row r="447" spans="1:39" x14ac:dyDescent="0.3">
      <c r="A447" s="55">
        <f>YEAR(Table5[[#This Row],[Date]])+IF(MONTH(Table5[[#This Row],[Date]])&gt;=4,1,0)</f>
        <v>2027</v>
      </c>
      <c r="B447" s="55">
        <v>407</v>
      </c>
      <c r="C447" s="124">
        <f>YEAR(Table5[[#This Row],[Date]])</f>
        <v>2026</v>
      </c>
      <c r="D447" s="55" t="s">
        <v>329</v>
      </c>
      <c r="E447" s="55" t="s">
        <v>329</v>
      </c>
      <c r="F447" s="126" t="str">
        <f>TEXT(Table5[[#This Row],[Date]],"mmm-yy")</f>
        <v>Jun-26</v>
      </c>
      <c r="G447" s="124">
        <f t="shared" si="17"/>
        <v>30</v>
      </c>
      <c r="H447" s="125">
        <f t="shared" si="16"/>
        <v>46190</v>
      </c>
      <c r="I447" s="55">
        <v>8.02</v>
      </c>
      <c r="J447" s="59" t="str">
        <f>IFERROR(Inv_SY!J449/Inv_SY!$Y449-1,"")</f>
        <v/>
      </c>
      <c r="K447" s="59" t="str">
        <f>IFERROR(Inv_SY!K449/Inv_SY!$Y449-1,"")</f>
        <v/>
      </c>
      <c r="L447" s="59" t="str">
        <f>IFERROR(Inv_SY!L449/Inv_SY!$Y449-1,"")</f>
        <v/>
      </c>
      <c r="M447" s="59" t="str">
        <f>IFERROR(Inv_SY!M449/Inv_SY!$Y449-1,"")</f>
        <v/>
      </c>
      <c r="N447" s="59" t="str">
        <f>IFERROR(Inv_SY!N449/Inv_SY!$Y449-1,"")</f>
        <v/>
      </c>
      <c r="O447" s="59" t="str">
        <f>IFERROR(Inv_SY!O449/Inv_SY!$Y449-1,"")</f>
        <v/>
      </c>
      <c r="P447" s="59" t="str">
        <f>IFERROR(Inv_SY!P449/Inv_SY!$Y449-1,"")</f>
        <v/>
      </c>
      <c r="Q447" s="59" t="str">
        <f>IFERROR(Inv_SY!Q449/Inv_SY!$Y449-1,"")</f>
        <v/>
      </c>
      <c r="R447" s="59" t="str">
        <f>IFERROR(Inv_SY!R449/Inv_SY!$Y449-1,"")</f>
        <v/>
      </c>
      <c r="S447" s="59" t="str">
        <f>IFERROR(Inv_SY!S449/Inv_SY!$Y449-1,"")</f>
        <v/>
      </c>
      <c r="T447" s="59" t="str">
        <f>IFERROR(Inv_SY!T449/Inv_SY!$Y449-1,"")</f>
        <v/>
      </c>
      <c r="U447" s="59" t="str">
        <f>IFERROR(Inv_SY!U449/Inv_SY!$Y449-1,"")</f>
        <v/>
      </c>
      <c r="V447" s="59" t="str">
        <f>IFERROR(Inv_SY!J449/Inv_SY!$Z449-1,"")</f>
        <v/>
      </c>
      <c r="W447" s="59" t="str">
        <f>IFERROR(Inv_SY!K449/Inv_SY!$Z449-1,"")</f>
        <v/>
      </c>
      <c r="X447" s="59" t="str">
        <f>IFERROR(Inv_SY!L449/Inv_SY!$Z449-1,"")</f>
        <v/>
      </c>
      <c r="Y447" s="59" t="str">
        <f>IFERROR(Inv_SY!M449/Inv_SY!$Z449-1,"")</f>
        <v/>
      </c>
      <c r="Z447" s="59" t="str">
        <f>IFERROR(Inv_SY!N449/Inv_SY!$Z449-1,"")</f>
        <v/>
      </c>
      <c r="AA447" s="59" t="str">
        <f>IFERROR(Inv_SY!O449/Inv_SY!$Z449-1,"")</f>
        <v/>
      </c>
      <c r="AB447" s="59" t="str">
        <f>IFERROR(Inv_SY!P449/Inv_SY!$Z449-1,"")</f>
        <v/>
      </c>
      <c r="AC447" s="59" t="str">
        <f>IFERROR(Inv_SY!Q449/Inv_SY!$Z449-1,"")</f>
        <v/>
      </c>
      <c r="AD447" s="59" t="str">
        <f>IFERROR(Inv_SY!R449/Inv_SY!$Z449-1,"")</f>
        <v/>
      </c>
      <c r="AE447" s="59" t="str">
        <f>IFERROR(Inv_SY!S449/Inv_SY!$Z449-1,"")</f>
        <v/>
      </c>
      <c r="AF447" s="59" t="str">
        <f>IFERROR(Inv_SY!T449/Inv_SY!$Z449-1,"")</f>
        <v/>
      </c>
      <c r="AG447" s="59" t="str">
        <f>IFERROR(Inv_SY!U449/Inv_SY!$Z449-1,"")</f>
        <v/>
      </c>
      <c r="AH447" s="59" t="str">
        <f>IFERROR(Inv_SY!V449/Inv_SY!$Y449-1,"")</f>
        <v/>
      </c>
      <c r="AI447" s="59" t="str">
        <f>IFERROR(Inv_SY!W449/Inv_SY!$Y449-1,"")</f>
        <v/>
      </c>
      <c r="AJ447" s="59" t="str">
        <f>IFERROR(Inv_SY!X449/Inv_SY!$Y449-1,"")</f>
        <v/>
      </c>
      <c r="AK447" s="59" t="str">
        <f>IFERROR(Inv_SY!V449/Inv_SY!$Z449-1,"")</f>
        <v/>
      </c>
      <c r="AL447" s="59" t="str">
        <f>IFERROR(Inv_SY!W449/Inv_SY!$Z449-1,"")</f>
        <v/>
      </c>
      <c r="AM447" s="59" t="str">
        <f>IFERROR(Inv_SY!X449/Inv_SY!$Z449-1,"")</f>
        <v/>
      </c>
    </row>
    <row r="448" spans="1:39" x14ac:dyDescent="0.3">
      <c r="A448" s="55">
        <f>YEAR(Table5[[#This Row],[Date]])+IF(MONTH(Table5[[#This Row],[Date]])&gt;=4,1,0)</f>
        <v>2027</v>
      </c>
      <c r="B448" s="55">
        <v>408</v>
      </c>
      <c r="C448" s="124">
        <f>YEAR(Table5[[#This Row],[Date]])</f>
        <v>2026</v>
      </c>
      <c r="D448" s="55" t="s">
        <v>329</v>
      </c>
      <c r="E448" s="55" t="s">
        <v>329</v>
      </c>
      <c r="F448" s="126" t="str">
        <f>TEXT(Table5[[#This Row],[Date]],"mmm-yy")</f>
        <v>Jun-26</v>
      </c>
      <c r="G448" s="124">
        <f t="shared" si="17"/>
        <v>30</v>
      </c>
      <c r="H448" s="125">
        <f t="shared" si="16"/>
        <v>46191</v>
      </c>
      <c r="I448" s="55">
        <v>8.02</v>
      </c>
      <c r="J448" s="59" t="str">
        <f>IFERROR(Inv_SY!J450/Inv_SY!$Y450-1,"")</f>
        <v/>
      </c>
      <c r="K448" s="59" t="str">
        <f>IFERROR(Inv_SY!K450/Inv_SY!$Y450-1,"")</f>
        <v/>
      </c>
      <c r="L448" s="59" t="str">
        <f>IFERROR(Inv_SY!L450/Inv_SY!$Y450-1,"")</f>
        <v/>
      </c>
      <c r="M448" s="59" t="str">
        <f>IFERROR(Inv_SY!M450/Inv_SY!$Y450-1,"")</f>
        <v/>
      </c>
      <c r="N448" s="59" t="str">
        <f>IFERROR(Inv_SY!N450/Inv_SY!$Y450-1,"")</f>
        <v/>
      </c>
      <c r="O448" s="59" t="str">
        <f>IFERROR(Inv_SY!O450/Inv_SY!$Y450-1,"")</f>
        <v/>
      </c>
      <c r="P448" s="59" t="str">
        <f>IFERROR(Inv_SY!P450/Inv_SY!$Y450-1,"")</f>
        <v/>
      </c>
      <c r="Q448" s="59" t="str">
        <f>IFERROR(Inv_SY!Q450/Inv_SY!$Y450-1,"")</f>
        <v/>
      </c>
      <c r="R448" s="59" t="str">
        <f>IFERROR(Inv_SY!R450/Inv_SY!$Y450-1,"")</f>
        <v/>
      </c>
      <c r="S448" s="59" t="str">
        <f>IFERROR(Inv_SY!S450/Inv_SY!$Y450-1,"")</f>
        <v/>
      </c>
      <c r="T448" s="59" t="str">
        <f>IFERROR(Inv_SY!T450/Inv_SY!$Y450-1,"")</f>
        <v/>
      </c>
      <c r="U448" s="59" t="str">
        <f>IFERROR(Inv_SY!U450/Inv_SY!$Y450-1,"")</f>
        <v/>
      </c>
      <c r="V448" s="59" t="str">
        <f>IFERROR(Inv_SY!J450/Inv_SY!$Z450-1,"")</f>
        <v/>
      </c>
      <c r="W448" s="59" t="str">
        <f>IFERROR(Inv_SY!K450/Inv_SY!$Z450-1,"")</f>
        <v/>
      </c>
      <c r="X448" s="59" t="str">
        <f>IFERROR(Inv_SY!L450/Inv_SY!$Z450-1,"")</f>
        <v/>
      </c>
      <c r="Y448" s="59" t="str">
        <f>IFERROR(Inv_SY!M450/Inv_SY!$Z450-1,"")</f>
        <v/>
      </c>
      <c r="Z448" s="59" t="str">
        <f>IFERROR(Inv_SY!N450/Inv_SY!$Z450-1,"")</f>
        <v/>
      </c>
      <c r="AA448" s="59" t="str">
        <f>IFERROR(Inv_SY!O450/Inv_SY!$Z450-1,"")</f>
        <v/>
      </c>
      <c r="AB448" s="59" t="str">
        <f>IFERROR(Inv_SY!P450/Inv_SY!$Z450-1,"")</f>
        <v/>
      </c>
      <c r="AC448" s="59" t="str">
        <f>IFERROR(Inv_SY!Q450/Inv_SY!$Z450-1,"")</f>
        <v/>
      </c>
      <c r="AD448" s="59" t="str">
        <f>IFERROR(Inv_SY!R450/Inv_SY!$Z450-1,"")</f>
        <v/>
      </c>
      <c r="AE448" s="59" t="str">
        <f>IFERROR(Inv_SY!S450/Inv_SY!$Z450-1,"")</f>
        <v/>
      </c>
      <c r="AF448" s="59" t="str">
        <f>IFERROR(Inv_SY!T450/Inv_SY!$Z450-1,"")</f>
        <v/>
      </c>
      <c r="AG448" s="59" t="str">
        <f>IFERROR(Inv_SY!U450/Inv_SY!$Z450-1,"")</f>
        <v/>
      </c>
      <c r="AH448" s="59" t="str">
        <f>IFERROR(Inv_SY!V450/Inv_SY!$Y450-1,"")</f>
        <v/>
      </c>
      <c r="AI448" s="59" t="str">
        <f>IFERROR(Inv_SY!W450/Inv_SY!$Y450-1,"")</f>
        <v/>
      </c>
      <c r="AJ448" s="59" t="str">
        <f>IFERROR(Inv_SY!X450/Inv_SY!$Y450-1,"")</f>
        <v/>
      </c>
      <c r="AK448" s="59" t="str">
        <f>IFERROR(Inv_SY!V450/Inv_SY!$Z450-1,"")</f>
        <v/>
      </c>
      <c r="AL448" s="59" t="str">
        <f>IFERROR(Inv_SY!W450/Inv_SY!$Z450-1,"")</f>
        <v/>
      </c>
      <c r="AM448" s="59" t="str">
        <f>IFERROR(Inv_SY!X450/Inv_SY!$Z450-1,"")</f>
        <v/>
      </c>
    </row>
    <row r="449" spans="1:39" x14ac:dyDescent="0.3">
      <c r="A449" s="55">
        <f>YEAR(Table5[[#This Row],[Date]])+IF(MONTH(Table5[[#This Row],[Date]])&gt;=4,1,0)</f>
        <v>2027</v>
      </c>
      <c r="B449" s="55">
        <v>409</v>
      </c>
      <c r="C449" s="124">
        <f>YEAR(Table5[[#This Row],[Date]])</f>
        <v>2026</v>
      </c>
      <c r="D449" s="55" t="s">
        <v>329</v>
      </c>
      <c r="E449" s="55" t="s">
        <v>329</v>
      </c>
      <c r="F449" s="126" t="str">
        <f>TEXT(Table5[[#This Row],[Date]],"mmm-yy")</f>
        <v>Jun-26</v>
      </c>
      <c r="G449" s="124">
        <f t="shared" si="17"/>
        <v>30</v>
      </c>
      <c r="H449" s="125">
        <f t="shared" si="16"/>
        <v>46192</v>
      </c>
      <c r="I449" s="55">
        <v>8.02</v>
      </c>
      <c r="J449" s="59" t="str">
        <f>IFERROR(Inv_SY!J451/Inv_SY!$Y451-1,"")</f>
        <v/>
      </c>
      <c r="K449" s="59" t="str">
        <f>IFERROR(Inv_SY!K451/Inv_SY!$Y451-1,"")</f>
        <v/>
      </c>
      <c r="L449" s="59" t="str">
        <f>IFERROR(Inv_SY!L451/Inv_SY!$Y451-1,"")</f>
        <v/>
      </c>
      <c r="M449" s="59" t="str">
        <f>IFERROR(Inv_SY!M451/Inv_SY!$Y451-1,"")</f>
        <v/>
      </c>
      <c r="N449" s="59" t="str">
        <f>IFERROR(Inv_SY!N451/Inv_SY!$Y451-1,"")</f>
        <v/>
      </c>
      <c r="O449" s="59" t="str">
        <f>IFERROR(Inv_SY!O451/Inv_SY!$Y451-1,"")</f>
        <v/>
      </c>
      <c r="P449" s="59" t="str">
        <f>IFERROR(Inv_SY!P451/Inv_SY!$Y451-1,"")</f>
        <v/>
      </c>
      <c r="Q449" s="59" t="str">
        <f>IFERROR(Inv_SY!Q451/Inv_SY!$Y451-1,"")</f>
        <v/>
      </c>
      <c r="R449" s="59" t="str">
        <f>IFERROR(Inv_SY!R451/Inv_SY!$Y451-1,"")</f>
        <v/>
      </c>
      <c r="S449" s="59" t="str">
        <f>IFERROR(Inv_SY!S451/Inv_SY!$Y451-1,"")</f>
        <v/>
      </c>
      <c r="T449" s="59" t="str">
        <f>IFERROR(Inv_SY!T451/Inv_SY!$Y451-1,"")</f>
        <v/>
      </c>
      <c r="U449" s="59" t="str">
        <f>IFERROR(Inv_SY!U451/Inv_SY!$Y451-1,"")</f>
        <v/>
      </c>
      <c r="V449" s="59" t="str">
        <f>IFERROR(Inv_SY!J451/Inv_SY!$Z451-1,"")</f>
        <v/>
      </c>
      <c r="W449" s="59" t="str">
        <f>IFERROR(Inv_SY!K451/Inv_SY!$Z451-1,"")</f>
        <v/>
      </c>
      <c r="X449" s="59" t="str">
        <f>IFERROR(Inv_SY!L451/Inv_SY!$Z451-1,"")</f>
        <v/>
      </c>
      <c r="Y449" s="59" t="str">
        <f>IFERROR(Inv_SY!M451/Inv_SY!$Z451-1,"")</f>
        <v/>
      </c>
      <c r="Z449" s="59" t="str">
        <f>IFERROR(Inv_SY!N451/Inv_SY!$Z451-1,"")</f>
        <v/>
      </c>
      <c r="AA449" s="59" t="str">
        <f>IFERROR(Inv_SY!O451/Inv_SY!$Z451-1,"")</f>
        <v/>
      </c>
      <c r="AB449" s="59" t="str">
        <f>IFERROR(Inv_SY!P451/Inv_SY!$Z451-1,"")</f>
        <v/>
      </c>
      <c r="AC449" s="59" t="str">
        <f>IFERROR(Inv_SY!Q451/Inv_SY!$Z451-1,"")</f>
        <v/>
      </c>
      <c r="AD449" s="59" t="str">
        <f>IFERROR(Inv_SY!R451/Inv_SY!$Z451-1,"")</f>
        <v/>
      </c>
      <c r="AE449" s="59" t="str">
        <f>IFERROR(Inv_SY!S451/Inv_SY!$Z451-1,"")</f>
        <v/>
      </c>
      <c r="AF449" s="59" t="str">
        <f>IFERROR(Inv_SY!T451/Inv_SY!$Z451-1,"")</f>
        <v/>
      </c>
      <c r="AG449" s="59" t="str">
        <f>IFERROR(Inv_SY!U451/Inv_SY!$Z451-1,"")</f>
        <v/>
      </c>
      <c r="AH449" s="59" t="str">
        <f>IFERROR(Inv_SY!V451/Inv_SY!$Y451-1,"")</f>
        <v/>
      </c>
      <c r="AI449" s="59" t="str">
        <f>IFERROR(Inv_SY!W451/Inv_SY!$Y451-1,"")</f>
        <v/>
      </c>
      <c r="AJ449" s="59" t="str">
        <f>IFERROR(Inv_SY!X451/Inv_SY!$Y451-1,"")</f>
        <v/>
      </c>
      <c r="AK449" s="59" t="str">
        <f>IFERROR(Inv_SY!V451/Inv_SY!$Z451-1,"")</f>
        <v/>
      </c>
      <c r="AL449" s="59" t="str">
        <f>IFERROR(Inv_SY!W451/Inv_SY!$Z451-1,"")</f>
        <v/>
      </c>
      <c r="AM449" s="59" t="str">
        <f>IFERROR(Inv_SY!X451/Inv_SY!$Z451-1,"")</f>
        <v/>
      </c>
    </row>
    <row r="450" spans="1:39" x14ac:dyDescent="0.3">
      <c r="A450" s="55">
        <f>YEAR(Table5[[#This Row],[Date]])+IF(MONTH(Table5[[#This Row],[Date]])&gt;=4,1,0)</f>
        <v>2027</v>
      </c>
      <c r="B450" s="55">
        <v>410</v>
      </c>
      <c r="C450" s="124">
        <f>YEAR(Table5[[#This Row],[Date]])</f>
        <v>2026</v>
      </c>
      <c r="D450" s="55" t="s">
        <v>329</v>
      </c>
      <c r="E450" s="55" t="s">
        <v>329</v>
      </c>
      <c r="F450" s="126" t="str">
        <f>TEXT(Table5[[#This Row],[Date]],"mmm-yy")</f>
        <v>Jun-26</v>
      </c>
      <c r="G450" s="124">
        <f t="shared" si="17"/>
        <v>30</v>
      </c>
      <c r="H450" s="125">
        <f t="shared" si="16"/>
        <v>46193</v>
      </c>
      <c r="I450" s="55">
        <v>8.02</v>
      </c>
      <c r="J450" s="59" t="str">
        <f>IFERROR(Inv_SY!J452/Inv_SY!$Y452-1,"")</f>
        <v/>
      </c>
      <c r="K450" s="59" t="str">
        <f>IFERROR(Inv_SY!K452/Inv_SY!$Y452-1,"")</f>
        <v/>
      </c>
      <c r="L450" s="59" t="str">
        <f>IFERROR(Inv_SY!L452/Inv_SY!$Y452-1,"")</f>
        <v/>
      </c>
      <c r="M450" s="59" t="str">
        <f>IFERROR(Inv_SY!M452/Inv_SY!$Y452-1,"")</f>
        <v/>
      </c>
      <c r="N450" s="59" t="str">
        <f>IFERROR(Inv_SY!N452/Inv_SY!$Y452-1,"")</f>
        <v/>
      </c>
      <c r="O450" s="59" t="str">
        <f>IFERROR(Inv_SY!O452/Inv_SY!$Y452-1,"")</f>
        <v/>
      </c>
      <c r="P450" s="59" t="str">
        <f>IFERROR(Inv_SY!P452/Inv_SY!$Y452-1,"")</f>
        <v/>
      </c>
      <c r="Q450" s="59" t="str">
        <f>IFERROR(Inv_SY!Q452/Inv_SY!$Y452-1,"")</f>
        <v/>
      </c>
      <c r="R450" s="59" t="str">
        <f>IFERROR(Inv_SY!R452/Inv_SY!$Y452-1,"")</f>
        <v/>
      </c>
      <c r="S450" s="59" t="str">
        <f>IFERROR(Inv_SY!S452/Inv_SY!$Y452-1,"")</f>
        <v/>
      </c>
      <c r="T450" s="59" t="str">
        <f>IFERROR(Inv_SY!T452/Inv_SY!$Y452-1,"")</f>
        <v/>
      </c>
      <c r="U450" s="59" t="str">
        <f>IFERROR(Inv_SY!U452/Inv_SY!$Y452-1,"")</f>
        <v/>
      </c>
      <c r="V450" s="59" t="str">
        <f>IFERROR(Inv_SY!J452/Inv_SY!$Z452-1,"")</f>
        <v/>
      </c>
      <c r="W450" s="59" t="str">
        <f>IFERROR(Inv_SY!K452/Inv_SY!$Z452-1,"")</f>
        <v/>
      </c>
      <c r="X450" s="59" t="str">
        <f>IFERROR(Inv_SY!L452/Inv_SY!$Z452-1,"")</f>
        <v/>
      </c>
      <c r="Y450" s="59" t="str">
        <f>IFERROR(Inv_SY!M452/Inv_SY!$Z452-1,"")</f>
        <v/>
      </c>
      <c r="Z450" s="59" t="str">
        <f>IFERROR(Inv_SY!N452/Inv_SY!$Z452-1,"")</f>
        <v/>
      </c>
      <c r="AA450" s="59" t="str">
        <f>IFERROR(Inv_SY!O452/Inv_SY!$Z452-1,"")</f>
        <v/>
      </c>
      <c r="AB450" s="59" t="str">
        <f>IFERROR(Inv_SY!P452/Inv_SY!$Z452-1,"")</f>
        <v/>
      </c>
      <c r="AC450" s="59" t="str">
        <f>IFERROR(Inv_SY!Q452/Inv_SY!$Z452-1,"")</f>
        <v/>
      </c>
      <c r="AD450" s="59" t="str">
        <f>IFERROR(Inv_SY!R452/Inv_SY!$Z452-1,"")</f>
        <v/>
      </c>
      <c r="AE450" s="59" t="str">
        <f>IFERROR(Inv_SY!S452/Inv_SY!$Z452-1,"")</f>
        <v/>
      </c>
      <c r="AF450" s="59" t="str">
        <f>IFERROR(Inv_SY!T452/Inv_SY!$Z452-1,"")</f>
        <v/>
      </c>
      <c r="AG450" s="59" t="str">
        <f>IFERROR(Inv_SY!U452/Inv_SY!$Z452-1,"")</f>
        <v/>
      </c>
      <c r="AH450" s="59" t="str">
        <f>IFERROR(Inv_SY!V452/Inv_SY!$Y452-1,"")</f>
        <v/>
      </c>
      <c r="AI450" s="59" t="str">
        <f>IFERROR(Inv_SY!W452/Inv_SY!$Y452-1,"")</f>
        <v/>
      </c>
      <c r="AJ450" s="59" t="str">
        <f>IFERROR(Inv_SY!X452/Inv_SY!$Y452-1,"")</f>
        <v/>
      </c>
      <c r="AK450" s="59" t="str">
        <f>IFERROR(Inv_SY!V452/Inv_SY!$Z452-1,"")</f>
        <v/>
      </c>
      <c r="AL450" s="59" t="str">
        <f>IFERROR(Inv_SY!W452/Inv_SY!$Z452-1,"")</f>
        <v/>
      </c>
      <c r="AM450" s="59" t="str">
        <f>IFERROR(Inv_SY!X452/Inv_SY!$Z452-1,"")</f>
        <v/>
      </c>
    </row>
    <row r="451" spans="1:39" x14ac:dyDescent="0.3">
      <c r="A451" s="55">
        <f>YEAR(Table5[[#This Row],[Date]])+IF(MONTH(Table5[[#This Row],[Date]])&gt;=4,1,0)</f>
        <v>2027</v>
      </c>
      <c r="B451" s="55">
        <v>411</v>
      </c>
      <c r="C451" s="124">
        <f>YEAR(Table5[[#This Row],[Date]])</f>
        <v>2026</v>
      </c>
      <c r="D451" s="55" t="s">
        <v>329</v>
      </c>
      <c r="E451" s="55" t="s">
        <v>329</v>
      </c>
      <c r="F451" s="126" t="str">
        <f>TEXT(Table5[[#This Row],[Date]],"mmm-yy")</f>
        <v>Jun-26</v>
      </c>
      <c r="G451" s="124">
        <f t="shared" si="17"/>
        <v>30</v>
      </c>
      <c r="H451" s="125">
        <f t="shared" si="16"/>
        <v>46194</v>
      </c>
      <c r="I451" s="55">
        <v>8.02</v>
      </c>
      <c r="J451" s="59" t="str">
        <f>IFERROR(Inv_SY!J453/Inv_SY!$Y453-1,"")</f>
        <v/>
      </c>
      <c r="K451" s="59" t="str">
        <f>IFERROR(Inv_SY!K453/Inv_SY!$Y453-1,"")</f>
        <v/>
      </c>
      <c r="L451" s="59" t="str">
        <f>IFERROR(Inv_SY!L453/Inv_SY!$Y453-1,"")</f>
        <v/>
      </c>
      <c r="M451" s="59" t="str">
        <f>IFERROR(Inv_SY!M453/Inv_SY!$Y453-1,"")</f>
        <v/>
      </c>
      <c r="N451" s="59" t="str">
        <f>IFERROR(Inv_SY!N453/Inv_SY!$Y453-1,"")</f>
        <v/>
      </c>
      <c r="O451" s="59" t="str">
        <f>IFERROR(Inv_SY!O453/Inv_SY!$Y453-1,"")</f>
        <v/>
      </c>
      <c r="P451" s="59" t="str">
        <f>IFERROR(Inv_SY!P453/Inv_SY!$Y453-1,"")</f>
        <v/>
      </c>
      <c r="Q451" s="59" t="str">
        <f>IFERROR(Inv_SY!Q453/Inv_SY!$Y453-1,"")</f>
        <v/>
      </c>
      <c r="R451" s="59" t="str">
        <f>IFERROR(Inv_SY!R453/Inv_SY!$Y453-1,"")</f>
        <v/>
      </c>
      <c r="S451" s="59" t="str">
        <f>IFERROR(Inv_SY!S453/Inv_SY!$Y453-1,"")</f>
        <v/>
      </c>
      <c r="T451" s="59" t="str">
        <f>IFERROR(Inv_SY!T453/Inv_SY!$Y453-1,"")</f>
        <v/>
      </c>
      <c r="U451" s="59" t="str">
        <f>IFERROR(Inv_SY!U453/Inv_SY!$Y453-1,"")</f>
        <v/>
      </c>
      <c r="V451" s="59" t="str">
        <f>IFERROR(Inv_SY!J453/Inv_SY!$Z453-1,"")</f>
        <v/>
      </c>
      <c r="W451" s="59" t="str">
        <f>IFERROR(Inv_SY!K453/Inv_SY!$Z453-1,"")</f>
        <v/>
      </c>
      <c r="X451" s="59" t="str">
        <f>IFERROR(Inv_SY!L453/Inv_SY!$Z453-1,"")</f>
        <v/>
      </c>
      <c r="Y451" s="59" t="str">
        <f>IFERROR(Inv_SY!M453/Inv_SY!$Z453-1,"")</f>
        <v/>
      </c>
      <c r="Z451" s="59" t="str">
        <f>IFERROR(Inv_SY!N453/Inv_SY!$Z453-1,"")</f>
        <v/>
      </c>
      <c r="AA451" s="59" t="str">
        <f>IFERROR(Inv_SY!O453/Inv_SY!$Z453-1,"")</f>
        <v/>
      </c>
      <c r="AB451" s="59" t="str">
        <f>IFERROR(Inv_SY!P453/Inv_SY!$Z453-1,"")</f>
        <v/>
      </c>
      <c r="AC451" s="59" t="str">
        <f>IFERROR(Inv_SY!Q453/Inv_SY!$Z453-1,"")</f>
        <v/>
      </c>
      <c r="AD451" s="59" t="str">
        <f>IFERROR(Inv_SY!R453/Inv_SY!$Z453-1,"")</f>
        <v/>
      </c>
      <c r="AE451" s="59" t="str">
        <f>IFERROR(Inv_SY!S453/Inv_SY!$Z453-1,"")</f>
        <v/>
      </c>
      <c r="AF451" s="59" t="str">
        <f>IFERROR(Inv_SY!T453/Inv_SY!$Z453-1,"")</f>
        <v/>
      </c>
      <c r="AG451" s="59" t="str">
        <f>IFERROR(Inv_SY!U453/Inv_SY!$Z453-1,"")</f>
        <v/>
      </c>
      <c r="AH451" s="59" t="str">
        <f>IFERROR(Inv_SY!V453/Inv_SY!$Y453-1,"")</f>
        <v/>
      </c>
      <c r="AI451" s="59" t="str">
        <f>IFERROR(Inv_SY!W453/Inv_SY!$Y453-1,"")</f>
        <v/>
      </c>
      <c r="AJ451" s="59" t="str">
        <f>IFERROR(Inv_SY!X453/Inv_SY!$Y453-1,"")</f>
        <v/>
      </c>
      <c r="AK451" s="59" t="str">
        <f>IFERROR(Inv_SY!V453/Inv_SY!$Z453-1,"")</f>
        <v/>
      </c>
      <c r="AL451" s="59" t="str">
        <f>IFERROR(Inv_SY!W453/Inv_SY!$Z453-1,"")</f>
        <v/>
      </c>
      <c r="AM451" s="59" t="str">
        <f>IFERROR(Inv_SY!X453/Inv_SY!$Z453-1,"")</f>
        <v/>
      </c>
    </row>
    <row r="452" spans="1:39" x14ac:dyDescent="0.3">
      <c r="A452" s="55">
        <f>YEAR(Table5[[#This Row],[Date]])+IF(MONTH(Table5[[#This Row],[Date]])&gt;=4,1,0)</f>
        <v>2027</v>
      </c>
      <c r="B452" s="55">
        <v>412</v>
      </c>
      <c r="C452" s="124">
        <f>YEAR(Table5[[#This Row],[Date]])</f>
        <v>2026</v>
      </c>
      <c r="D452" s="55" t="s">
        <v>329</v>
      </c>
      <c r="E452" s="55" t="s">
        <v>329</v>
      </c>
      <c r="F452" s="126" t="str">
        <f>TEXT(Table5[[#This Row],[Date]],"mmm-yy")</f>
        <v>Jun-26</v>
      </c>
      <c r="G452" s="124">
        <f t="shared" si="17"/>
        <v>30</v>
      </c>
      <c r="H452" s="125">
        <f t="shared" si="16"/>
        <v>46195</v>
      </c>
      <c r="I452" s="55">
        <v>8.02</v>
      </c>
      <c r="J452" s="59" t="str">
        <f>IFERROR(Inv_SY!J454/Inv_SY!$Y454-1,"")</f>
        <v/>
      </c>
      <c r="K452" s="59" t="str">
        <f>IFERROR(Inv_SY!K454/Inv_SY!$Y454-1,"")</f>
        <v/>
      </c>
      <c r="L452" s="59" t="str">
        <f>IFERROR(Inv_SY!L454/Inv_SY!$Y454-1,"")</f>
        <v/>
      </c>
      <c r="M452" s="59" t="str">
        <f>IFERROR(Inv_SY!M454/Inv_SY!$Y454-1,"")</f>
        <v/>
      </c>
      <c r="N452" s="59" t="str">
        <f>IFERROR(Inv_SY!N454/Inv_SY!$Y454-1,"")</f>
        <v/>
      </c>
      <c r="O452" s="59" t="str">
        <f>IFERROR(Inv_SY!O454/Inv_SY!$Y454-1,"")</f>
        <v/>
      </c>
      <c r="P452" s="59" t="str">
        <f>IFERROR(Inv_SY!P454/Inv_SY!$Y454-1,"")</f>
        <v/>
      </c>
      <c r="Q452" s="59" t="str">
        <f>IFERROR(Inv_SY!Q454/Inv_SY!$Y454-1,"")</f>
        <v/>
      </c>
      <c r="R452" s="59" t="str">
        <f>IFERROR(Inv_SY!R454/Inv_SY!$Y454-1,"")</f>
        <v/>
      </c>
      <c r="S452" s="59" t="str">
        <f>IFERROR(Inv_SY!S454/Inv_SY!$Y454-1,"")</f>
        <v/>
      </c>
      <c r="T452" s="59" t="str">
        <f>IFERROR(Inv_SY!T454/Inv_SY!$Y454-1,"")</f>
        <v/>
      </c>
      <c r="U452" s="59" t="str">
        <f>IFERROR(Inv_SY!U454/Inv_SY!$Y454-1,"")</f>
        <v/>
      </c>
      <c r="V452" s="59" t="str">
        <f>IFERROR(Inv_SY!J454/Inv_SY!$Z454-1,"")</f>
        <v/>
      </c>
      <c r="W452" s="59" t="str">
        <f>IFERROR(Inv_SY!K454/Inv_SY!$Z454-1,"")</f>
        <v/>
      </c>
      <c r="X452" s="59" t="str">
        <f>IFERROR(Inv_SY!L454/Inv_SY!$Z454-1,"")</f>
        <v/>
      </c>
      <c r="Y452" s="59" t="str">
        <f>IFERROR(Inv_SY!M454/Inv_SY!$Z454-1,"")</f>
        <v/>
      </c>
      <c r="Z452" s="59" t="str">
        <f>IFERROR(Inv_SY!N454/Inv_SY!$Z454-1,"")</f>
        <v/>
      </c>
      <c r="AA452" s="59" t="str">
        <f>IFERROR(Inv_SY!O454/Inv_SY!$Z454-1,"")</f>
        <v/>
      </c>
      <c r="AB452" s="59" t="str">
        <f>IFERROR(Inv_SY!P454/Inv_SY!$Z454-1,"")</f>
        <v/>
      </c>
      <c r="AC452" s="59" t="str">
        <f>IFERROR(Inv_SY!Q454/Inv_SY!$Z454-1,"")</f>
        <v/>
      </c>
      <c r="AD452" s="59" t="str">
        <f>IFERROR(Inv_SY!R454/Inv_SY!$Z454-1,"")</f>
        <v/>
      </c>
      <c r="AE452" s="59" t="str">
        <f>IFERROR(Inv_SY!S454/Inv_SY!$Z454-1,"")</f>
        <v/>
      </c>
      <c r="AF452" s="59" t="str">
        <f>IFERROR(Inv_SY!T454/Inv_SY!$Z454-1,"")</f>
        <v/>
      </c>
      <c r="AG452" s="59" t="str">
        <f>IFERROR(Inv_SY!U454/Inv_SY!$Z454-1,"")</f>
        <v/>
      </c>
      <c r="AH452" s="59" t="str">
        <f>IFERROR(Inv_SY!V454/Inv_SY!$Y454-1,"")</f>
        <v/>
      </c>
      <c r="AI452" s="59" t="str">
        <f>IFERROR(Inv_SY!W454/Inv_SY!$Y454-1,"")</f>
        <v/>
      </c>
      <c r="AJ452" s="59" t="str">
        <f>IFERROR(Inv_SY!X454/Inv_SY!$Y454-1,"")</f>
        <v/>
      </c>
      <c r="AK452" s="59" t="str">
        <f>IFERROR(Inv_SY!V454/Inv_SY!$Z454-1,"")</f>
        <v/>
      </c>
      <c r="AL452" s="59" t="str">
        <f>IFERROR(Inv_SY!W454/Inv_SY!$Z454-1,"")</f>
        <v/>
      </c>
      <c r="AM452" s="59" t="str">
        <f>IFERROR(Inv_SY!X454/Inv_SY!$Z454-1,"")</f>
        <v/>
      </c>
    </row>
    <row r="453" spans="1:39" x14ac:dyDescent="0.3">
      <c r="A453" s="55">
        <f>YEAR(Table5[[#This Row],[Date]])+IF(MONTH(Table5[[#This Row],[Date]])&gt;=4,1,0)</f>
        <v>2027</v>
      </c>
      <c r="B453" s="55">
        <v>413</v>
      </c>
      <c r="C453" s="124">
        <f>YEAR(Table5[[#This Row],[Date]])</f>
        <v>2026</v>
      </c>
      <c r="D453" s="55" t="s">
        <v>329</v>
      </c>
      <c r="E453" s="55" t="s">
        <v>329</v>
      </c>
      <c r="F453" s="126" t="str">
        <f>TEXT(Table5[[#This Row],[Date]],"mmm-yy")</f>
        <v>Jun-26</v>
      </c>
      <c r="G453" s="124">
        <f t="shared" si="17"/>
        <v>30</v>
      </c>
      <c r="H453" s="125">
        <f t="shared" ref="H453:H478" si="18">H452+1</f>
        <v>46196</v>
      </c>
      <c r="I453" s="55">
        <v>8.02</v>
      </c>
      <c r="J453" s="59" t="str">
        <f>IFERROR(Inv_SY!J455/Inv_SY!$Y455-1,"")</f>
        <v/>
      </c>
      <c r="K453" s="59" t="str">
        <f>IFERROR(Inv_SY!K455/Inv_SY!$Y455-1,"")</f>
        <v/>
      </c>
      <c r="L453" s="59" t="str">
        <f>IFERROR(Inv_SY!L455/Inv_SY!$Y455-1,"")</f>
        <v/>
      </c>
      <c r="M453" s="59" t="str">
        <f>IFERROR(Inv_SY!M455/Inv_SY!$Y455-1,"")</f>
        <v/>
      </c>
      <c r="N453" s="59" t="str">
        <f>IFERROR(Inv_SY!N455/Inv_SY!$Y455-1,"")</f>
        <v/>
      </c>
      <c r="O453" s="59" t="str">
        <f>IFERROR(Inv_SY!O455/Inv_SY!$Y455-1,"")</f>
        <v/>
      </c>
      <c r="P453" s="59" t="str">
        <f>IFERROR(Inv_SY!P455/Inv_SY!$Y455-1,"")</f>
        <v/>
      </c>
      <c r="Q453" s="59" t="str">
        <f>IFERROR(Inv_SY!Q455/Inv_SY!$Y455-1,"")</f>
        <v/>
      </c>
      <c r="R453" s="59" t="str">
        <f>IFERROR(Inv_SY!R455/Inv_SY!$Y455-1,"")</f>
        <v/>
      </c>
      <c r="S453" s="59" t="str">
        <f>IFERROR(Inv_SY!S455/Inv_SY!$Y455-1,"")</f>
        <v/>
      </c>
      <c r="T453" s="59" t="str">
        <f>IFERROR(Inv_SY!T455/Inv_SY!$Y455-1,"")</f>
        <v/>
      </c>
      <c r="U453" s="59" t="str">
        <f>IFERROR(Inv_SY!U455/Inv_SY!$Y455-1,"")</f>
        <v/>
      </c>
      <c r="V453" s="59" t="str">
        <f>IFERROR(Inv_SY!J455/Inv_SY!$Z455-1,"")</f>
        <v/>
      </c>
      <c r="W453" s="59" t="str">
        <f>IFERROR(Inv_SY!K455/Inv_SY!$Z455-1,"")</f>
        <v/>
      </c>
      <c r="X453" s="59" t="str">
        <f>IFERROR(Inv_SY!L455/Inv_SY!$Z455-1,"")</f>
        <v/>
      </c>
      <c r="Y453" s="59" t="str">
        <f>IFERROR(Inv_SY!M455/Inv_SY!$Z455-1,"")</f>
        <v/>
      </c>
      <c r="Z453" s="59" t="str">
        <f>IFERROR(Inv_SY!N455/Inv_SY!$Z455-1,"")</f>
        <v/>
      </c>
      <c r="AA453" s="59" t="str">
        <f>IFERROR(Inv_SY!O455/Inv_SY!$Z455-1,"")</f>
        <v/>
      </c>
      <c r="AB453" s="59" t="str">
        <f>IFERROR(Inv_SY!P455/Inv_SY!$Z455-1,"")</f>
        <v/>
      </c>
      <c r="AC453" s="59" t="str">
        <f>IFERROR(Inv_SY!Q455/Inv_SY!$Z455-1,"")</f>
        <v/>
      </c>
      <c r="AD453" s="59" t="str">
        <f>IFERROR(Inv_SY!R455/Inv_SY!$Z455-1,"")</f>
        <v/>
      </c>
      <c r="AE453" s="59" t="str">
        <f>IFERROR(Inv_SY!S455/Inv_SY!$Z455-1,"")</f>
        <v/>
      </c>
      <c r="AF453" s="59" t="str">
        <f>IFERROR(Inv_SY!T455/Inv_SY!$Z455-1,"")</f>
        <v/>
      </c>
      <c r="AG453" s="59" t="str">
        <f>IFERROR(Inv_SY!U455/Inv_SY!$Z455-1,"")</f>
        <v/>
      </c>
      <c r="AH453" s="59" t="str">
        <f>IFERROR(Inv_SY!V455/Inv_SY!$Y455-1,"")</f>
        <v/>
      </c>
      <c r="AI453" s="59" t="str">
        <f>IFERROR(Inv_SY!W455/Inv_SY!$Y455-1,"")</f>
        <v/>
      </c>
      <c r="AJ453" s="59" t="str">
        <f>IFERROR(Inv_SY!X455/Inv_SY!$Y455-1,"")</f>
        <v/>
      </c>
      <c r="AK453" s="59" t="str">
        <f>IFERROR(Inv_SY!V455/Inv_SY!$Z455-1,"")</f>
        <v/>
      </c>
      <c r="AL453" s="59" t="str">
        <f>IFERROR(Inv_SY!W455/Inv_SY!$Z455-1,"")</f>
        <v/>
      </c>
      <c r="AM453" s="59" t="str">
        <f>IFERROR(Inv_SY!X455/Inv_SY!$Z455-1,"")</f>
        <v/>
      </c>
    </row>
    <row r="454" spans="1:39" x14ac:dyDescent="0.3">
      <c r="A454" s="55">
        <f>YEAR(Table5[[#This Row],[Date]])+IF(MONTH(Table5[[#This Row],[Date]])&gt;=4,1,0)</f>
        <v>2027</v>
      </c>
      <c r="B454" s="55">
        <v>414</v>
      </c>
      <c r="C454" s="124">
        <f>YEAR(Table5[[#This Row],[Date]])</f>
        <v>2026</v>
      </c>
      <c r="D454" s="55" t="s">
        <v>329</v>
      </c>
      <c r="E454" s="55" t="s">
        <v>329</v>
      </c>
      <c r="F454" s="126" t="str">
        <f>TEXT(Table5[[#This Row],[Date]],"mmm-yy")</f>
        <v>Jun-26</v>
      </c>
      <c r="G454" s="124">
        <f t="shared" si="17"/>
        <v>30</v>
      </c>
      <c r="H454" s="125">
        <f t="shared" si="18"/>
        <v>46197</v>
      </c>
      <c r="I454" s="55">
        <v>8.02</v>
      </c>
      <c r="J454" s="59" t="str">
        <f>IFERROR(Inv_SY!J456/Inv_SY!$Y456-1,"")</f>
        <v/>
      </c>
      <c r="K454" s="59" t="str">
        <f>IFERROR(Inv_SY!K456/Inv_SY!$Y456-1,"")</f>
        <v/>
      </c>
      <c r="L454" s="59" t="str">
        <f>IFERROR(Inv_SY!L456/Inv_SY!$Y456-1,"")</f>
        <v/>
      </c>
      <c r="M454" s="59" t="str">
        <f>IFERROR(Inv_SY!M456/Inv_SY!$Y456-1,"")</f>
        <v/>
      </c>
      <c r="N454" s="59" t="str">
        <f>IFERROR(Inv_SY!N456/Inv_SY!$Y456-1,"")</f>
        <v/>
      </c>
      <c r="O454" s="59" t="str">
        <f>IFERROR(Inv_SY!O456/Inv_SY!$Y456-1,"")</f>
        <v/>
      </c>
      <c r="P454" s="59" t="str">
        <f>IFERROR(Inv_SY!P456/Inv_SY!$Y456-1,"")</f>
        <v/>
      </c>
      <c r="Q454" s="59" t="str">
        <f>IFERROR(Inv_SY!Q456/Inv_SY!$Y456-1,"")</f>
        <v/>
      </c>
      <c r="R454" s="59" t="str">
        <f>IFERROR(Inv_SY!R456/Inv_SY!$Y456-1,"")</f>
        <v/>
      </c>
      <c r="S454" s="59" t="str">
        <f>IFERROR(Inv_SY!S456/Inv_SY!$Y456-1,"")</f>
        <v/>
      </c>
      <c r="T454" s="59" t="str">
        <f>IFERROR(Inv_SY!T456/Inv_SY!$Y456-1,"")</f>
        <v/>
      </c>
      <c r="U454" s="59" t="str">
        <f>IFERROR(Inv_SY!U456/Inv_SY!$Y456-1,"")</f>
        <v/>
      </c>
      <c r="V454" s="59" t="str">
        <f>IFERROR(Inv_SY!J456/Inv_SY!$Z456-1,"")</f>
        <v/>
      </c>
      <c r="W454" s="59" t="str">
        <f>IFERROR(Inv_SY!K456/Inv_SY!$Z456-1,"")</f>
        <v/>
      </c>
      <c r="X454" s="59" t="str">
        <f>IFERROR(Inv_SY!L456/Inv_SY!$Z456-1,"")</f>
        <v/>
      </c>
      <c r="Y454" s="59" t="str">
        <f>IFERROR(Inv_SY!M456/Inv_SY!$Z456-1,"")</f>
        <v/>
      </c>
      <c r="Z454" s="59" t="str">
        <f>IFERROR(Inv_SY!N456/Inv_SY!$Z456-1,"")</f>
        <v/>
      </c>
      <c r="AA454" s="59" t="str">
        <f>IFERROR(Inv_SY!O456/Inv_SY!$Z456-1,"")</f>
        <v/>
      </c>
      <c r="AB454" s="59" t="str">
        <f>IFERROR(Inv_SY!P456/Inv_SY!$Z456-1,"")</f>
        <v/>
      </c>
      <c r="AC454" s="59" t="str">
        <f>IFERROR(Inv_SY!Q456/Inv_SY!$Z456-1,"")</f>
        <v/>
      </c>
      <c r="AD454" s="59" t="str">
        <f>IFERROR(Inv_SY!R456/Inv_SY!$Z456-1,"")</f>
        <v/>
      </c>
      <c r="AE454" s="59" t="str">
        <f>IFERROR(Inv_SY!S456/Inv_SY!$Z456-1,"")</f>
        <v/>
      </c>
      <c r="AF454" s="59" t="str">
        <f>IFERROR(Inv_SY!T456/Inv_SY!$Z456-1,"")</f>
        <v/>
      </c>
      <c r="AG454" s="59" t="str">
        <f>IFERROR(Inv_SY!U456/Inv_SY!$Z456-1,"")</f>
        <v/>
      </c>
      <c r="AH454" s="59" t="str">
        <f>IFERROR(Inv_SY!V456/Inv_SY!$Y456-1,"")</f>
        <v/>
      </c>
      <c r="AI454" s="59" t="str">
        <f>IFERROR(Inv_SY!W456/Inv_SY!$Y456-1,"")</f>
        <v/>
      </c>
      <c r="AJ454" s="59" t="str">
        <f>IFERROR(Inv_SY!X456/Inv_SY!$Y456-1,"")</f>
        <v/>
      </c>
      <c r="AK454" s="59" t="str">
        <f>IFERROR(Inv_SY!V456/Inv_SY!$Z456-1,"")</f>
        <v/>
      </c>
      <c r="AL454" s="59" t="str">
        <f>IFERROR(Inv_SY!W456/Inv_SY!$Z456-1,"")</f>
        <v/>
      </c>
      <c r="AM454" s="59" t="str">
        <f>IFERROR(Inv_SY!X456/Inv_SY!$Z456-1,"")</f>
        <v/>
      </c>
    </row>
    <row r="455" spans="1:39" x14ac:dyDescent="0.3">
      <c r="A455" s="55">
        <f>YEAR(Table5[[#This Row],[Date]])+IF(MONTH(Table5[[#This Row],[Date]])&gt;=4,1,0)</f>
        <v>2027</v>
      </c>
      <c r="B455" s="55">
        <v>415</v>
      </c>
      <c r="C455" s="124">
        <f>YEAR(Table5[[#This Row],[Date]])</f>
        <v>2026</v>
      </c>
      <c r="D455" s="55" t="s">
        <v>329</v>
      </c>
      <c r="E455" s="55" t="s">
        <v>329</v>
      </c>
      <c r="F455" s="126" t="str">
        <f>TEXT(Table5[[#This Row],[Date]],"mmm-yy")</f>
        <v>Jun-26</v>
      </c>
      <c r="G455" s="124">
        <f t="shared" si="17"/>
        <v>30</v>
      </c>
      <c r="H455" s="125">
        <f t="shared" si="18"/>
        <v>46198</v>
      </c>
      <c r="I455" s="55">
        <v>8.02</v>
      </c>
      <c r="J455" s="59" t="str">
        <f>IFERROR(Inv_SY!J457/Inv_SY!$Y457-1,"")</f>
        <v/>
      </c>
      <c r="K455" s="59" t="str">
        <f>IFERROR(Inv_SY!K457/Inv_SY!$Y457-1,"")</f>
        <v/>
      </c>
      <c r="L455" s="59" t="str">
        <f>IFERROR(Inv_SY!L457/Inv_SY!$Y457-1,"")</f>
        <v/>
      </c>
      <c r="M455" s="59" t="str">
        <f>IFERROR(Inv_SY!M457/Inv_SY!$Y457-1,"")</f>
        <v/>
      </c>
      <c r="N455" s="59" t="str">
        <f>IFERROR(Inv_SY!N457/Inv_SY!$Y457-1,"")</f>
        <v/>
      </c>
      <c r="O455" s="59" t="str">
        <f>IFERROR(Inv_SY!O457/Inv_SY!$Y457-1,"")</f>
        <v/>
      </c>
      <c r="P455" s="59" t="str">
        <f>IFERROR(Inv_SY!P457/Inv_SY!$Y457-1,"")</f>
        <v/>
      </c>
      <c r="Q455" s="59" t="str">
        <f>IFERROR(Inv_SY!Q457/Inv_SY!$Y457-1,"")</f>
        <v/>
      </c>
      <c r="R455" s="59" t="str">
        <f>IFERROR(Inv_SY!R457/Inv_SY!$Y457-1,"")</f>
        <v/>
      </c>
      <c r="S455" s="59" t="str">
        <f>IFERROR(Inv_SY!S457/Inv_SY!$Y457-1,"")</f>
        <v/>
      </c>
      <c r="T455" s="59" t="str">
        <f>IFERROR(Inv_SY!T457/Inv_SY!$Y457-1,"")</f>
        <v/>
      </c>
      <c r="U455" s="59" t="str">
        <f>IFERROR(Inv_SY!U457/Inv_SY!$Y457-1,"")</f>
        <v/>
      </c>
      <c r="V455" s="59" t="str">
        <f>IFERROR(Inv_SY!J457/Inv_SY!$Z457-1,"")</f>
        <v/>
      </c>
      <c r="W455" s="59" t="str">
        <f>IFERROR(Inv_SY!K457/Inv_SY!$Z457-1,"")</f>
        <v/>
      </c>
      <c r="X455" s="59" t="str">
        <f>IFERROR(Inv_SY!L457/Inv_SY!$Z457-1,"")</f>
        <v/>
      </c>
      <c r="Y455" s="59" t="str">
        <f>IFERROR(Inv_SY!M457/Inv_SY!$Z457-1,"")</f>
        <v/>
      </c>
      <c r="Z455" s="59" t="str">
        <f>IFERROR(Inv_SY!N457/Inv_SY!$Z457-1,"")</f>
        <v/>
      </c>
      <c r="AA455" s="59" t="str">
        <f>IFERROR(Inv_SY!O457/Inv_SY!$Z457-1,"")</f>
        <v/>
      </c>
      <c r="AB455" s="59" t="str">
        <f>IFERROR(Inv_SY!P457/Inv_SY!$Z457-1,"")</f>
        <v/>
      </c>
      <c r="AC455" s="59" t="str">
        <f>IFERROR(Inv_SY!Q457/Inv_SY!$Z457-1,"")</f>
        <v/>
      </c>
      <c r="AD455" s="59" t="str">
        <f>IFERROR(Inv_SY!R457/Inv_SY!$Z457-1,"")</f>
        <v/>
      </c>
      <c r="AE455" s="59" t="str">
        <f>IFERROR(Inv_SY!S457/Inv_SY!$Z457-1,"")</f>
        <v/>
      </c>
      <c r="AF455" s="59" t="str">
        <f>IFERROR(Inv_SY!T457/Inv_SY!$Z457-1,"")</f>
        <v/>
      </c>
      <c r="AG455" s="59" t="str">
        <f>IFERROR(Inv_SY!U457/Inv_SY!$Z457-1,"")</f>
        <v/>
      </c>
      <c r="AH455" s="59" t="str">
        <f>IFERROR(Inv_SY!V457/Inv_SY!$Y457-1,"")</f>
        <v/>
      </c>
      <c r="AI455" s="59" t="str">
        <f>IFERROR(Inv_SY!W457/Inv_SY!$Y457-1,"")</f>
        <v/>
      </c>
      <c r="AJ455" s="59" t="str">
        <f>IFERROR(Inv_SY!X457/Inv_SY!$Y457-1,"")</f>
        <v/>
      </c>
      <c r="AK455" s="59" t="str">
        <f>IFERROR(Inv_SY!V457/Inv_SY!$Z457-1,"")</f>
        <v/>
      </c>
      <c r="AL455" s="59" t="str">
        <f>IFERROR(Inv_SY!W457/Inv_SY!$Z457-1,"")</f>
        <v/>
      </c>
      <c r="AM455" s="59" t="str">
        <f>IFERROR(Inv_SY!X457/Inv_SY!$Z457-1,"")</f>
        <v/>
      </c>
    </row>
    <row r="456" spans="1:39" x14ac:dyDescent="0.3">
      <c r="A456" s="55">
        <f>YEAR(Table5[[#This Row],[Date]])+IF(MONTH(Table5[[#This Row],[Date]])&gt;=4,1,0)</f>
        <v>2027</v>
      </c>
      <c r="B456" s="55">
        <v>416</v>
      </c>
      <c r="C456" s="124">
        <f>YEAR(Table5[[#This Row],[Date]])</f>
        <v>2026</v>
      </c>
      <c r="D456" s="55" t="s">
        <v>329</v>
      </c>
      <c r="E456" s="55" t="s">
        <v>329</v>
      </c>
      <c r="F456" s="126" t="str">
        <f>TEXT(Table5[[#This Row],[Date]],"mmm-yy")</f>
        <v>Jun-26</v>
      </c>
      <c r="G456" s="124">
        <f t="shared" si="17"/>
        <v>30</v>
      </c>
      <c r="H456" s="125">
        <f t="shared" si="18"/>
        <v>46199</v>
      </c>
      <c r="I456" s="55">
        <v>8.02</v>
      </c>
      <c r="J456" s="59" t="str">
        <f>IFERROR(Inv_SY!J458/Inv_SY!$Y458-1,"")</f>
        <v/>
      </c>
      <c r="K456" s="59" t="str">
        <f>IFERROR(Inv_SY!K458/Inv_SY!$Y458-1,"")</f>
        <v/>
      </c>
      <c r="L456" s="59" t="str">
        <f>IFERROR(Inv_SY!L458/Inv_SY!$Y458-1,"")</f>
        <v/>
      </c>
      <c r="M456" s="59" t="str">
        <f>IFERROR(Inv_SY!M458/Inv_SY!$Y458-1,"")</f>
        <v/>
      </c>
      <c r="N456" s="59" t="str">
        <f>IFERROR(Inv_SY!N458/Inv_SY!$Y458-1,"")</f>
        <v/>
      </c>
      <c r="O456" s="59" t="str">
        <f>IFERROR(Inv_SY!O458/Inv_SY!$Y458-1,"")</f>
        <v/>
      </c>
      <c r="P456" s="59" t="str">
        <f>IFERROR(Inv_SY!P458/Inv_SY!$Y458-1,"")</f>
        <v/>
      </c>
      <c r="Q456" s="59" t="str">
        <f>IFERROR(Inv_SY!Q458/Inv_SY!$Y458-1,"")</f>
        <v/>
      </c>
      <c r="R456" s="59" t="str">
        <f>IFERROR(Inv_SY!R458/Inv_SY!$Y458-1,"")</f>
        <v/>
      </c>
      <c r="S456" s="59" t="str">
        <f>IFERROR(Inv_SY!S458/Inv_SY!$Y458-1,"")</f>
        <v/>
      </c>
      <c r="T456" s="59" t="str">
        <f>IFERROR(Inv_SY!T458/Inv_SY!$Y458-1,"")</f>
        <v/>
      </c>
      <c r="U456" s="59" t="str">
        <f>IFERROR(Inv_SY!U458/Inv_SY!$Y458-1,"")</f>
        <v/>
      </c>
      <c r="V456" s="59" t="str">
        <f>IFERROR(Inv_SY!J458/Inv_SY!$Z458-1,"")</f>
        <v/>
      </c>
      <c r="W456" s="59" t="str">
        <f>IFERROR(Inv_SY!K458/Inv_SY!$Z458-1,"")</f>
        <v/>
      </c>
      <c r="X456" s="59" t="str">
        <f>IFERROR(Inv_SY!L458/Inv_SY!$Z458-1,"")</f>
        <v/>
      </c>
      <c r="Y456" s="59" t="str">
        <f>IFERROR(Inv_SY!M458/Inv_SY!$Z458-1,"")</f>
        <v/>
      </c>
      <c r="Z456" s="59" t="str">
        <f>IFERROR(Inv_SY!N458/Inv_SY!$Z458-1,"")</f>
        <v/>
      </c>
      <c r="AA456" s="59" t="str">
        <f>IFERROR(Inv_SY!O458/Inv_SY!$Z458-1,"")</f>
        <v/>
      </c>
      <c r="AB456" s="59" t="str">
        <f>IFERROR(Inv_SY!P458/Inv_SY!$Z458-1,"")</f>
        <v/>
      </c>
      <c r="AC456" s="59" t="str">
        <f>IFERROR(Inv_SY!Q458/Inv_SY!$Z458-1,"")</f>
        <v/>
      </c>
      <c r="AD456" s="59" t="str">
        <f>IFERROR(Inv_SY!R458/Inv_SY!$Z458-1,"")</f>
        <v/>
      </c>
      <c r="AE456" s="59" t="str">
        <f>IFERROR(Inv_SY!S458/Inv_SY!$Z458-1,"")</f>
        <v/>
      </c>
      <c r="AF456" s="59" t="str">
        <f>IFERROR(Inv_SY!T458/Inv_SY!$Z458-1,"")</f>
        <v/>
      </c>
      <c r="AG456" s="59" t="str">
        <f>IFERROR(Inv_SY!U458/Inv_SY!$Z458-1,"")</f>
        <v/>
      </c>
      <c r="AH456" s="59" t="str">
        <f>IFERROR(Inv_SY!V458/Inv_SY!$Y458-1,"")</f>
        <v/>
      </c>
      <c r="AI456" s="59" t="str">
        <f>IFERROR(Inv_SY!W458/Inv_SY!$Y458-1,"")</f>
        <v/>
      </c>
      <c r="AJ456" s="59" t="str">
        <f>IFERROR(Inv_SY!X458/Inv_SY!$Y458-1,"")</f>
        <v/>
      </c>
      <c r="AK456" s="59" t="str">
        <f>IFERROR(Inv_SY!V458/Inv_SY!$Z458-1,"")</f>
        <v/>
      </c>
      <c r="AL456" s="59" t="str">
        <f>IFERROR(Inv_SY!W458/Inv_SY!$Z458-1,"")</f>
        <v/>
      </c>
      <c r="AM456" s="59" t="str">
        <f>IFERROR(Inv_SY!X458/Inv_SY!$Z458-1,"")</f>
        <v/>
      </c>
    </row>
    <row r="457" spans="1:39" x14ac:dyDescent="0.3">
      <c r="A457" s="55">
        <f>YEAR(Table5[[#This Row],[Date]])+IF(MONTH(Table5[[#This Row],[Date]])&gt;=4,1,0)</f>
        <v>2027</v>
      </c>
      <c r="B457" s="55">
        <v>417</v>
      </c>
      <c r="C457" s="124">
        <f>YEAR(Table5[[#This Row],[Date]])</f>
        <v>2026</v>
      </c>
      <c r="D457" s="55" t="s">
        <v>329</v>
      </c>
      <c r="E457" s="55" t="s">
        <v>329</v>
      </c>
      <c r="F457" s="126" t="str">
        <f>TEXT(Table5[[#This Row],[Date]],"mmm-yy")</f>
        <v>Jun-26</v>
      </c>
      <c r="G457" s="124">
        <f t="shared" si="17"/>
        <v>30</v>
      </c>
      <c r="H457" s="125">
        <f t="shared" si="18"/>
        <v>46200</v>
      </c>
      <c r="I457" s="55">
        <v>8.02</v>
      </c>
      <c r="J457" s="59" t="str">
        <f>IFERROR(Inv_SY!J459/Inv_SY!$Y459-1,"")</f>
        <v/>
      </c>
      <c r="K457" s="59" t="str">
        <f>IFERROR(Inv_SY!K459/Inv_SY!$Y459-1,"")</f>
        <v/>
      </c>
      <c r="L457" s="59" t="str">
        <f>IFERROR(Inv_SY!L459/Inv_SY!$Y459-1,"")</f>
        <v/>
      </c>
      <c r="M457" s="59" t="str">
        <f>IFERROR(Inv_SY!M459/Inv_SY!$Y459-1,"")</f>
        <v/>
      </c>
      <c r="N457" s="59" t="str">
        <f>IFERROR(Inv_SY!N459/Inv_SY!$Y459-1,"")</f>
        <v/>
      </c>
      <c r="O457" s="59" t="str">
        <f>IFERROR(Inv_SY!O459/Inv_SY!$Y459-1,"")</f>
        <v/>
      </c>
      <c r="P457" s="59" t="str">
        <f>IFERROR(Inv_SY!P459/Inv_SY!$Y459-1,"")</f>
        <v/>
      </c>
      <c r="Q457" s="59" t="str">
        <f>IFERROR(Inv_SY!Q459/Inv_SY!$Y459-1,"")</f>
        <v/>
      </c>
      <c r="R457" s="59" t="str">
        <f>IFERROR(Inv_SY!R459/Inv_SY!$Y459-1,"")</f>
        <v/>
      </c>
      <c r="S457" s="59" t="str">
        <f>IFERROR(Inv_SY!S459/Inv_SY!$Y459-1,"")</f>
        <v/>
      </c>
      <c r="T457" s="59" t="str">
        <f>IFERROR(Inv_SY!T459/Inv_SY!$Y459-1,"")</f>
        <v/>
      </c>
      <c r="U457" s="59" t="str">
        <f>IFERROR(Inv_SY!U459/Inv_SY!$Y459-1,"")</f>
        <v/>
      </c>
      <c r="V457" s="59" t="str">
        <f>IFERROR(Inv_SY!J459/Inv_SY!$Z459-1,"")</f>
        <v/>
      </c>
      <c r="W457" s="59" t="str">
        <f>IFERROR(Inv_SY!K459/Inv_SY!$Z459-1,"")</f>
        <v/>
      </c>
      <c r="X457" s="59" t="str">
        <f>IFERROR(Inv_SY!L459/Inv_SY!$Z459-1,"")</f>
        <v/>
      </c>
      <c r="Y457" s="59" t="str">
        <f>IFERROR(Inv_SY!M459/Inv_SY!$Z459-1,"")</f>
        <v/>
      </c>
      <c r="Z457" s="59" t="str">
        <f>IFERROR(Inv_SY!N459/Inv_SY!$Z459-1,"")</f>
        <v/>
      </c>
      <c r="AA457" s="59" t="str">
        <f>IFERROR(Inv_SY!O459/Inv_SY!$Z459-1,"")</f>
        <v/>
      </c>
      <c r="AB457" s="59" t="str">
        <f>IFERROR(Inv_SY!P459/Inv_SY!$Z459-1,"")</f>
        <v/>
      </c>
      <c r="AC457" s="59" t="str">
        <f>IFERROR(Inv_SY!Q459/Inv_SY!$Z459-1,"")</f>
        <v/>
      </c>
      <c r="AD457" s="59" t="str">
        <f>IFERROR(Inv_SY!R459/Inv_SY!$Z459-1,"")</f>
        <v/>
      </c>
      <c r="AE457" s="59" t="str">
        <f>IFERROR(Inv_SY!S459/Inv_SY!$Z459-1,"")</f>
        <v/>
      </c>
      <c r="AF457" s="59" t="str">
        <f>IFERROR(Inv_SY!T459/Inv_SY!$Z459-1,"")</f>
        <v/>
      </c>
      <c r="AG457" s="59" t="str">
        <f>IFERROR(Inv_SY!U459/Inv_SY!$Z459-1,"")</f>
        <v/>
      </c>
      <c r="AH457" s="59" t="str">
        <f>IFERROR(Inv_SY!V459/Inv_SY!$Y459-1,"")</f>
        <v/>
      </c>
      <c r="AI457" s="59" t="str">
        <f>IFERROR(Inv_SY!W459/Inv_SY!$Y459-1,"")</f>
        <v/>
      </c>
      <c r="AJ457" s="59" t="str">
        <f>IFERROR(Inv_SY!X459/Inv_SY!$Y459-1,"")</f>
        <v/>
      </c>
      <c r="AK457" s="59" t="str">
        <f>IFERROR(Inv_SY!V459/Inv_SY!$Z459-1,"")</f>
        <v/>
      </c>
      <c r="AL457" s="59" t="str">
        <f>IFERROR(Inv_SY!W459/Inv_SY!$Z459-1,"")</f>
        <v/>
      </c>
      <c r="AM457" s="59" t="str">
        <f>IFERROR(Inv_SY!X459/Inv_SY!$Z459-1,"")</f>
        <v/>
      </c>
    </row>
    <row r="458" spans="1:39" x14ac:dyDescent="0.3">
      <c r="A458" s="55">
        <f>YEAR(Table5[[#This Row],[Date]])+IF(MONTH(Table5[[#This Row],[Date]])&gt;=4,1,0)</f>
        <v>2027</v>
      </c>
      <c r="B458" s="55">
        <v>418</v>
      </c>
      <c r="C458" s="124">
        <f>YEAR(Table5[[#This Row],[Date]])</f>
        <v>2026</v>
      </c>
      <c r="D458" s="55" t="s">
        <v>329</v>
      </c>
      <c r="E458" s="55" t="s">
        <v>329</v>
      </c>
      <c r="F458" s="126" t="str">
        <f>TEXT(Table5[[#This Row],[Date]],"mmm-yy")</f>
        <v>Jun-26</v>
      </c>
      <c r="G458" s="124">
        <f t="shared" si="17"/>
        <v>30</v>
      </c>
      <c r="H458" s="125">
        <f t="shared" si="18"/>
        <v>46201</v>
      </c>
      <c r="I458" s="55">
        <v>8.02</v>
      </c>
      <c r="J458" s="59" t="str">
        <f>IFERROR(Inv_SY!J460/Inv_SY!$Y460-1,"")</f>
        <v/>
      </c>
      <c r="K458" s="59" t="str">
        <f>IFERROR(Inv_SY!K460/Inv_SY!$Y460-1,"")</f>
        <v/>
      </c>
      <c r="L458" s="59" t="str">
        <f>IFERROR(Inv_SY!L460/Inv_SY!$Y460-1,"")</f>
        <v/>
      </c>
      <c r="M458" s="59" t="str">
        <f>IFERROR(Inv_SY!M460/Inv_SY!$Y460-1,"")</f>
        <v/>
      </c>
      <c r="N458" s="59" t="str">
        <f>IFERROR(Inv_SY!N460/Inv_SY!$Y460-1,"")</f>
        <v/>
      </c>
      <c r="O458" s="59" t="str">
        <f>IFERROR(Inv_SY!O460/Inv_SY!$Y460-1,"")</f>
        <v/>
      </c>
      <c r="P458" s="59" t="str">
        <f>IFERROR(Inv_SY!P460/Inv_SY!$Y460-1,"")</f>
        <v/>
      </c>
      <c r="Q458" s="59" t="str">
        <f>IFERROR(Inv_SY!Q460/Inv_SY!$Y460-1,"")</f>
        <v/>
      </c>
      <c r="R458" s="59" t="str">
        <f>IFERROR(Inv_SY!R460/Inv_SY!$Y460-1,"")</f>
        <v/>
      </c>
      <c r="S458" s="59" t="str">
        <f>IFERROR(Inv_SY!S460/Inv_SY!$Y460-1,"")</f>
        <v/>
      </c>
      <c r="T458" s="59" t="str">
        <f>IFERROR(Inv_SY!T460/Inv_SY!$Y460-1,"")</f>
        <v/>
      </c>
      <c r="U458" s="59" t="str">
        <f>IFERROR(Inv_SY!U460/Inv_SY!$Y460-1,"")</f>
        <v/>
      </c>
      <c r="V458" s="59" t="str">
        <f>IFERROR(Inv_SY!J460/Inv_SY!$Z460-1,"")</f>
        <v/>
      </c>
      <c r="W458" s="59" t="str">
        <f>IFERROR(Inv_SY!K460/Inv_SY!$Z460-1,"")</f>
        <v/>
      </c>
      <c r="X458" s="59" t="str">
        <f>IFERROR(Inv_SY!L460/Inv_SY!$Z460-1,"")</f>
        <v/>
      </c>
      <c r="Y458" s="59" t="str">
        <f>IFERROR(Inv_SY!M460/Inv_SY!$Z460-1,"")</f>
        <v/>
      </c>
      <c r="Z458" s="59" t="str">
        <f>IFERROR(Inv_SY!N460/Inv_SY!$Z460-1,"")</f>
        <v/>
      </c>
      <c r="AA458" s="59" t="str">
        <f>IFERROR(Inv_SY!O460/Inv_SY!$Z460-1,"")</f>
        <v/>
      </c>
      <c r="AB458" s="59" t="str">
        <f>IFERROR(Inv_SY!P460/Inv_SY!$Z460-1,"")</f>
        <v/>
      </c>
      <c r="AC458" s="59" t="str">
        <f>IFERROR(Inv_SY!Q460/Inv_SY!$Z460-1,"")</f>
        <v/>
      </c>
      <c r="AD458" s="59" t="str">
        <f>IFERROR(Inv_SY!R460/Inv_SY!$Z460-1,"")</f>
        <v/>
      </c>
      <c r="AE458" s="59" t="str">
        <f>IFERROR(Inv_SY!S460/Inv_SY!$Z460-1,"")</f>
        <v/>
      </c>
      <c r="AF458" s="59" t="str">
        <f>IFERROR(Inv_SY!T460/Inv_SY!$Z460-1,"")</f>
        <v/>
      </c>
      <c r="AG458" s="59" t="str">
        <f>IFERROR(Inv_SY!U460/Inv_SY!$Z460-1,"")</f>
        <v/>
      </c>
      <c r="AH458" s="59" t="str">
        <f>IFERROR(Inv_SY!V460/Inv_SY!$Y460-1,"")</f>
        <v/>
      </c>
      <c r="AI458" s="59" t="str">
        <f>IFERROR(Inv_SY!W460/Inv_SY!$Y460-1,"")</f>
        <v/>
      </c>
      <c r="AJ458" s="59" t="str">
        <f>IFERROR(Inv_SY!X460/Inv_SY!$Y460-1,"")</f>
        <v/>
      </c>
      <c r="AK458" s="59" t="str">
        <f>IFERROR(Inv_SY!V460/Inv_SY!$Z460-1,"")</f>
        <v/>
      </c>
      <c r="AL458" s="59" t="str">
        <f>IFERROR(Inv_SY!W460/Inv_SY!$Z460-1,"")</f>
        <v/>
      </c>
      <c r="AM458" s="59" t="str">
        <f>IFERROR(Inv_SY!X460/Inv_SY!$Z460-1,"")</f>
        <v/>
      </c>
    </row>
    <row r="459" spans="1:39" x14ac:dyDescent="0.3">
      <c r="A459" s="55">
        <f>YEAR(Table5[[#This Row],[Date]])+IF(MONTH(Table5[[#This Row],[Date]])&gt;=4,1,0)</f>
        <v>2027</v>
      </c>
      <c r="B459" s="55">
        <v>419</v>
      </c>
      <c r="C459" s="124">
        <f>YEAR(Table5[[#This Row],[Date]])</f>
        <v>2026</v>
      </c>
      <c r="D459" s="55" t="s">
        <v>329</v>
      </c>
      <c r="E459" s="55" t="s">
        <v>329</v>
      </c>
      <c r="F459" s="126" t="str">
        <f>TEXT(Table5[[#This Row],[Date]],"mmm-yy")</f>
        <v>Jun-26</v>
      </c>
      <c r="G459" s="124">
        <f t="shared" si="17"/>
        <v>30</v>
      </c>
      <c r="H459" s="125">
        <f t="shared" si="18"/>
        <v>46202</v>
      </c>
      <c r="I459" s="55">
        <v>8.02</v>
      </c>
      <c r="J459" s="59" t="str">
        <f>IFERROR(Inv_SY!J461/Inv_SY!$Y461-1,"")</f>
        <v/>
      </c>
      <c r="K459" s="59" t="str">
        <f>IFERROR(Inv_SY!K461/Inv_SY!$Y461-1,"")</f>
        <v/>
      </c>
      <c r="L459" s="59" t="str">
        <f>IFERROR(Inv_SY!L461/Inv_SY!$Y461-1,"")</f>
        <v/>
      </c>
      <c r="M459" s="59" t="str">
        <f>IFERROR(Inv_SY!M461/Inv_SY!$Y461-1,"")</f>
        <v/>
      </c>
      <c r="N459" s="59" t="str">
        <f>IFERROR(Inv_SY!N461/Inv_SY!$Y461-1,"")</f>
        <v/>
      </c>
      <c r="O459" s="59" t="str">
        <f>IFERROR(Inv_SY!O461/Inv_SY!$Y461-1,"")</f>
        <v/>
      </c>
      <c r="P459" s="59" t="str">
        <f>IFERROR(Inv_SY!P461/Inv_SY!$Y461-1,"")</f>
        <v/>
      </c>
      <c r="Q459" s="59" t="str">
        <f>IFERROR(Inv_SY!Q461/Inv_SY!$Y461-1,"")</f>
        <v/>
      </c>
      <c r="R459" s="59" t="str">
        <f>IFERROR(Inv_SY!R461/Inv_SY!$Y461-1,"")</f>
        <v/>
      </c>
      <c r="S459" s="59" t="str">
        <f>IFERROR(Inv_SY!S461/Inv_SY!$Y461-1,"")</f>
        <v/>
      </c>
      <c r="T459" s="59" t="str">
        <f>IFERROR(Inv_SY!T461/Inv_SY!$Y461-1,"")</f>
        <v/>
      </c>
      <c r="U459" s="59" t="str">
        <f>IFERROR(Inv_SY!U461/Inv_SY!$Y461-1,"")</f>
        <v/>
      </c>
      <c r="V459" s="59" t="str">
        <f>IFERROR(Inv_SY!J461/Inv_SY!$Z461-1,"")</f>
        <v/>
      </c>
      <c r="W459" s="59" t="str">
        <f>IFERROR(Inv_SY!K461/Inv_SY!$Z461-1,"")</f>
        <v/>
      </c>
      <c r="X459" s="59" t="str">
        <f>IFERROR(Inv_SY!L461/Inv_SY!$Z461-1,"")</f>
        <v/>
      </c>
      <c r="Y459" s="59" t="str">
        <f>IFERROR(Inv_SY!M461/Inv_SY!$Z461-1,"")</f>
        <v/>
      </c>
      <c r="Z459" s="59" t="str">
        <f>IFERROR(Inv_SY!N461/Inv_SY!$Z461-1,"")</f>
        <v/>
      </c>
      <c r="AA459" s="59" t="str">
        <f>IFERROR(Inv_SY!O461/Inv_SY!$Z461-1,"")</f>
        <v/>
      </c>
      <c r="AB459" s="59" t="str">
        <f>IFERROR(Inv_SY!P461/Inv_SY!$Z461-1,"")</f>
        <v/>
      </c>
      <c r="AC459" s="59" t="str">
        <f>IFERROR(Inv_SY!Q461/Inv_SY!$Z461-1,"")</f>
        <v/>
      </c>
      <c r="AD459" s="59" t="str">
        <f>IFERROR(Inv_SY!R461/Inv_SY!$Z461-1,"")</f>
        <v/>
      </c>
      <c r="AE459" s="59" t="str">
        <f>IFERROR(Inv_SY!S461/Inv_SY!$Z461-1,"")</f>
        <v/>
      </c>
      <c r="AF459" s="59" t="str">
        <f>IFERROR(Inv_SY!T461/Inv_SY!$Z461-1,"")</f>
        <v/>
      </c>
      <c r="AG459" s="59" t="str">
        <f>IFERROR(Inv_SY!U461/Inv_SY!$Z461-1,"")</f>
        <v/>
      </c>
      <c r="AH459" s="59" t="str">
        <f>IFERROR(Inv_SY!V461/Inv_SY!$Y461-1,"")</f>
        <v/>
      </c>
      <c r="AI459" s="59" t="str">
        <f>IFERROR(Inv_SY!W461/Inv_SY!$Y461-1,"")</f>
        <v/>
      </c>
      <c r="AJ459" s="59" t="str">
        <f>IFERROR(Inv_SY!X461/Inv_SY!$Y461-1,"")</f>
        <v/>
      </c>
      <c r="AK459" s="59" t="str">
        <f>IFERROR(Inv_SY!V461/Inv_SY!$Z461-1,"")</f>
        <v/>
      </c>
      <c r="AL459" s="59" t="str">
        <f>IFERROR(Inv_SY!W461/Inv_SY!$Z461-1,"")</f>
        <v/>
      </c>
      <c r="AM459" s="59" t="str">
        <f>IFERROR(Inv_SY!X461/Inv_SY!$Z461-1,"")</f>
        <v/>
      </c>
    </row>
    <row r="460" spans="1:39" x14ac:dyDescent="0.3">
      <c r="A460" s="55">
        <f>YEAR(Table5[[#This Row],[Date]])+IF(MONTH(Table5[[#This Row],[Date]])&gt;=4,1,0)</f>
        <v>2027</v>
      </c>
      <c r="B460" s="55">
        <v>420</v>
      </c>
      <c r="C460" s="124">
        <f>YEAR(Table5[[#This Row],[Date]])</f>
        <v>2026</v>
      </c>
      <c r="D460" s="55" t="s">
        <v>329</v>
      </c>
      <c r="E460" s="55" t="s">
        <v>329</v>
      </c>
      <c r="F460" s="126" t="str">
        <f>TEXT(Table5[[#This Row],[Date]],"mmm-yy")</f>
        <v>Jun-26</v>
      </c>
      <c r="G460" s="124">
        <f t="shared" si="17"/>
        <v>30</v>
      </c>
      <c r="H460" s="125">
        <f t="shared" si="18"/>
        <v>46203</v>
      </c>
      <c r="I460" s="55">
        <v>8.02</v>
      </c>
      <c r="J460" s="59" t="str">
        <f>IFERROR(Inv_SY!J462/Inv_SY!$Y462-1,"")</f>
        <v/>
      </c>
      <c r="K460" s="59" t="str">
        <f>IFERROR(Inv_SY!K462/Inv_SY!$Y462-1,"")</f>
        <v/>
      </c>
      <c r="L460" s="59" t="str">
        <f>IFERROR(Inv_SY!L462/Inv_SY!$Y462-1,"")</f>
        <v/>
      </c>
      <c r="M460" s="59" t="str">
        <f>IFERROR(Inv_SY!M462/Inv_SY!$Y462-1,"")</f>
        <v/>
      </c>
      <c r="N460" s="59" t="str">
        <f>IFERROR(Inv_SY!N462/Inv_SY!$Y462-1,"")</f>
        <v/>
      </c>
      <c r="O460" s="59" t="str">
        <f>IFERROR(Inv_SY!O462/Inv_SY!$Y462-1,"")</f>
        <v/>
      </c>
      <c r="P460" s="59" t="str">
        <f>IFERROR(Inv_SY!P462/Inv_SY!$Y462-1,"")</f>
        <v/>
      </c>
      <c r="Q460" s="59" t="str">
        <f>IFERROR(Inv_SY!Q462/Inv_SY!$Y462-1,"")</f>
        <v/>
      </c>
      <c r="R460" s="59" t="str">
        <f>IFERROR(Inv_SY!R462/Inv_SY!$Y462-1,"")</f>
        <v/>
      </c>
      <c r="S460" s="59" t="str">
        <f>IFERROR(Inv_SY!S462/Inv_SY!$Y462-1,"")</f>
        <v/>
      </c>
      <c r="T460" s="59" t="str">
        <f>IFERROR(Inv_SY!T462/Inv_SY!$Y462-1,"")</f>
        <v/>
      </c>
      <c r="U460" s="59" t="str">
        <f>IFERROR(Inv_SY!U462/Inv_SY!$Y462-1,"")</f>
        <v/>
      </c>
      <c r="V460" s="59" t="str">
        <f>IFERROR(Inv_SY!J462/Inv_SY!$Z462-1,"")</f>
        <v/>
      </c>
      <c r="W460" s="59" t="str">
        <f>IFERROR(Inv_SY!K462/Inv_SY!$Z462-1,"")</f>
        <v/>
      </c>
      <c r="X460" s="59" t="str">
        <f>IFERROR(Inv_SY!L462/Inv_SY!$Z462-1,"")</f>
        <v/>
      </c>
      <c r="Y460" s="59" t="str">
        <f>IFERROR(Inv_SY!M462/Inv_SY!$Z462-1,"")</f>
        <v/>
      </c>
      <c r="Z460" s="59" t="str">
        <f>IFERROR(Inv_SY!N462/Inv_SY!$Z462-1,"")</f>
        <v/>
      </c>
      <c r="AA460" s="59" t="str">
        <f>IFERROR(Inv_SY!O462/Inv_SY!$Z462-1,"")</f>
        <v/>
      </c>
      <c r="AB460" s="59" t="str">
        <f>IFERROR(Inv_SY!P462/Inv_SY!$Z462-1,"")</f>
        <v/>
      </c>
      <c r="AC460" s="59" t="str">
        <f>IFERROR(Inv_SY!Q462/Inv_SY!$Z462-1,"")</f>
        <v/>
      </c>
      <c r="AD460" s="59" t="str">
        <f>IFERROR(Inv_SY!R462/Inv_SY!$Z462-1,"")</f>
        <v/>
      </c>
      <c r="AE460" s="59" t="str">
        <f>IFERROR(Inv_SY!S462/Inv_SY!$Z462-1,"")</f>
        <v/>
      </c>
      <c r="AF460" s="59" t="str">
        <f>IFERROR(Inv_SY!T462/Inv_SY!$Z462-1,"")</f>
        <v/>
      </c>
      <c r="AG460" s="59" t="str">
        <f>IFERROR(Inv_SY!U462/Inv_SY!$Z462-1,"")</f>
        <v/>
      </c>
      <c r="AH460" s="59" t="str">
        <f>IFERROR(Inv_SY!V462/Inv_SY!$Y462-1,"")</f>
        <v/>
      </c>
      <c r="AI460" s="59" t="str">
        <f>IFERROR(Inv_SY!W462/Inv_SY!$Y462-1,"")</f>
        <v/>
      </c>
      <c r="AJ460" s="59" t="str">
        <f>IFERROR(Inv_SY!X462/Inv_SY!$Y462-1,"")</f>
        <v/>
      </c>
      <c r="AK460" s="59" t="str">
        <f>IFERROR(Inv_SY!V462/Inv_SY!$Z462-1,"")</f>
        <v/>
      </c>
      <c r="AL460" s="59" t="str">
        <f>IFERROR(Inv_SY!W462/Inv_SY!$Z462-1,"")</f>
        <v/>
      </c>
      <c r="AM460" s="59" t="str">
        <f>IFERROR(Inv_SY!X462/Inv_SY!$Z462-1,"")</f>
        <v/>
      </c>
    </row>
    <row r="461" spans="1:39" x14ac:dyDescent="0.3">
      <c r="A461" s="55">
        <f>YEAR(Table5[[#This Row],[Date]])+IF(MONTH(Table5[[#This Row],[Date]])&gt;=4,1,0)</f>
        <v>2027</v>
      </c>
      <c r="B461" s="55">
        <v>421</v>
      </c>
      <c r="C461" s="124">
        <f>YEAR(Table5[[#This Row],[Date]])</f>
        <v>2026</v>
      </c>
      <c r="D461" s="55" t="s">
        <v>329</v>
      </c>
      <c r="E461" s="55" t="s">
        <v>329</v>
      </c>
      <c r="F461" s="126" t="str">
        <f>TEXT(Table5[[#This Row],[Date]],"mmm-yy")</f>
        <v>Jul-26</v>
      </c>
      <c r="G461" s="124">
        <f t="shared" si="17"/>
        <v>31</v>
      </c>
      <c r="H461" s="125">
        <f t="shared" si="18"/>
        <v>46204</v>
      </c>
      <c r="I461" s="55">
        <v>8.02</v>
      </c>
      <c r="J461" s="59" t="str">
        <f>IFERROR(Inv_SY!J463/Inv_SY!$Y463-1,"")</f>
        <v/>
      </c>
      <c r="K461" s="59" t="str">
        <f>IFERROR(Inv_SY!K463/Inv_SY!$Y463-1,"")</f>
        <v/>
      </c>
      <c r="L461" s="59" t="str">
        <f>IFERROR(Inv_SY!L463/Inv_SY!$Y463-1,"")</f>
        <v/>
      </c>
      <c r="M461" s="59" t="str">
        <f>IFERROR(Inv_SY!M463/Inv_SY!$Y463-1,"")</f>
        <v/>
      </c>
      <c r="N461" s="59" t="str">
        <f>IFERROR(Inv_SY!N463/Inv_SY!$Y463-1,"")</f>
        <v/>
      </c>
      <c r="O461" s="59" t="str">
        <f>IFERROR(Inv_SY!O463/Inv_SY!$Y463-1,"")</f>
        <v/>
      </c>
      <c r="P461" s="59" t="str">
        <f>IFERROR(Inv_SY!P463/Inv_SY!$Y463-1,"")</f>
        <v/>
      </c>
      <c r="Q461" s="59" t="str">
        <f>IFERROR(Inv_SY!Q463/Inv_SY!$Y463-1,"")</f>
        <v/>
      </c>
      <c r="R461" s="59" t="str">
        <f>IFERROR(Inv_SY!R463/Inv_SY!$Y463-1,"")</f>
        <v/>
      </c>
      <c r="S461" s="59" t="str">
        <f>IFERROR(Inv_SY!S463/Inv_SY!$Y463-1,"")</f>
        <v/>
      </c>
      <c r="T461" s="59" t="str">
        <f>IFERROR(Inv_SY!T463/Inv_SY!$Y463-1,"")</f>
        <v/>
      </c>
      <c r="U461" s="59" t="str">
        <f>IFERROR(Inv_SY!U463/Inv_SY!$Y463-1,"")</f>
        <v/>
      </c>
      <c r="V461" s="59" t="str">
        <f>IFERROR(Inv_SY!J463/Inv_SY!$Z463-1,"")</f>
        <v/>
      </c>
      <c r="W461" s="59" t="str">
        <f>IFERROR(Inv_SY!K463/Inv_SY!$Z463-1,"")</f>
        <v/>
      </c>
      <c r="X461" s="59" t="str">
        <f>IFERROR(Inv_SY!L463/Inv_SY!$Z463-1,"")</f>
        <v/>
      </c>
      <c r="Y461" s="59" t="str">
        <f>IFERROR(Inv_SY!M463/Inv_SY!$Z463-1,"")</f>
        <v/>
      </c>
      <c r="Z461" s="59" t="str">
        <f>IFERROR(Inv_SY!N463/Inv_SY!$Z463-1,"")</f>
        <v/>
      </c>
      <c r="AA461" s="59" t="str">
        <f>IFERROR(Inv_SY!O463/Inv_SY!$Z463-1,"")</f>
        <v/>
      </c>
      <c r="AB461" s="59" t="str">
        <f>IFERROR(Inv_SY!P463/Inv_SY!$Z463-1,"")</f>
        <v/>
      </c>
      <c r="AC461" s="59" t="str">
        <f>IFERROR(Inv_SY!Q463/Inv_SY!$Z463-1,"")</f>
        <v/>
      </c>
      <c r="AD461" s="59" t="str">
        <f>IFERROR(Inv_SY!R463/Inv_SY!$Z463-1,"")</f>
        <v/>
      </c>
      <c r="AE461" s="59" t="str">
        <f>IFERROR(Inv_SY!S463/Inv_SY!$Z463-1,"")</f>
        <v/>
      </c>
      <c r="AF461" s="59" t="str">
        <f>IFERROR(Inv_SY!T463/Inv_SY!$Z463-1,"")</f>
        <v/>
      </c>
      <c r="AG461" s="59" t="str">
        <f>IFERROR(Inv_SY!U463/Inv_SY!$Z463-1,"")</f>
        <v/>
      </c>
      <c r="AH461" s="59" t="str">
        <f>IFERROR(Inv_SY!V463/Inv_SY!$Y463-1,"")</f>
        <v/>
      </c>
      <c r="AI461" s="59" t="str">
        <f>IFERROR(Inv_SY!W463/Inv_SY!$Y463-1,"")</f>
        <v/>
      </c>
      <c r="AJ461" s="59" t="str">
        <f>IFERROR(Inv_SY!X463/Inv_SY!$Y463-1,"")</f>
        <v/>
      </c>
      <c r="AK461" s="59" t="str">
        <f>IFERROR(Inv_SY!V463/Inv_SY!$Z463-1,"")</f>
        <v/>
      </c>
      <c r="AL461" s="59" t="str">
        <f>IFERROR(Inv_SY!W463/Inv_SY!$Z463-1,"")</f>
        <v/>
      </c>
      <c r="AM461" s="59" t="str">
        <f>IFERROR(Inv_SY!X463/Inv_SY!$Z463-1,"")</f>
        <v/>
      </c>
    </row>
    <row r="462" spans="1:39" x14ac:dyDescent="0.3">
      <c r="A462" s="55">
        <f>YEAR(Table5[[#This Row],[Date]])+IF(MONTH(Table5[[#This Row],[Date]])&gt;=4,1,0)</f>
        <v>2027</v>
      </c>
      <c r="B462" s="55">
        <v>422</v>
      </c>
      <c r="C462" s="124">
        <f>YEAR(Table5[[#This Row],[Date]])</f>
        <v>2026</v>
      </c>
      <c r="D462" s="55" t="s">
        <v>329</v>
      </c>
      <c r="E462" s="55" t="s">
        <v>329</v>
      </c>
      <c r="F462" s="126" t="str">
        <f>TEXT(Table5[[#This Row],[Date]],"mmm-yy")</f>
        <v>Jul-26</v>
      </c>
      <c r="G462" s="124">
        <f t="shared" si="17"/>
        <v>31</v>
      </c>
      <c r="H462" s="125">
        <f t="shared" si="18"/>
        <v>46205</v>
      </c>
      <c r="I462" s="55">
        <v>8.02</v>
      </c>
      <c r="J462" s="59" t="str">
        <f>IFERROR(Inv_SY!J464/Inv_SY!$Y464-1,"")</f>
        <v/>
      </c>
      <c r="K462" s="59" t="str">
        <f>IFERROR(Inv_SY!K464/Inv_SY!$Y464-1,"")</f>
        <v/>
      </c>
      <c r="L462" s="59" t="str">
        <f>IFERROR(Inv_SY!L464/Inv_SY!$Y464-1,"")</f>
        <v/>
      </c>
      <c r="M462" s="59" t="str">
        <f>IFERROR(Inv_SY!M464/Inv_SY!$Y464-1,"")</f>
        <v/>
      </c>
      <c r="N462" s="59" t="str">
        <f>IFERROR(Inv_SY!N464/Inv_SY!$Y464-1,"")</f>
        <v/>
      </c>
      <c r="O462" s="59" t="str">
        <f>IFERROR(Inv_SY!O464/Inv_SY!$Y464-1,"")</f>
        <v/>
      </c>
      <c r="P462" s="59" t="str">
        <f>IFERROR(Inv_SY!P464/Inv_SY!$Y464-1,"")</f>
        <v/>
      </c>
      <c r="Q462" s="59" t="str">
        <f>IFERROR(Inv_SY!Q464/Inv_SY!$Y464-1,"")</f>
        <v/>
      </c>
      <c r="R462" s="59" t="str">
        <f>IFERROR(Inv_SY!R464/Inv_SY!$Y464-1,"")</f>
        <v/>
      </c>
      <c r="S462" s="59" t="str">
        <f>IFERROR(Inv_SY!S464/Inv_SY!$Y464-1,"")</f>
        <v/>
      </c>
      <c r="T462" s="59" t="str">
        <f>IFERROR(Inv_SY!T464/Inv_SY!$Y464-1,"")</f>
        <v/>
      </c>
      <c r="U462" s="59" t="str">
        <f>IFERROR(Inv_SY!U464/Inv_SY!$Y464-1,"")</f>
        <v/>
      </c>
      <c r="V462" s="59" t="str">
        <f>IFERROR(Inv_SY!J464/Inv_SY!$Z464-1,"")</f>
        <v/>
      </c>
      <c r="W462" s="59" t="str">
        <f>IFERROR(Inv_SY!K464/Inv_SY!$Z464-1,"")</f>
        <v/>
      </c>
      <c r="X462" s="59" t="str">
        <f>IFERROR(Inv_SY!L464/Inv_SY!$Z464-1,"")</f>
        <v/>
      </c>
      <c r="Y462" s="59" t="str">
        <f>IFERROR(Inv_SY!M464/Inv_SY!$Z464-1,"")</f>
        <v/>
      </c>
      <c r="Z462" s="59" t="str">
        <f>IFERROR(Inv_SY!N464/Inv_SY!$Z464-1,"")</f>
        <v/>
      </c>
      <c r="AA462" s="59" t="str">
        <f>IFERROR(Inv_SY!O464/Inv_SY!$Z464-1,"")</f>
        <v/>
      </c>
      <c r="AB462" s="59" t="str">
        <f>IFERROR(Inv_SY!P464/Inv_SY!$Z464-1,"")</f>
        <v/>
      </c>
      <c r="AC462" s="59" t="str">
        <f>IFERROR(Inv_SY!Q464/Inv_SY!$Z464-1,"")</f>
        <v/>
      </c>
      <c r="AD462" s="59" t="str">
        <f>IFERROR(Inv_SY!R464/Inv_SY!$Z464-1,"")</f>
        <v/>
      </c>
      <c r="AE462" s="59" t="str">
        <f>IFERROR(Inv_SY!S464/Inv_SY!$Z464-1,"")</f>
        <v/>
      </c>
      <c r="AF462" s="59" t="str">
        <f>IFERROR(Inv_SY!T464/Inv_SY!$Z464-1,"")</f>
        <v/>
      </c>
      <c r="AG462" s="59" t="str">
        <f>IFERROR(Inv_SY!U464/Inv_SY!$Z464-1,"")</f>
        <v/>
      </c>
      <c r="AH462" s="59" t="str">
        <f>IFERROR(Inv_SY!V464/Inv_SY!$Y464-1,"")</f>
        <v/>
      </c>
      <c r="AI462" s="59" t="str">
        <f>IFERROR(Inv_SY!W464/Inv_SY!$Y464-1,"")</f>
        <v/>
      </c>
      <c r="AJ462" s="59" t="str">
        <f>IFERROR(Inv_SY!X464/Inv_SY!$Y464-1,"")</f>
        <v/>
      </c>
      <c r="AK462" s="59" t="str">
        <f>IFERROR(Inv_SY!V464/Inv_SY!$Z464-1,"")</f>
        <v/>
      </c>
      <c r="AL462" s="59" t="str">
        <f>IFERROR(Inv_SY!W464/Inv_SY!$Z464-1,"")</f>
        <v/>
      </c>
      <c r="AM462" s="59" t="str">
        <f>IFERROR(Inv_SY!X464/Inv_SY!$Z464-1,"")</f>
        <v/>
      </c>
    </row>
    <row r="463" spans="1:39" x14ac:dyDescent="0.3">
      <c r="A463" s="55">
        <f>YEAR(Table5[[#This Row],[Date]])+IF(MONTH(Table5[[#This Row],[Date]])&gt;=4,1,0)</f>
        <v>2027</v>
      </c>
      <c r="B463" s="55">
        <v>423</v>
      </c>
      <c r="C463" s="124">
        <f>YEAR(Table5[[#This Row],[Date]])</f>
        <v>2026</v>
      </c>
      <c r="D463" s="55" t="s">
        <v>329</v>
      </c>
      <c r="E463" s="55" t="s">
        <v>329</v>
      </c>
      <c r="F463" s="126" t="str">
        <f>TEXT(Table5[[#This Row],[Date]],"mmm-yy")</f>
        <v>Jul-26</v>
      </c>
      <c r="G463" s="124">
        <f t="shared" si="17"/>
        <v>31</v>
      </c>
      <c r="H463" s="125">
        <f t="shared" si="18"/>
        <v>46206</v>
      </c>
      <c r="I463" s="55">
        <v>8.02</v>
      </c>
      <c r="J463" s="59" t="str">
        <f>IFERROR(Inv_SY!J465/Inv_SY!$Y465-1,"")</f>
        <v/>
      </c>
      <c r="K463" s="59" t="str">
        <f>IFERROR(Inv_SY!K465/Inv_SY!$Y465-1,"")</f>
        <v/>
      </c>
      <c r="L463" s="59" t="str">
        <f>IFERROR(Inv_SY!L465/Inv_SY!$Y465-1,"")</f>
        <v/>
      </c>
      <c r="M463" s="59" t="str">
        <f>IFERROR(Inv_SY!M465/Inv_SY!$Y465-1,"")</f>
        <v/>
      </c>
      <c r="N463" s="59" t="str">
        <f>IFERROR(Inv_SY!N465/Inv_SY!$Y465-1,"")</f>
        <v/>
      </c>
      <c r="O463" s="59" t="str">
        <f>IFERROR(Inv_SY!O465/Inv_SY!$Y465-1,"")</f>
        <v/>
      </c>
      <c r="P463" s="59" t="str">
        <f>IFERROR(Inv_SY!P465/Inv_SY!$Y465-1,"")</f>
        <v/>
      </c>
      <c r="Q463" s="59" t="str">
        <f>IFERROR(Inv_SY!Q465/Inv_SY!$Y465-1,"")</f>
        <v/>
      </c>
      <c r="R463" s="59" t="str">
        <f>IFERROR(Inv_SY!R465/Inv_SY!$Y465-1,"")</f>
        <v/>
      </c>
      <c r="S463" s="59" t="str">
        <f>IFERROR(Inv_SY!S465/Inv_SY!$Y465-1,"")</f>
        <v/>
      </c>
      <c r="T463" s="59" t="str">
        <f>IFERROR(Inv_SY!T465/Inv_SY!$Y465-1,"")</f>
        <v/>
      </c>
      <c r="U463" s="59" t="str">
        <f>IFERROR(Inv_SY!U465/Inv_SY!$Y465-1,"")</f>
        <v/>
      </c>
      <c r="V463" s="59" t="str">
        <f>IFERROR(Inv_SY!J465/Inv_SY!$Z465-1,"")</f>
        <v/>
      </c>
      <c r="W463" s="59" t="str">
        <f>IFERROR(Inv_SY!K465/Inv_SY!$Z465-1,"")</f>
        <v/>
      </c>
      <c r="X463" s="59" t="str">
        <f>IFERROR(Inv_SY!L465/Inv_SY!$Z465-1,"")</f>
        <v/>
      </c>
      <c r="Y463" s="59" t="str">
        <f>IFERROR(Inv_SY!M465/Inv_SY!$Z465-1,"")</f>
        <v/>
      </c>
      <c r="Z463" s="59" t="str">
        <f>IFERROR(Inv_SY!N465/Inv_SY!$Z465-1,"")</f>
        <v/>
      </c>
      <c r="AA463" s="59" t="str">
        <f>IFERROR(Inv_SY!O465/Inv_SY!$Z465-1,"")</f>
        <v/>
      </c>
      <c r="AB463" s="59" t="str">
        <f>IFERROR(Inv_SY!P465/Inv_SY!$Z465-1,"")</f>
        <v/>
      </c>
      <c r="AC463" s="59" t="str">
        <f>IFERROR(Inv_SY!Q465/Inv_SY!$Z465-1,"")</f>
        <v/>
      </c>
      <c r="AD463" s="59" t="str">
        <f>IFERROR(Inv_SY!R465/Inv_SY!$Z465-1,"")</f>
        <v/>
      </c>
      <c r="AE463" s="59" t="str">
        <f>IFERROR(Inv_SY!S465/Inv_SY!$Z465-1,"")</f>
        <v/>
      </c>
      <c r="AF463" s="59" t="str">
        <f>IFERROR(Inv_SY!T465/Inv_SY!$Z465-1,"")</f>
        <v/>
      </c>
      <c r="AG463" s="59" t="str">
        <f>IFERROR(Inv_SY!U465/Inv_SY!$Z465-1,"")</f>
        <v/>
      </c>
      <c r="AH463" s="59" t="str">
        <f>IFERROR(Inv_SY!V465/Inv_SY!$Y465-1,"")</f>
        <v/>
      </c>
      <c r="AI463" s="59" t="str">
        <f>IFERROR(Inv_SY!W465/Inv_SY!$Y465-1,"")</f>
        <v/>
      </c>
      <c r="AJ463" s="59" t="str">
        <f>IFERROR(Inv_SY!X465/Inv_SY!$Y465-1,"")</f>
        <v/>
      </c>
      <c r="AK463" s="59" t="str">
        <f>IFERROR(Inv_SY!V465/Inv_SY!$Z465-1,"")</f>
        <v/>
      </c>
      <c r="AL463" s="59" t="str">
        <f>IFERROR(Inv_SY!W465/Inv_SY!$Z465-1,"")</f>
        <v/>
      </c>
      <c r="AM463" s="59" t="str">
        <f>IFERROR(Inv_SY!X465/Inv_SY!$Z465-1,"")</f>
        <v/>
      </c>
    </row>
    <row r="464" spans="1:39" x14ac:dyDescent="0.3">
      <c r="A464" s="55">
        <f>YEAR(Table5[[#This Row],[Date]])+IF(MONTH(Table5[[#This Row],[Date]])&gt;=4,1,0)</f>
        <v>2027</v>
      </c>
      <c r="B464" s="55">
        <v>424</v>
      </c>
      <c r="C464" s="124">
        <f>YEAR(Table5[[#This Row],[Date]])</f>
        <v>2026</v>
      </c>
      <c r="D464" s="55" t="s">
        <v>329</v>
      </c>
      <c r="E464" s="55" t="s">
        <v>329</v>
      </c>
      <c r="F464" s="126" t="str">
        <f>TEXT(Table5[[#This Row],[Date]],"mmm-yy")</f>
        <v>Jul-26</v>
      </c>
      <c r="G464" s="124">
        <f t="shared" si="17"/>
        <v>31</v>
      </c>
      <c r="H464" s="125">
        <f t="shared" si="18"/>
        <v>46207</v>
      </c>
      <c r="I464" s="55">
        <v>8.02</v>
      </c>
      <c r="J464" s="59" t="str">
        <f>IFERROR(Inv_SY!J466/Inv_SY!$Y466-1,"")</f>
        <v/>
      </c>
      <c r="K464" s="59" t="str">
        <f>IFERROR(Inv_SY!K466/Inv_SY!$Y466-1,"")</f>
        <v/>
      </c>
      <c r="L464" s="59" t="str">
        <f>IFERROR(Inv_SY!L466/Inv_SY!$Y466-1,"")</f>
        <v/>
      </c>
      <c r="M464" s="59" t="str">
        <f>IFERROR(Inv_SY!M466/Inv_SY!$Y466-1,"")</f>
        <v/>
      </c>
      <c r="N464" s="59" t="str">
        <f>IFERROR(Inv_SY!N466/Inv_SY!$Y466-1,"")</f>
        <v/>
      </c>
      <c r="O464" s="59" t="str">
        <f>IFERROR(Inv_SY!O466/Inv_SY!$Y466-1,"")</f>
        <v/>
      </c>
      <c r="P464" s="59" t="str">
        <f>IFERROR(Inv_SY!P466/Inv_SY!$Y466-1,"")</f>
        <v/>
      </c>
      <c r="Q464" s="59" t="str">
        <f>IFERROR(Inv_SY!Q466/Inv_SY!$Y466-1,"")</f>
        <v/>
      </c>
      <c r="R464" s="59" t="str">
        <f>IFERROR(Inv_SY!R466/Inv_SY!$Y466-1,"")</f>
        <v/>
      </c>
      <c r="S464" s="59" t="str">
        <f>IFERROR(Inv_SY!S466/Inv_SY!$Y466-1,"")</f>
        <v/>
      </c>
      <c r="T464" s="59" t="str">
        <f>IFERROR(Inv_SY!T466/Inv_SY!$Y466-1,"")</f>
        <v/>
      </c>
      <c r="U464" s="59" t="str">
        <f>IFERROR(Inv_SY!U466/Inv_SY!$Y466-1,"")</f>
        <v/>
      </c>
      <c r="V464" s="59" t="str">
        <f>IFERROR(Inv_SY!J466/Inv_SY!$Z466-1,"")</f>
        <v/>
      </c>
      <c r="W464" s="59" t="str">
        <f>IFERROR(Inv_SY!K466/Inv_SY!$Z466-1,"")</f>
        <v/>
      </c>
      <c r="X464" s="59" t="str">
        <f>IFERROR(Inv_SY!L466/Inv_SY!$Z466-1,"")</f>
        <v/>
      </c>
      <c r="Y464" s="59" t="str">
        <f>IFERROR(Inv_SY!M466/Inv_SY!$Z466-1,"")</f>
        <v/>
      </c>
      <c r="Z464" s="59" t="str">
        <f>IFERROR(Inv_SY!N466/Inv_SY!$Z466-1,"")</f>
        <v/>
      </c>
      <c r="AA464" s="59" t="str">
        <f>IFERROR(Inv_SY!O466/Inv_SY!$Z466-1,"")</f>
        <v/>
      </c>
      <c r="AB464" s="59" t="str">
        <f>IFERROR(Inv_SY!P466/Inv_SY!$Z466-1,"")</f>
        <v/>
      </c>
      <c r="AC464" s="59" t="str">
        <f>IFERROR(Inv_SY!Q466/Inv_SY!$Z466-1,"")</f>
        <v/>
      </c>
      <c r="AD464" s="59" t="str">
        <f>IFERROR(Inv_SY!R466/Inv_SY!$Z466-1,"")</f>
        <v/>
      </c>
      <c r="AE464" s="59" t="str">
        <f>IFERROR(Inv_SY!S466/Inv_SY!$Z466-1,"")</f>
        <v/>
      </c>
      <c r="AF464" s="59" t="str">
        <f>IFERROR(Inv_SY!T466/Inv_SY!$Z466-1,"")</f>
        <v/>
      </c>
      <c r="AG464" s="59" t="str">
        <f>IFERROR(Inv_SY!U466/Inv_SY!$Z466-1,"")</f>
        <v/>
      </c>
      <c r="AH464" s="59" t="str">
        <f>IFERROR(Inv_SY!V466/Inv_SY!$Y466-1,"")</f>
        <v/>
      </c>
      <c r="AI464" s="59" t="str">
        <f>IFERROR(Inv_SY!W466/Inv_SY!$Y466-1,"")</f>
        <v/>
      </c>
      <c r="AJ464" s="59" t="str">
        <f>IFERROR(Inv_SY!X466/Inv_SY!$Y466-1,"")</f>
        <v/>
      </c>
      <c r="AK464" s="59" t="str">
        <f>IFERROR(Inv_SY!V466/Inv_SY!$Z466-1,"")</f>
        <v/>
      </c>
      <c r="AL464" s="59" t="str">
        <f>IFERROR(Inv_SY!W466/Inv_SY!$Z466-1,"")</f>
        <v/>
      </c>
      <c r="AM464" s="59" t="str">
        <f>IFERROR(Inv_SY!X466/Inv_SY!$Z466-1,"")</f>
        <v/>
      </c>
    </row>
    <row r="465" spans="1:39" x14ac:dyDescent="0.3">
      <c r="A465" s="55">
        <f>YEAR(Table5[[#This Row],[Date]])+IF(MONTH(Table5[[#This Row],[Date]])&gt;=4,1,0)</f>
        <v>2027</v>
      </c>
      <c r="B465" s="55">
        <v>425</v>
      </c>
      <c r="C465" s="124">
        <f>YEAR(Table5[[#This Row],[Date]])</f>
        <v>2026</v>
      </c>
      <c r="D465" s="55" t="s">
        <v>329</v>
      </c>
      <c r="E465" s="55" t="s">
        <v>329</v>
      </c>
      <c r="F465" s="126" t="str">
        <f>TEXT(Table5[[#This Row],[Date]],"mmm-yy")</f>
        <v>Jul-26</v>
      </c>
      <c r="G465" s="124">
        <f t="shared" si="17"/>
        <v>31</v>
      </c>
      <c r="H465" s="125">
        <f t="shared" si="18"/>
        <v>46208</v>
      </c>
      <c r="I465" s="55">
        <v>8.02</v>
      </c>
      <c r="J465" s="59" t="str">
        <f>IFERROR(Inv_SY!J467/Inv_SY!$Y467-1,"")</f>
        <v/>
      </c>
      <c r="K465" s="59" t="str">
        <f>IFERROR(Inv_SY!K467/Inv_SY!$Y467-1,"")</f>
        <v/>
      </c>
      <c r="L465" s="59" t="str">
        <f>IFERROR(Inv_SY!L467/Inv_SY!$Y467-1,"")</f>
        <v/>
      </c>
      <c r="M465" s="59" t="str">
        <f>IFERROR(Inv_SY!M467/Inv_SY!$Y467-1,"")</f>
        <v/>
      </c>
      <c r="N465" s="59" t="str">
        <f>IFERROR(Inv_SY!N467/Inv_SY!$Y467-1,"")</f>
        <v/>
      </c>
      <c r="O465" s="59" t="str">
        <f>IFERROR(Inv_SY!O467/Inv_SY!$Y467-1,"")</f>
        <v/>
      </c>
      <c r="P465" s="59" t="str">
        <f>IFERROR(Inv_SY!P467/Inv_SY!$Y467-1,"")</f>
        <v/>
      </c>
      <c r="Q465" s="59" t="str">
        <f>IFERROR(Inv_SY!Q467/Inv_SY!$Y467-1,"")</f>
        <v/>
      </c>
      <c r="R465" s="59" t="str">
        <f>IFERROR(Inv_SY!R467/Inv_SY!$Y467-1,"")</f>
        <v/>
      </c>
      <c r="S465" s="59" t="str">
        <f>IFERROR(Inv_SY!S467/Inv_SY!$Y467-1,"")</f>
        <v/>
      </c>
      <c r="T465" s="59" t="str">
        <f>IFERROR(Inv_SY!T467/Inv_SY!$Y467-1,"")</f>
        <v/>
      </c>
      <c r="U465" s="59" t="str">
        <f>IFERROR(Inv_SY!U467/Inv_SY!$Y467-1,"")</f>
        <v/>
      </c>
      <c r="V465" s="59" t="str">
        <f>IFERROR(Inv_SY!J467/Inv_SY!$Z467-1,"")</f>
        <v/>
      </c>
      <c r="W465" s="59" t="str">
        <f>IFERROR(Inv_SY!K467/Inv_SY!$Z467-1,"")</f>
        <v/>
      </c>
      <c r="X465" s="59" t="str">
        <f>IFERROR(Inv_SY!L467/Inv_SY!$Z467-1,"")</f>
        <v/>
      </c>
      <c r="Y465" s="59" t="str">
        <f>IFERROR(Inv_SY!M467/Inv_SY!$Z467-1,"")</f>
        <v/>
      </c>
      <c r="Z465" s="59" t="str">
        <f>IFERROR(Inv_SY!N467/Inv_SY!$Z467-1,"")</f>
        <v/>
      </c>
      <c r="AA465" s="59" t="str">
        <f>IFERROR(Inv_SY!O467/Inv_SY!$Z467-1,"")</f>
        <v/>
      </c>
      <c r="AB465" s="59" t="str">
        <f>IFERROR(Inv_SY!P467/Inv_SY!$Z467-1,"")</f>
        <v/>
      </c>
      <c r="AC465" s="59" t="str">
        <f>IFERROR(Inv_SY!Q467/Inv_SY!$Z467-1,"")</f>
        <v/>
      </c>
      <c r="AD465" s="59" t="str">
        <f>IFERROR(Inv_SY!R467/Inv_SY!$Z467-1,"")</f>
        <v/>
      </c>
      <c r="AE465" s="59" t="str">
        <f>IFERROR(Inv_SY!S467/Inv_SY!$Z467-1,"")</f>
        <v/>
      </c>
      <c r="AF465" s="59" t="str">
        <f>IFERROR(Inv_SY!T467/Inv_SY!$Z467-1,"")</f>
        <v/>
      </c>
      <c r="AG465" s="59" t="str">
        <f>IFERROR(Inv_SY!U467/Inv_SY!$Z467-1,"")</f>
        <v/>
      </c>
      <c r="AH465" s="59" t="str">
        <f>IFERROR(Inv_SY!V467/Inv_SY!$Y467-1,"")</f>
        <v/>
      </c>
      <c r="AI465" s="59" t="str">
        <f>IFERROR(Inv_SY!W467/Inv_SY!$Y467-1,"")</f>
        <v/>
      </c>
      <c r="AJ465" s="59" t="str">
        <f>IFERROR(Inv_SY!X467/Inv_SY!$Y467-1,"")</f>
        <v/>
      </c>
      <c r="AK465" s="59" t="str">
        <f>IFERROR(Inv_SY!V467/Inv_SY!$Z467-1,"")</f>
        <v/>
      </c>
      <c r="AL465" s="59" t="str">
        <f>IFERROR(Inv_SY!W467/Inv_SY!$Z467-1,"")</f>
        <v/>
      </c>
      <c r="AM465" s="59" t="str">
        <f>IFERROR(Inv_SY!X467/Inv_SY!$Z467-1,"")</f>
        <v/>
      </c>
    </row>
    <row r="466" spans="1:39" x14ac:dyDescent="0.3">
      <c r="A466" s="55">
        <f>YEAR(Table5[[#This Row],[Date]])+IF(MONTH(Table5[[#This Row],[Date]])&gt;=4,1,0)</f>
        <v>2027</v>
      </c>
      <c r="B466" s="55">
        <v>426</v>
      </c>
      <c r="C466" s="124">
        <f>YEAR(Table5[[#This Row],[Date]])</f>
        <v>2026</v>
      </c>
      <c r="D466" s="55" t="s">
        <v>329</v>
      </c>
      <c r="E466" s="55" t="s">
        <v>329</v>
      </c>
      <c r="F466" s="126" t="str">
        <f>TEXT(Table5[[#This Row],[Date]],"mmm-yy")</f>
        <v>Jul-26</v>
      </c>
      <c r="G466" s="124">
        <f t="shared" si="17"/>
        <v>31</v>
      </c>
      <c r="H466" s="125">
        <f t="shared" si="18"/>
        <v>46209</v>
      </c>
      <c r="I466" s="55">
        <v>8.02</v>
      </c>
      <c r="J466" s="59" t="str">
        <f>IFERROR(Inv_SY!J468/Inv_SY!$Y468-1,"")</f>
        <v/>
      </c>
      <c r="K466" s="59" t="str">
        <f>IFERROR(Inv_SY!K468/Inv_SY!$Y468-1,"")</f>
        <v/>
      </c>
      <c r="L466" s="59" t="str">
        <f>IFERROR(Inv_SY!L468/Inv_SY!$Y468-1,"")</f>
        <v/>
      </c>
      <c r="M466" s="59" t="str">
        <f>IFERROR(Inv_SY!M468/Inv_SY!$Y468-1,"")</f>
        <v/>
      </c>
      <c r="N466" s="59" t="str">
        <f>IFERROR(Inv_SY!N468/Inv_SY!$Y468-1,"")</f>
        <v/>
      </c>
      <c r="O466" s="59" t="str">
        <f>IFERROR(Inv_SY!O468/Inv_SY!$Y468-1,"")</f>
        <v/>
      </c>
      <c r="P466" s="59" t="str">
        <f>IFERROR(Inv_SY!P468/Inv_SY!$Y468-1,"")</f>
        <v/>
      </c>
      <c r="Q466" s="59" t="str">
        <f>IFERROR(Inv_SY!Q468/Inv_SY!$Y468-1,"")</f>
        <v/>
      </c>
      <c r="R466" s="59" t="str">
        <f>IFERROR(Inv_SY!R468/Inv_SY!$Y468-1,"")</f>
        <v/>
      </c>
      <c r="S466" s="59" t="str">
        <f>IFERROR(Inv_SY!S468/Inv_SY!$Y468-1,"")</f>
        <v/>
      </c>
      <c r="T466" s="59" t="str">
        <f>IFERROR(Inv_SY!T468/Inv_SY!$Y468-1,"")</f>
        <v/>
      </c>
      <c r="U466" s="59" t="str">
        <f>IFERROR(Inv_SY!U468/Inv_SY!$Y468-1,"")</f>
        <v/>
      </c>
      <c r="V466" s="59" t="str">
        <f>IFERROR(Inv_SY!J468/Inv_SY!$Z468-1,"")</f>
        <v/>
      </c>
      <c r="W466" s="59" t="str">
        <f>IFERROR(Inv_SY!K468/Inv_SY!$Z468-1,"")</f>
        <v/>
      </c>
      <c r="X466" s="59" t="str">
        <f>IFERROR(Inv_SY!L468/Inv_SY!$Z468-1,"")</f>
        <v/>
      </c>
      <c r="Y466" s="59" t="str">
        <f>IFERROR(Inv_SY!M468/Inv_SY!$Z468-1,"")</f>
        <v/>
      </c>
      <c r="Z466" s="59" t="str">
        <f>IFERROR(Inv_SY!N468/Inv_SY!$Z468-1,"")</f>
        <v/>
      </c>
      <c r="AA466" s="59" t="str">
        <f>IFERROR(Inv_SY!O468/Inv_SY!$Z468-1,"")</f>
        <v/>
      </c>
      <c r="AB466" s="59" t="str">
        <f>IFERROR(Inv_SY!P468/Inv_SY!$Z468-1,"")</f>
        <v/>
      </c>
      <c r="AC466" s="59" t="str">
        <f>IFERROR(Inv_SY!Q468/Inv_SY!$Z468-1,"")</f>
        <v/>
      </c>
      <c r="AD466" s="59" t="str">
        <f>IFERROR(Inv_SY!R468/Inv_SY!$Z468-1,"")</f>
        <v/>
      </c>
      <c r="AE466" s="59" t="str">
        <f>IFERROR(Inv_SY!S468/Inv_SY!$Z468-1,"")</f>
        <v/>
      </c>
      <c r="AF466" s="59" t="str">
        <f>IFERROR(Inv_SY!T468/Inv_SY!$Z468-1,"")</f>
        <v/>
      </c>
      <c r="AG466" s="59" t="str">
        <f>IFERROR(Inv_SY!U468/Inv_SY!$Z468-1,"")</f>
        <v/>
      </c>
      <c r="AH466" s="59" t="str">
        <f>IFERROR(Inv_SY!V468/Inv_SY!$Y468-1,"")</f>
        <v/>
      </c>
      <c r="AI466" s="59" t="str">
        <f>IFERROR(Inv_SY!W468/Inv_SY!$Y468-1,"")</f>
        <v/>
      </c>
      <c r="AJ466" s="59" t="str">
        <f>IFERROR(Inv_SY!X468/Inv_SY!$Y468-1,"")</f>
        <v/>
      </c>
      <c r="AK466" s="59" t="str">
        <f>IFERROR(Inv_SY!V468/Inv_SY!$Z468-1,"")</f>
        <v/>
      </c>
      <c r="AL466" s="59" t="str">
        <f>IFERROR(Inv_SY!W468/Inv_SY!$Z468-1,"")</f>
        <v/>
      </c>
      <c r="AM466" s="59" t="str">
        <f>IFERROR(Inv_SY!X468/Inv_SY!$Z468-1,"")</f>
        <v/>
      </c>
    </row>
    <row r="467" spans="1:39" x14ac:dyDescent="0.3">
      <c r="A467" s="55">
        <f>YEAR(Table5[[#This Row],[Date]])+IF(MONTH(Table5[[#This Row],[Date]])&gt;=4,1,0)</f>
        <v>2027</v>
      </c>
      <c r="B467" s="55">
        <v>427</v>
      </c>
      <c r="C467" s="124">
        <f>YEAR(Table5[[#This Row],[Date]])</f>
        <v>2026</v>
      </c>
      <c r="D467" s="55" t="s">
        <v>329</v>
      </c>
      <c r="E467" s="55" t="s">
        <v>329</v>
      </c>
      <c r="F467" s="126" t="str">
        <f>TEXT(Table5[[#This Row],[Date]],"mmm-yy")</f>
        <v>Jul-26</v>
      </c>
      <c r="G467" s="124">
        <f t="shared" si="17"/>
        <v>31</v>
      </c>
      <c r="H467" s="125">
        <f t="shared" si="18"/>
        <v>46210</v>
      </c>
      <c r="I467" s="55">
        <v>8.02</v>
      </c>
      <c r="J467" s="59" t="str">
        <f>IFERROR(Inv_SY!J469/Inv_SY!$Y469-1,"")</f>
        <v/>
      </c>
      <c r="K467" s="59" t="str">
        <f>IFERROR(Inv_SY!K469/Inv_SY!$Y469-1,"")</f>
        <v/>
      </c>
      <c r="L467" s="59" t="str">
        <f>IFERROR(Inv_SY!L469/Inv_SY!$Y469-1,"")</f>
        <v/>
      </c>
      <c r="M467" s="59" t="str">
        <f>IFERROR(Inv_SY!M469/Inv_SY!$Y469-1,"")</f>
        <v/>
      </c>
      <c r="N467" s="59" t="str">
        <f>IFERROR(Inv_SY!N469/Inv_SY!$Y469-1,"")</f>
        <v/>
      </c>
      <c r="O467" s="59" t="str">
        <f>IFERROR(Inv_SY!O469/Inv_SY!$Y469-1,"")</f>
        <v/>
      </c>
      <c r="P467" s="59" t="str">
        <f>IFERROR(Inv_SY!P469/Inv_SY!$Y469-1,"")</f>
        <v/>
      </c>
      <c r="Q467" s="59" t="str">
        <f>IFERROR(Inv_SY!Q469/Inv_SY!$Y469-1,"")</f>
        <v/>
      </c>
      <c r="R467" s="59" t="str">
        <f>IFERROR(Inv_SY!R469/Inv_SY!$Y469-1,"")</f>
        <v/>
      </c>
      <c r="S467" s="59" t="str">
        <f>IFERROR(Inv_SY!S469/Inv_SY!$Y469-1,"")</f>
        <v/>
      </c>
      <c r="T467" s="59" t="str">
        <f>IFERROR(Inv_SY!T469/Inv_SY!$Y469-1,"")</f>
        <v/>
      </c>
      <c r="U467" s="59" t="str">
        <f>IFERROR(Inv_SY!U469/Inv_SY!$Y469-1,"")</f>
        <v/>
      </c>
      <c r="V467" s="59" t="str">
        <f>IFERROR(Inv_SY!J469/Inv_SY!$Z469-1,"")</f>
        <v/>
      </c>
      <c r="W467" s="59" t="str">
        <f>IFERROR(Inv_SY!K469/Inv_SY!$Z469-1,"")</f>
        <v/>
      </c>
      <c r="X467" s="59" t="str">
        <f>IFERROR(Inv_SY!L469/Inv_SY!$Z469-1,"")</f>
        <v/>
      </c>
      <c r="Y467" s="59" t="str">
        <f>IFERROR(Inv_SY!M469/Inv_SY!$Z469-1,"")</f>
        <v/>
      </c>
      <c r="Z467" s="59" t="str">
        <f>IFERROR(Inv_SY!N469/Inv_SY!$Z469-1,"")</f>
        <v/>
      </c>
      <c r="AA467" s="59" t="str">
        <f>IFERROR(Inv_SY!O469/Inv_SY!$Z469-1,"")</f>
        <v/>
      </c>
      <c r="AB467" s="59" t="str">
        <f>IFERROR(Inv_SY!P469/Inv_SY!$Z469-1,"")</f>
        <v/>
      </c>
      <c r="AC467" s="59" t="str">
        <f>IFERROR(Inv_SY!Q469/Inv_SY!$Z469-1,"")</f>
        <v/>
      </c>
      <c r="AD467" s="59" t="str">
        <f>IFERROR(Inv_SY!R469/Inv_SY!$Z469-1,"")</f>
        <v/>
      </c>
      <c r="AE467" s="59" t="str">
        <f>IFERROR(Inv_SY!S469/Inv_SY!$Z469-1,"")</f>
        <v/>
      </c>
      <c r="AF467" s="59" t="str">
        <f>IFERROR(Inv_SY!T469/Inv_SY!$Z469-1,"")</f>
        <v/>
      </c>
      <c r="AG467" s="59" t="str">
        <f>IFERROR(Inv_SY!U469/Inv_SY!$Z469-1,"")</f>
        <v/>
      </c>
      <c r="AH467" s="59" t="str">
        <f>IFERROR(Inv_SY!V469/Inv_SY!$Y469-1,"")</f>
        <v/>
      </c>
      <c r="AI467" s="59" t="str">
        <f>IFERROR(Inv_SY!W469/Inv_SY!$Y469-1,"")</f>
        <v/>
      </c>
      <c r="AJ467" s="59" t="str">
        <f>IFERROR(Inv_SY!X469/Inv_SY!$Y469-1,"")</f>
        <v/>
      </c>
      <c r="AK467" s="59" t="str">
        <f>IFERROR(Inv_SY!V469/Inv_SY!$Z469-1,"")</f>
        <v/>
      </c>
      <c r="AL467" s="59" t="str">
        <f>IFERROR(Inv_SY!W469/Inv_SY!$Z469-1,"")</f>
        <v/>
      </c>
      <c r="AM467" s="59" t="str">
        <f>IFERROR(Inv_SY!X469/Inv_SY!$Z469-1,"")</f>
        <v/>
      </c>
    </row>
    <row r="468" spans="1:39" x14ac:dyDescent="0.3">
      <c r="A468" s="55">
        <f>YEAR(Table5[[#This Row],[Date]])+IF(MONTH(Table5[[#This Row],[Date]])&gt;=4,1,0)</f>
        <v>2027</v>
      </c>
      <c r="B468" s="55">
        <v>428</v>
      </c>
      <c r="C468" s="124">
        <f>YEAR(Table5[[#This Row],[Date]])</f>
        <v>2026</v>
      </c>
      <c r="D468" s="55" t="s">
        <v>329</v>
      </c>
      <c r="E468" s="55" t="s">
        <v>329</v>
      </c>
      <c r="F468" s="126" t="str">
        <f>TEXT(Table5[[#This Row],[Date]],"mmm-yy")</f>
        <v>Jul-26</v>
      </c>
      <c r="G468" s="124">
        <f t="shared" si="17"/>
        <v>31</v>
      </c>
      <c r="H468" s="125">
        <f t="shared" si="18"/>
        <v>46211</v>
      </c>
      <c r="I468" s="55">
        <v>8.02</v>
      </c>
      <c r="J468" s="59" t="str">
        <f>IFERROR(Inv_SY!J470/Inv_SY!$Y470-1,"")</f>
        <v/>
      </c>
      <c r="K468" s="59" t="str">
        <f>IFERROR(Inv_SY!K470/Inv_SY!$Y470-1,"")</f>
        <v/>
      </c>
      <c r="L468" s="59" t="str">
        <f>IFERROR(Inv_SY!L470/Inv_SY!$Y470-1,"")</f>
        <v/>
      </c>
      <c r="M468" s="59" t="str">
        <f>IFERROR(Inv_SY!M470/Inv_SY!$Y470-1,"")</f>
        <v/>
      </c>
      <c r="N468" s="59" t="str">
        <f>IFERROR(Inv_SY!N470/Inv_SY!$Y470-1,"")</f>
        <v/>
      </c>
      <c r="O468" s="59" t="str">
        <f>IFERROR(Inv_SY!O470/Inv_SY!$Y470-1,"")</f>
        <v/>
      </c>
      <c r="P468" s="59" t="str">
        <f>IFERROR(Inv_SY!P470/Inv_SY!$Y470-1,"")</f>
        <v/>
      </c>
      <c r="Q468" s="59" t="str">
        <f>IFERROR(Inv_SY!Q470/Inv_SY!$Y470-1,"")</f>
        <v/>
      </c>
      <c r="R468" s="59" t="str">
        <f>IFERROR(Inv_SY!R470/Inv_SY!$Y470-1,"")</f>
        <v/>
      </c>
      <c r="S468" s="59" t="str">
        <f>IFERROR(Inv_SY!S470/Inv_SY!$Y470-1,"")</f>
        <v/>
      </c>
      <c r="T468" s="59" t="str">
        <f>IFERROR(Inv_SY!T470/Inv_SY!$Y470-1,"")</f>
        <v/>
      </c>
      <c r="U468" s="59" t="str">
        <f>IFERROR(Inv_SY!U470/Inv_SY!$Y470-1,"")</f>
        <v/>
      </c>
      <c r="V468" s="59" t="str">
        <f>IFERROR(Inv_SY!J470/Inv_SY!$Z470-1,"")</f>
        <v/>
      </c>
      <c r="W468" s="59" t="str">
        <f>IFERROR(Inv_SY!K470/Inv_SY!$Z470-1,"")</f>
        <v/>
      </c>
      <c r="X468" s="59" t="str">
        <f>IFERROR(Inv_SY!L470/Inv_SY!$Z470-1,"")</f>
        <v/>
      </c>
      <c r="Y468" s="59" t="str">
        <f>IFERROR(Inv_SY!M470/Inv_SY!$Z470-1,"")</f>
        <v/>
      </c>
      <c r="Z468" s="59" t="str">
        <f>IFERROR(Inv_SY!N470/Inv_SY!$Z470-1,"")</f>
        <v/>
      </c>
      <c r="AA468" s="59" t="str">
        <f>IFERROR(Inv_SY!O470/Inv_SY!$Z470-1,"")</f>
        <v/>
      </c>
      <c r="AB468" s="59" t="str">
        <f>IFERROR(Inv_SY!P470/Inv_SY!$Z470-1,"")</f>
        <v/>
      </c>
      <c r="AC468" s="59" t="str">
        <f>IFERROR(Inv_SY!Q470/Inv_SY!$Z470-1,"")</f>
        <v/>
      </c>
      <c r="AD468" s="59" t="str">
        <f>IFERROR(Inv_SY!R470/Inv_SY!$Z470-1,"")</f>
        <v/>
      </c>
      <c r="AE468" s="59" t="str">
        <f>IFERROR(Inv_SY!S470/Inv_SY!$Z470-1,"")</f>
        <v/>
      </c>
      <c r="AF468" s="59" t="str">
        <f>IFERROR(Inv_SY!T470/Inv_SY!$Z470-1,"")</f>
        <v/>
      </c>
      <c r="AG468" s="59" t="str">
        <f>IFERROR(Inv_SY!U470/Inv_SY!$Z470-1,"")</f>
        <v/>
      </c>
      <c r="AH468" s="59" t="str">
        <f>IFERROR(Inv_SY!V470/Inv_SY!$Y470-1,"")</f>
        <v/>
      </c>
      <c r="AI468" s="59" t="str">
        <f>IFERROR(Inv_SY!W470/Inv_SY!$Y470-1,"")</f>
        <v/>
      </c>
      <c r="AJ468" s="59" t="str">
        <f>IFERROR(Inv_SY!X470/Inv_SY!$Y470-1,"")</f>
        <v/>
      </c>
      <c r="AK468" s="59" t="str">
        <f>IFERROR(Inv_SY!V470/Inv_SY!$Z470-1,"")</f>
        <v/>
      </c>
      <c r="AL468" s="59" t="str">
        <f>IFERROR(Inv_SY!W470/Inv_SY!$Z470-1,"")</f>
        <v/>
      </c>
      <c r="AM468" s="59" t="str">
        <f>IFERROR(Inv_SY!X470/Inv_SY!$Z470-1,"")</f>
        <v/>
      </c>
    </row>
    <row r="469" spans="1:39" x14ac:dyDescent="0.3">
      <c r="A469" s="55">
        <f>YEAR(Table5[[#This Row],[Date]])+IF(MONTH(Table5[[#This Row],[Date]])&gt;=4,1,0)</f>
        <v>2027</v>
      </c>
      <c r="B469" s="55">
        <v>429</v>
      </c>
      <c r="C469" s="124">
        <f>YEAR(Table5[[#This Row],[Date]])</f>
        <v>2026</v>
      </c>
      <c r="D469" s="55" t="s">
        <v>329</v>
      </c>
      <c r="E469" s="55" t="s">
        <v>329</v>
      </c>
      <c r="F469" s="126" t="str">
        <f>TEXT(Table5[[#This Row],[Date]],"mmm-yy")</f>
        <v>Jul-26</v>
      </c>
      <c r="G469" s="124">
        <f t="shared" si="17"/>
        <v>31</v>
      </c>
      <c r="H469" s="125">
        <f t="shared" si="18"/>
        <v>46212</v>
      </c>
      <c r="I469" s="55">
        <v>8.02</v>
      </c>
      <c r="J469" s="59" t="str">
        <f>IFERROR(Inv_SY!J471/Inv_SY!$Y471-1,"")</f>
        <v/>
      </c>
      <c r="K469" s="59" t="str">
        <f>IFERROR(Inv_SY!K471/Inv_SY!$Y471-1,"")</f>
        <v/>
      </c>
      <c r="L469" s="59" t="str">
        <f>IFERROR(Inv_SY!L471/Inv_SY!$Y471-1,"")</f>
        <v/>
      </c>
      <c r="M469" s="59" t="str">
        <f>IFERROR(Inv_SY!M471/Inv_SY!$Y471-1,"")</f>
        <v/>
      </c>
      <c r="N469" s="59" t="str">
        <f>IFERROR(Inv_SY!N471/Inv_SY!$Y471-1,"")</f>
        <v/>
      </c>
      <c r="O469" s="59" t="str">
        <f>IFERROR(Inv_SY!O471/Inv_SY!$Y471-1,"")</f>
        <v/>
      </c>
      <c r="P469" s="59" t="str">
        <f>IFERROR(Inv_SY!P471/Inv_SY!$Y471-1,"")</f>
        <v/>
      </c>
      <c r="Q469" s="59" t="str">
        <f>IFERROR(Inv_SY!Q471/Inv_SY!$Y471-1,"")</f>
        <v/>
      </c>
      <c r="R469" s="59" t="str">
        <f>IFERROR(Inv_SY!R471/Inv_SY!$Y471-1,"")</f>
        <v/>
      </c>
      <c r="S469" s="59" t="str">
        <f>IFERROR(Inv_SY!S471/Inv_SY!$Y471-1,"")</f>
        <v/>
      </c>
      <c r="T469" s="59" t="str">
        <f>IFERROR(Inv_SY!T471/Inv_SY!$Y471-1,"")</f>
        <v/>
      </c>
      <c r="U469" s="59" t="str">
        <f>IFERROR(Inv_SY!U471/Inv_SY!$Y471-1,"")</f>
        <v/>
      </c>
      <c r="V469" s="59" t="str">
        <f>IFERROR(Inv_SY!J471/Inv_SY!$Z471-1,"")</f>
        <v/>
      </c>
      <c r="W469" s="59" t="str">
        <f>IFERROR(Inv_SY!K471/Inv_SY!$Z471-1,"")</f>
        <v/>
      </c>
      <c r="X469" s="59" t="str">
        <f>IFERROR(Inv_SY!L471/Inv_SY!$Z471-1,"")</f>
        <v/>
      </c>
      <c r="Y469" s="59" t="str">
        <f>IFERROR(Inv_SY!M471/Inv_SY!$Z471-1,"")</f>
        <v/>
      </c>
      <c r="Z469" s="59" t="str">
        <f>IFERROR(Inv_SY!N471/Inv_SY!$Z471-1,"")</f>
        <v/>
      </c>
      <c r="AA469" s="59" t="str">
        <f>IFERROR(Inv_SY!O471/Inv_SY!$Z471-1,"")</f>
        <v/>
      </c>
      <c r="AB469" s="59" t="str">
        <f>IFERROR(Inv_SY!P471/Inv_SY!$Z471-1,"")</f>
        <v/>
      </c>
      <c r="AC469" s="59" t="str">
        <f>IFERROR(Inv_SY!Q471/Inv_SY!$Z471-1,"")</f>
        <v/>
      </c>
      <c r="AD469" s="59" t="str">
        <f>IFERROR(Inv_SY!R471/Inv_SY!$Z471-1,"")</f>
        <v/>
      </c>
      <c r="AE469" s="59" t="str">
        <f>IFERROR(Inv_SY!S471/Inv_SY!$Z471-1,"")</f>
        <v/>
      </c>
      <c r="AF469" s="59" t="str">
        <f>IFERROR(Inv_SY!T471/Inv_SY!$Z471-1,"")</f>
        <v/>
      </c>
      <c r="AG469" s="59" t="str">
        <f>IFERROR(Inv_SY!U471/Inv_SY!$Z471-1,"")</f>
        <v/>
      </c>
      <c r="AH469" s="59" t="str">
        <f>IFERROR(Inv_SY!V471/Inv_SY!$Y471-1,"")</f>
        <v/>
      </c>
      <c r="AI469" s="59" t="str">
        <f>IFERROR(Inv_SY!W471/Inv_SY!$Y471-1,"")</f>
        <v/>
      </c>
      <c r="AJ469" s="59" t="str">
        <f>IFERROR(Inv_SY!X471/Inv_SY!$Y471-1,"")</f>
        <v/>
      </c>
      <c r="AK469" s="59" t="str">
        <f>IFERROR(Inv_SY!V471/Inv_SY!$Z471-1,"")</f>
        <v/>
      </c>
      <c r="AL469" s="59" t="str">
        <f>IFERROR(Inv_SY!W471/Inv_SY!$Z471-1,"")</f>
        <v/>
      </c>
      <c r="AM469" s="59" t="str">
        <f>IFERROR(Inv_SY!X471/Inv_SY!$Z471-1,"")</f>
        <v/>
      </c>
    </row>
    <row r="470" spans="1:39" x14ac:dyDescent="0.3">
      <c r="A470" s="55">
        <f>YEAR(Table5[[#This Row],[Date]])+IF(MONTH(Table5[[#This Row],[Date]])&gt;=4,1,0)</f>
        <v>2027</v>
      </c>
      <c r="B470" s="55">
        <v>430</v>
      </c>
      <c r="C470" s="124">
        <f>YEAR(Table5[[#This Row],[Date]])</f>
        <v>2026</v>
      </c>
      <c r="D470" s="55" t="s">
        <v>329</v>
      </c>
      <c r="E470" s="55" t="s">
        <v>329</v>
      </c>
      <c r="F470" s="126" t="str">
        <f>TEXT(Table5[[#This Row],[Date]],"mmm-yy")</f>
        <v>Jul-26</v>
      </c>
      <c r="G470" s="124">
        <f t="shared" si="17"/>
        <v>31</v>
      </c>
      <c r="H470" s="125">
        <f t="shared" si="18"/>
        <v>46213</v>
      </c>
      <c r="I470" s="55">
        <v>8.02</v>
      </c>
      <c r="J470" s="59" t="str">
        <f>IFERROR(Inv_SY!J472/Inv_SY!$Y472-1,"")</f>
        <v/>
      </c>
      <c r="K470" s="59" t="str">
        <f>IFERROR(Inv_SY!K472/Inv_SY!$Y472-1,"")</f>
        <v/>
      </c>
      <c r="L470" s="59" t="str">
        <f>IFERROR(Inv_SY!L472/Inv_SY!$Y472-1,"")</f>
        <v/>
      </c>
      <c r="M470" s="59" t="str">
        <f>IFERROR(Inv_SY!M472/Inv_SY!$Y472-1,"")</f>
        <v/>
      </c>
      <c r="N470" s="59" t="str">
        <f>IFERROR(Inv_SY!N472/Inv_SY!$Y472-1,"")</f>
        <v/>
      </c>
      <c r="O470" s="59" t="str">
        <f>IFERROR(Inv_SY!O472/Inv_SY!$Y472-1,"")</f>
        <v/>
      </c>
      <c r="P470" s="59" t="str">
        <f>IFERROR(Inv_SY!P472/Inv_SY!$Y472-1,"")</f>
        <v/>
      </c>
      <c r="Q470" s="59" t="str">
        <f>IFERROR(Inv_SY!Q472/Inv_SY!$Y472-1,"")</f>
        <v/>
      </c>
      <c r="R470" s="59" t="str">
        <f>IFERROR(Inv_SY!R472/Inv_SY!$Y472-1,"")</f>
        <v/>
      </c>
      <c r="S470" s="59" t="str">
        <f>IFERROR(Inv_SY!S472/Inv_SY!$Y472-1,"")</f>
        <v/>
      </c>
      <c r="T470" s="59" t="str">
        <f>IFERROR(Inv_SY!T472/Inv_SY!$Y472-1,"")</f>
        <v/>
      </c>
      <c r="U470" s="59" t="str">
        <f>IFERROR(Inv_SY!U472/Inv_SY!$Y472-1,"")</f>
        <v/>
      </c>
      <c r="V470" s="59" t="str">
        <f>IFERROR(Inv_SY!J472/Inv_SY!$Z472-1,"")</f>
        <v/>
      </c>
      <c r="W470" s="59" t="str">
        <f>IFERROR(Inv_SY!K472/Inv_SY!$Z472-1,"")</f>
        <v/>
      </c>
      <c r="X470" s="59" t="str">
        <f>IFERROR(Inv_SY!L472/Inv_SY!$Z472-1,"")</f>
        <v/>
      </c>
      <c r="Y470" s="59" t="str">
        <f>IFERROR(Inv_SY!M472/Inv_SY!$Z472-1,"")</f>
        <v/>
      </c>
      <c r="Z470" s="59" t="str">
        <f>IFERROR(Inv_SY!N472/Inv_SY!$Z472-1,"")</f>
        <v/>
      </c>
      <c r="AA470" s="59" t="str">
        <f>IFERROR(Inv_SY!O472/Inv_SY!$Z472-1,"")</f>
        <v/>
      </c>
      <c r="AB470" s="59" t="str">
        <f>IFERROR(Inv_SY!P472/Inv_SY!$Z472-1,"")</f>
        <v/>
      </c>
      <c r="AC470" s="59" t="str">
        <f>IFERROR(Inv_SY!Q472/Inv_SY!$Z472-1,"")</f>
        <v/>
      </c>
      <c r="AD470" s="59" t="str">
        <f>IFERROR(Inv_SY!R472/Inv_SY!$Z472-1,"")</f>
        <v/>
      </c>
      <c r="AE470" s="59" t="str">
        <f>IFERROR(Inv_SY!S472/Inv_SY!$Z472-1,"")</f>
        <v/>
      </c>
      <c r="AF470" s="59" t="str">
        <f>IFERROR(Inv_SY!T472/Inv_SY!$Z472-1,"")</f>
        <v/>
      </c>
      <c r="AG470" s="59" t="str">
        <f>IFERROR(Inv_SY!U472/Inv_SY!$Z472-1,"")</f>
        <v/>
      </c>
      <c r="AH470" s="59" t="str">
        <f>IFERROR(Inv_SY!V472/Inv_SY!$Y472-1,"")</f>
        <v/>
      </c>
      <c r="AI470" s="59" t="str">
        <f>IFERROR(Inv_SY!W472/Inv_SY!$Y472-1,"")</f>
        <v/>
      </c>
      <c r="AJ470" s="59" t="str">
        <f>IFERROR(Inv_SY!X472/Inv_SY!$Y472-1,"")</f>
        <v/>
      </c>
      <c r="AK470" s="59" t="str">
        <f>IFERROR(Inv_SY!V472/Inv_SY!$Z472-1,"")</f>
        <v/>
      </c>
      <c r="AL470" s="59" t="str">
        <f>IFERROR(Inv_SY!W472/Inv_SY!$Z472-1,"")</f>
        <v/>
      </c>
      <c r="AM470" s="59" t="str">
        <f>IFERROR(Inv_SY!X472/Inv_SY!$Z472-1,"")</f>
        <v/>
      </c>
    </row>
    <row r="471" spans="1:39" x14ac:dyDescent="0.3">
      <c r="A471" s="55">
        <f>YEAR(Table5[[#This Row],[Date]])+IF(MONTH(Table5[[#This Row],[Date]])&gt;=4,1,0)</f>
        <v>2027</v>
      </c>
      <c r="B471" s="55">
        <v>431</v>
      </c>
      <c r="C471" s="124">
        <f>YEAR(Table5[[#This Row],[Date]])</f>
        <v>2026</v>
      </c>
      <c r="D471" s="55" t="s">
        <v>329</v>
      </c>
      <c r="E471" s="55" t="s">
        <v>329</v>
      </c>
      <c r="F471" s="126" t="str">
        <f>TEXT(Table5[[#This Row],[Date]],"mmm-yy")</f>
        <v>Jul-26</v>
      </c>
      <c r="G471" s="124">
        <f t="shared" si="17"/>
        <v>31</v>
      </c>
      <c r="H471" s="125">
        <f t="shared" si="18"/>
        <v>46214</v>
      </c>
      <c r="I471" s="55">
        <v>8.02</v>
      </c>
      <c r="J471" s="59" t="str">
        <f>IFERROR(Inv_SY!J473/Inv_SY!$Y473-1,"")</f>
        <v/>
      </c>
      <c r="K471" s="59" t="str">
        <f>IFERROR(Inv_SY!K473/Inv_SY!$Y473-1,"")</f>
        <v/>
      </c>
      <c r="L471" s="59" t="str">
        <f>IFERROR(Inv_SY!L473/Inv_SY!$Y473-1,"")</f>
        <v/>
      </c>
      <c r="M471" s="59" t="str">
        <f>IFERROR(Inv_SY!M473/Inv_SY!$Y473-1,"")</f>
        <v/>
      </c>
      <c r="N471" s="59" t="str">
        <f>IFERROR(Inv_SY!N473/Inv_SY!$Y473-1,"")</f>
        <v/>
      </c>
      <c r="O471" s="59" t="str">
        <f>IFERROR(Inv_SY!O473/Inv_SY!$Y473-1,"")</f>
        <v/>
      </c>
      <c r="P471" s="59" t="str">
        <f>IFERROR(Inv_SY!P473/Inv_SY!$Y473-1,"")</f>
        <v/>
      </c>
      <c r="Q471" s="59" t="str">
        <f>IFERROR(Inv_SY!Q473/Inv_SY!$Y473-1,"")</f>
        <v/>
      </c>
      <c r="R471" s="59" t="str">
        <f>IFERROR(Inv_SY!R473/Inv_SY!$Y473-1,"")</f>
        <v/>
      </c>
      <c r="S471" s="59" t="str">
        <f>IFERROR(Inv_SY!S473/Inv_SY!$Y473-1,"")</f>
        <v/>
      </c>
      <c r="T471" s="59" t="str">
        <f>IFERROR(Inv_SY!T473/Inv_SY!$Y473-1,"")</f>
        <v/>
      </c>
      <c r="U471" s="59" t="str">
        <f>IFERROR(Inv_SY!U473/Inv_SY!$Y473-1,"")</f>
        <v/>
      </c>
      <c r="V471" s="59" t="str">
        <f>IFERROR(Inv_SY!J473/Inv_SY!$Z473-1,"")</f>
        <v/>
      </c>
      <c r="W471" s="59" t="str">
        <f>IFERROR(Inv_SY!K473/Inv_SY!$Z473-1,"")</f>
        <v/>
      </c>
      <c r="X471" s="59" t="str">
        <f>IFERROR(Inv_SY!L473/Inv_SY!$Z473-1,"")</f>
        <v/>
      </c>
      <c r="Y471" s="59" t="str">
        <f>IFERROR(Inv_SY!M473/Inv_SY!$Z473-1,"")</f>
        <v/>
      </c>
      <c r="Z471" s="59" t="str">
        <f>IFERROR(Inv_SY!N473/Inv_SY!$Z473-1,"")</f>
        <v/>
      </c>
      <c r="AA471" s="59" t="str">
        <f>IFERROR(Inv_SY!O473/Inv_SY!$Z473-1,"")</f>
        <v/>
      </c>
      <c r="AB471" s="59" t="str">
        <f>IFERROR(Inv_SY!P473/Inv_SY!$Z473-1,"")</f>
        <v/>
      </c>
      <c r="AC471" s="59" t="str">
        <f>IFERROR(Inv_SY!Q473/Inv_SY!$Z473-1,"")</f>
        <v/>
      </c>
      <c r="AD471" s="59" t="str">
        <f>IFERROR(Inv_SY!R473/Inv_SY!$Z473-1,"")</f>
        <v/>
      </c>
      <c r="AE471" s="59" t="str">
        <f>IFERROR(Inv_SY!S473/Inv_SY!$Z473-1,"")</f>
        <v/>
      </c>
      <c r="AF471" s="59" t="str">
        <f>IFERROR(Inv_SY!T473/Inv_SY!$Z473-1,"")</f>
        <v/>
      </c>
      <c r="AG471" s="59" t="str">
        <f>IFERROR(Inv_SY!U473/Inv_SY!$Z473-1,"")</f>
        <v/>
      </c>
      <c r="AH471" s="59" t="str">
        <f>IFERROR(Inv_SY!V473/Inv_SY!$Y473-1,"")</f>
        <v/>
      </c>
      <c r="AI471" s="59" t="str">
        <f>IFERROR(Inv_SY!W473/Inv_SY!$Y473-1,"")</f>
        <v/>
      </c>
      <c r="AJ471" s="59" t="str">
        <f>IFERROR(Inv_SY!X473/Inv_SY!$Y473-1,"")</f>
        <v/>
      </c>
      <c r="AK471" s="59" t="str">
        <f>IFERROR(Inv_SY!V473/Inv_SY!$Z473-1,"")</f>
        <v/>
      </c>
      <c r="AL471" s="59" t="str">
        <f>IFERROR(Inv_SY!W473/Inv_SY!$Z473-1,"")</f>
        <v/>
      </c>
      <c r="AM471" s="59" t="str">
        <f>IFERROR(Inv_SY!X473/Inv_SY!$Z473-1,"")</f>
        <v/>
      </c>
    </row>
    <row r="472" spans="1:39" x14ac:dyDescent="0.3">
      <c r="A472" s="55">
        <f>YEAR(Table5[[#This Row],[Date]])+IF(MONTH(Table5[[#This Row],[Date]])&gt;=4,1,0)</f>
        <v>2027</v>
      </c>
      <c r="B472" s="55">
        <v>432</v>
      </c>
      <c r="C472" s="124">
        <f>YEAR(Table5[[#This Row],[Date]])</f>
        <v>2026</v>
      </c>
      <c r="D472" s="55" t="s">
        <v>329</v>
      </c>
      <c r="E472" s="55" t="s">
        <v>329</v>
      </c>
      <c r="F472" s="126" t="str">
        <f>TEXT(Table5[[#This Row],[Date]],"mmm-yy")</f>
        <v>Jul-26</v>
      </c>
      <c r="G472" s="124">
        <f t="shared" si="17"/>
        <v>31</v>
      </c>
      <c r="H472" s="125">
        <f t="shared" si="18"/>
        <v>46215</v>
      </c>
      <c r="I472" s="55">
        <v>8.02</v>
      </c>
      <c r="J472" s="59" t="str">
        <f>IFERROR(Inv_SY!J474/Inv_SY!$Y474-1,"")</f>
        <v/>
      </c>
      <c r="K472" s="59" t="str">
        <f>IFERROR(Inv_SY!K474/Inv_SY!$Y474-1,"")</f>
        <v/>
      </c>
      <c r="L472" s="59" t="str">
        <f>IFERROR(Inv_SY!L474/Inv_SY!$Y474-1,"")</f>
        <v/>
      </c>
      <c r="M472" s="59" t="str">
        <f>IFERROR(Inv_SY!M474/Inv_SY!$Y474-1,"")</f>
        <v/>
      </c>
      <c r="N472" s="59" t="str">
        <f>IFERROR(Inv_SY!N474/Inv_SY!$Y474-1,"")</f>
        <v/>
      </c>
      <c r="O472" s="59" t="str">
        <f>IFERROR(Inv_SY!O474/Inv_SY!$Y474-1,"")</f>
        <v/>
      </c>
      <c r="P472" s="59" t="str">
        <f>IFERROR(Inv_SY!P474/Inv_SY!$Y474-1,"")</f>
        <v/>
      </c>
      <c r="Q472" s="59" t="str">
        <f>IFERROR(Inv_SY!Q474/Inv_SY!$Y474-1,"")</f>
        <v/>
      </c>
      <c r="R472" s="59" t="str">
        <f>IFERROR(Inv_SY!R474/Inv_SY!$Y474-1,"")</f>
        <v/>
      </c>
      <c r="S472" s="59" t="str">
        <f>IFERROR(Inv_SY!S474/Inv_SY!$Y474-1,"")</f>
        <v/>
      </c>
      <c r="T472" s="59" t="str">
        <f>IFERROR(Inv_SY!T474/Inv_SY!$Y474-1,"")</f>
        <v/>
      </c>
      <c r="U472" s="59" t="str">
        <f>IFERROR(Inv_SY!U474/Inv_SY!$Y474-1,"")</f>
        <v/>
      </c>
      <c r="V472" s="59" t="str">
        <f>IFERROR(Inv_SY!J474/Inv_SY!$Z474-1,"")</f>
        <v/>
      </c>
      <c r="W472" s="59" t="str">
        <f>IFERROR(Inv_SY!K474/Inv_SY!$Z474-1,"")</f>
        <v/>
      </c>
      <c r="X472" s="59" t="str">
        <f>IFERROR(Inv_SY!L474/Inv_SY!$Z474-1,"")</f>
        <v/>
      </c>
      <c r="Y472" s="59" t="str">
        <f>IFERROR(Inv_SY!M474/Inv_SY!$Z474-1,"")</f>
        <v/>
      </c>
      <c r="Z472" s="59" t="str">
        <f>IFERROR(Inv_SY!N474/Inv_SY!$Z474-1,"")</f>
        <v/>
      </c>
      <c r="AA472" s="59" t="str">
        <f>IFERROR(Inv_SY!O474/Inv_SY!$Z474-1,"")</f>
        <v/>
      </c>
      <c r="AB472" s="59" t="str">
        <f>IFERROR(Inv_SY!P474/Inv_SY!$Z474-1,"")</f>
        <v/>
      </c>
      <c r="AC472" s="59" t="str">
        <f>IFERROR(Inv_SY!Q474/Inv_SY!$Z474-1,"")</f>
        <v/>
      </c>
      <c r="AD472" s="59" t="str">
        <f>IFERROR(Inv_SY!R474/Inv_SY!$Z474-1,"")</f>
        <v/>
      </c>
      <c r="AE472" s="59" t="str">
        <f>IFERROR(Inv_SY!S474/Inv_SY!$Z474-1,"")</f>
        <v/>
      </c>
      <c r="AF472" s="59" t="str">
        <f>IFERROR(Inv_SY!T474/Inv_SY!$Z474-1,"")</f>
        <v/>
      </c>
      <c r="AG472" s="59" t="str">
        <f>IFERROR(Inv_SY!U474/Inv_SY!$Z474-1,"")</f>
        <v/>
      </c>
      <c r="AH472" s="59" t="str">
        <f>IFERROR(Inv_SY!V474/Inv_SY!$Y474-1,"")</f>
        <v/>
      </c>
      <c r="AI472" s="59" t="str">
        <f>IFERROR(Inv_SY!W474/Inv_SY!$Y474-1,"")</f>
        <v/>
      </c>
      <c r="AJ472" s="59" t="str">
        <f>IFERROR(Inv_SY!X474/Inv_SY!$Y474-1,"")</f>
        <v/>
      </c>
      <c r="AK472" s="59" t="str">
        <f>IFERROR(Inv_SY!V474/Inv_SY!$Z474-1,"")</f>
        <v/>
      </c>
      <c r="AL472" s="59" t="str">
        <f>IFERROR(Inv_SY!W474/Inv_SY!$Z474-1,"")</f>
        <v/>
      </c>
      <c r="AM472" s="59" t="str">
        <f>IFERROR(Inv_SY!X474/Inv_SY!$Z474-1,"")</f>
        <v/>
      </c>
    </row>
    <row r="473" spans="1:39" x14ac:dyDescent="0.3">
      <c r="A473" s="55">
        <f>YEAR(Table5[[#This Row],[Date]])+IF(MONTH(Table5[[#This Row],[Date]])&gt;=4,1,0)</f>
        <v>2027</v>
      </c>
      <c r="B473" s="55">
        <v>433</v>
      </c>
      <c r="C473" s="124">
        <f>YEAR(Table5[[#This Row],[Date]])</f>
        <v>2026</v>
      </c>
      <c r="D473" s="55" t="s">
        <v>329</v>
      </c>
      <c r="E473" s="55" t="s">
        <v>329</v>
      </c>
      <c r="F473" s="126" t="str">
        <f>TEXT(Table5[[#This Row],[Date]],"mmm-yy")</f>
        <v>Jul-26</v>
      </c>
      <c r="G473" s="124">
        <f t="shared" si="17"/>
        <v>31</v>
      </c>
      <c r="H473" s="125">
        <f t="shared" si="18"/>
        <v>46216</v>
      </c>
      <c r="I473" s="55">
        <v>8.02</v>
      </c>
      <c r="J473" s="59" t="str">
        <f>IFERROR(Inv_SY!J475/Inv_SY!$Y475-1,"")</f>
        <v/>
      </c>
      <c r="K473" s="59" t="str">
        <f>IFERROR(Inv_SY!K475/Inv_SY!$Y475-1,"")</f>
        <v/>
      </c>
      <c r="L473" s="59" t="str">
        <f>IFERROR(Inv_SY!L475/Inv_SY!$Y475-1,"")</f>
        <v/>
      </c>
      <c r="M473" s="59" t="str">
        <f>IFERROR(Inv_SY!M475/Inv_SY!$Y475-1,"")</f>
        <v/>
      </c>
      <c r="N473" s="59" t="str">
        <f>IFERROR(Inv_SY!N475/Inv_SY!$Y475-1,"")</f>
        <v/>
      </c>
      <c r="O473" s="59" t="str">
        <f>IFERROR(Inv_SY!O475/Inv_SY!$Y475-1,"")</f>
        <v/>
      </c>
      <c r="P473" s="59" t="str">
        <f>IFERROR(Inv_SY!P475/Inv_SY!$Y475-1,"")</f>
        <v/>
      </c>
      <c r="Q473" s="59" t="str">
        <f>IFERROR(Inv_SY!Q475/Inv_SY!$Y475-1,"")</f>
        <v/>
      </c>
      <c r="R473" s="59" t="str">
        <f>IFERROR(Inv_SY!R475/Inv_SY!$Y475-1,"")</f>
        <v/>
      </c>
      <c r="S473" s="59" t="str">
        <f>IFERROR(Inv_SY!S475/Inv_SY!$Y475-1,"")</f>
        <v/>
      </c>
      <c r="T473" s="59" t="str">
        <f>IFERROR(Inv_SY!T475/Inv_SY!$Y475-1,"")</f>
        <v/>
      </c>
      <c r="U473" s="59" t="str">
        <f>IFERROR(Inv_SY!U475/Inv_SY!$Y475-1,"")</f>
        <v/>
      </c>
      <c r="V473" s="59" t="str">
        <f>IFERROR(Inv_SY!J475/Inv_SY!$Z475-1,"")</f>
        <v/>
      </c>
      <c r="W473" s="59" t="str">
        <f>IFERROR(Inv_SY!K475/Inv_SY!$Z475-1,"")</f>
        <v/>
      </c>
      <c r="X473" s="59" t="str">
        <f>IFERROR(Inv_SY!L475/Inv_SY!$Z475-1,"")</f>
        <v/>
      </c>
      <c r="Y473" s="59" t="str">
        <f>IFERROR(Inv_SY!M475/Inv_SY!$Z475-1,"")</f>
        <v/>
      </c>
      <c r="Z473" s="59" t="str">
        <f>IFERROR(Inv_SY!N475/Inv_SY!$Z475-1,"")</f>
        <v/>
      </c>
      <c r="AA473" s="59" t="str">
        <f>IFERROR(Inv_SY!O475/Inv_SY!$Z475-1,"")</f>
        <v/>
      </c>
      <c r="AB473" s="59" t="str">
        <f>IFERROR(Inv_SY!P475/Inv_SY!$Z475-1,"")</f>
        <v/>
      </c>
      <c r="AC473" s="59" t="str">
        <f>IFERROR(Inv_SY!Q475/Inv_SY!$Z475-1,"")</f>
        <v/>
      </c>
      <c r="AD473" s="59" t="str">
        <f>IFERROR(Inv_SY!R475/Inv_SY!$Z475-1,"")</f>
        <v/>
      </c>
      <c r="AE473" s="59" t="str">
        <f>IFERROR(Inv_SY!S475/Inv_SY!$Z475-1,"")</f>
        <v/>
      </c>
      <c r="AF473" s="59" t="str">
        <f>IFERROR(Inv_SY!T475/Inv_SY!$Z475-1,"")</f>
        <v/>
      </c>
      <c r="AG473" s="59" t="str">
        <f>IFERROR(Inv_SY!U475/Inv_SY!$Z475-1,"")</f>
        <v/>
      </c>
      <c r="AH473" s="59" t="str">
        <f>IFERROR(Inv_SY!V475/Inv_SY!$Y475-1,"")</f>
        <v/>
      </c>
      <c r="AI473" s="59" t="str">
        <f>IFERROR(Inv_SY!W475/Inv_SY!$Y475-1,"")</f>
        <v/>
      </c>
      <c r="AJ473" s="59" t="str">
        <f>IFERROR(Inv_SY!X475/Inv_SY!$Y475-1,"")</f>
        <v/>
      </c>
      <c r="AK473" s="59" t="str">
        <f>IFERROR(Inv_SY!V475/Inv_SY!$Z475-1,"")</f>
        <v/>
      </c>
      <c r="AL473" s="59" t="str">
        <f>IFERROR(Inv_SY!W475/Inv_SY!$Z475-1,"")</f>
        <v/>
      </c>
      <c r="AM473" s="59" t="str">
        <f>IFERROR(Inv_SY!X475/Inv_SY!$Z475-1,"")</f>
        <v/>
      </c>
    </row>
    <row r="474" spans="1:39" x14ac:dyDescent="0.3">
      <c r="A474" s="55">
        <f>YEAR(Table5[[#This Row],[Date]])+IF(MONTH(Table5[[#This Row],[Date]])&gt;=4,1,0)</f>
        <v>2027</v>
      </c>
      <c r="B474" s="55">
        <v>434</v>
      </c>
      <c r="C474" s="124">
        <f>YEAR(Table5[[#This Row],[Date]])</f>
        <v>2026</v>
      </c>
      <c r="D474" s="55" t="s">
        <v>329</v>
      </c>
      <c r="E474" s="55" t="s">
        <v>329</v>
      </c>
      <c r="F474" s="126" t="str">
        <f>TEXT(Table5[[#This Row],[Date]],"mmm-yy")</f>
        <v>Jul-26</v>
      </c>
      <c r="G474" s="124">
        <f t="shared" si="17"/>
        <v>31</v>
      </c>
      <c r="H474" s="125">
        <f t="shared" si="18"/>
        <v>46217</v>
      </c>
      <c r="I474" s="55">
        <v>8.02</v>
      </c>
      <c r="J474" s="59" t="str">
        <f>IFERROR(Inv_SY!J476/Inv_SY!$Y476-1,"")</f>
        <v/>
      </c>
      <c r="K474" s="59" t="str">
        <f>IFERROR(Inv_SY!K476/Inv_SY!$Y476-1,"")</f>
        <v/>
      </c>
      <c r="L474" s="59" t="str">
        <f>IFERROR(Inv_SY!L476/Inv_SY!$Y476-1,"")</f>
        <v/>
      </c>
      <c r="M474" s="59" t="str">
        <f>IFERROR(Inv_SY!M476/Inv_SY!$Y476-1,"")</f>
        <v/>
      </c>
      <c r="N474" s="59" t="str">
        <f>IFERROR(Inv_SY!N476/Inv_SY!$Y476-1,"")</f>
        <v/>
      </c>
      <c r="O474" s="59" t="str">
        <f>IFERROR(Inv_SY!O476/Inv_SY!$Y476-1,"")</f>
        <v/>
      </c>
      <c r="P474" s="59" t="str">
        <f>IFERROR(Inv_SY!P476/Inv_SY!$Y476-1,"")</f>
        <v/>
      </c>
      <c r="Q474" s="59" t="str">
        <f>IFERROR(Inv_SY!Q476/Inv_SY!$Y476-1,"")</f>
        <v/>
      </c>
      <c r="R474" s="59" t="str">
        <f>IFERROR(Inv_SY!R476/Inv_SY!$Y476-1,"")</f>
        <v/>
      </c>
      <c r="S474" s="59" t="str">
        <f>IFERROR(Inv_SY!S476/Inv_SY!$Y476-1,"")</f>
        <v/>
      </c>
      <c r="T474" s="59" t="str">
        <f>IFERROR(Inv_SY!T476/Inv_SY!$Y476-1,"")</f>
        <v/>
      </c>
      <c r="U474" s="59" t="str">
        <f>IFERROR(Inv_SY!U476/Inv_SY!$Y476-1,"")</f>
        <v/>
      </c>
      <c r="V474" s="59" t="str">
        <f>IFERROR(Inv_SY!J476/Inv_SY!$Z476-1,"")</f>
        <v/>
      </c>
      <c r="W474" s="59" t="str">
        <f>IFERROR(Inv_SY!K476/Inv_SY!$Z476-1,"")</f>
        <v/>
      </c>
      <c r="X474" s="59" t="str">
        <f>IFERROR(Inv_SY!L476/Inv_SY!$Z476-1,"")</f>
        <v/>
      </c>
      <c r="Y474" s="59" t="str">
        <f>IFERROR(Inv_SY!M476/Inv_SY!$Z476-1,"")</f>
        <v/>
      </c>
      <c r="Z474" s="59" t="str">
        <f>IFERROR(Inv_SY!N476/Inv_SY!$Z476-1,"")</f>
        <v/>
      </c>
      <c r="AA474" s="59" t="str">
        <f>IFERROR(Inv_SY!O476/Inv_SY!$Z476-1,"")</f>
        <v/>
      </c>
      <c r="AB474" s="59" t="str">
        <f>IFERROR(Inv_SY!P476/Inv_SY!$Z476-1,"")</f>
        <v/>
      </c>
      <c r="AC474" s="59" t="str">
        <f>IFERROR(Inv_SY!Q476/Inv_SY!$Z476-1,"")</f>
        <v/>
      </c>
      <c r="AD474" s="59" t="str">
        <f>IFERROR(Inv_SY!R476/Inv_SY!$Z476-1,"")</f>
        <v/>
      </c>
      <c r="AE474" s="59" t="str">
        <f>IFERROR(Inv_SY!S476/Inv_SY!$Z476-1,"")</f>
        <v/>
      </c>
      <c r="AF474" s="59" t="str">
        <f>IFERROR(Inv_SY!T476/Inv_SY!$Z476-1,"")</f>
        <v/>
      </c>
      <c r="AG474" s="59" t="str">
        <f>IFERROR(Inv_SY!U476/Inv_SY!$Z476-1,"")</f>
        <v/>
      </c>
      <c r="AH474" s="59" t="str">
        <f>IFERROR(Inv_SY!V476/Inv_SY!$Y476-1,"")</f>
        <v/>
      </c>
      <c r="AI474" s="59" t="str">
        <f>IFERROR(Inv_SY!W476/Inv_SY!$Y476-1,"")</f>
        <v/>
      </c>
      <c r="AJ474" s="59" t="str">
        <f>IFERROR(Inv_SY!X476/Inv_SY!$Y476-1,"")</f>
        <v/>
      </c>
      <c r="AK474" s="59" t="str">
        <f>IFERROR(Inv_SY!V476/Inv_SY!$Z476-1,"")</f>
        <v/>
      </c>
      <c r="AL474" s="59" t="str">
        <f>IFERROR(Inv_SY!W476/Inv_SY!$Z476-1,"")</f>
        <v/>
      </c>
      <c r="AM474" s="59" t="str">
        <f>IFERROR(Inv_SY!X476/Inv_SY!$Z476-1,"")</f>
        <v/>
      </c>
    </row>
    <row r="475" spans="1:39" x14ac:dyDescent="0.3">
      <c r="A475" s="55">
        <f>YEAR(Table5[[#This Row],[Date]])+IF(MONTH(Table5[[#This Row],[Date]])&gt;=4,1,0)</f>
        <v>2027</v>
      </c>
      <c r="B475" s="55">
        <v>435</v>
      </c>
      <c r="C475" s="124">
        <f>YEAR(Table5[[#This Row],[Date]])</f>
        <v>2026</v>
      </c>
      <c r="D475" s="55" t="s">
        <v>329</v>
      </c>
      <c r="E475" s="55" t="s">
        <v>329</v>
      </c>
      <c r="F475" s="126" t="str">
        <f>TEXT(Table5[[#This Row],[Date]],"mmm-yy")</f>
        <v>Jul-26</v>
      </c>
      <c r="G475" s="124">
        <f t="shared" si="17"/>
        <v>31</v>
      </c>
      <c r="H475" s="125">
        <f t="shared" si="18"/>
        <v>46218</v>
      </c>
      <c r="I475" s="55">
        <v>8.02</v>
      </c>
      <c r="J475" s="59" t="str">
        <f>IFERROR(Inv_SY!J477/Inv_SY!$Y477-1,"")</f>
        <v/>
      </c>
      <c r="K475" s="59" t="str">
        <f>IFERROR(Inv_SY!K477/Inv_SY!$Y477-1,"")</f>
        <v/>
      </c>
      <c r="L475" s="59" t="str">
        <f>IFERROR(Inv_SY!L477/Inv_SY!$Y477-1,"")</f>
        <v/>
      </c>
      <c r="M475" s="59" t="str">
        <f>IFERROR(Inv_SY!M477/Inv_SY!$Y477-1,"")</f>
        <v/>
      </c>
      <c r="N475" s="59" t="str">
        <f>IFERROR(Inv_SY!N477/Inv_SY!$Y477-1,"")</f>
        <v/>
      </c>
      <c r="O475" s="59" t="str">
        <f>IFERROR(Inv_SY!O477/Inv_SY!$Y477-1,"")</f>
        <v/>
      </c>
      <c r="P475" s="59" t="str">
        <f>IFERROR(Inv_SY!P477/Inv_SY!$Y477-1,"")</f>
        <v/>
      </c>
      <c r="Q475" s="59" t="str">
        <f>IFERROR(Inv_SY!Q477/Inv_SY!$Y477-1,"")</f>
        <v/>
      </c>
      <c r="R475" s="59" t="str">
        <f>IFERROR(Inv_SY!R477/Inv_SY!$Y477-1,"")</f>
        <v/>
      </c>
      <c r="S475" s="59" t="str">
        <f>IFERROR(Inv_SY!S477/Inv_SY!$Y477-1,"")</f>
        <v/>
      </c>
      <c r="T475" s="59" t="str">
        <f>IFERROR(Inv_SY!T477/Inv_SY!$Y477-1,"")</f>
        <v/>
      </c>
      <c r="U475" s="59" t="str">
        <f>IFERROR(Inv_SY!U477/Inv_SY!$Y477-1,"")</f>
        <v/>
      </c>
      <c r="V475" s="59" t="str">
        <f>IFERROR(Inv_SY!J477/Inv_SY!$Z477-1,"")</f>
        <v/>
      </c>
      <c r="W475" s="59" t="str">
        <f>IFERROR(Inv_SY!K477/Inv_SY!$Z477-1,"")</f>
        <v/>
      </c>
      <c r="X475" s="59" t="str">
        <f>IFERROR(Inv_SY!L477/Inv_SY!$Z477-1,"")</f>
        <v/>
      </c>
      <c r="Y475" s="59" t="str">
        <f>IFERROR(Inv_SY!M477/Inv_SY!$Z477-1,"")</f>
        <v/>
      </c>
      <c r="Z475" s="59" t="str">
        <f>IFERROR(Inv_SY!N477/Inv_SY!$Z477-1,"")</f>
        <v/>
      </c>
      <c r="AA475" s="59" t="str">
        <f>IFERROR(Inv_SY!O477/Inv_SY!$Z477-1,"")</f>
        <v/>
      </c>
      <c r="AB475" s="59" t="str">
        <f>IFERROR(Inv_SY!P477/Inv_SY!$Z477-1,"")</f>
        <v/>
      </c>
      <c r="AC475" s="59" t="str">
        <f>IFERROR(Inv_SY!Q477/Inv_SY!$Z477-1,"")</f>
        <v/>
      </c>
      <c r="AD475" s="59" t="str">
        <f>IFERROR(Inv_SY!R477/Inv_SY!$Z477-1,"")</f>
        <v/>
      </c>
      <c r="AE475" s="59" t="str">
        <f>IFERROR(Inv_SY!S477/Inv_SY!$Z477-1,"")</f>
        <v/>
      </c>
      <c r="AF475" s="59" t="str">
        <f>IFERROR(Inv_SY!T477/Inv_SY!$Z477-1,"")</f>
        <v/>
      </c>
      <c r="AG475" s="59" t="str">
        <f>IFERROR(Inv_SY!U477/Inv_SY!$Z477-1,"")</f>
        <v/>
      </c>
      <c r="AH475" s="59" t="str">
        <f>IFERROR(Inv_SY!V477/Inv_SY!$Y477-1,"")</f>
        <v/>
      </c>
      <c r="AI475" s="59" t="str">
        <f>IFERROR(Inv_SY!W477/Inv_SY!$Y477-1,"")</f>
        <v/>
      </c>
      <c r="AJ475" s="59" t="str">
        <f>IFERROR(Inv_SY!X477/Inv_SY!$Y477-1,"")</f>
        <v/>
      </c>
      <c r="AK475" s="59" t="str">
        <f>IFERROR(Inv_SY!V477/Inv_SY!$Z477-1,"")</f>
        <v/>
      </c>
      <c r="AL475" s="59" t="str">
        <f>IFERROR(Inv_SY!W477/Inv_SY!$Z477-1,"")</f>
        <v/>
      </c>
      <c r="AM475" s="59" t="str">
        <f>IFERROR(Inv_SY!X477/Inv_SY!$Z477-1,"")</f>
        <v/>
      </c>
    </row>
    <row r="476" spans="1:39" x14ac:dyDescent="0.3">
      <c r="A476" s="55">
        <f>YEAR(Table5[[#This Row],[Date]])+IF(MONTH(Table5[[#This Row],[Date]])&gt;=4,1,0)</f>
        <v>2027</v>
      </c>
      <c r="B476" s="55">
        <v>436</v>
      </c>
      <c r="C476" s="124">
        <f>YEAR(Table5[[#This Row],[Date]])</f>
        <v>2026</v>
      </c>
      <c r="D476" s="55" t="s">
        <v>329</v>
      </c>
      <c r="E476" s="55" t="s">
        <v>329</v>
      </c>
      <c r="F476" s="126" t="str">
        <f>TEXT(Table5[[#This Row],[Date]],"mmm-yy")</f>
        <v>Jul-26</v>
      </c>
      <c r="G476" s="124">
        <f t="shared" si="17"/>
        <v>31</v>
      </c>
      <c r="H476" s="125">
        <f t="shared" si="18"/>
        <v>46219</v>
      </c>
      <c r="I476" s="55">
        <v>8.02</v>
      </c>
      <c r="J476" s="59" t="str">
        <f>IFERROR(Inv_SY!J478/Inv_SY!$Y478-1,"")</f>
        <v/>
      </c>
      <c r="K476" s="59" t="str">
        <f>IFERROR(Inv_SY!K478/Inv_SY!$Y478-1,"")</f>
        <v/>
      </c>
      <c r="L476" s="59" t="str">
        <f>IFERROR(Inv_SY!L478/Inv_SY!$Y478-1,"")</f>
        <v/>
      </c>
      <c r="M476" s="59" t="str">
        <f>IFERROR(Inv_SY!M478/Inv_SY!$Y478-1,"")</f>
        <v/>
      </c>
      <c r="N476" s="59" t="str">
        <f>IFERROR(Inv_SY!N478/Inv_SY!$Y478-1,"")</f>
        <v/>
      </c>
      <c r="O476" s="59" t="str">
        <f>IFERROR(Inv_SY!O478/Inv_SY!$Y478-1,"")</f>
        <v/>
      </c>
      <c r="P476" s="59" t="str">
        <f>IFERROR(Inv_SY!P478/Inv_SY!$Y478-1,"")</f>
        <v/>
      </c>
      <c r="Q476" s="59" t="str">
        <f>IFERROR(Inv_SY!Q478/Inv_SY!$Y478-1,"")</f>
        <v/>
      </c>
      <c r="R476" s="59" t="str">
        <f>IFERROR(Inv_SY!R478/Inv_SY!$Y478-1,"")</f>
        <v/>
      </c>
      <c r="S476" s="59" t="str">
        <f>IFERROR(Inv_SY!S478/Inv_SY!$Y478-1,"")</f>
        <v/>
      </c>
      <c r="T476" s="59" t="str">
        <f>IFERROR(Inv_SY!T478/Inv_SY!$Y478-1,"")</f>
        <v/>
      </c>
      <c r="U476" s="59" t="str">
        <f>IFERROR(Inv_SY!U478/Inv_SY!$Y478-1,"")</f>
        <v/>
      </c>
      <c r="V476" s="59" t="str">
        <f>IFERROR(Inv_SY!J478/Inv_SY!$Z478-1,"")</f>
        <v/>
      </c>
      <c r="W476" s="59" t="str">
        <f>IFERROR(Inv_SY!K478/Inv_SY!$Z478-1,"")</f>
        <v/>
      </c>
      <c r="X476" s="59" t="str">
        <f>IFERROR(Inv_SY!L478/Inv_SY!$Z478-1,"")</f>
        <v/>
      </c>
      <c r="Y476" s="59" t="str">
        <f>IFERROR(Inv_SY!M478/Inv_SY!$Z478-1,"")</f>
        <v/>
      </c>
      <c r="Z476" s="59" t="str">
        <f>IFERROR(Inv_SY!N478/Inv_SY!$Z478-1,"")</f>
        <v/>
      </c>
      <c r="AA476" s="59" t="str">
        <f>IFERROR(Inv_SY!O478/Inv_SY!$Z478-1,"")</f>
        <v/>
      </c>
      <c r="AB476" s="59" t="str">
        <f>IFERROR(Inv_SY!P478/Inv_SY!$Z478-1,"")</f>
        <v/>
      </c>
      <c r="AC476" s="59" t="str">
        <f>IFERROR(Inv_SY!Q478/Inv_SY!$Z478-1,"")</f>
        <v/>
      </c>
      <c r="AD476" s="59" t="str">
        <f>IFERROR(Inv_SY!R478/Inv_SY!$Z478-1,"")</f>
        <v/>
      </c>
      <c r="AE476" s="59" t="str">
        <f>IFERROR(Inv_SY!S478/Inv_SY!$Z478-1,"")</f>
        <v/>
      </c>
      <c r="AF476" s="59" t="str">
        <f>IFERROR(Inv_SY!T478/Inv_SY!$Z478-1,"")</f>
        <v/>
      </c>
      <c r="AG476" s="59" t="str">
        <f>IFERROR(Inv_SY!U478/Inv_SY!$Z478-1,"")</f>
        <v/>
      </c>
      <c r="AH476" s="59" t="str">
        <f>IFERROR(Inv_SY!V478/Inv_SY!$Y478-1,"")</f>
        <v/>
      </c>
      <c r="AI476" s="59" t="str">
        <f>IFERROR(Inv_SY!W478/Inv_SY!$Y478-1,"")</f>
        <v/>
      </c>
      <c r="AJ476" s="59" t="str">
        <f>IFERROR(Inv_SY!X478/Inv_SY!$Y478-1,"")</f>
        <v/>
      </c>
      <c r="AK476" s="59" t="str">
        <f>IFERROR(Inv_SY!V478/Inv_SY!$Z478-1,"")</f>
        <v/>
      </c>
      <c r="AL476" s="59" t="str">
        <f>IFERROR(Inv_SY!W478/Inv_SY!$Z478-1,"")</f>
        <v/>
      </c>
      <c r="AM476" s="59" t="str">
        <f>IFERROR(Inv_SY!X478/Inv_SY!$Z478-1,"")</f>
        <v/>
      </c>
    </row>
    <row r="477" spans="1:39" x14ac:dyDescent="0.3">
      <c r="A477" s="55">
        <f>YEAR(Table5[[#This Row],[Date]])+IF(MONTH(Table5[[#This Row],[Date]])&gt;=4,1,0)</f>
        <v>2027</v>
      </c>
      <c r="B477" s="55">
        <v>437</v>
      </c>
      <c r="C477" s="124">
        <f>YEAR(Table5[[#This Row],[Date]])</f>
        <v>2026</v>
      </c>
      <c r="D477" s="55" t="s">
        <v>329</v>
      </c>
      <c r="E477" s="55" t="s">
        <v>329</v>
      </c>
      <c r="F477" s="126" t="str">
        <f>TEXT(Table5[[#This Row],[Date]],"mmm-yy")</f>
        <v>Jul-26</v>
      </c>
      <c r="G477" s="124">
        <f t="shared" si="17"/>
        <v>31</v>
      </c>
      <c r="H477" s="125">
        <f t="shared" si="18"/>
        <v>46220</v>
      </c>
      <c r="I477" s="55">
        <v>8.02</v>
      </c>
      <c r="J477" s="59" t="str">
        <f>IFERROR(Inv_SY!J479/Inv_SY!$Y479-1,"")</f>
        <v/>
      </c>
      <c r="K477" s="59" t="str">
        <f>IFERROR(Inv_SY!K479/Inv_SY!$Y479-1,"")</f>
        <v/>
      </c>
      <c r="L477" s="59" t="str">
        <f>IFERROR(Inv_SY!L479/Inv_SY!$Y479-1,"")</f>
        <v/>
      </c>
      <c r="M477" s="59" t="str">
        <f>IFERROR(Inv_SY!M479/Inv_SY!$Y479-1,"")</f>
        <v/>
      </c>
      <c r="N477" s="59" t="str">
        <f>IFERROR(Inv_SY!N479/Inv_SY!$Y479-1,"")</f>
        <v/>
      </c>
      <c r="O477" s="59" t="str">
        <f>IFERROR(Inv_SY!O479/Inv_SY!$Y479-1,"")</f>
        <v/>
      </c>
      <c r="P477" s="59" t="str">
        <f>IFERROR(Inv_SY!P479/Inv_SY!$Y479-1,"")</f>
        <v/>
      </c>
      <c r="Q477" s="59" t="str">
        <f>IFERROR(Inv_SY!Q479/Inv_SY!$Y479-1,"")</f>
        <v/>
      </c>
      <c r="R477" s="59" t="str">
        <f>IFERROR(Inv_SY!R479/Inv_SY!$Y479-1,"")</f>
        <v/>
      </c>
      <c r="S477" s="59" t="str">
        <f>IFERROR(Inv_SY!S479/Inv_SY!$Y479-1,"")</f>
        <v/>
      </c>
      <c r="T477" s="59" t="str">
        <f>IFERROR(Inv_SY!T479/Inv_SY!$Y479-1,"")</f>
        <v/>
      </c>
      <c r="U477" s="59" t="str">
        <f>IFERROR(Inv_SY!U479/Inv_SY!$Y479-1,"")</f>
        <v/>
      </c>
      <c r="V477" s="59" t="str">
        <f>IFERROR(Inv_SY!J479/Inv_SY!$Z479-1,"")</f>
        <v/>
      </c>
      <c r="W477" s="59" t="str">
        <f>IFERROR(Inv_SY!K479/Inv_SY!$Z479-1,"")</f>
        <v/>
      </c>
      <c r="X477" s="59" t="str">
        <f>IFERROR(Inv_SY!L479/Inv_SY!$Z479-1,"")</f>
        <v/>
      </c>
      <c r="Y477" s="59" t="str">
        <f>IFERROR(Inv_SY!M479/Inv_SY!$Z479-1,"")</f>
        <v/>
      </c>
      <c r="Z477" s="59" t="str">
        <f>IFERROR(Inv_SY!N479/Inv_SY!$Z479-1,"")</f>
        <v/>
      </c>
      <c r="AA477" s="59" t="str">
        <f>IFERROR(Inv_SY!O479/Inv_SY!$Z479-1,"")</f>
        <v/>
      </c>
      <c r="AB477" s="59" t="str">
        <f>IFERROR(Inv_SY!P479/Inv_SY!$Z479-1,"")</f>
        <v/>
      </c>
      <c r="AC477" s="59" t="str">
        <f>IFERROR(Inv_SY!Q479/Inv_SY!$Z479-1,"")</f>
        <v/>
      </c>
      <c r="AD477" s="59" t="str">
        <f>IFERROR(Inv_SY!R479/Inv_SY!$Z479-1,"")</f>
        <v/>
      </c>
      <c r="AE477" s="59" t="str">
        <f>IFERROR(Inv_SY!S479/Inv_SY!$Z479-1,"")</f>
        <v/>
      </c>
      <c r="AF477" s="59" t="str">
        <f>IFERROR(Inv_SY!T479/Inv_SY!$Z479-1,"")</f>
        <v/>
      </c>
      <c r="AG477" s="59" t="str">
        <f>IFERROR(Inv_SY!U479/Inv_SY!$Z479-1,"")</f>
        <v/>
      </c>
      <c r="AH477" s="59" t="str">
        <f>IFERROR(Inv_SY!V479/Inv_SY!$Y479-1,"")</f>
        <v/>
      </c>
      <c r="AI477" s="59" t="str">
        <f>IFERROR(Inv_SY!W479/Inv_SY!$Y479-1,"")</f>
        <v/>
      </c>
      <c r="AJ477" s="59" t="str">
        <f>IFERROR(Inv_SY!X479/Inv_SY!$Y479-1,"")</f>
        <v/>
      </c>
      <c r="AK477" s="59" t="str">
        <f>IFERROR(Inv_SY!V479/Inv_SY!$Z479-1,"")</f>
        <v/>
      </c>
      <c r="AL477" s="59" t="str">
        <f>IFERROR(Inv_SY!W479/Inv_SY!$Z479-1,"")</f>
        <v/>
      </c>
      <c r="AM477" s="59" t="str">
        <f>IFERROR(Inv_SY!X479/Inv_SY!$Z479-1,"")</f>
        <v/>
      </c>
    </row>
    <row r="478" spans="1:39" x14ac:dyDescent="0.3">
      <c r="A478" s="55">
        <f>YEAR(Table5[[#This Row],[Date]])+IF(MONTH(Table5[[#This Row],[Date]])&gt;=4,1,0)</f>
        <v>2027</v>
      </c>
      <c r="B478" s="55">
        <v>438</v>
      </c>
      <c r="C478" s="124">
        <f>YEAR(Table5[[#This Row],[Date]])</f>
        <v>2026</v>
      </c>
      <c r="D478" s="55" t="s">
        <v>329</v>
      </c>
      <c r="E478" s="55" t="s">
        <v>329</v>
      </c>
      <c r="F478" s="126" t="str">
        <f>TEXT(Table5[[#This Row],[Date]],"mmm-yy")</f>
        <v>Jul-26</v>
      </c>
      <c r="G478" s="124">
        <f t="shared" si="17"/>
        <v>31</v>
      </c>
      <c r="H478" s="125">
        <f t="shared" si="18"/>
        <v>46221</v>
      </c>
      <c r="I478" s="55">
        <v>8.02</v>
      </c>
      <c r="J478" s="59" t="str">
        <f>IFERROR(Inv_SY!J480/Inv_SY!$Y480-1,"")</f>
        <v/>
      </c>
      <c r="K478" s="59" t="str">
        <f>IFERROR(Inv_SY!K480/Inv_SY!$Y480-1,"")</f>
        <v/>
      </c>
      <c r="L478" s="59" t="str">
        <f>IFERROR(Inv_SY!L480/Inv_SY!$Y480-1,"")</f>
        <v/>
      </c>
      <c r="M478" s="59" t="str">
        <f>IFERROR(Inv_SY!M480/Inv_SY!$Y480-1,"")</f>
        <v/>
      </c>
      <c r="N478" s="59" t="str">
        <f>IFERROR(Inv_SY!N480/Inv_SY!$Y480-1,"")</f>
        <v/>
      </c>
      <c r="O478" s="59" t="str">
        <f>IFERROR(Inv_SY!O480/Inv_SY!$Y480-1,"")</f>
        <v/>
      </c>
      <c r="P478" s="59" t="str">
        <f>IFERROR(Inv_SY!P480/Inv_SY!$Y480-1,"")</f>
        <v/>
      </c>
      <c r="Q478" s="59" t="str">
        <f>IFERROR(Inv_SY!Q480/Inv_SY!$Y480-1,"")</f>
        <v/>
      </c>
      <c r="R478" s="59" t="str">
        <f>IFERROR(Inv_SY!R480/Inv_SY!$Y480-1,"")</f>
        <v/>
      </c>
      <c r="S478" s="59" t="str">
        <f>IFERROR(Inv_SY!S480/Inv_SY!$Y480-1,"")</f>
        <v/>
      </c>
      <c r="T478" s="59" t="str">
        <f>IFERROR(Inv_SY!T480/Inv_SY!$Y480-1,"")</f>
        <v/>
      </c>
      <c r="U478" s="59" t="str">
        <f>IFERROR(Inv_SY!U480/Inv_SY!$Y480-1,"")</f>
        <v/>
      </c>
      <c r="V478" s="59" t="str">
        <f>IFERROR(Inv_SY!J480/Inv_SY!$Z480-1,"")</f>
        <v/>
      </c>
      <c r="W478" s="59" t="str">
        <f>IFERROR(Inv_SY!K480/Inv_SY!$Z480-1,"")</f>
        <v/>
      </c>
      <c r="X478" s="59" t="str">
        <f>IFERROR(Inv_SY!L480/Inv_SY!$Z480-1,"")</f>
        <v/>
      </c>
      <c r="Y478" s="59" t="str">
        <f>IFERROR(Inv_SY!M480/Inv_SY!$Z480-1,"")</f>
        <v/>
      </c>
      <c r="Z478" s="59" t="str">
        <f>IFERROR(Inv_SY!N480/Inv_SY!$Z480-1,"")</f>
        <v/>
      </c>
      <c r="AA478" s="59" t="str">
        <f>IFERROR(Inv_SY!O480/Inv_SY!$Z480-1,"")</f>
        <v/>
      </c>
      <c r="AB478" s="59" t="str">
        <f>IFERROR(Inv_SY!P480/Inv_SY!$Z480-1,"")</f>
        <v/>
      </c>
      <c r="AC478" s="59" t="str">
        <f>IFERROR(Inv_SY!Q480/Inv_SY!$Z480-1,"")</f>
        <v/>
      </c>
      <c r="AD478" s="59" t="str">
        <f>IFERROR(Inv_SY!R480/Inv_SY!$Z480-1,"")</f>
        <v/>
      </c>
      <c r="AE478" s="59" t="str">
        <f>IFERROR(Inv_SY!S480/Inv_SY!$Z480-1,"")</f>
        <v/>
      </c>
      <c r="AF478" s="59" t="str">
        <f>IFERROR(Inv_SY!T480/Inv_SY!$Z480-1,"")</f>
        <v/>
      </c>
      <c r="AG478" s="59" t="str">
        <f>IFERROR(Inv_SY!U480/Inv_SY!$Z480-1,"")</f>
        <v/>
      </c>
      <c r="AH478" s="59" t="str">
        <f>IFERROR(Inv_SY!V480/Inv_SY!$Y480-1,"")</f>
        <v/>
      </c>
      <c r="AI478" s="59" t="str">
        <f>IFERROR(Inv_SY!W480/Inv_SY!$Y480-1,"")</f>
        <v/>
      </c>
      <c r="AJ478" s="59" t="str">
        <f>IFERROR(Inv_SY!X480/Inv_SY!$Y480-1,"")</f>
        <v/>
      </c>
      <c r="AK478" s="59" t="str">
        <f>IFERROR(Inv_SY!V480/Inv_SY!$Z480-1,"")</f>
        <v/>
      </c>
      <c r="AL478" s="59" t="str">
        <f>IFERROR(Inv_SY!W480/Inv_SY!$Z480-1,"")</f>
        <v/>
      </c>
      <c r="AM478" s="59" t="str">
        <f>IFERROR(Inv_SY!X480/Inv_SY!$Z480-1,"")</f>
        <v/>
      </c>
    </row>
  </sheetData>
  <phoneticPr fontId="16" type="noConversion"/>
  <conditionalFormatting sqref="J2:J47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U47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O47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U47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:AG478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:AH47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:AJ47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47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2:AJ47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2:AK47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2:AM478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2:AL47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2:AM47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ignoredErrors>
    <ignoredError sqref="H2 A2 J2:AM33" calculatedColumn="1"/>
  </ignoredError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AG219"/>
  <sheetViews>
    <sheetView zoomScale="85" zoomScaleNormal="85" workbookViewId="0">
      <pane xSplit="8" ySplit="3" topLeftCell="U203" activePane="bottomRight" state="frozen"/>
      <selection pane="topRight" activeCell="I1" sqref="I1"/>
      <selection pane="bottomLeft" activeCell="A4" sqref="A4"/>
      <selection pane="bottomRight" activeCell="AE219" sqref="AE219"/>
    </sheetView>
  </sheetViews>
  <sheetFormatPr defaultRowHeight="14.4" x14ac:dyDescent="0.3"/>
  <cols>
    <col min="1" max="1" width="9" style="2" customWidth="1"/>
    <col min="2" max="2" width="9.88671875" customWidth="1"/>
    <col min="3" max="7" width="9" customWidth="1"/>
    <col min="8" max="8" width="10" bestFit="1" customWidth="1"/>
    <col min="9" max="10" width="10.109375" customWidth="1"/>
    <col min="11" max="11" width="9.5546875" bestFit="1" customWidth="1"/>
    <col min="12" max="12" width="18.88671875" bestFit="1" customWidth="1"/>
    <col min="13" max="13" width="11.109375" customWidth="1"/>
    <col min="14" max="14" width="15.44140625" customWidth="1"/>
    <col min="15" max="15" width="15.88671875" customWidth="1"/>
    <col min="16" max="16" width="43.109375" customWidth="1"/>
    <col min="17" max="17" width="19.88671875" customWidth="1"/>
    <col min="18" max="18" width="44.33203125" customWidth="1"/>
    <col min="19" max="19" width="11" bestFit="1" customWidth="1"/>
    <col min="20" max="20" width="10" bestFit="1" customWidth="1"/>
    <col min="21" max="21" width="11" customWidth="1"/>
    <col min="22" max="22" width="13.109375" style="2" bestFit="1" customWidth="1"/>
    <col min="23" max="23" width="10.33203125" style="2" customWidth="1"/>
    <col min="24" max="24" width="12.88671875" style="2" bestFit="1" customWidth="1"/>
    <col min="25" max="25" width="10.109375" style="2" customWidth="1"/>
    <col min="26" max="26" width="16.6640625" style="2" bestFit="1" customWidth="1"/>
    <col min="27" max="28" width="9.88671875" style="2" customWidth="1"/>
    <col min="29" max="29" width="14.6640625" style="2" bestFit="1" customWidth="1"/>
    <col min="30" max="30" width="13.33203125" style="2" customWidth="1"/>
  </cols>
  <sheetData>
    <row r="3" spans="1:33" ht="36" x14ac:dyDescent="0.3">
      <c r="A3" s="8" t="s">
        <v>58</v>
      </c>
      <c r="B3" s="8" t="s">
        <v>52</v>
      </c>
      <c r="C3" s="8" t="s">
        <v>53</v>
      </c>
      <c r="D3" s="8" t="s">
        <v>54</v>
      </c>
      <c r="E3" s="8" t="s">
        <v>57</v>
      </c>
      <c r="F3" s="8" t="s">
        <v>40</v>
      </c>
      <c r="G3" s="8" t="s">
        <v>55</v>
      </c>
      <c r="H3" s="9" t="s">
        <v>41</v>
      </c>
      <c r="I3" s="16" t="s">
        <v>42</v>
      </c>
      <c r="J3" s="16" t="s">
        <v>43</v>
      </c>
      <c r="K3" s="8" t="s">
        <v>109</v>
      </c>
      <c r="L3" s="8" t="s">
        <v>59</v>
      </c>
      <c r="M3" s="8" t="s">
        <v>82</v>
      </c>
      <c r="N3" s="8" t="s">
        <v>79</v>
      </c>
      <c r="O3" s="8" t="s">
        <v>60</v>
      </c>
      <c r="P3" s="8" t="s">
        <v>61</v>
      </c>
      <c r="Q3" s="8" t="s">
        <v>62</v>
      </c>
      <c r="R3" s="8" t="s">
        <v>70</v>
      </c>
      <c r="S3" s="8" t="s">
        <v>63</v>
      </c>
      <c r="T3" s="8" t="s">
        <v>64</v>
      </c>
      <c r="U3" s="8" t="s">
        <v>65</v>
      </c>
      <c r="V3" s="8" t="s">
        <v>66</v>
      </c>
      <c r="W3" s="8" t="s">
        <v>68</v>
      </c>
      <c r="X3" s="8" t="s">
        <v>67</v>
      </c>
      <c r="Y3" s="8" t="s">
        <v>69</v>
      </c>
      <c r="Z3" s="8" t="s">
        <v>108</v>
      </c>
      <c r="AA3" s="8" t="s">
        <v>71</v>
      </c>
      <c r="AB3" s="8" t="s">
        <v>72</v>
      </c>
      <c r="AC3" s="8" t="s">
        <v>110</v>
      </c>
      <c r="AD3" s="8" t="s">
        <v>178</v>
      </c>
      <c r="AE3" s="8" t="s">
        <v>73</v>
      </c>
      <c r="AF3" s="182" t="s">
        <v>1190</v>
      </c>
      <c r="AG3" s="182" t="s">
        <v>1191</v>
      </c>
    </row>
    <row r="4" spans="1:33" x14ac:dyDescent="0.3">
      <c r="A4" s="67">
        <v>1</v>
      </c>
      <c r="B4" s="75">
        <f>YEAR(Table1[[#This Row],[Date]])+IF(MONTH(Table1[[#This Row],[Date]])&gt;=4,1,0)</f>
        <v>2025</v>
      </c>
      <c r="C4" s="74">
        <f>YEAR(Table1[[#This Row],[Date]])</f>
        <v>2025</v>
      </c>
      <c r="D4" s="74" t="s">
        <v>1082</v>
      </c>
      <c r="E4" s="74" t="s">
        <v>1082</v>
      </c>
      <c r="F4" s="181">
        <f>Table1[[#This Row],[Date]]-DAY(Table1[[#This Row],[Date]])+1</f>
        <v>45717</v>
      </c>
      <c r="G4">
        <f>DAY(EOMONTH(Table1[[#This Row],[Month Year]],0))</f>
        <v>31</v>
      </c>
      <c r="H4" s="104">
        <v>45745</v>
      </c>
      <c r="I4" s="76">
        <f>IFERROR(VLOOKUP(Table1[[#This Row],[Date]],Table3[[Date]:[Sunset Time (POA&lt;20 W/m2)]],3,0),"")</f>
        <v>0.2638888888888889</v>
      </c>
      <c r="J4" s="76">
        <f>IFERROR(VLOOKUP(Table1[[#This Row],[Date]],Table3[[Date]:[Sunset Time (POA&lt;20 W/m2)]],4,0),"")</f>
        <v>0.76736111111111116</v>
      </c>
      <c r="K4" s="77">
        <f>IFERROR((Table1[[#This Row],[Sunset Time (POA&lt;20 W/m2)]]-Table1[[#This Row],[Sunrise Time (POA&gt;20 W/m2)]])*24,"")</f>
        <v>12.083333333333336</v>
      </c>
      <c r="L4" s="108" t="s">
        <v>231</v>
      </c>
      <c r="M4" s="91">
        <f>VLOOKUP(Table1[[#This Row],[Affceted Equipment]],'Basic Data'!$A$2:$C$818,2,0)</f>
        <v>669.6</v>
      </c>
      <c r="N4" s="93">
        <f>IFERROR(VLOOKUP(Table1[[#This Row],[Affceted Equipment]],'Basic Data'!$A$2:$C$818,3,0),"")</f>
        <v>8.348190352703562E-2</v>
      </c>
      <c r="O4" s="118" t="s">
        <v>323</v>
      </c>
      <c r="P4" s="94" t="s">
        <v>1088</v>
      </c>
      <c r="Q4" s="94"/>
      <c r="R4" s="94" t="s">
        <v>1088</v>
      </c>
      <c r="S4" s="92">
        <v>0.2638888888888889</v>
      </c>
      <c r="T4" s="119"/>
      <c r="U4" s="119"/>
      <c r="V4" s="92">
        <v>0.41249999999999998</v>
      </c>
      <c r="W4" s="89">
        <f>IF(Table1[[#This Row],[Acknowledgemnet Time ]]="NA","",(Table1[[#This Row],[Acknowledgemnet Time ]]-Table1[[#This Row],[Fault Time]])*24)</f>
        <v>-6.3333333333333339</v>
      </c>
      <c r="X4" s="89">
        <f>IF(Table1[[#This Row],[Work Start time on Fault]]="NA","",(Table1[[#This Row],[Work Start time on Fault]]-Table1[[#This Row],[Fault Time]])*24)</f>
        <v>-6.3333333333333339</v>
      </c>
      <c r="Y4" s="52">
        <f>(Table1[[#This Row],[Work Completiuon time on fualt]]-Table1[[#This Row],[Fault Time]])*24</f>
        <v>3.566666666666666</v>
      </c>
      <c r="Z4" s="52">
        <f>IFERROR((Table1[[#This Row],[Work Completiuon time on fualt]]-Table1[[#This Row],[Fault Time]])*24,"")</f>
        <v>3.566666666666666</v>
      </c>
      <c r="AA4" s="2" t="s">
        <v>1084</v>
      </c>
      <c r="AB4" s="2" t="s">
        <v>1080</v>
      </c>
      <c r="AC4" s="90">
        <f>IFERROR(Table1[[#This Row],[Breakdown Time]]*Table1[[#This Row],[Plant Equivalent Weightage]],"")</f>
        <v>0.2977521225797603</v>
      </c>
      <c r="AD4" s="2">
        <v>0.94</v>
      </c>
      <c r="AE4" s="89">
        <f>_xlfn.XLOOKUP($F4,'Modelling New'!$D:$D,'Modelling New'!$O:$O)*Table1[[#This Row],[Lost PoA(Wh/m2)]]*Table1[[#This Row],[DC Capacity Affceted (kW)]]</f>
        <v>449.12657874418562</v>
      </c>
      <c r="AF4" s="2"/>
      <c r="AG4" s="2"/>
    </row>
    <row r="5" spans="1:33" x14ac:dyDescent="0.3">
      <c r="A5" s="67">
        <f>A4+1</f>
        <v>2</v>
      </c>
      <c r="B5" s="75">
        <f>YEAR(Table1[[#This Row],[Date]])+IF(MONTH(Table1[[#This Row],[Date]])&gt;=4,1,0)</f>
        <v>2025</v>
      </c>
      <c r="C5" s="74">
        <f>YEAR(Table1[[#This Row],[Date]])</f>
        <v>2025</v>
      </c>
      <c r="D5" s="74" t="s">
        <v>1082</v>
      </c>
      <c r="E5" s="74" t="s">
        <v>1082</v>
      </c>
      <c r="F5" s="181">
        <f>Table1[[#This Row],[Date]]-DAY(Table1[[#This Row],[Date]])+1</f>
        <v>45717</v>
      </c>
      <c r="G5">
        <f>DAY(EOMONTH(Table1[[#This Row],[Month Year]],0))</f>
        <v>31</v>
      </c>
      <c r="H5" s="104">
        <v>45745</v>
      </c>
      <c r="I5" s="76">
        <f>IFERROR(VLOOKUP(Table1[[#This Row],[Date]],Table3[[Date]:[Sunset Time (POA&lt;20 W/m2)]],3,0),"")</f>
        <v>0.2638888888888889</v>
      </c>
      <c r="J5" s="76">
        <f>IFERROR(VLOOKUP(Table1[[#This Row],[Date]],Table3[[Date]:[Sunset Time (POA&lt;20 W/m2)]],4,0),"")</f>
        <v>0.76736111111111116</v>
      </c>
      <c r="K5" s="77">
        <f>IFERROR((Table1[[#This Row],[Sunset Time (POA&lt;20 W/m2)]]-Table1[[#This Row],[Sunrise Time (POA&gt;20 W/m2)]])*24,"")</f>
        <v>12.083333333333336</v>
      </c>
      <c r="L5" s="108" t="s">
        <v>238</v>
      </c>
      <c r="M5" s="91">
        <f>VLOOKUP(Table1[[#This Row],[Affceted Equipment]],'Basic Data'!$A$2:$C$818,2,0)</f>
        <v>658.8</v>
      </c>
      <c r="N5" s="93">
        <f>IFERROR(VLOOKUP(Table1[[#This Row],[Affceted Equipment]],'Basic Data'!$A$2:$C$818,3,0),"")</f>
        <v>8.2135421212083434E-2</v>
      </c>
      <c r="O5" s="118" t="s">
        <v>303</v>
      </c>
      <c r="P5" s="94" t="s">
        <v>1087</v>
      </c>
      <c r="Q5" s="94"/>
      <c r="R5" s="94" t="s">
        <v>1087</v>
      </c>
      <c r="S5" s="92">
        <v>0.2638888888888889</v>
      </c>
      <c r="T5" s="119"/>
      <c r="U5" s="119"/>
      <c r="V5" s="92">
        <v>0.76736111111111116</v>
      </c>
      <c r="W5" s="89">
        <f>IF(Table1[[#This Row],[Acknowledgemnet Time ]]="NA","",(Table1[[#This Row],[Acknowledgemnet Time ]]-Table1[[#This Row],[Fault Time]])*24)</f>
        <v>-6.3333333333333339</v>
      </c>
      <c r="X5" s="89">
        <f>IF(Table1[[#This Row],[Work Start time on Fault]]="NA","",(Table1[[#This Row],[Work Start time on Fault]]-Table1[[#This Row],[Fault Time]])*24)</f>
        <v>-6.3333333333333339</v>
      </c>
      <c r="Y5" s="52">
        <f>(Table1[[#This Row],[Work Completiuon time on fualt]]-Table1[[#This Row],[Fault Time]])*24</f>
        <v>12.083333333333336</v>
      </c>
      <c r="Z5" s="52">
        <f>IFERROR((Table1[[#This Row],[Work Completiuon time on fualt]]-Table1[[#This Row],[Fault Time]])*24,"")</f>
        <v>12.083333333333336</v>
      </c>
      <c r="AA5" s="2" t="s">
        <v>1084</v>
      </c>
      <c r="AB5" s="2" t="s">
        <v>1080</v>
      </c>
      <c r="AC5" s="90">
        <f>IFERROR(Table1[[#This Row],[Breakdown Time]]*Table1[[#This Row],[Plant Equivalent Weightage]],"")</f>
        <v>0.99246967297934174</v>
      </c>
      <c r="AD5" s="2">
        <v>5.53</v>
      </c>
      <c r="AE5" s="89">
        <f>_xlfn.XLOOKUP($F5,'Modelling New'!$D:$D,'Modelling New'!$O:$O)*Table1[[#This Row],[Lost PoA(Wh/m2)]]*Table1[[#This Row],[DC Capacity Affceted (kW)]]</f>
        <v>2599.5859438533998</v>
      </c>
      <c r="AF5" s="2"/>
      <c r="AG5" s="2"/>
    </row>
    <row r="6" spans="1:33" x14ac:dyDescent="0.3">
      <c r="A6" s="67">
        <f t="shared" ref="A6:A69" si="0">A5+1</f>
        <v>3</v>
      </c>
      <c r="B6" s="75">
        <f>YEAR(Table1[[#This Row],[Date]])+IF(MONTH(Table1[[#This Row],[Date]])&gt;=4,1,0)</f>
        <v>2025</v>
      </c>
      <c r="C6" s="74">
        <f>YEAR(Table1[[#This Row],[Date]])</f>
        <v>2025</v>
      </c>
      <c r="D6" s="74" t="s">
        <v>1082</v>
      </c>
      <c r="E6" s="74" t="s">
        <v>1082</v>
      </c>
      <c r="F6" s="181">
        <f>Table1[[#This Row],[Date]]-DAY(Table1[[#This Row],[Date]])+1</f>
        <v>45717</v>
      </c>
      <c r="G6">
        <f>DAY(EOMONTH(Table1[[#This Row],[Month Year]],0))</f>
        <v>31</v>
      </c>
      <c r="H6" s="104">
        <v>45745</v>
      </c>
      <c r="I6" s="76">
        <f>IFERROR(VLOOKUP(Table1[[#This Row],[Date]],Table3[[Date]:[Sunset Time (POA&lt;20 W/m2)]],3,0),"")</f>
        <v>0.2638888888888889</v>
      </c>
      <c r="J6" s="76">
        <f>IFERROR(VLOOKUP(Table1[[#This Row],[Date]],Table3[[Date]:[Sunset Time (POA&lt;20 W/m2)]],4,0),"")</f>
        <v>0.76736111111111116</v>
      </c>
      <c r="K6" s="77">
        <f>IFERROR((Table1[[#This Row],[Sunset Time (POA&lt;20 W/m2)]]-Table1[[#This Row],[Sunrise Time (POA&gt;20 W/m2)]])*24,"")</f>
        <v>12.083333333333336</v>
      </c>
      <c r="L6" s="108" t="s">
        <v>180</v>
      </c>
      <c r="M6" s="91">
        <f>VLOOKUP(Table1[[#This Row],[Affceted Equipment]],'Basic Data'!$A$2:$C$818,2,0)</f>
        <v>2694.6</v>
      </c>
      <c r="N6" s="93">
        <f>IFERROR(VLOOKUP(Table1[[#This Row],[Affceted Equipment]],'Basic Data'!$A$2:$C$818,3,0),"")</f>
        <v>0.33594733758057077</v>
      </c>
      <c r="O6" s="118" t="s">
        <v>323</v>
      </c>
      <c r="P6" s="94" t="s">
        <v>1085</v>
      </c>
      <c r="Q6" s="94"/>
      <c r="R6" s="94" t="s">
        <v>1089</v>
      </c>
      <c r="S6" s="92">
        <v>0.41249999999999998</v>
      </c>
      <c r="T6" s="119"/>
      <c r="U6" s="119"/>
      <c r="V6" s="92">
        <v>0.41736111111111113</v>
      </c>
      <c r="W6" s="89">
        <f>IF(Table1[[#This Row],[Acknowledgemnet Time ]]="NA","",(Table1[[#This Row],[Acknowledgemnet Time ]]-Table1[[#This Row],[Fault Time]])*24)</f>
        <v>-9.8999999999999986</v>
      </c>
      <c r="X6" s="89">
        <f>IF(Table1[[#This Row],[Work Start time on Fault]]="NA","",(Table1[[#This Row],[Work Start time on Fault]]-Table1[[#This Row],[Fault Time]])*24)</f>
        <v>-9.8999999999999986</v>
      </c>
      <c r="Y6" s="52">
        <f>(Table1[[#This Row],[Work Completiuon time on fualt]]-Table1[[#This Row],[Fault Time]])*24</f>
        <v>0.11666666666666758</v>
      </c>
      <c r="Z6" s="52">
        <f>IFERROR((Table1[[#This Row],[Work Completiuon time on fualt]]-Table1[[#This Row],[Fault Time]])*24,"")</f>
        <v>0.11666666666666758</v>
      </c>
      <c r="AA6" s="2" t="s">
        <v>1086</v>
      </c>
      <c r="AB6" s="2" t="s">
        <v>1081</v>
      </c>
      <c r="AC6" s="90">
        <f>IFERROR(Table1[[#This Row],[Breakdown Time]]*Table1[[#This Row],[Plant Equivalent Weightage]],"")</f>
        <v>3.91938560510669E-2</v>
      </c>
      <c r="AD6" s="2">
        <v>0.08</v>
      </c>
      <c r="AE6" s="89">
        <f>_xlfn.XLOOKUP($F6,'Modelling New'!$D:$D,'Modelling New'!$O:$O)*Table1[[#This Row],[Lost PoA(Wh/m2)]]*Table1[[#This Row],[DC Capacity Affceted (kW)]]</f>
        <v>153.81891749715075</v>
      </c>
      <c r="AF6" s="2"/>
      <c r="AG6" s="2"/>
    </row>
    <row r="7" spans="1:33" x14ac:dyDescent="0.3">
      <c r="A7" s="67">
        <f t="shared" si="0"/>
        <v>4</v>
      </c>
      <c r="B7" s="75">
        <f>YEAR(Table1[[#This Row],[Date]])+IF(MONTH(Table1[[#This Row],[Date]])&gt;=4,1,0)</f>
        <v>2025</v>
      </c>
      <c r="C7" s="74">
        <f>YEAR(Table1[[#This Row],[Date]])</f>
        <v>2025</v>
      </c>
      <c r="D7" s="74" t="s">
        <v>1082</v>
      </c>
      <c r="E7" s="74" t="s">
        <v>1082</v>
      </c>
      <c r="F7" s="181">
        <f>Table1[[#This Row],[Date]]-DAY(Table1[[#This Row],[Date]])+1</f>
        <v>45717</v>
      </c>
      <c r="G7">
        <f>DAY(EOMONTH(Table1[[#This Row],[Month Year]],0))</f>
        <v>31</v>
      </c>
      <c r="H7" s="104">
        <v>45745</v>
      </c>
      <c r="I7" s="76">
        <f>IFERROR(VLOOKUP(Table1[[#This Row],[Date]],Table3[[Date]:[Sunset Time (POA&lt;20 W/m2)]],3,0),"")</f>
        <v>0.2638888888888889</v>
      </c>
      <c r="J7" s="76">
        <f>IFERROR(VLOOKUP(Table1[[#This Row],[Date]],Table3[[Date]:[Sunset Time (POA&lt;20 W/m2)]],4,0),"")</f>
        <v>0.76736111111111116</v>
      </c>
      <c r="K7" s="77">
        <f>IFERROR((Table1[[#This Row],[Sunset Time (POA&lt;20 W/m2)]]-Table1[[#This Row],[Sunrise Time (POA&gt;20 W/m2)]])*24,"")</f>
        <v>12.083333333333336</v>
      </c>
      <c r="L7" s="108" t="s">
        <v>231</v>
      </c>
      <c r="M7" s="91">
        <f>VLOOKUP(Table1[[#This Row],[Affceted Equipment]],'Basic Data'!$A$2:$C$818,2,0)</f>
        <v>669.6</v>
      </c>
      <c r="N7" s="93">
        <f>IFERROR(VLOOKUP(Table1[[#This Row],[Affceted Equipment]],'Basic Data'!$A$2:$C$818,3,0),"")</f>
        <v>8.348190352703562E-2</v>
      </c>
      <c r="O7" s="118" t="s">
        <v>323</v>
      </c>
      <c r="P7" s="94" t="s">
        <v>1088</v>
      </c>
      <c r="Q7" s="94"/>
      <c r="R7" s="94" t="s">
        <v>1088</v>
      </c>
      <c r="S7" s="92">
        <v>0.41736111111111113</v>
      </c>
      <c r="T7" s="119"/>
      <c r="U7" s="119"/>
      <c r="V7" s="92">
        <v>0.42708333333333331</v>
      </c>
      <c r="W7" s="89">
        <f>IF(Table1[[#This Row],[Acknowledgemnet Time ]]="NA","",(Table1[[#This Row],[Acknowledgemnet Time ]]-Table1[[#This Row],[Fault Time]])*24)</f>
        <v>-10.016666666666667</v>
      </c>
      <c r="X7" s="89">
        <f>IF(Table1[[#This Row],[Work Start time on Fault]]="NA","",(Table1[[#This Row],[Work Start time on Fault]]-Table1[[#This Row],[Fault Time]])*24)</f>
        <v>-10.016666666666667</v>
      </c>
      <c r="Y7" s="52">
        <f>(Table1[[#This Row],[Work Completiuon time on fualt]]-Table1[[#This Row],[Fault Time]])*24</f>
        <v>0.2333333333333325</v>
      </c>
      <c r="Z7" s="52">
        <f>IFERROR((Table1[[#This Row],[Work Completiuon time on fualt]]-Table1[[#This Row],[Fault Time]])*24,"")</f>
        <v>0.2333333333333325</v>
      </c>
      <c r="AA7" s="2" t="s">
        <v>1084</v>
      </c>
      <c r="AB7" s="2" t="s">
        <v>1080</v>
      </c>
      <c r="AC7" s="90">
        <f>IFERROR(Table1[[#This Row],[Breakdown Time]]*Table1[[#This Row],[Plant Equivalent Weightage]],"")</f>
        <v>1.9479110822974908E-2</v>
      </c>
      <c r="AD7" s="2">
        <v>0.16</v>
      </c>
      <c r="AE7" s="89">
        <f>_xlfn.XLOOKUP($F7,'Modelling New'!$D:$D,'Modelling New'!$O:$O)*Table1[[#This Row],[Lost PoA(Wh/m2)]]*Table1[[#This Row],[DC Capacity Affceted (kW)]]</f>
        <v>76.44707723305288</v>
      </c>
      <c r="AF7" s="2"/>
      <c r="AG7" s="2"/>
    </row>
    <row r="8" spans="1:33" x14ac:dyDescent="0.3">
      <c r="A8" s="67">
        <f t="shared" si="0"/>
        <v>5</v>
      </c>
      <c r="B8" s="75">
        <f>YEAR(Table1[[#This Row],[Date]])+IF(MONTH(Table1[[#This Row],[Date]])&gt;=4,1,0)</f>
        <v>2025</v>
      </c>
      <c r="C8" s="74">
        <f>YEAR(Table1[[#This Row],[Date]])</f>
        <v>2025</v>
      </c>
      <c r="D8" s="74" t="s">
        <v>1082</v>
      </c>
      <c r="E8" s="74" t="s">
        <v>1082</v>
      </c>
      <c r="F8" s="181">
        <f>Table1[[#This Row],[Date]]-DAY(Table1[[#This Row],[Date]])+1</f>
        <v>45717</v>
      </c>
      <c r="G8">
        <f>DAY(EOMONTH(Table1[[#This Row],[Month Year]],0))</f>
        <v>31</v>
      </c>
      <c r="H8" s="104">
        <v>45745</v>
      </c>
      <c r="I8" s="76">
        <f>IFERROR(VLOOKUP(Table1[[#This Row],[Date]],Table3[[Date]:[Sunset Time (POA&lt;20 W/m2)]],3,0),"")</f>
        <v>0.2638888888888889</v>
      </c>
      <c r="J8" s="76">
        <f>IFERROR(VLOOKUP(Table1[[#This Row],[Date]],Table3[[Date]:[Sunset Time (POA&lt;20 W/m2)]],4,0),"")</f>
        <v>0.76736111111111116</v>
      </c>
      <c r="K8" s="77">
        <f>IFERROR((Table1[[#This Row],[Sunset Time (POA&lt;20 W/m2)]]-Table1[[#This Row],[Sunrise Time (POA&gt;20 W/m2)]])*24,"")</f>
        <v>12.083333333333336</v>
      </c>
      <c r="L8" s="108" t="s">
        <v>180</v>
      </c>
      <c r="M8" s="91">
        <f>VLOOKUP(Table1[[#This Row],[Affceted Equipment]],'Basic Data'!$A$2:$C$818,2,0)</f>
        <v>2694.6</v>
      </c>
      <c r="N8" s="93">
        <f>IFERROR(VLOOKUP(Table1[[#This Row],[Affceted Equipment]],'Basic Data'!$A$2:$C$818,3,0),"")</f>
        <v>0.33594733758057077</v>
      </c>
      <c r="O8" s="118" t="s">
        <v>323</v>
      </c>
      <c r="P8" s="94" t="s">
        <v>1085</v>
      </c>
      <c r="Q8" s="94"/>
      <c r="R8" s="94" t="s">
        <v>1089</v>
      </c>
      <c r="S8" s="92">
        <v>0.42708333333333331</v>
      </c>
      <c r="T8" s="119"/>
      <c r="U8" s="119"/>
      <c r="V8" s="92">
        <v>0.43125000000000002</v>
      </c>
      <c r="W8" s="89">
        <f>IF(Table1[[#This Row],[Acknowledgemnet Time ]]="NA","",(Table1[[#This Row],[Acknowledgemnet Time ]]-Table1[[#This Row],[Fault Time]])*24)</f>
        <v>-10.25</v>
      </c>
      <c r="X8" s="89">
        <f>IF(Table1[[#This Row],[Work Start time on Fault]]="NA","",(Table1[[#This Row],[Work Start time on Fault]]-Table1[[#This Row],[Fault Time]])*24)</f>
        <v>-10.25</v>
      </c>
      <c r="Y8" s="52">
        <f>(Table1[[#This Row],[Work Completiuon time on fualt]]-Table1[[#This Row],[Fault Time]])*24</f>
        <v>0.10000000000000098</v>
      </c>
      <c r="Z8" s="52">
        <f>IFERROR((Table1[[#This Row],[Work Completiuon time on fualt]]-Table1[[#This Row],[Fault Time]])*24,"")</f>
        <v>0.10000000000000098</v>
      </c>
      <c r="AA8" s="2" t="s">
        <v>1086</v>
      </c>
      <c r="AB8" s="2" t="s">
        <v>1081</v>
      </c>
      <c r="AC8" s="90">
        <f>IFERROR(Table1[[#This Row],[Breakdown Time]]*Table1[[#This Row],[Plant Equivalent Weightage]],"")</f>
        <v>3.3594733758057403E-2</v>
      </c>
      <c r="AD8" s="2">
        <v>0.08</v>
      </c>
      <c r="AE8" s="89">
        <f>_xlfn.XLOOKUP($F8,'Modelling New'!$D:$D,'Modelling New'!$O:$O)*Table1[[#This Row],[Lost PoA(Wh/m2)]]*Table1[[#This Row],[DC Capacity Affceted (kW)]]</f>
        <v>153.81891749715075</v>
      </c>
      <c r="AF8" s="2"/>
      <c r="AG8" s="2"/>
    </row>
    <row r="9" spans="1:33" x14ac:dyDescent="0.3">
      <c r="A9" s="67">
        <f t="shared" si="0"/>
        <v>6</v>
      </c>
      <c r="B9" s="75">
        <f>YEAR(Table1[[#This Row],[Date]])+IF(MONTH(Table1[[#This Row],[Date]])&gt;=4,1,0)</f>
        <v>2025</v>
      </c>
      <c r="C9" s="74">
        <f>YEAR(Table1[[#This Row],[Date]])</f>
        <v>2025</v>
      </c>
      <c r="D9" s="74" t="s">
        <v>1082</v>
      </c>
      <c r="E9" s="74" t="s">
        <v>1082</v>
      </c>
      <c r="F9" s="181">
        <f>Table1[[#This Row],[Date]]-DAY(Table1[[#This Row],[Date]])+1</f>
        <v>45717</v>
      </c>
      <c r="G9">
        <f>DAY(EOMONTH(Table1[[#This Row],[Month Year]],0))</f>
        <v>31</v>
      </c>
      <c r="H9" s="104">
        <v>45745</v>
      </c>
      <c r="I9" s="76">
        <f>IFERROR(VLOOKUP(Table1[[#This Row],[Date]],Table3[[Date]:[Sunset Time (POA&lt;20 W/m2)]],3,0),"")</f>
        <v>0.2638888888888889</v>
      </c>
      <c r="J9" s="76">
        <f>IFERROR(VLOOKUP(Table1[[#This Row],[Date]],Table3[[Date]:[Sunset Time (POA&lt;20 W/m2)]],4,0),"")</f>
        <v>0.76736111111111116</v>
      </c>
      <c r="K9" s="77">
        <f>IFERROR((Table1[[#This Row],[Sunset Time (POA&lt;20 W/m2)]]-Table1[[#This Row],[Sunrise Time (POA&gt;20 W/m2)]])*24,"")</f>
        <v>12.083333333333336</v>
      </c>
      <c r="L9" s="108" t="s">
        <v>231</v>
      </c>
      <c r="M9" s="91">
        <f>VLOOKUP(Table1[[#This Row],[Affceted Equipment]],'Basic Data'!$A$2:$C$818,2,0)</f>
        <v>669.6</v>
      </c>
      <c r="N9" s="93">
        <f>IFERROR(VLOOKUP(Table1[[#This Row],[Affceted Equipment]],'Basic Data'!$A$2:$C$818,3,0),"")</f>
        <v>8.348190352703562E-2</v>
      </c>
      <c r="O9" s="118" t="s">
        <v>323</v>
      </c>
      <c r="P9" s="94" t="s">
        <v>1088</v>
      </c>
      <c r="Q9" s="94"/>
      <c r="R9" s="94" t="s">
        <v>1088</v>
      </c>
      <c r="S9" s="92">
        <v>0.43125000000000002</v>
      </c>
      <c r="T9" s="119"/>
      <c r="U9" s="119"/>
      <c r="V9" s="92">
        <v>0.52986111111111112</v>
      </c>
      <c r="W9" s="89">
        <f>IF(Table1[[#This Row],[Acknowledgemnet Time ]]="NA","",(Table1[[#This Row],[Acknowledgemnet Time ]]-Table1[[#This Row],[Fault Time]])*24)</f>
        <v>-10.350000000000001</v>
      </c>
      <c r="X9" s="89">
        <f>IF(Table1[[#This Row],[Work Start time on Fault]]="NA","",(Table1[[#This Row],[Work Start time on Fault]]-Table1[[#This Row],[Fault Time]])*24)</f>
        <v>-10.350000000000001</v>
      </c>
      <c r="Y9" s="52">
        <f>(Table1[[#This Row],[Work Completiuon time on fualt]]-Table1[[#This Row],[Fault Time]])*24</f>
        <v>2.3666666666666663</v>
      </c>
      <c r="Z9" s="52">
        <f>IFERROR((Table1[[#This Row],[Work Completiuon time on fualt]]-Table1[[#This Row],[Fault Time]])*24,"")</f>
        <v>2.3666666666666663</v>
      </c>
      <c r="AA9" s="2" t="s">
        <v>1084</v>
      </c>
      <c r="AB9" s="2" t="s">
        <v>1080</v>
      </c>
      <c r="AC9" s="90">
        <f>IFERROR(Table1[[#This Row],[Breakdown Time]]*Table1[[#This Row],[Plant Equivalent Weightage]],"")</f>
        <v>0.19757383834731759</v>
      </c>
      <c r="AD9" s="2">
        <v>1.99</v>
      </c>
      <c r="AE9" s="89">
        <f>_xlfn.XLOOKUP($F9,'Modelling New'!$D:$D,'Modelling New'!$O:$O)*Table1[[#This Row],[Lost PoA(Wh/m2)]]*Table1[[#This Row],[DC Capacity Affceted (kW)]]</f>
        <v>950.81052308609515</v>
      </c>
      <c r="AF9" s="2"/>
      <c r="AG9" s="2"/>
    </row>
    <row r="10" spans="1:33" x14ac:dyDescent="0.3">
      <c r="A10" s="67">
        <f t="shared" si="0"/>
        <v>7</v>
      </c>
      <c r="B10" s="75">
        <f>YEAR(Table1[[#This Row],[Date]])+IF(MONTH(Table1[[#This Row],[Date]])&gt;=4,1,0)</f>
        <v>2025</v>
      </c>
      <c r="C10" s="74">
        <f>YEAR(Table1[[#This Row],[Date]])</f>
        <v>2025</v>
      </c>
      <c r="D10" s="74" t="s">
        <v>1082</v>
      </c>
      <c r="E10" s="74" t="s">
        <v>1082</v>
      </c>
      <c r="F10" s="181">
        <f>Table1[[#This Row],[Date]]-DAY(Table1[[#This Row],[Date]])+1</f>
        <v>45717</v>
      </c>
      <c r="G10">
        <f>DAY(EOMONTH(Table1[[#This Row],[Month Year]],0))</f>
        <v>31</v>
      </c>
      <c r="H10" s="104">
        <v>45745</v>
      </c>
      <c r="I10" s="76">
        <f>IFERROR(VLOOKUP(Table1[[#This Row],[Date]],Table3[[Date]:[Sunset Time (POA&lt;20 W/m2)]],3,0),"")</f>
        <v>0.2638888888888889</v>
      </c>
      <c r="J10" s="76">
        <f>IFERROR(VLOOKUP(Table1[[#This Row],[Date]],Table3[[Date]:[Sunset Time (POA&lt;20 W/m2)]],4,0),"")</f>
        <v>0.76736111111111116</v>
      </c>
      <c r="K10" s="77">
        <f>IFERROR((Table1[[#This Row],[Sunset Time (POA&lt;20 W/m2)]]-Table1[[#This Row],[Sunrise Time (POA&gt;20 W/m2)]])*24,"")</f>
        <v>12.083333333333336</v>
      </c>
      <c r="L10" s="108" t="s">
        <v>232</v>
      </c>
      <c r="M10" s="91">
        <f>VLOOKUP(Table1[[#This Row],[Affceted Equipment]],'Basic Data'!$A$2:$C$818,2,0)</f>
        <v>669.6</v>
      </c>
      <c r="N10" s="93">
        <f>IFERROR(VLOOKUP(Table1[[#This Row],[Affceted Equipment]],'Basic Data'!$A$2:$C$818,3,0),"")</f>
        <v>8.348190352703562E-2</v>
      </c>
      <c r="O10" s="118" t="s">
        <v>323</v>
      </c>
      <c r="P10" s="94" t="s">
        <v>1090</v>
      </c>
      <c r="Q10" s="94"/>
      <c r="R10" s="94" t="s">
        <v>1090</v>
      </c>
      <c r="S10" s="92">
        <v>0.43125000000000002</v>
      </c>
      <c r="T10" s="119"/>
      <c r="U10" s="119"/>
      <c r="V10" s="92">
        <v>0.52986111111111112</v>
      </c>
      <c r="W10" s="89">
        <f>IF(Table1[[#This Row],[Acknowledgemnet Time ]]="NA","",(Table1[[#This Row],[Acknowledgemnet Time ]]-Table1[[#This Row],[Fault Time]])*24)</f>
        <v>-10.350000000000001</v>
      </c>
      <c r="X10" s="89">
        <f>IF(Table1[[#This Row],[Work Start time on Fault]]="NA","",(Table1[[#This Row],[Work Start time on Fault]]-Table1[[#This Row],[Fault Time]])*24)</f>
        <v>-10.350000000000001</v>
      </c>
      <c r="Y10" s="52">
        <f>(Table1[[#This Row],[Work Completiuon time on fualt]]-Table1[[#This Row],[Fault Time]])*24</f>
        <v>2.3666666666666663</v>
      </c>
      <c r="Z10" s="52">
        <f>IFERROR((Table1[[#This Row],[Work Completiuon time on fualt]]-Table1[[#This Row],[Fault Time]])*24,"")</f>
        <v>2.3666666666666663</v>
      </c>
      <c r="AA10" s="2" t="s">
        <v>1090</v>
      </c>
      <c r="AB10" s="2" t="s">
        <v>1080</v>
      </c>
      <c r="AC10" s="90">
        <f>IFERROR(Table1[[#This Row],[Breakdown Time]]*Table1[[#This Row],[Plant Equivalent Weightage]],"")</f>
        <v>0.19757383834731759</v>
      </c>
      <c r="AD10" s="2">
        <v>1.99</v>
      </c>
      <c r="AE10" s="89">
        <f>_xlfn.XLOOKUP($F10,'Modelling New'!$D:$D,'Modelling New'!$O:$O)*Table1[[#This Row],[Lost PoA(Wh/m2)]]*Table1[[#This Row],[DC Capacity Affceted (kW)]]</f>
        <v>950.81052308609515</v>
      </c>
      <c r="AF10" s="2"/>
      <c r="AG10" s="2"/>
    </row>
    <row r="11" spans="1:33" x14ac:dyDescent="0.3">
      <c r="A11" s="67">
        <f t="shared" si="0"/>
        <v>8</v>
      </c>
      <c r="B11" s="75">
        <f>YEAR(Table1[[#This Row],[Date]])+IF(MONTH(Table1[[#This Row],[Date]])&gt;=4,1,0)</f>
        <v>2025</v>
      </c>
      <c r="C11" s="74">
        <f>YEAR(Table1[[#This Row],[Date]])</f>
        <v>2025</v>
      </c>
      <c r="D11" s="74" t="s">
        <v>1082</v>
      </c>
      <c r="E11" s="74" t="s">
        <v>1082</v>
      </c>
      <c r="F11" s="181">
        <f>Table1[[#This Row],[Date]]-DAY(Table1[[#This Row],[Date]])+1</f>
        <v>45717</v>
      </c>
      <c r="G11">
        <f>DAY(EOMONTH(Table1[[#This Row],[Month Year]],0))</f>
        <v>31</v>
      </c>
      <c r="H11" s="104">
        <v>45745</v>
      </c>
      <c r="I11" s="76">
        <f>IFERROR(VLOOKUP(Table1[[#This Row],[Date]],Table3[[Date]:[Sunset Time (POA&lt;20 W/m2)]],3,0),"")</f>
        <v>0.2638888888888889</v>
      </c>
      <c r="J11" s="76">
        <f>IFERROR(VLOOKUP(Table1[[#This Row],[Date]],Table3[[Date]:[Sunset Time (POA&lt;20 W/m2)]],4,0),"")</f>
        <v>0.76736111111111116</v>
      </c>
      <c r="K11" s="77">
        <f>IFERROR((Table1[[#This Row],[Sunset Time (POA&lt;20 W/m2)]]-Table1[[#This Row],[Sunrise Time (POA&gt;20 W/m2)]])*24,"")</f>
        <v>12.083333333333336</v>
      </c>
      <c r="L11" s="108" t="s">
        <v>180</v>
      </c>
      <c r="M11" s="91">
        <f>VLOOKUP(Table1[[#This Row],[Affceted Equipment]],'Basic Data'!$A$2:$C$818,2,0)</f>
        <v>2694.6</v>
      </c>
      <c r="N11" s="93">
        <f>IFERROR(VLOOKUP(Table1[[#This Row],[Affceted Equipment]],'Basic Data'!$A$2:$C$818,3,0),"")</f>
        <v>0.33594733758057077</v>
      </c>
      <c r="O11" s="118" t="s">
        <v>323</v>
      </c>
      <c r="P11" s="94" t="s">
        <v>1085</v>
      </c>
      <c r="Q11" s="94"/>
      <c r="R11" s="94" t="s">
        <v>1089</v>
      </c>
      <c r="S11" s="92">
        <v>0.52986111111111112</v>
      </c>
      <c r="T11" s="119"/>
      <c r="U11" s="119"/>
      <c r="V11" s="92">
        <v>0.53611111111111109</v>
      </c>
      <c r="W11" s="89">
        <f>IF(Table1[[#This Row],[Acknowledgemnet Time ]]="NA","",(Table1[[#This Row],[Acknowledgemnet Time ]]-Table1[[#This Row],[Fault Time]])*24)</f>
        <v>-12.716666666666667</v>
      </c>
      <c r="X11" s="89">
        <f>IF(Table1[[#This Row],[Work Start time on Fault]]="NA","",(Table1[[#This Row],[Work Start time on Fault]]-Table1[[#This Row],[Fault Time]])*24)</f>
        <v>-12.716666666666667</v>
      </c>
      <c r="Y11" s="52">
        <f>(Table1[[#This Row],[Work Completiuon time on fualt]]-Table1[[#This Row],[Fault Time]])*24</f>
        <v>0.14999999999999947</v>
      </c>
      <c r="Z11" s="52">
        <f>IFERROR((Table1[[#This Row],[Work Completiuon time on fualt]]-Table1[[#This Row],[Fault Time]])*24,"")</f>
        <v>0.14999999999999947</v>
      </c>
      <c r="AA11" s="2" t="s">
        <v>1086</v>
      </c>
      <c r="AB11" s="2" t="s">
        <v>1081</v>
      </c>
      <c r="AC11" s="90">
        <f>IFERROR(Table1[[#This Row],[Breakdown Time]]*Table1[[#This Row],[Plant Equivalent Weightage]],"")</f>
        <v>5.0392100637085435E-2</v>
      </c>
      <c r="AD11" s="2">
        <v>0.14000000000000001</v>
      </c>
      <c r="AE11" s="89">
        <f>_xlfn.XLOOKUP($F11,'Modelling New'!$D:$D,'Modelling New'!$O:$O)*Table1[[#This Row],[Lost PoA(Wh/m2)]]*Table1[[#This Row],[DC Capacity Affceted (kW)]]</f>
        <v>269.18310562001381</v>
      </c>
      <c r="AF11" s="2"/>
      <c r="AG11" s="2"/>
    </row>
    <row r="12" spans="1:33" x14ac:dyDescent="0.3">
      <c r="A12" s="67">
        <f t="shared" si="0"/>
        <v>9</v>
      </c>
      <c r="B12" s="75">
        <f>YEAR(Table1[[#This Row],[Date]])+IF(MONTH(Table1[[#This Row],[Date]])&gt;=4,1,0)</f>
        <v>2025</v>
      </c>
      <c r="C12" s="74">
        <f>YEAR(Table1[[#This Row],[Date]])</f>
        <v>2025</v>
      </c>
      <c r="D12" s="74" t="s">
        <v>1082</v>
      </c>
      <c r="E12" s="74" t="s">
        <v>1082</v>
      </c>
      <c r="F12" s="181">
        <f>Table1[[#This Row],[Date]]-DAY(Table1[[#This Row],[Date]])+1</f>
        <v>45717</v>
      </c>
      <c r="G12">
        <f>DAY(EOMONTH(Table1[[#This Row],[Month Year]],0))</f>
        <v>31</v>
      </c>
      <c r="H12" s="104">
        <v>45745</v>
      </c>
      <c r="I12" s="76">
        <f>IFERROR(VLOOKUP(Table1[[#This Row],[Date]],Table3[[Date]:[Sunset Time (POA&lt;20 W/m2)]],3,0),"")</f>
        <v>0.2638888888888889</v>
      </c>
      <c r="J12" s="76">
        <f>IFERROR(VLOOKUP(Table1[[#This Row],[Date]],Table3[[Date]:[Sunset Time (POA&lt;20 W/m2)]],4,0),"")</f>
        <v>0.76736111111111116</v>
      </c>
      <c r="K12" s="77">
        <f>IFERROR((Table1[[#This Row],[Sunset Time (POA&lt;20 W/m2)]]-Table1[[#This Row],[Sunrise Time (POA&gt;20 W/m2)]])*24,"")</f>
        <v>12.083333333333336</v>
      </c>
      <c r="L12" s="108" t="s">
        <v>231</v>
      </c>
      <c r="M12" s="91">
        <f>VLOOKUP(Table1[[#This Row],[Affceted Equipment]],'Basic Data'!$A$2:$C$818,2,0)</f>
        <v>669.6</v>
      </c>
      <c r="N12" s="93">
        <f>IFERROR(VLOOKUP(Table1[[#This Row],[Affceted Equipment]],'Basic Data'!$A$2:$C$818,3,0),"")</f>
        <v>8.348190352703562E-2</v>
      </c>
      <c r="O12" s="118" t="s">
        <v>323</v>
      </c>
      <c r="P12" s="94" t="s">
        <v>1088</v>
      </c>
      <c r="Q12" s="94"/>
      <c r="R12" s="94" t="s">
        <v>1088</v>
      </c>
      <c r="S12" s="92">
        <v>0.53611111111111109</v>
      </c>
      <c r="T12" s="119"/>
      <c r="U12" s="119"/>
      <c r="V12" s="92">
        <v>0.5625</v>
      </c>
      <c r="W12" s="89">
        <f>IF(Table1[[#This Row],[Acknowledgemnet Time ]]="NA","",(Table1[[#This Row],[Acknowledgemnet Time ]]-Table1[[#This Row],[Fault Time]])*24)</f>
        <v>-12.866666666666667</v>
      </c>
      <c r="X12" s="89">
        <f>IF(Table1[[#This Row],[Work Start time on Fault]]="NA","",(Table1[[#This Row],[Work Start time on Fault]]-Table1[[#This Row],[Fault Time]])*24)</f>
        <v>-12.866666666666667</v>
      </c>
      <c r="Y12" s="52">
        <f>(Table1[[#This Row],[Work Completiuon time on fualt]]-Table1[[#This Row],[Fault Time]])*24</f>
        <v>0.63333333333333375</v>
      </c>
      <c r="Z12" s="52">
        <f>IFERROR((Table1[[#This Row],[Work Completiuon time on fualt]]-Table1[[#This Row],[Fault Time]])*24,"")</f>
        <v>0.63333333333333375</v>
      </c>
      <c r="AA12" s="2" t="s">
        <v>1084</v>
      </c>
      <c r="AB12" s="2" t="s">
        <v>1080</v>
      </c>
      <c r="AC12" s="90">
        <f>IFERROR(Table1[[#This Row],[Breakdown Time]]*Table1[[#This Row],[Plant Equivalent Weightage]],"")</f>
        <v>5.2871872233789259E-2</v>
      </c>
      <c r="AD12" s="2">
        <v>0.57999999999999996</v>
      </c>
      <c r="AE12" s="89">
        <f>_xlfn.XLOOKUP($F12,'Modelling New'!$D:$D,'Modelling New'!$O:$O)*Table1[[#This Row],[Lost PoA(Wh/m2)]]*Table1[[#This Row],[DC Capacity Affceted (kW)]]</f>
        <v>277.12065496981666</v>
      </c>
      <c r="AF12" s="2"/>
      <c r="AG12" s="2"/>
    </row>
    <row r="13" spans="1:33" x14ac:dyDescent="0.3">
      <c r="A13" s="67">
        <f t="shared" si="0"/>
        <v>10</v>
      </c>
      <c r="B13" s="75">
        <f>YEAR(Table1[[#This Row],[Date]])+IF(MONTH(Table1[[#This Row],[Date]])&gt;=4,1,0)</f>
        <v>2025</v>
      </c>
      <c r="C13" s="74">
        <f>YEAR(Table1[[#This Row],[Date]])</f>
        <v>2025</v>
      </c>
      <c r="D13" s="74" t="s">
        <v>1082</v>
      </c>
      <c r="E13" s="74" t="s">
        <v>1082</v>
      </c>
      <c r="F13" s="181">
        <f>Table1[[#This Row],[Date]]-DAY(Table1[[#This Row],[Date]])+1</f>
        <v>45717</v>
      </c>
      <c r="G13">
        <f>DAY(EOMONTH(Table1[[#This Row],[Month Year]],0))</f>
        <v>31</v>
      </c>
      <c r="H13" s="104">
        <v>45745</v>
      </c>
      <c r="I13" s="76">
        <f>IFERROR(VLOOKUP(Table1[[#This Row],[Date]],Table3[[Date]:[Sunset Time (POA&lt;20 W/m2)]],3,0),"")</f>
        <v>0.2638888888888889</v>
      </c>
      <c r="J13" s="76">
        <f>IFERROR(VLOOKUP(Table1[[#This Row],[Date]],Table3[[Date]:[Sunset Time (POA&lt;20 W/m2)]],4,0),"")</f>
        <v>0.76736111111111116</v>
      </c>
      <c r="K13" s="77">
        <f>IFERROR((Table1[[#This Row],[Sunset Time (POA&lt;20 W/m2)]]-Table1[[#This Row],[Sunrise Time (POA&gt;20 W/m2)]])*24,"")</f>
        <v>12.083333333333336</v>
      </c>
      <c r="L13" s="108" t="s">
        <v>232</v>
      </c>
      <c r="M13" s="91">
        <f>VLOOKUP(Table1[[#This Row],[Affceted Equipment]],'Basic Data'!$A$2:$C$818,2,0)</f>
        <v>669.6</v>
      </c>
      <c r="N13" s="93">
        <f>IFERROR(VLOOKUP(Table1[[#This Row],[Affceted Equipment]],'Basic Data'!$A$2:$C$818,3,0),"")</f>
        <v>8.348190352703562E-2</v>
      </c>
      <c r="O13" s="118" t="s">
        <v>323</v>
      </c>
      <c r="P13" s="94" t="s">
        <v>1090</v>
      </c>
      <c r="Q13" s="94"/>
      <c r="R13" s="94" t="s">
        <v>1090</v>
      </c>
      <c r="S13" s="92">
        <v>0.53611111111111109</v>
      </c>
      <c r="T13" s="119"/>
      <c r="U13" s="119"/>
      <c r="V13" s="92">
        <v>0.5625</v>
      </c>
      <c r="W13" s="89">
        <f>IF(Table1[[#This Row],[Acknowledgemnet Time ]]="NA","",(Table1[[#This Row],[Acknowledgemnet Time ]]-Table1[[#This Row],[Fault Time]])*24)</f>
        <v>-12.866666666666667</v>
      </c>
      <c r="X13" s="89">
        <f>IF(Table1[[#This Row],[Work Start time on Fault]]="NA","",(Table1[[#This Row],[Work Start time on Fault]]-Table1[[#This Row],[Fault Time]])*24)</f>
        <v>-12.866666666666667</v>
      </c>
      <c r="Y13" s="52">
        <f>(Table1[[#This Row],[Work Completiuon time on fualt]]-Table1[[#This Row],[Fault Time]])*24</f>
        <v>0.63333333333333375</v>
      </c>
      <c r="Z13" s="52">
        <f>IFERROR((Table1[[#This Row],[Work Completiuon time on fualt]]-Table1[[#This Row],[Fault Time]])*24,"")</f>
        <v>0.63333333333333375</v>
      </c>
      <c r="AA13" s="2" t="s">
        <v>1090</v>
      </c>
      <c r="AB13" s="2" t="s">
        <v>1080</v>
      </c>
      <c r="AC13" s="90">
        <f>IFERROR(Table1[[#This Row],[Breakdown Time]]*Table1[[#This Row],[Plant Equivalent Weightage]],"")</f>
        <v>5.2871872233789259E-2</v>
      </c>
      <c r="AD13" s="2">
        <v>0.57999999999999996</v>
      </c>
      <c r="AE13" s="89">
        <f>_xlfn.XLOOKUP($F13,'Modelling New'!$D:$D,'Modelling New'!$O:$O)*Table1[[#This Row],[Lost PoA(Wh/m2)]]*Table1[[#This Row],[DC Capacity Affceted (kW)]]</f>
        <v>277.12065496981666</v>
      </c>
      <c r="AF13" s="2"/>
      <c r="AG13" s="2"/>
    </row>
    <row r="14" spans="1:33" x14ac:dyDescent="0.3">
      <c r="A14" s="67">
        <f t="shared" si="0"/>
        <v>11</v>
      </c>
      <c r="B14" s="75">
        <f>YEAR(Table1[[#This Row],[Date]])+IF(MONTH(Table1[[#This Row],[Date]])&gt;=4,1,0)</f>
        <v>2025</v>
      </c>
      <c r="C14" s="74">
        <f>YEAR(Table1[[#This Row],[Date]])</f>
        <v>2025</v>
      </c>
      <c r="D14" s="74" t="s">
        <v>1082</v>
      </c>
      <c r="E14" s="74" t="s">
        <v>1082</v>
      </c>
      <c r="F14" s="181">
        <f>Table1[[#This Row],[Date]]-DAY(Table1[[#This Row],[Date]])+1</f>
        <v>45717</v>
      </c>
      <c r="G14">
        <f>DAY(EOMONTH(Table1[[#This Row],[Month Year]],0))</f>
        <v>31</v>
      </c>
      <c r="H14" s="104">
        <v>45745</v>
      </c>
      <c r="I14" s="76">
        <f>IFERROR(VLOOKUP(Table1[[#This Row],[Date]],Table3[[Date]:[Sunset Time (POA&lt;20 W/m2)]],3,0),"")</f>
        <v>0.2638888888888889</v>
      </c>
      <c r="J14" s="76">
        <f>IFERROR(VLOOKUP(Table1[[#This Row],[Date]],Table3[[Date]:[Sunset Time (POA&lt;20 W/m2)]],4,0),"")</f>
        <v>0.76736111111111116</v>
      </c>
      <c r="K14" s="77">
        <f>IFERROR((Table1[[#This Row],[Sunset Time (POA&lt;20 W/m2)]]-Table1[[#This Row],[Sunrise Time (POA&gt;20 W/m2)]])*24,"")</f>
        <v>12.083333333333336</v>
      </c>
      <c r="L14" s="108" t="s">
        <v>180</v>
      </c>
      <c r="M14" s="91">
        <f>VLOOKUP(Table1[[#This Row],[Affceted Equipment]],'Basic Data'!$A$2:$C$818,2,0)</f>
        <v>2694.6</v>
      </c>
      <c r="N14" s="93">
        <f>IFERROR(VLOOKUP(Table1[[#This Row],[Affceted Equipment]],'Basic Data'!$A$2:$C$818,3,0),"")</f>
        <v>0.33594733758057077</v>
      </c>
      <c r="O14" s="118" t="s">
        <v>323</v>
      </c>
      <c r="P14" s="94" t="s">
        <v>1085</v>
      </c>
      <c r="Q14" s="94"/>
      <c r="R14" s="94" t="s">
        <v>1089</v>
      </c>
      <c r="S14" s="92">
        <v>0.5625</v>
      </c>
      <c r="T14" s="119"/>
      <c r="U14" s="119"/>
      <c r="V14" s="92">
        <v>0.56874999999999998</v>
      </c>
      <c r="W14" s="89">
        <f>IF(Table1[[#This Row],[Acknowledgemnet Time ]]="NA","",(Table1[[#This Row],[Acknowledgemnet Time ]]-Table1[[#This Row],[Fault Time]])*24)</f>
        <v>-13.5</v>
      </c>
      <c r="X14" s="89">
        <f>IF(Table1[[#This Row],[Work Start time on Fault]]="NA","",(Table1[[#This Row],[Work Start time on Fault]]-Table1[[#This Row],[Fault Time]])*24)</f>
        <v>-13.5</v>
      </c>
      <c r="Y14" s="52">
        <f>(Table1[[#This Row],[Work Completiuon time on fualt]]-Table1[[#This Row],[Fault Time]])*24</f>
        <v>0.14999999999999947</v>
      </c>
      <c r="Z14" s="52">
        <f>IFERROR((Table1[[#This Row],[Work Completiuon time on fualt]]-Table1[[#This Row],[Fault Time]])*24,"")</f>
        <v>0.14999999999999947</v>
      </c>
      <c r="AA14" s="2" t="s">
        <v>1086</v>
      </c>
      <c r="AB14" s="2" t="s">
        <v>1081</v>
      </c>
      <c r="AC14" s="90">
        <f>IFERROR(Table1[[#This Row],[Breakdown Time]]*Table1[[#This Row],[Plant Equivalent Weightage]],"")</f>
        <v>5.0392100637085435E-2</v>
      </c>
      <c r="AD14" s="2">
        <v>0.14000000000000001</v>
      </c>
      <c r="AE14" s="89">
        <f>_xlfn.XLOOKUP($F14,'Modelling New'!$D:$D,'Modelling New'!$O:$O)*Table1[[#This Row],[Lost PoA(Wh/m2)]]*Table1[[#This Row],[DC Capacity Affceted (kW)]]</f>
        <v>269.18310562001381</v>
      </c>
      <c r="AF14" s="2"/>
      <c r="AG14" s="2"/>
    </row>
    <row r="15" spans="1:33" x14ac:dyDescent="0.3">
      <c r="A15" s="67">
        <f t="shared" si="0"/>
        <v>12</v>
      </c>
      <c r="B15" s="75">
        <f>YEAR(Table1[[#This Row],[Date]])+IF(MONTH(Table1[[#This Row],[Date]])&gt;=4,1,0)</f>
        <v>2025</v>
      </c>
      <c r="C15" s="74">
        <f>YEAR(Table1[[#This Row],[Date]])</f>
        <v>2025</v>
      </c>
      <c r="D15" s="74" t="s">
        <v>1082</v>
      </c>
      <c r="E15" s="74" t="s">
        <v>1082</v>
      </c>
      <c r="F15" s="181">
        <f>Table1[[#This Row],[Date]]-DAY(Table1[[#This Row],[Date]])+1</f>
        <v>45717</v>
      </c>
      <c r="G15">
        <f>DAY(EOMONTH(Table1[[#This Row],[Month Year]],0))</f>
        <v>31</v>
      </c>
      <c r="H15" s="104">
        <v>45745</v>
      </c>
      <c r="I15" s="76">
        <f>IFERROR(VLOOKUP(Table1[[#This Row],[Date]],Table3[[Date]:[Sunset Time (POA&lt;20 W/m2)]],3,0),"")</f>
        <v>0.2638888888888889</v>
      </c>
      <c r="J15" s="76">
        <f>IFERROR(VLOOKUP(Table1[[#This Row],[Date]],Table3[[Date]:[Sunset Time (POA&lt;20 W/m2)]],4,0),"")</f>
        <v>0.76736111111111116</v>
      </c>
      <c r="K15" s="77">
        <f>IFERROR((Table1[[#This Row],[Sunset Time (POA&lt;20 W/m2)]]-Table1[[#This Row],[Sunrise Time (POA&gt;20 W/m2)]])*24,"")</f>
        <v>12.083333333333336</v>
      </c>
      <c r="L15" s="108" t="s">
        <v>231</v>
      </c>
      <c r="M15" s="91">
        <f>VLOOKUP(Table1[[#This Row],[Affceted Equipment]],'Basic Data'!$A$2:$C$818,2,0)</f>
        <v>669.6</v>
      </c>
      <c r="N15" s="93">
        <f>IFERROR(VLOOKUP(Table1[[#This Row],[Affceted Equipment]],'Basic Data'!$A$2:$C$818,3,0),"")</f>
        <v>8.348190352703562E-2</v>
      </c>
      <c r="O15" s="118" t="s">
        <v>323</v>
      </c>
      <c r="P15" s="94" t="s">
        <v>1088</v>
      </c>
      <c r="Q15" s="94"/>
      <c r="R15" s="94" t="s">
        <v>1088</v>
      </c>
      <c r="S15" s="92">
        <v>0.56874999999999998</v>
      </c>
      <c r="T15" s="119"/>
      <c r="U15" s="119"/>
      <c r="V15" s="92">
        <v>0.63680555555555551</v>
      </c>
      <c r="W15" s="89">
        <f>IF(Table1[[#This Row],[Acknowledgemnet Time ]]="NA","",(Table1[[#This Row],[Acknowledgemnet Time ]]-Table1[[#This Row],[Fault Time]])*24)</f>
        <v>-13.649999999999999</v>
      </c>
      <c r="X15" s="89">
        <f>IF(Table1[[#This Row],[Work Start time on Fault]]="NA","",(Table1[[#This Row],[Work Start time on Fault]]-Table1[[#This Row],[Fault Time]])*24)</f>
        <v>-13.649999999999999</v>
      </c>
      <c r="Y15" s="52">
        <f>(Table1[[#This Row],[Work Completiuon time on fualt]]-Table1[[#This Row],[Fault Time]])*24</f>
        <v>1.6333333333333329</v>
      </c>
      <c r="Z15" s="52">
        <f>IFERROR((Table1[[#This Row],[Work Completiuon time on fualt]]-Table1[[#This Row],[Fault Time]])*24,"")</f>
        <v>1.6333333333333329</v>
      </c>
      <c r="AA15" s="2" t="s">
        <v>1084</v>
      </c>
      <c r="AB15" s="2" t="s">
        <v>1080</v>
      </c>
      <c r="AC15" s="90">
        <f>IFERROR(Table1[[#This Row],[Breakdown Time]]*Table1[[#This Row],[Plant Equivalent Weightage]],"")</f>
        <v>0.1363537757608248</v>
      </c>
      <c r="AD15" s="2">
        <v>1.02</v>
      </c>
      <c r="AE15" s="89">
        <f>_xlfn.XLOOKUP($F15,'Modelling New'!$D:$D,'Modelling New'!$O:$O)*Table1[[#This Row],[Lost PoA(Wh/m2)]]*Table1[[#This Row],[DC Capacity Affceted (kW)]]</f>
        <v>487.35011736071203</v>
      </c>
      <c r="AF15" s="2"/>
      <c r="AG15" s="2"/>
    </row>
    <row r="16" spans="1:33" x14ac:dyDescent="0.3">
      <c r="A16" s="67">
        <f t="shared" si="0"/>
        <v>13</v>
      </c>
      <c r="B16" s="75">
        <f>YEAR(Table1[[#This Row],[Date]])+IF(MONTH(Table1[[#This Row],[Date]])&gt;=4,1,0)</f>
        <v>2025</v>
      </c>
      <c r="C16" s="74">
        <f>YEAR(Table1[[#This Row],[Date]])</f>
        <v>2025</v>
      </c>
      <c r="D16" s="74" t="s">
        <v>1082</v>
      </c>
      <c r="E16" s="74" t="s">
        <v>1082</v>
      </c>
      <c r="F16" s="181">
        <f>Table1[[#This Row],[Date]]-DAY(Table1[[#This Row],[Date]])+1</f>
        <v>45717</v>
      </c>
      <c r="G16">
        <f>DAY(EOMONTH(Table1[[#This Row],[Month Year]],0))</f>
        <v>31</v>
      </c>
      <c r="H16" s="104">
        <v>45745</v>
      </c>
      <c r="I16" s="76">
        <f>IFERROR(VLOOKUP(Table1[[#This Row],[Date]],Table3[[Date]:[Sunset Time (POA&lt;20 W/m2)]],3,0),"")</f>
        <v>0.2638888888888889</v>
      </c>
      <c r="J16" s="76">
        <f>IFERROR(VLOOKUP(Table1[[#This Row],[Date]],Table3[[Date]:[Sunset Time (POA&lt;20 W/m2)]],4,0),"")</f>
        <v>0.76736111111111116</v>
      </c>
      <c r="K16" s="77">
        <f>IFERROR((Table1[[#This Row],[Sunset Time (POA&lt;20 W/m2)]]-Table1[[#This Row],[Sunrise Time (POA&gt;20 W/m2)]])*24,"")</f>
        <v>12.083333333333336</v>
      </c>
      <c r="L16" s="108" t="s">
        <v>232</v>
      </c>
      <c r="M16" s="91">
        <f>VLOOKUP(Table1[[#This Row],[Affceted Equipment]],'Basic Data'!$A$2:$C$818,2,0)</f>
        <v>669.6</v>
      </c>
      <c r="N16" s="93">
        <f>IFERROR(VLOOKUP(Table1[[#This Row],[Affceted Equipment]],'Basic Data'!$A$2:$C$818,3,0),"")</f>
        <v>8.348190352703562E-2</v>
      </c>
      <c r="O16" s="118" t="s">
        <v>323</v>
      </c>
      <c r="P16" s="94" t="s">
        <v>1090</v>
      </c>
      <c r="Q16" s="94"/>
      <c r="R16" s="94" t="s">
        <v>1090</v>
      </c>
      <c r="S16" s="92">
        <v>0.56874999999999998</v>
      </c>
      <c r="T16" s="119"/>
      <c r="U16" s="119"/>
      <c r="V16" s="92">
        <v>0.63680555555555551</v>
      </c>
      <c r="W16" s="89">
        <f>IF(Table1[[#This Row],[Acknowledgemnet Time ]]="NA","",(Table1[[#This Row],[Acknowledgemnet Time ]]-Table1[[#This Row],[Fault Time]])*24)</f>
        <v>-13.649999999999999</v>
      </c>
      <c r="X16" s="89">
        <f>IF(Table1[[#This Row],[Work Start time on Fault]]="NA","",(Table1[[#This Row],[Work Start time on Fault]]-Table1[[#This Row],[Fault Time]])*24)</f>
        <v>-13.649999999999999</v>
      </c>
      <c r="Y16" s="52">
        <f>(Table1[[#This Row],[Work Completiuon time on fualt]]-Table1[[#This Row],[Fault Time]])*24</f>
        <v>1.6333333333333329</v>
      </c>
      <c r="Z16" s="52">
        <f>IFERROR((Table1[[#This Row],[Work Completiuon time on fualt]]-Table1[[#This Row],[Fault Time]])*24,"")</f>
        <v>1.6333333333333329</v>
      </c>
      <c r="AA16" s="2" t="s">
        <v>1090</v>
      </c>
      <c r="AB16" s="2" t="s">
        <v>1080</v>
      </c>
      <c r="AC16" s="90">
        <f>IFERROR(Table1[[#This Row],[Breakdown Time]]*Table1[[#This Row],[Plant Equivalent Weightage]],"")</f>
        <v>0.1363537757608248</v>
      </c>
      <c r="AD16" s="2">
        <v>1.02</v>
      </c>
      <c r="AE16" s="89">
        <f>_xlfn.XLOOKUP($F16,'Modelling New'!$D:$D,'Modelling New'!$O:$O)*Table1[[#This Row],[Lost PoA(Wh/m2)]]*Table1[[#This Row],[DC Capacity Affceted (kW)]]</f>
        <v>487.35011736071203</v>
      </c>
      <c r="AF16" s="2"/>
      <c r="AG16" s="2"/>
    </row>
    <row r="17" spans="1:33" x14ac:dyDescent="0.3">
      <c r="A17" s="67">
        <f t="shared" si="0"/>
        <v>14</v>
      </c>
      <c r="B17" s="75">
        <f>YEAR(Table1[[#This Row],[Date]])+IF(MONTH(Table1[[#This Row],[Date]])&gt;=4,1,0)</f>
        <v>2025</v>
      </c>
      <c r="C17" s="74">
        <f>YEAR(Table1[[#This Row],[Date]])</f>
        <v>2025</v>
      </c>
      <c r="D17" s="74" t="s">
        <v>1082</v>
      </c>
      <c r="E17" s="74" t="s">
        <v>1082</v>
      </c>
      <c r="F17" s="181">
        <f>Table1[[#This Row],[Date]]-DAY(Table1[[#This Row],[Date]])+1</f>
        <v>45717</v>
      </c>
      <c r="G17">
        <f>DAY(EOMONTH(Table1[[#This Row],[Month Year]],0))</f>
        <v>31</v>
      </c>
      <c r="H17" s="104">
        <v>45745</v>
      </c>
      <c r="I17" s="76">
        <f>IFERROR(VLOOKUP(Table1[[#This Row],[Date]],Table3[[Date]:[Sunset Time (POA&lt;20 W/m2)]],3,0),"")</f>
        <v>0.2638888888888889</v>
      </c>
      <c r="J17" s="76">
        <f>IFERROR(VLOOKUP(Table1[[#This Row],[Date]],Table3[[Date]:[Sunset Time (POA&lt;20 W/m2)]],4,0),"")</f>
        <v>0.76736111111111116</v>
      </c>
      <c r="K17" s="77">
        <f>IFERROR((Table1[[#This Row],[Sunset Time (POA&lt;20 W/m2)]]-Table1[[#This Row],[Sunrise Time (POA&gt;20 W/m2)]])*24,"")</f>
        <v>12.083333333333336</v>
      </c>
      <c r="L17" s="108" t="s">
        <v>180</v>
      </c>
      <c r="M17" s="91">
        <f>VLOOKUP(Table1[[#This Row],[Affceted Equipment]],'Basic Data'!$A$2:$C$818,2,0)</f>
        <v>2694.6</v>
      </c>
      <c r="N17" s="93">
        <f>IFERROR(VLOOKUP(Table1[[#This Row],[Affceted Equipment]],'Basic Data'!$A$2:$C$818,3,0),"")</f>
        <v>0.33594733758057077</v>
      </c>
      <c r="O17" s="118" t="s">
        <v>323</v>
      </c>
      <c r="P17" s="94" t="s">
        <v>1091</v>
      </c>
      <c r="Q17" s="94"/>
      <c r="R17" s="94" t="s">
        <v>1091</v>
      </c>
      <c r="S17" s="92">
        <v>0.63680555555555551</v>
      </c>
      <c r="T17" s="119"/>
      <c r="U17" s="119"/>
      <c r="V17" s="92">
        <v>0.63749999999999996</v>
      </c>
      <c r="W17" s="89">
        <f>IF(Table1[[#This Row],[Acknowledgemnet Time ]]="NA","",(Table1[[#This Row],[Acknowledgemnet Time ]]-Table1[[#This Row],[Fault Time]])*24)</f>
        <v>-15.283333333333331</v>
      </c>
      <c r="X17" s="89">
        <f>IF(Table1[[#This Row],[Work Start time on Fault]]="NA","",(Table1[[#This Row],[Work Start time on Fault]]-Table1[[#This Row],[Fault Time]])*24)</f>
        <v>-15.283333333333331</v>
      </c>
      <c r="Y17" s="52">
        <f>(Table1[[#This Row],[Work Completiuon time on fualt]]-Table1[[#This Row],[Fault Time]])*24</f>
        <v>1.6666666666666607E-2</v>
      </c>
      <c r="Z17" s="52">
        <f>IFERROR((Table1[[#This Row],[Work Completiuon time on fualt]]-Table1[[#This Row],[Fault Time]])*24,"")</f>
        <v>1.6666666666666607E-2</v>
      </c>
      <c r="AA17" s="2" t="s">
        <v>1086</v>
      </c>
      <c r="AB17" s="2" t="s">
        <v>1081</v>
      </c>
      <c r="AC17" s="90">
        <f>IFERROR(Table1[[#This Row],[Breakdown Time]]*Table1[[#This Row],[Plant Equivalent Weightage]],"")</f>
        <v>5.5991222930094932E-3</v>
      </c>
      <c r="AD17" s="2">
        <v>0.01</v>
      </c>
      <c r="AE17" s="89">
        <f>_xlfn.XLOOKUP($F17,'Modelling New'!$D:$D,'Modelling New'!$O:$O)*Table1[[#This Row],[Lost PoA(Wh/m2)]]*Table1[[#This Row],[DC Capacity Affceted (kW)]]</f>
        <v>19.227364687143844</v>
      </c>
      <c r="AF17" s="2"/>
      <c r="AG17" s="2"/>
    </row>
    <row r="18" spans="1:33" x14ac:dyDescent="0.3">
      <c r="A18" s="67">
        <f t="shared" si="0"/>
        <v>15</v>
      </c>
      <c r="B18" s="75">
        <f>YEAR(Table1[[#This Row],[Date]])+IF(MONTH(Table1[[#This Row],[Date]])&gt;=4,1,0)</f>
        <v>2025</v>
      </c>
      <c r="C18" s="74">
        <f>YEAR(Table1[[#This Row],[Date]])</f>
        <v>2025</v>
      </c>
      <c r="D18" s="74" t="s">
        <v>1082</v>
      </c>
      <c r="E18" s="74" t="s">
        <v>1082</v>
      </c>
      <c r="F18" s="181">
        <f>Table1[[#This Row],[Date]]-DAY(Table1[[#This Row],[Date]])+1</f>
        <v>45717</v>
      </c>
      <c r="G18">
        <f>DAY(EOMONTH(Table1[[#This Row],[Month Year]],0))</f>
        <v>31</v>
      </c>
      <c r="H18" s="104">
        <v>45745</v>
      </c>
      <c r="I18" s="76">
        <f>IFERROR(VLOOKUP(Table1[[#This Row],[Date]],Table3[[Date]:[Sunset Time (POA&lt;20 W/m2)]],3,0),"")</f>
        <v>0.2638888888888889</v>
      </c>
      <c r="J18" s="76">
        <f>IFERROR(VLOOKUP(Table1[[#This Row],[Date]],Table3[[Date]:[Sunset Time (POA&lt;20 W/m2)]],4,0),"")</f>
        <v>0.76736111111111116</v>
      </c>
      <c r="K18" s="77">
        <f>IFERROR((Table1[[#This Row],[Sunset Time (POA&lt;20 W/m2)]]-Table1[[#This Row],[Sunrise Time (POA&gt;20 W/m2)]])*24,"")</f>
        <v>12.083333333333336</v>
      </c>
      <c r="L18" s="108" t="s">
        <v>231</v>
      </c>
      <c r="M18" s="91">
        <f>VLOOKUP(Table1[[#This Row],[Affceted Equipment]],'Basic Data'!$A$2:$C$818,2,0)</f>
        <v>669.6</v>
      </c>
      <c r="N18" s="93">
        <f>IFERROR(VLOOKUP(Table1[[#This Row],[Affceted Equipment]],'Basic Data'!$A$2:$C$818,3,0),"")</f>
        <v>8.348190352703562E-2</v>
      </c>
      <c r="O18" s="118" t="s">
        <v>323</v>
      </c>
      <c r="P18" s="94" t="s">
        <v>1088</v>
      </c>
      <c r="Q18" s="94"/>
      <c r="R18" s="94" t="s">
        <v>1088</v>
      </c>
      <c r="S18" s="92">
        <v>0.63749999999999996</v>
      </c>
      <c r="T18" s="119"/>
      <c r="U18" s="119"/>
      <c r="V18" s="92">
        <v>0.76736111111111116</v>
      </c>
      <c r="W18" s="89">
        <f>IF(Table1[[#This Row],[Acknowledgemnet Time ]]="NA","",(Table1[[#This Row],[Acknowledgemnet Time ]]-Table1[[#This Row],[Fault Time]])*24)</f>
        <v>-15.299999999999999</v>
      </c>
      <c r="X18" s="89">
        <f>IF(Table1[[#This Row],[Work Start time on Fault]]="NA","",(Table1[[#This Row],[Work Start time on Fault]]-Table1[[#This Row],[Fault Time]])*24)</f>
        <v>-15.299999999999999</v>
      </c>
      <c r="Y18" s="52">
        <f>(Table1[[#This Row],[Work Completiuon time on fualt]]-Table1[[#This Row],[Fault Time]])*24</f>
        <v>3.1166666666666689</v>
      </c>
      <c r="Z18" s="52">
        <f>IFERROR((Table1[[#This Row],[Work Completiuon time on fualt]]-Table1[[#This Row],[Fault Time]])*24,"")</f>
        <v>3.1166666666666689</v>
      </c>
      <c r="AA18" s="2" t="s">
        <v>1084</v>
      </c>
      <c r="AB18" s="2" t="s">
        <v>1080</v>
      </c>
      <c r="AC18" s="90">
        <f>IFERROR(Table1[[#This Row],[Breakdown Time]]*Table1[[#This Row],[Plant Equivalent Weightage]],"")</f>
        <v>0.26018526599259456</v>
      </c>
      <c r="AD18" s="2">
        <v>0.45</v>
      </c>
      <c r="AE18" s="89">
        <f>_xlfn.XLOOKUP($F18,'Modelling New'!$D:$D,'Modelling New'!$O:$O)*Table1[[#This Row],[Lost PoA(Wh/m2)]]*Table1[[#This Row],[DC Capacity Affceted (kW)]]</f>
        <v>215.00740471796121</v>
      </c>
      <c r="AF18" s="2"/>
      <c r="AG18" s="2"/>
    </row>
    <row r="19" spans="1:33" x14ac:dyDescent="0.3">
      <c r="A19" s="67">
        <f t="shared" si="0"/>
        <v>16</v>
      </c>
      <c r="B19" s="75">
        <f>YEAR(Table1[[#This Row],[Date]])+IF(MONTH(Table1[[#This Row],[Date]])&gt;=4,1,0)</f>
        <v>2025</v>
      </c>
      <c r="C19" s="74">
        <f>YEAR(Table1[[#This Row],[Date]])</f>
        <v>2025</v>
      </c>
      <c r="D19" s="74" t="s">
        <v>1082</v>
      </c>
      <c r="E19" s="74" t="s">
        <v>1082</v>
      </c>
      <c r="F19" s="181">
        <f>Table1[[#This Row],[Date]]-DAY(Table1[[#This Row],[Date]])+1</f>
        <v>45717</v>
      </c>
      <c r="G19">
        <f>DAY(EOMONTH(Table1[[#This Row],[Month Year]],0))</f>
        <v>31</v>
      </c>
      <c r="H19" s="104">
        <v>45746</v>
      </c>
      <c r="I19" s="76">
        <f>IFERROR(VLOOKUP(Table1[[#This Row],[Date]],Table3[[Date]:[Sunset Time (POA&lt;20 W/m2)]],3,0),"")</f>
        <v>0.2638888888888889</v>
      </c>
      <c r="J19" s="76">
        <f>IFERROR(VLOOKUP(Table1[[#This Row],[Date]],Table3[[Date]:[Sunset Time (POA&lt;20 W/m2)]],4,0),"")</f>
        <v>0.7680555555555556</v>
      </c>
      <c r="K19" s="77">
        <f>IFERROR((Table1[[#This Row],[Sunset Time (POA&lt;20 W/m2)]]-Table1[[#This Row],[Sunrise Time (POA&gt;20 W/m2)]])*24,"")</f>
        <v>12.1</v>
      </c>
      <c r="L19" s="108" t="s">
        <v>238</v>
      </c>
      <c r="M19" s="91">
        <f>VLOOKUP(Table1[[#This Row],[Affceted Equipment]],'Basic Data'!$A$2:$C$818,2,0)</f>
        <v>658.8</v>
      </c>
      <c r="N19" s="93">
        <f>IFERROR(VLOOKUP(Table1[[#This Row],[Affceted Equipment]],'Basic Data'!$A$2:$C$818,3,0),"")</f>
        <v>8.2135421212083434E-2</v>
      </c>
      <c r="O19" s="118" t="s">
        <v>323</v>
      </c>
      <c r="P19" s="94" t="s">
        <v>1087</v>
      </c>
      <c r="Q19" s="94"/>
      <c r="R19" s="94" t="s">
        <v>1087</v>
      </c>
      <c r="S19" s="92">
        <v>0.2638888888888889</v>
      </c>
      <c r="T19" s="119"/>
      <c r="U19" s="119"/>
      <c r="V19" s="92">
        <v>0.7680555555555556</v>
      </c>
      <c r="W19" s="89">
        <f>IF(Table1[[#This Row],[Acknowledgemnet Time ]]="NA","",(Table1[[#This Row],[Acknowledgemnet Time ]]-Table1[[#This Row],[Fault Time]])*24)</f>
        <v>-6.3333333333333339</v>
      </c>
      <c r="X19" s="89">
        <f>IF(Table1[[#This Row],[Work Start time on Fault]]="NA","",(Table1[[#This Row],[Work Start time on Fault]]-Table1[[#This Row],[Fault Time]])*24)</f>
        <v>-6.3333333333333339</v>
      </c>
      <c r="Y19" s="52">
        <f>(Table1[[#This Row],[Work Completiuon time on fualt]]-Table1[[#This Row],[Fault Time]])*24</f>
        <v>12.1</v>
      </c>
      <c r="Z19" s="52">
        <f>IFERROR((Table1[[#This Row],[Work Completiuon time on fualt]]-Table1[[#This Row],[Fault Time]])*24,"")</f>
        <v>12.1</v>
      </c>
      <c r="AA19" s="2" t="s">
        <v>1084</v>
      </c>
      <c r="AB19" s="2" t="s">
        <v>1080</v>
      </c>
      <c r="AC19" s="90">
        <f>IFERROR(Table1[[#This Row],[Breakdown Time]]*Table1[[#This Row],[Plant Equivalent Weightage]],"")</f>
        <v>0.99383859666620955</v>
      </c>
      <c r="AD19" s="2">
        <v>5.95</v>
      </c>
      <c r="AE19" s="89">
        <f>_xlfn.XLOOKUP($F19,'Modelling New'!$D:$D,'Modelling New'!$O:$O)*Table1[[#This Row],[Lost PoA(Wh/m2)]]*Table1[[#This Row],[DC Capacity Affceted (kW)]]</f>
        <v>2797.0228509815061</v>
      </c>
      <c r="AF19" s="2"/>
      <c r="AG19" s="2"/>
    </row>
    <row r="20" spans="1:33" x14ac:dyDescent="0.3">
      <c r="A20" s="67">
        <f t="shared" si="0"/>
        <v>17</v>
      </c>
      <c r="B20" s="75">
        <f>YEAR(Table1[[#This Row],[Date]])+IF(MONTH(Table1[[#This Row],[Date]])&gt;=4,1,0)</f>
        <v>2025</v>
      </c>
      <c r="C20" s="74">
        <f>YEAR(Table1[[#This Row],[Date]])</f>
        <v>2025</v>
      </c>
      <c r="D20" s="74" t="s">
        <v>1082</v>
      </c>
      <c r="E20" s="74" t="s">
        <v>1082</v>
      </c>
      <c r="F20" s="181">
        <f>Table1[[#This Row],[Date]]-DAY(Table1[[#This Row],[Date]])+1</f>
        <v>45717</v>
      </c>
      <c r="G20">
        <f>DAY(EOMONTH(Table1[[#This Row],[Month Year]],0))</f>
        <v>31</v>
      </c>
      <c r="H20" s="104">
        <v>45746</v>
      </c>
      <c r="I20" s="76">
        <f>IFERROR(VLOOKUP(Table1[[#This Row],[Date]],Table3[[Date]:[Sunset Time (POA&lt;20 W/m2)]],3,0),"")</f>
        <v>0.2638888888888889</v>
      </c>
      <c r="J20" s="76">
        <f>IFERROR(VLOOKUP(Table1[[#This Row],[Date]],Table3[[Date]:[Sunset Time (POA&lt;20 W/m2)]],4,0),"")</f>
        <v>0.7680555555555556</v>
      </c>
      <c r="K20" s="77">
        <f>IFERROR((Table1[[#This Row],[Sunset Time (POA&lt;20 W/m2)]]-Table1[[#This Row],[Sunrise Time (POA&gt;20 W/m2)]])*24,"")</f>
        <v>12.1</v>
      </c>
      <c r="L20" s="108" t="s">
        <v>231</v>
      </c>
      <c r="M20" s="91">
        <f>VLOOKUP(Table1[[#This Row],[Affceted Equipment]],'Basic Data'!$A$2:$C$818,2,0)</f>
        <v>669.6</v>
      </c>
      <c r="N20" s="93">
        <f>IFERROR(VLOOKUP(Table1[[#This Row],[Affceted Equipment]],'Basic Data'!$A$2:$C$818,3,0),"")</f>
        <v>8.348190352703562E-2</v>
      </c>
      <c r="O20" s="118" t="s">
        <v>323</v>
      </c>
      <c r="P20" s="94" t="s">
        <v>1088</v>
      </c>
      <c r="Q20" s="94"/>
      <c r="R20" s="94" t="s">
        <v>1088</v>
      </c>
      <c r="S20" s="92">
        <v>0.2638888888888889</v>
      </c>
      <c r="T20" s="119"/>
      <c r="U20" s="119"/>
      <c r="V20" s="92">
        <v>0.42986111111111114</v>
      </c>
      <c r="W20" s="89">
        <f>IF(Table1[[#This Row],[Acknowledgemnet Time ]]="NA","",(Table1[[#This Row],[Acknowledgemnet Time ]]-Table1[[#This Row],[Fault Time]])*24)</f>
        <v>-6.3333333333333339</v>
      </c>
      <c r="X20" s="89">
        <f>IF(Table1[[#This Row],[Work Start time on Fault]]="NA","",(Table1[[#This Row],[Work Start time on Fault]]-Table1[[#This Row],[Fault Time]])*24)</f>
        <v>-6.3333333333333339</v>
      </c>
      <c r="Y20" s="52">
        <f>(Table1[[#This Row],[Work Completiuon time on fualt]]-Table1[[#This Row],[Fault Time]])*24</f>
        <v>3.9833333333333338</v>
      </c>
      <c r="Z20" s="52">
        <f>IFERROR((Table1[[#This Row],[Work Completiuon time on fualt]]-Table1[[#This Row],[Fault Time]])*24,"")</f>
        <v>3.9833333333333338</v>
      </c>
      <c r="AA20" s="2" t="s">
        <v>1084</v>
      </c>
      <c r="AB20" s="2" t="s">
        <v>1080</v>
      </c>
      <c r="AC20" s="90">
        <f>IFERROR(Table1[[#This Row],[Breakdown Time]]*Table1[[#This Row],[Plant Equivalent Weightage]],"")</f>
        <v>0.33253624904935858</v>
      </c>
      <c r="AD20" s="2">
        <v>1.2</v>
      </c>
      <c r="AE20" s="89">
        <f>_xlfn.XLOOKUP($F20,'Modelling New'!$D:$D,'Modelling New'!$O:$O)*Table1[[#This Row],[Lost PoA(Wh/m2)]]*Table1[[#This Row],[DC Capacity Affceted (kW)]]</f>
        <v>573.35307924789652</v>
      </c>
      <c r="AF20" s="2"/>
      <c r="AG20" s="2"/>
    </row>
    <row r="21" spans="1:33" x14ac:dyDescent="0.3">
      <c r="A21" s="67">
        <f t="shared" si="0"/>
        <v>18</v>
      </c>
      <c r="B21" s="75">
        <f>YEAR(Table1[[#This Row],[Date]])+IF(MONTH(Table1[[#This Row],[Date]])&gt;=4,1,0)</f>
        <v>2025</v>
      </c>
      <c r="C21" s="74">
        <f>YEAR(Table1[[#This Row],[Date]])</f>
        <v>2025</v>
      </c>
      <c r="D21" s="74" t="s">
        <v>1082</v>
      </c>
      <c r="E21" s="74" t="s">
        <v>1082</v>
      </c>
      <c r="F21" s="181">
        <f>Table1[[#This Row],[Date]]-DAY(Table1[[#This Row],[Date]])+1</f>
        <v>45717</v>
      </c>
      <c r="G21">
        <f>DAY(EOMONTH(Table1[[#This Row],[Month Year]],0))</f>
        <v>31</v>
      </c>
      <c r="H21" s="104">
        <v>45746</v>
      </c>
      <c r="I21" s="76">
        <f>IFERROR(VLOOKUP(Table1[[#This Row],[Date]],Table3[[Date]:[Sunset Time (POA&lt;20 W/m2)]],3,0),"")</f>
        <v>0.2638888888888889</v>
      </c>
      <c r="J21" s="76">
        <f>IFERROR(VLOOKUP(Table1[[#This Row],[Date]],Table3[[Date]:[Sunset Time (POA&lt;20 W/m2)]],4,0),"")</f>
        <v>0.7680555555555556</v>
      </c>
      <c r="K21" s="77">
        <f>IFERROR((Table1[[#This Row],[Sunset Time (POA&lt;20 W/m2)]]-Table1[[#This Row],[Sunrise Time (POA&gt;20 W/m2)]])*24,"")</f>
        <v>12.1</v>
      </c>
      <c r="L21" s="108" t="s">
        <v>180</v>
      </c>
      <c r="M21" s="91">
        <f>VLOOKUP(Table1[[#This Row],[Affceted Equipment]],'Basic Data'!$A$2:$C$818,2,0)</f>
        <v>2694.6</v>
      </c>
      <c r="N21" s="93">
        <f>IFERROR(VLOOKUP(Table1[[#This Row],[Affceted Equipment]],'Basic Data'!$A$2:$C$818,3,0),"")</f>
        <v>0.33594733758057077</v>
      </c>
      <c r="O21" s="118" t="s">
        <v>323</v>
      </c>
      <c r="P21" s="94" t="s">
        <v>1085</v>
      </c>
      <c r="Q21" s="94"/>
      <c r="R21" s="94" t="s">
        <v>1089</v>
      </c>
      <c r="S21" s="92">
        <v>0.42986111111111114</v>
      </c>
      <c r="T21" s="119"/>
      <c r="U21" s="119"/>
      <c r="V21" s="92">
        <v>0.43472222222222223</v>
      </c>
      <c r="W21" s="89">
        <f>IF(Table1[[#This Row],[Acknowledgemnet Time ]]="NA","",(Table1[[#This Row],[Acknowledgemnet Time ]]-Table1[[#This Row],[Fault Time]])*24)</f>
        <v>-10.316666666666666</v>
      </c>
      <c r="X21" s="89">
        <f>IF(Table1[[#This Row],[Work Start time on Fault]]="NA","",(Table1[[#This Row],[Work Start time on Fault]]-Table1[[#This Row],[Fault Time]])*24)</f>
        <v>-10.316666666666666</v>
      </c>
      <c r="Y21" s="52">
        <f>(Table1[[#This Row],[Work Completiuon time on fualt]]-Table1[[#This Row],[Fault Time]])*24</f>
        <v>0.11666666666666625</v>
      </c>
      <c r="Z21" s="52">
        <f>IFERROR((Table1[[#This Row],[Work Completiuon time on fualt]]-Table1[[#This Row],[Fault Time]])*24,"")</f>
        <v>0.11666666666666625</v>
      </c>
      <c r="AA21" s="2" t="s">
        <v>1086</v>
      </c>
      <c r="AB21" s="2" t="s">
        <v>1081</v>
      </c>
      <c r="AC21" s="90">
        <f>IFERROR(Table1[[#This Row],[Breakdown Time]]*Table1[[#This Row],[Plant Equivalent Weightage]],"")</f>
        <v>3.9193856051066449E-2</v>
      </c>
      <c r="AD21" s="2">
        <v>0.09</v>
      </c>
      <c r="AE21" s="89">
        <f>_xlfn.XLOOKUP($F21,'Modelling New'!$D:$D,'Modelling New'!$O:$O)*Table1[[#This Row],[Lost PoA(Wh/m2)]]*Table1[[#This Row],[DC Capacity Affceted (kW)]]</f>
        <v>173.04628218429457</v>
      </c>
      <c r="AF21" s="2"/>
      <c r="AG21" s="2"/>
    </row>
    <row r="22" spans="1:33" x14ac:dyDescent="0.3">
      <c r="A22" s="67">
        <f t="shared" si="0"/>
        <v>19</v>
      </c>
      <c r="B22" s="75">
        <f>YEAR(Table1[[#This Row],[Date]])+IF(MONTH(Table1[[#This Row],[Date]])&gt;=4,1,0)</f>
        <v>2025</v>
      </c>
      <c r="C22" s="74">
        <f>YEAR(Table1[[#This Row],[Date]])</f>
        <v>2025</v>
      </c>
      <c r="D22" s="74" t="s">
        <v>1082</v>
      </c>
      <c r="E22" s="74" t="s">
        <v>1082</v>
      </c>
      <c r="F22" s="181">
        <f>Table1[[#This Row],[Date]]-DAY(Table1[[#This Row],[Date]])+1</f>
        <v>45717</v>
      </c>
      <c r="G22">
        <f>DAY(EOMONTH(Table1[[#This Row],[Month Year]],0))</f>
        <v>31</v>
      </c>
      <c r="H22" s="104">
        <v>45746</v>
      </c>
      <c r="I22" s="76">
        <f>IFERROR(VLOOKUP(Table1[[#This Row],[Date]],Table3[[Date]:[Sunset Time (POA&lt;20 W/m2)]],3,0),"")</f>
        <v>0.2638888888888889</v>
      </c>
      <c r="J22" s="76">
        <f>IFERROR(VLOOKUP(Table1[[#This Row],[Date]],Table3[[Date]:[Sunset Time (POA&lt;20 W/m2)]],4,0),"")</f>
        <v>0.7680555555555556</v>
      </c>
      <c r="K22" s="77">
        <f>IFERROR((Table1[[#This Row],[Sunset Time (POA&lt;20 W/m2)]]-Table1[[#This Row],[Sunrise Time (POA&gt;20 W/m2)]])*24,"")</f>
        <v>12.1</v>
      </c>
      <c r="L22" s="108" t="s">
        <v>231</v>
      </c>
      <c r="M22" s="91">
        <f>VLOOKUP(Table1[[#This Row],[Affceted Equipment]],'Basic Data'!$A$2:$C$818,2,0)</f>
        <v>669.6</v>
      </c>
      <c r="N22" s="93">
        <f>IFERROR(VLOOKUP(Table1[[#This Row],[Affceted Equipment]],'Basic Data'!$A$2:$C$818,3,0),"")</f>
        <v>8.348190352703562E-2</v>
      </c>
      <c r="O22" s="118" t="s">
        <v>323</v>
      </c>
      <c r="P22" s="94" t="s">
        <v>1088</v>
      </c>
      <c r="Q22" s="94"/>
      <c r="R22" s="94" t="s">
        <v>1088</v>
      </c>
      <c r="S22" s="92">
        <v>0.43472222222222223</v>
      </c>
      <c r="T22" s="119"/>
      <c r="U22" s="119"/>
      <c r="V22" s="92">
        <v>0.44166666666666665</v>
      </c>
      <c r="W22" s="89">
        <f>IF(Table1[[#This Row],[Acknowledgemnet Time ]]="NA","",(Table1[[#This Row],[Acknowledgemnet Time ]]-Table1[[#This Row],[Fault Time]])*24)</f>
        <v>-10.433333333333334</v>
      </c>
      <c r="X22" s="89">
        <f>IF(Table1[[#This Row],[Work Start time on Fault]]="NA","",(Table1[[#This Row],[Work Start time on Fault]]-Table1[[#This Row],[Fault Time]])*24)</f>
        <v>-10.433333333333334</v>
      </c>
      <c r="Y22" s="52">
        <f>(Table1[[#This Row],[Work Completiuon time on fualt]]-Table1[[#This Row],[Fault Time]])*24</f>
        <v>0.16666666666666607</v>
      </c>
      <c r="Z22" s="52">
        <f>IFERROR((Table1[[#This Row],[Work Completiuon time on fualt]]-Table1[[#This Row],[Fault Time]])*24,"")</f>
        <v>0.16666666666666607</v>
      </c>
      <c r="AA22" s="2" t="s">
        <v>1084</v>
      </c>
      <c r="AB22" s="2" t="s">
        <v>1080</v>
      </c>
      <c r="AC22" s="90">
        <f>IFERROR(Table1[[#This Row],[Breakdown Time]]*Table1[[#This Row],[Plant Equivalent Weightage]],"")</f>
        <v>1.3913650587839221E-2</v>
      </c>
      <c r="AD22" s="2">
        <v>0.12</v>
      </c>
      <c r="AE22" s="89">
        <f>_xlfn.XLOOKUP($F22,'Modelling New'!$D:$D,'Modelling New'!$O:$O)*Table1[[#This Row],[Lost PoA(Wh/m2)]]*Table1[[#This Row],[DC Capacity Affceted (kW)]]</f>
        <v>57.335307924789653</v>
      </c>
      <c r="AF22" s="2"/>
      <c r="AG22" s="2"/>
    </row>
    <row r="23" spans="1:33" x14ac:dyDescent="0.3">
      <c r="A23" s="67">
        <f t="shared" si="0"/>
        <v>20</v>
      </c>
      <c r="B23" s="75">
        <f>YEAR(Table1[[#This Row],[Date]])+IF(MONTH(Table1[[#This Row],[Date]])&gt;=4,1,0)</f>
        <v>2025</v>
      </c>
      <c r="C23" s="74">
        <f>YEAR(Table1[[#This Row],[Date]])</f>
        <v>2025</v>
      </c>
      <c r="D23" s="74" t="s">
        <v>1082</v>
      </c>
      <c r="E23" s="74" t="s">
        <v>1082</v>
      </c>
      <c r="F23" s="181">
        <f>Table1[[#This Row],[Date]]-DAY(Table1[[#This Row],[Date]])+1</f>
        <v>45717</v>
      </c>
      <c r="G23">
        <f>DAY(EOMONTH(Table1[[#This Row],[Month Year]],0))</f>
        <v>31</v>
      </c>
      <c r="H23" s="104">
        <v>45746</v>
      </c>
      <c r="I23" s="76">
        <f>IFERROR(VLOOKUP(Table1[[#This Row],[Date]],Table3[[Date]:[Sunset Time (POA&lt;20 W/m2)]],3,0),"")</f>
        <v>0.2638888888888889</v>
      </c>
      <c r="J23" s="76">
        <f>IFERROR(VLOOKUP(Table1[[#This Row],[Date]],Table3[[Date]:[Sunset Time (POA&lt;20 W/m2)]],4,0),"")</f>
        <v>0.7680555555555556</v>
      </c>
      <c r="K23" s="77">
        <f>IFERROR((Table1[[#This Row],[Sunset Time (POA&lt;20 W/m2)]]-Table1[[#This Row],[Sunrise Time (POA&gt;20 W/m2)]])*24,"")</f>
        <v>12.1</v>
      </c>
      <c r="L23" s="108" t="s">
        <v>232</v>
      </c>
      <c r="M23" s="91">
        <f>VLOOKUP(Table1[[#This Row],[Affceted Equipment]],'Basic Data'!$A$2:$C$818,2,0)</f>
        <v>669.6</v>
      </c>
      <c r="N23" s="93">
        <f>IFERROR(VLOOKUP(Table1[[#This Row],[Affceted Equipment]],'Basic Data'!$A$2:$C$818,3,0),"")</f>
        <v>8.348190352703562E-2</v>
      </c>
      <c r="O23" s="118" t="s">
        <v>323</v>
      </c>
      <c r="P23" s="94" t="s">
        <v>1090</v>
      </c>
      <c r="Q23" s="94"/>
      <c r="R23" s="94" t="s">
        <v>1090</v>
      </c>
      <c r="S23" s="92">
        <v>0.43472222222222223</v>
      </c>
      <c r="T23" s="119"/>
      <c r="U23" s="119"/>
      <c r="V23" s="92">
        <v>0.44166666666666665</v>
      </c>
      <c r="W23" s="89">
        <f>IF(Table1[[#This Row],[Acknowledgemnet Time ]]="NA","",(Table1[[#This Row],[Acknowledgemnet Time ]]-Table1[[#This Row],[Fault Time]])*24)</f>
        <v>-10.433333333333334</v>
      </c>
      <c r="X23" s="89">
        <f>IF(Table1[[#This Row],[Work Start time on Fault]]="NA","",(Table1[[#This Row],[Work Start time on Fault]]-Table1[[#This Row],[Fault Time]])*24)</f>
        <v>-10.433333333333334</v>
      </c>
      <c r="Y23" s="52">
        <f>(Table1[[#This Row],[Work Completiuon time on fualt]]-Table1[[#This Row],[Fault Time]])*24</f>
        <v>0.16666666666666607</v>
      </c>
      <c r="Z23" s="52">
        <f>IFERROR((Table1[[#This Row],[Work Completiuon time on fualt]]-Table1[[#This Row],[Fault Time]])*24,"")</f>
        <v>0.16666666666666607</v>
      </c>
      <c r="AA23" s="2" t="s">
        <v>1090</v>
      </c>
      <c r="AB23" s="2" t="s">
        <v>1080</v>
      </c>
      <c r="AC23" s="90">
        <f>IFERROR(Table1[[#This Row],[Breakdown Time]]*Table1[[#This Row],[Plant Equivalent Weightage]],"")</f>
        <v>1.3913650587839221E-2</v>
      </c>
      <c r="AD23" s="2">
        <v>0.12</v>
      </c>
      <c r="AE23" s="89">
        <f>_xlfn.XLOOKUP($F23,'Modelling New'!$D:$D,'Modelling New'!$O:$O)*Table1[[#This Row],[Lost PoA(Wh/m2)]]*Table1[[#This Row],[DC Capacity Affceted (kW)]]</f>
        <v>57.335307924789653</v>
      </c>
      <c r="AF23" s="2"/>
      <c r="AG23" s="2"/>
    </row>
    <row r="24" spans="1:33" x14ac:dyDescent="0.3">
      <c r="A24" s="67">
        <f t="shared" si="0"/>
        <v>21</v>
      </c>
      <c r="B24" s="75">
        <f>YEAR(Table1[[#This Row],[Date]])+IF(MONTH(Table1[[#This Row],[Date]])&gt;=4,1,0)</f>
        <v>2025</v>
      </c>
      <c r="C24" s="74">
        <f>YEAR(Table1[[#This Row],[Date]])</f>
        <v>2025</v>
      </c>
      <c r="D24" s="74" t="s">
        <v>1082</v>
      </c>
      <c r="E24" s="74" t="s">
        <v>1082</v>
      </c>
      <c r="F24" s="181">
        <f>Table1[[#This Row],[Date]]-DAY(Table1[[#This Row],[Date]])+1</f>
        <v>45717</v>
      </c>
      <c r="G24">
        <f>DAY(EOMONTH(Table1[[#This Row],[Month Year]],0))</f>
        <v>31</v>
      </c>
      <c r="H24" s="104">
        <v>45746</v>
      </c>
      <c r="I24" s="76">
        <f>IFERROR(VLOOKUP(Table1[[#This Row],[Date]],Table3[[Date]:[Sunset Time (POA&lt;20 W/m2)]],3,0),"")</f>
        <v>0.2638888888888889</v>
      </c>
      <c r="J24" s="76">
        <f>IFERROR(VLOOKUP(Table1[[#This Row],[Date]],Table3[[Date]:[Sunset Time (POA&lt;20 W/m2)]],4,0),"")</f>
        <v>0.7680555555555556</v>
      </c>
      <c r="K24" s="77">
        <f>IFERROR((Table1[[#This Row],[Sunset Time (POA&lt;20 W/m2)]]-Table1[[#This Row],[Sunrise Time (POA&gt;20 W/m2)]])*24,"")</f>
        <v>12.1</v>
      </c>
      <c r="L24" s="108" t="s">
        <v>180</v>
      </c>
      <c r="M24" s="91">
        <f>VLOOKUP(Table1[[#This Row],[Affceted Equipment]],'Basic Data'!$A$2:$C$818,2,0)</f>
        <v>2694.6</v>
      </c>
      <c r="N24" s="93">
        <f>IFERROR(VLOOKUP(Table1[[#This Row],[Affceted Equipment]],'Basic Data'!$A$2:$C$818,3,0),"")</f>
        <v>0.33594733758057077</v>
      </c>
      <c r="O24" s="118" t="s">
        <v>323</v>
      </c>
      <c r="P24" s="94" t="s">
        <v>1085</v>
      </c>
      <c r="Q24" s="94"/>
      <c r="R24" s="94" t="s">
        <v>1089</v>
      </c>
      <c r="S24" s="92">
        <v>0.44166666666666665</v>
      </c>
      <c r="T24" s="119"/>
      <c r="U24" s="119"/>
      <c r="V24" s="92">
        <v>0.44722222222222224</v>
      </c>
      <c r="W24" s="89">
        <f>IF(Table1[[#This Row],[Acknowledgemnet Time ]]="NA","",(Table1[[#This Row],[Acknowledgemnet Time ]]-Table1[[#This Row],[Fault Time]])*24)</f>
        <v>-10.6</v>
      </c>
      <c r="X24" s="89">
        <f>IF(Table1[[#This Row],[Work Start time on Fault]]="NA","",(Table1[[#This Row],[Work Start time on Fault]]-Table1[[#This Row],[Fault Time]])*24)</f>
        <v>-10.6</v>
      </c>
      <c r="Y24" s="52">
        <f>(Table1[[#This Row],[Work Completiuon time on fualt]]-Table1[[#This Row],[Fault Time]])*24</f>
        <v>0.13333333333333419</v>
      </c>
      <c r="Z24" s="52">
        <f>IFERROR((Table1[[#This Row],[Work Completiuon time on fualt]]-Table1[[#This Row],[Fault Time]])*24,"")</f>
        <v>0.13333333333333419</v>
      </c>
      <c r="AA24" s="2" t="s">
        <v>1086</v>
      </c>
      <c r="AB24" s="2" t="s">
        <v>1081</v>
      </c>
      <c r="AC24" s="90">
        <f>IFERROR(Table1[[#This Row],[Breakdown Time]]*Table1[[#This Row],[Plant Equivalent Weightage]],"")</f>
        <v>4.479297834407639E-2</v>
      </c>
      <c r="AD24" s="2">
        <v>0.11</v>
      </c>
      <c r="AE24" s="89">
        <f>_xlfn.XLOOKUP($F24,'Modelling New'!$D:$D,'Modelling New'!$O:$O)*Table1[[#This Row],[Lost PoA(Wh/m2)]]*Table1[[#This Row],[DC Capacity Affceted (kW)]]</f>
        <v>211.50101155858223</v>
      </c>
      <c r="AF24" s="2"/>
      <c r="AG24" s="2"/>
    </row>
    <row r="25" spans="1:33" x14ac:dyDescent="0.3">
      <c r="A25" s="67">
        <f t="shared" si="0"/>
        <v>22</v>
      </c>
      <c r="B25" s="75">
        <f>YEAR(Table1[[#This Row],[Date]])+IF(MONTH(Table1[[#This Row],[Date]])&gt;=4,1,0)</f>
        <v>2025</v>
      </c>
      <c r="C25" s="74">
        <f>YEAR(Table1[[#This Row],[Date]])</f>
        <v>2025</v>
      </c>
      <c r="D25" s="74" t="s">
        <v>1082</v>
      </c>
      <c r="E25" s="74" t="s">
        <v>1082</v>
      </c>
      <c r="F25" s="181">
        <f>Table1[[#This Row],[Date]]-DAY(Table1[[#This Row],[Date]])+1</f>
        <v>45717</v>
      </c>
      <c r="G25">
        <f>DAY(EOMONTH(Table1[[#This Row],[Month Year]],0))</f>
        <v>31</v>
      </c>
      <c r="H25" s="104">
        <v>45746</v>
      </c>
      <c r="I25" s="76">
        <f>IFERROR(VLOOKUP(Table1[[#This Row],[Date]],Table3[[Date]:[Sunset Time (POA&lt;20 W/m2)]],3,0),"")</f>
        <v>0.2638888888888889</v>
      </c>
      <c r="J25" s="76">
        <f>IFERROR(VLOOKUP(Table1[[#This Row],[Date]],Table3[[Date]:[Sunset Time (POA&lt;20 W/m2)]],4,0),"")</f>
        <v>0.7680555555555556</v>
      </c>
      <c r="K25" s="77">
        <f>IFERROR((Table1[[#This Row],[Sunset Time (POA&lt;20 W/m2)]]-Table1[[#This Row],[Sunrise Time (POA&gt;20 W/m2)]])*24,"")</f>
        <v>12.1</v>
      </c>
      <c r="L25" s="108" t="s">
        <v>231</v>
      </c>
      <c r="M25" s="91">
        <f>VLOOKUP(Table1[[#This Row],[Affceted Equipment]],'Basic Data'!$A$2:$C$818,2,0)</f>
        <v>669.6</v>
      </c>
      <c r="N25" s="93">
        <f>IFERROR(VLOOKUP(Table1[[#This Row],[Affceted Equipment]],'Basic Data'!$A$2:$C$818,3,0),"")</f>
        <v>8.348190352703562E-2</v>
      </c>
      <c r="O25" s="118" t="s">
        <v>323</v>
      </c>
      <c r="P25" s="94" t="s">
        <v>1088</v>
      </c>
      <c r="Q25" s="94"/>
      <c r="R25" s="94" t="s">
        <v>1088</v>
      </c>
      <c r="S25" s="92">
        <v>0.44722222222222224</v>
      </c>
      <c r="T25" s="119"/>
      <c r="U25" s="119"/>
      <c r="V25" s="92">
        <v>0.6875</v>
      </c>
      <c r="W25" s="89">
        <f>IF(Table1[[#This Row],[Acknowledgemnet Time ]]="NA","",(Table1[[#This Row],[Acknowledgemnet Time ]]-Table1[[#This Row],[Fault Time]])*24)</f>
        <v>-10.733333333333334</v>
      </c>
      <c r="X25" s="89">
        <f>IF(Table1[[#This Row],[Work Start time on Fault]]="NA","",(Table1[[#This Row],[Work Start time on Fault]]-Table1[[#This Row],[Fault Time]])*24)</f>
        <v>-10.733333333333334</v>
      </c>
      <c r="Y25" s="52">
        <f>(Table1[[#This Row],[Work Completiuon time on fualt]]-Table1[[#This Row],[Fault Time]])*24</f>
        <v>5.7666666666666657</v>
      </c>
      <c r="Z25" s="52">
        <f>IFERROR((Table1[[#This Row],[Work Completiuon time on fualt]]-Table1[[#This Row],[Fault Time]])*24,"")</f>
        <v>5.7666666666666657</v>
      </c>
      <c r="AA25" s="2" t="s">
        <v>1084</v>
      </c>
      <c r="AB25" s="2" t="s">
        <v>1080</v>
      </c>
      <c r="AC25" s="90">
        <f>IFERROR(Table1[[#This Row],[Breakdown Time]]*Table1[[#This Row],[Plant Equivalent Weightage]],"")</f>
        <v>0.48141231033923865</v>
      </c>
      <c r="AD25" s="2">
        <v>4.24</v>
      </c>
      <c r="AE25" s="89">
        <f>_xlfn.XLOOKUP($F25,'Modelling New'!$D:$D,'Modelling New'!$O:$O)*Table1[[#This Row],[Lost PoA(Wh/m2)]]*Table1[[#This Row],[DC Capacity Affceted (kW)]]</f>
        <v>2025.8475466759012</v>
      </c>
      <c r="AF25" s="2"/>
      <c r="AG25" s="2"/>
    </row>
    <row r="26" spans="1:33" x14ac:dyDescent="0.3">
      <c r="A26" s="67">
        <f t="shared" si="0"/>
        <v>23</v>
      </c>
      <c r="B26" s="75">
        <f>YEAR(Table1[[#This Row],[Date]])+IF(MONTH(Table1[[#This Row],[Date]])&gt;=4,1,0)</f>
        <v>2025</v>
      </c>
      <c r="C26" s="74">
        <f>YEAR(Table1[[#This Row],[Date]])</f>
        <v>2025</v>
      </c>
      <c r="D26" s="74" t="s">
        <v>1082</v>
      </c>
      <c r="E26" s="74" t="s">
        <v>1082</v>
      </c>
      <c r="F26" s="181">
        <f>Table1[[#This Row],[Date]]-DAY(Table1[[#This Row],[Date]])+1</f>
        <v>45717</v>
      </c>
      <c r="G26">
        <f>DAY(EOMONTH(Table1[[#This Row],[Month Year]],0))</f>
        <v>31</v>
      </c>
      <c r="H26" s="104">
        <v>45746</v>
      </c>
      <c r="I26" s="76">
        <f>IFERROR(VLOOKUP(Table1[[#This Row],[Date]],Table3[[Date]:[Sunset Time (POA&lt;20 W/m2)]],3,0),"")</f>
        <v>0.2638888888888889</v>
      </c>
      <c r="J26" s="76">
        <f>IFERROR(VLOOKUP(Table1[[#This Row],[Date]],Table3[[Date]:[Sunset Time (POA&lt;20 W/m2)]],4,0),"")</f>
        <v>0.7680555555555556</v>
      </c>
      <c r="K26" s="77">
        <f>IFERROR((Table1[[#This Row],[Sunset Time (POA&lt;20 W/m2)]]-Table1[[#This Row],[Sunrise Time (POA&gt;20 W/m2)]])*24,"")</f>
        <v>12.1</v>
      </c>
      <c r="L26" s="108" t="s">
        <v>232</v>
      </c>
      <c r="M26" s="91">
        <f>VLOOKUP(Table1[[#This Row],[Affceted Equipment]],'Basic Data'!$A$2:$C$818,2,0)</f>
        <v>669.6</v>
      </c>
      <c r="N26" s="93">
        <f>IFERROR(VLOOKUP(Table1[[#This Row],[Affceted Equipment]],'Basic Data'!$A$2:$C$818,3,0),"")</f>
        <v>8.348190352703562E-2</v>
      </c>
      <c r="O26" s="118" t="s">
        <v>323</v>
      </c>
      <c r="P26" s="94" t="s">
        <v>1090</v>
      </c>
      <c r="Q26" s="94"/>
      <c r="R26" s="94" t="s">
        <v>1090</v>
      </c>
      <c r="S26" s="92">
        <v>0.44722222222222224</v>
      </c>
      <c r="T26" s="119"/>
      <c r="U26" s="119"/>
      <c r="V26" s="92">
        <v>0.6875</v>
      </c>
      <c r="W26" s="89">
        <f>IF(Table1[[#This Row],[Acknowledgemnet Time ]]="NA","",(Table1[[#This Row],[Acknowledgemnet Time ]]-Table1[[#This Row],[Fault Time]])*24)</f>
        <v>-10.733333333333334</v>
      </c>
      <c r="X26" s="89">
        <f>IF(Table1[[#This Row],[Work Start time on Fault]]="NA","",(Table1[[#This Row],[Work Start time on Fault]]-Table1[[#This Row],[Fault Time]])*24)</f>
        <v>-10.733333333333334</v>
      </c>
      <c r="Y26" s="52">
        <f>(Table1[[#This Row],[Work Completiuon time on fualt]]-Table1[[#This Row],[Fault Time]])*24</f>
        <v>5.7666666666666657</v>
      </c>
      <c r="Z26" s="52">
        <f>IFERROR((Table1[[#This Row],[Work Completiuon time on fualt]]-Table1[[#This Row],[Fault Time]])*24,"")</f>
        <v>5.7666666666666657</v>
      </c>
      <c r="AA26" s="2" t="s">
        <v>1090</v>
      </c>
      <c r="AB26" s="2" t="s">
        <v>1080</v>
      </c>
      <c r="AC26" s="90">
        <f>IFERROR(Table1[[#This Row],[Breakdown Time]]*Table1[[#This Row],[Plant Equivalent Weightage]],"")</f>
        <v>0.48141231033923865</v>
      </c>
      <c r="AD26" s="2">
        <v>4.24</v>
      </c>
      <c r="AE26" s="89">
        <f>_xlfn.XLOOKUP($F26,'Modelling New'!$D:$D,'Modelling New'!$O:$O)*Table1[[#This Row],[Lost PoA(Wh/m2)]]*Table1[[#This Row],[DC Capacity Affceted (kW)]]</f>
        <v>2025.8475466759012</v>
      </c>
      <c r="AF26" s="2"/>
      <c r="AG26" s="2"/>
    </row>
    <row r="27" spans="1:33" x14ac:dyDescent="0.3">
      <c r="A27" s="67">
        <f t="shared" si="0"/>
        <v>24</v>
      </c>
      <c r="B27" s="75">
        <f>YEAR(Table1[[#This Row],[Date]])+IF(MONTH(Table1[[#This Row],[Date]])&gt;=4,1,0)</f>
        <v>2025</v>
      </c>
      <c r="C27" s="74">
        <f>YEAR(Table1[[#This Row],[Date]])</f>
        <v>2025</v>
      </c>
      <c r="D27" s="74" t="s">
        <v>1082</v>
      </c>
      <c r="E27" s="74" t="s">
        <v>1082</v>
      </c>
      <c r="F27" s="181">
        <f>Table1[[#This Row],[Date]]-DAY(Table1[[#This Row],[Date]])+1</f>
        <v>45717</v>
      </c>
      <c r="G27">
        <f>DAY(EOMONTH(Table1[[#This Row],[Month Year]],0))</f>
        <v>31</v>
      </c>
      <c r="H27" s="104">
        <v>45746</v>
      </c>
      <c r="I27" s="76">
        <f>IFERROR(VLOOKUP(Table1[[#This Row],[Date]],Table3[[Date]:[Sunset Time (POA&lt;20 W/m2)]],3,0),"")</f>
        <v>0.2638888888888889</v>
      </c>
      <c r="J27" s="76">
        <f>IFERROR(VLOOKUP(Table1[[#This Row],[Date]],Table3[[Date]:[Sunset Time (POA&lt;20 W/m2)]],4,0),"")</f>
        <v>0.7680555555555556</v>
      </c>
      <c r="K27" s="77">
        <f>IFERROR((Table1[[#This Row],[Sunset Time (POA&lt;20 W/m2)]]-Table1[[#This Row],[Sunrise Time (POA&gt;20 W/m2)]])*24,"")</f>
        <v>12.1</v>
      </c>
      <c r="L27" s="108" t="s">
        <v>180</v>
      </c>
      <c r="M27" s="91">
        <f>VLOOKUP(Table1[[#This Row],[Affceted Equipment]],'Basic Data'!$A$2:$C$818,2,0)</f>
        <v>2694.6</v>
      </c>
      <c r="N27" s="93">
        <f>IFERROR(VLOOKUP(Table1[[#This Row],[Affceted Equipment]],'Basic Data'!$A$2:$C$818,3,0),"")</f>
        <v>0.33594733758057077</v>
      </c>
      <c r="O27" s="118" t="s">
        <v>323</v>
      </c>
      <c r="P27" s="94" t="s">
        <v>1091</v>
      </c>
      <c r="Q27" s="94"/>
      <c r="R27" s="94" t="s">
        <v>1091</v>
      </c>
      <c r="S27" s="92">
        <v>0.6875</v>
      </c>
      <c r="T27" s="119"/>
      <c r="U27" s="119"/>
      <c r="V27" s="92">
        <v>0.69027777777777777</v>
      </c>
      <c r="W27" s="89">
        <f>IF(Table1[[#This Row],[Acknowledgemnet Time ]]="NA","",(Table1[[#This Row],[Acknowledgemnet Time ]]-Table1[[#This Row],[Fault Time]])*24)</f>
        <v>-16.5</v>
      </c>
      <c r="X27" s="89">
        <f>IF(Table1[[#This Row],[Work Start time on Fault]]="NA","",(Table1[[#This Row],[Work Start time on Fault]]-Table1[[#This Row],[Fault Time]])*24)</f>
        <v>-16.5</v>
      </c>
      <c r="Y27" s="52">
        <f>(Table1[[#This Row],[Work Completiuon time on fualt]]-Table1[[#This Row],[Fault Time]])*24</f>
        <v>6.666666666666643E-2</v>
      </c>
      <c r="Z27" s="52">
        <f>IFERROR((Table1[[#This Row],[Work Completiuon time on fualt]]-Table1[[#This Row],[Fault Time]])*24,"")</f>
        <v>6.666666666666643E-2</v>
      </c>
      <c r="AA27" s="2" t="s">
        <v>1086</v>
      </c>
      <c r="AB27" s="2" t="s">
        <v>1081</v>
      </c>
      <c r="AC27" s="90">
        <f>IFERROR(Table1[[#This Row],[Breakdown Time]]*Table1[[#This Row],[Plant Equivalent Weightage]],"")</f>
        <v>2.2396489172037973E-2</v>
      </c>
      <c r="AD27" s="2">
        <v>0.01</v>
      </c>
      <c r="AE27" s="89">
        <f>_xlfn.XLOOKUP($F27,'Modelling New'!$D:$D,'Modelling New'!$O:$O)*Table1[[#This Row],[Lost PoA(Wh/m2)]]*Table1[[#This Row],[DC Capacity Affceted (kW)]]</f>
        <v>19.227364687143844</v>
      </c>
      <c r="AF27" s="2"/>
      <c r="AG27" s="2"/>
    </row>
    <row r="28" spans="1:33" x14ac:dyDescent="0.3">
      <c r="A28" s="67">
        <f t="shared" si="0"/>
        <v>25</v>
      </c>
      <c r="B28" s="75">
        <f>YEAR(Table1[[#This Row],[Date]])+IF(MONTH(Table1[[#This Row],[Date]])&gt;=4,1,0)</f>
        <v>2025</v>
      </c>
      <c r="C28" s="74">
        <f>YEAR(Table1[[#This Row],[Date]])</f>
        <v>2025</v>
      </c>
      <c r="D28" s="74" t="s">
        <v>1082</v>
      </c>
      <c r="E28" s="74" t="s">
        <v>1082</v>
      </c>
      <c r="F28" s="181">
        <f>Table1[[#This Row],[Date]]-DAY(Table1[[#This Row],[Date]])+1</f>
        <v>45717</v>
      </c>
      <c r="G28">
        <f>DAY(EOMONTH(Table1[[#This Row],[Month Year]],0))</f>
        <v>31</v>
      </c>
      <c r="H28" s="104">
        <v>45746</v>
      </c>
      <c r="I28" s="76">
        <f>IFERROR(VLOOKUP(Table1[[#This Row],[Date]],Table3[[Date]:[Sunset Time (POA&lt;20 W/m2)]],3,0),"")</f>
        <v>0.2638888888888889</v>
      </c>
      <c r="J28" s="76">
        <f>IFERROR(VLOOKUP(Table1[[#This Row],[Date]],Table3[[Date]:[Sunset Time (POA&lt;20 W/m2)]],4,0),"")</f>
        <v>0.7680555555555556</v>
      </c>
      <c r="K28" s="77">
        <f>IFERROR((Table1[[#This Row],[Sunset Time (POA&lt;20 W/m2)]]-Table1[[#This Row],[Sunrise Time (POA&gt;20 W/m2)]])*24,"")</f>
        <v>12.1</v>
      </c>
      <c r="L28" s="108" t="s">
        <v>231</v>
      </c>
      <c r="M28" s="91">
        <f>VLOOKUP(Table1[[#This Row],[Affceted Equipment]],'Basic Data'!$A$2:$C$818,2,0)</f>
        <v>669.6</v>
      </c>
      <c r="N28" s="93">
        <f>IFERROR(VLOOKUP(Table1[[#This Row],[Affceted Equipment]],'Basic Data'!$A$2:$C$818,3,0),"")</f>
        <v>8.348190352703562E-2</v>
      </c>
      <c r="O28" s="118" t="s">
        <v>323</v>
      </c>
      <c r="P28" s="94" t="s">
        <v>1088</v>
      </c>
      <c r="Q28" s="94"/>
      <c r="R28" s="94" t="s">
        <v>1088</v>
      </c>
      <c r="S28" s="92">
        <v>0.69027777777777777</v>
      </c>
      <c r="T28" s="119"/>
      <c r="U28" s="119"/>
      <c r="V28" s="92">
        <v>0.7680555555555556</v>
      </c>
      <c r="W28" s="89">
        <f>IF(Table1[[#This Row],[Acknowledgemnet Time ]]="NA","",(Table1[[#This Row],[Acknowledgemnet Time ]]-Table1[[#This Row],[Fault Time]])*24)</f>
        <v>-16.566666666666666</v>
      </c>
      <c r="X28" s="89">
        <f>IF(Table1[[#This Row],[Work Start time on Fault]]="NA","",(Table1[[#This Row],[Work Start time on Fault]]-Table1[[#This Row],[Fault Time]])*24)</f>
        <v>-16.566666666666666</v>
      </c>
      <c r="Y28" s="52">
        <f>(Table1[[#This Row],[Work Completiuon time on fualt]]-Table1[[#This Row],[Fault Time]])*24</f>
        <v>1.866666666666668</v>
      </c>
      <c r="Z28" s="52">
        <f>IFERROR((Table1[[#This Row],[Work Completiuon time on fualt]]-Table1[[#This Row],[Fault Time]])*24,"")</f>
        <v>1.866666666666668</v>
      </c>
      <c r="AA28" s="2" t="s">
        <v>1084</v>
      </c>
      <c r="AB28" s="2" t="s">
        <v>1080</v>
      </c>
      <c r="AC28" s="90">
        <f>IFERROR(Table1[[#This Row],[Breakdown Time]]*Table1[[#This Row],[Plant Equivalent Weightage]],"")</f>
        <v>0.15583288658379993</v>
      </c>
      <c r="AD28" s="2">
        <v>0.21</v>
      </c>
      <c r="AE28" s="89">
        <f>_xlfn.XLOOKUP($F28,'Modelling New'!$D:$D,'Modelling New'!$O:$O)*Table1[[#This Row],[Lost PoA(Wh/m2)]]*Table1[[#This Row],[DC Capacity Affceted (kW)]]</f>
        <v>100.3367888683819</v>
      </c>
      <c r="AF28" s="2"/>
      <c r="AG28" s="2"/>
    </row>
    <row r="29" spans="1:33" x14ac:dyDescent="0.3">
      <c r="A29" s="67">
        <f t="shared" si="0"/>
        <v>26</v>
      </c>
      <c r="B29" s="75">
        <f>YEAR(Table1[[#This Row],[Date]])+IF(MONTH(Table1[[#This Row],[Date]])&gt;=4,1,0)</f>
        <v>2025</v>
      </c>
      <c r="C29" s="74">
        <f>YEAR(Table1[[#This Row],[Date]])</f>
        <v>2025</v>
      </c>
      <c r="D29" s="74" t="s">
        <v>1082</v>
      </c>
      <c r="E29" s="74" t="s">
        <v>1082</v>
      </c>
      <c r="F29" s="181">
        <f>Table1[[#This Row],[Date]]-DAY(Table1[[#This Row],[Date]])+1</f>
        <v>45717</v>
      </c>
      <c r="G29">
        <f>DAY(EOMONTH(Table1[[#This Row],[Month Year]],0))</f>
        <v>31</v>
      </c>
      <c r="H29" s="104">
        <v>45747</v>
      </c>
      <c r="I29" s="76">
        <f>IFERROR(VLOOKUP(Table1[[#This Row],[Date]],Table3[[Date]:[Sunset Time (POA&lt;20 W/m2)]],3,0),"")</f>
        <v>0.2638888888888889</v>
      </c>
      <c r="J29" s="76">
        <f>IFERROR(VLOOKUP(Table1[[#This Row],[Date]],Table3[[Date]:[Sunset Time (POA&lt;20 W/m2)]],4,0),"")</f>
        <v>0.77013888888888893</v>
      </c>
      <c r="K29" s="77">
        <f>IFERROR((Table1[[#This Row],[Sunset Time (POA&lt;20 W/m2)]]-Table1[[#This Row],[Sunrise Time (POA&gt;20 W/m2)]])*24,"")</f>
        <v>12.150000000000002</v>
      </c>
      <c r="L29" s="108" t="s">
        <v>238</v>
      </c>
      <c r="M29" s="91">
        <f>VLOOKUP(Table1[[#This Row],[Affceted Equipment]],'Basic Data'!$A$2:$C$818,2,0)</f>
        <v>658.8</v>
      </c>
      <c r="N29" s="93">
        <f>IFERROR(VLOOKUP(Table1[[#This Row],[Affceted Equipment]],'Basic Data'!$A$2:$C$818,3,0),"")</f>
        <v>8.2135421212083434E-2</v>
      </c>
      <c r="O29" s="118" t="s">
        <v>323</v>
      </c>
      <c r="P29" s="94" t="s">
        <v>1087</v>
      </c>
      <c r="Q29" s="94"/>
      <c r="R29" s="94" t="s">
        <v>1087</v>
      </c>
      <c r="S29" s="92">
        <v>0.2638888888888889</v>
      </c>
      <c r="T29" s="119"/>
      <c r="U29" s="119"/>
      <c r="V29" s="92">
        <v>0.77013888888888893</v>
      </c>
      <c r="W29" s="89">
        <f>IF(Table1[[#This Row],[Acknowledgemnet Time ]]="NA","",(Table1[[#This Row],[Acknowledgemnet Time ]]-Table1[[#This Row],[Fault Time]])*24)</f>
        <v>-6.3333333333333339</v>
      </c>
      <c r="X29" s="89">
        <f>IF(Table1[[#This Row],[Work Start time on Fault]]="NA","",(Table1[[#This Row],[Work Start time on Fault]]-Table1[[#This Row],[Fault Time]])*24)</f>
        <v>-6.3333333333333339</v>
      </c>
      <c r="Y29" s="52">
        <f>(Table1[[#This Row],[Work Completiuon time on fualt]]-Table1[[#This Row],[Fault Time]])*24</f>
        <v>12.150000000000002</v>
      </c>
      <c r="Z29" s="52">
        <f>IFERROR((Table1[[#This Row],[Work Completiuon time on fualt]]-Table1[[#This Row],[Fault Time]])*24,"")</f>
        <v>12.150000000000002</v>
      </c>
      <c r="AA29" s="2" t="s">
        <v>1084</v>
      </c>
      <c r="AB29" s="2" t="s">
        <v>1080</v>
      </c>
      <c r="AC29" s="90">
        <f>IFERROR(Table1[[#This Row],[Breakdown Time]]*Table1[[#This Row],[Plant Equivalent Weightage]],"")</f>
        <v>0.99794536772681386</v>
      </c>
      <c r="AD29" s="2">
        <v>5.99</v>
      </c>
      <c r="AE29" s="89">
        <f>_xlfn.XLOOKUP($F29,'Modelling New'!$D:$D,'Modelling New'!$O:$O)*Table1[[#This Row],[Lost PoA(Wh/m2)]]*Table1[[#This Row],[DC Capacity Affceted (kW)]]</f>
        <v>2815.8263659460872</v>
      </c>
      <c r="AF29" s="2"/>
      <c r="AG29" s="2"/>
    </row>
    <row r="30" spans="1:33" x14ac:dyDescent="0.3">
      <c r="A30" s="67">
        <f t="shared" si="0"/>
        <v>27</v>
      </c>
      <c r="B30" s="75">
        <f>YEAR(Table1[[#This Row],[Date]])+IF(MONTH(Table1[[#This Row],[Date]])&gt;=4,1,0)</f>
        <v>2025</v>
      </c>
      <c r="C30" s="74">
        <f>YEAR(Table1[[#This Row],[Date]])</f>
        <v>2025</v>
      </c>
      <c r="D30" s="74" t="s">
        <v>1082</v>
      </c>
      <c r="E30" s="74" t="s">
        <v>1082</v>
      </c>
      <c r="F30" s="181">
        <f>Table1[[#This Row],[Date]]-DAY(Table1[[#This Row],[Date]])+1</f>
        <v>45717</v>
      </c>
      <c r="G30">
        <f>DAY(EOMONTH(Table1[[#This Row],[Month Year]],0))</f>
        <v>31</v>
      </c>
      <c r="H30" s="104">
        <v>45747</v>
      </c>
      <c r="I30" s="76">
        <f>IFERROR(VLOOKUP(Table1[[#This Row],[Date]],Table3[[Date]:[Sunset Time (POA&lt;20 W/m2)]],3,0),"")</f>
        <v>0.2638888888888889</v>
      </c>
      <c r="J30" s="76">
        <f>IFERROR(VLOOKUP(Table1[[#This Row],[Date]],Table3[[Date]:[Sunset Time (POA&lt;20 W/m2)]],4,0),"")</f>
        <v>0.77013888888888893</v>
      </c>
      <c r="K30" s="77">
        <f>IFERROR((Table1[[#This Row],[Sunset Time (POA&lt;20 W/m2)]]-Table1[[#This Row],[Sunrise Time (POA&gt;20 W/m2)]])*24,"")</f>
        <v>12.150000000000002</v>
      </c>
      <c r="L30" s="108" t="s">
        <v>231</v>
      </c>
      <c r="M30" s="91">
        <f>VLOOKUP(Table1[[#This Row],[Affceted Equipment]],'Basic Data'!$A$2:$C$818,2,0)</f>
        <v>669.6</v>
      </c>
      <c r="N30" s="93">
        <f>IFERROR(VLOOKUP(Table1[[#This Row],[Affceted Equipment]],'Basic Data'!$A$2:$C$818,3,0),"")</f>
        <v>8.348190352703562E-2</v>
      </c>
      <c r="O30" s="118" t="s">
        <v>323</v>
      </c>
      <c r="P30" s="94" t="s">
        <v>1088</v>
      </c>
      <c r="Q30" s="94"/>
      <c r="R30" s="94" t="s">
        <v>1088</v>
      </c>
      <c r="S30" s="92">
        <v>0.2638888888888889</v>
      </c>
      <c r="T30" s="119"/>
      <c r="U30" s="119"/>
      <c r="V30" s="92">
        <v>0.43541666666666667</v>
      </c>
      <c r="W30" s="89">
        <f>IF(Table1[[#This Row],[Acknowledgemnet Time ]]="NA","",(Table1[[#This Row],[Acknowledgemnet Time ]]-Table1[[#This Row],[Fault Time]])*24)</f>
        <v>-6.3333333333333339</v>
      </c>
      <c r="X30" s="89">
        <f>IF(Table1[[#This Row],[Work Start time on Fault]]="NA","",(Table1[[#This Row],[Work Start time on Fault]]-Table1[[#This Row],[Fault Time]])*24)</f>
        <v>-6.3333333333333339</v>
      </c>
      <c r="Y30" s="52">
        <f>(Table1[[#This Row],[Work Completiuon time on fualt]]-Table1[[#This Row],[Fault Time]])*24</f>
        <v>4.1166666666666671</v>
      </c>
      <c r="Z30" s="52">
        <f>IFERROR((Table1[[#This Row],[Work Completiuon time on fualt]]-Table1[[#This Row],[Fault Time]])*24,"")</f>
        <v>4.1166666666666671</v>
      </c>
      <c r="AA30" s="2" t="s">
        <v>1084</v>
      </c>
      <c r="AB30" s="2" t="s">
        <v>1080</v>
      </c>
      <c r="AC30" s="90">
        <f>IFERROR(Table1[[#This Row],[Breakdown Time]]*Table1[[#This Row],[Plant Equivalent Weightage]],"")</f>
        <v>0.34366716951963</v>
      </c>
      <c r="AD30" s="2">
        <v>1.28</v>
      </c>
      <c r="AE30" s="89">
        <f>_xlfn.XLOOKUP($F30,'Modelling New'!$D:$D,'Modelling New'!$O:$O)*Table1[[#This Row],[Lost PoA(Wh/m2)]]*Table1[[#This Row],[DC Capacity Affceted (kW)]]</f>
        <v>611.57661786442304</v>
      </c>
      <c r="AF30" s="2"/>
      <c r="AG30" s="2"/>
    </row>
    <row r="31" spans="1:33" x14ac:dyDescent="0.3">
      <c r="A31" s="67">
        <f t="shared" si="0"/>
        <v>28</v>
      </c>
      <c r="B31" s="75">
        <f>YEAR(Table1[[#This Row],[Date]])+IF(MONTH(Table1[[#This Row],[Date]])&gt;=4,1,0)</f>
        <v>2025</v>
      </c>
      <c r="C31" s="74">
        <f>YEAR(Table1[[#This Row],[Date]])</f>
        <v>2025</v>
      </c>
      <c r="D31" s="74" t="s">
        <v>1082</v>
      </c>
      <c r="E31" s="74" t="s">
        <v>1082</v>
      </c>
      <c r="F31" s="181">
        <f>Table1[[#This Row],[Date]]-DAY(Table1[[#This Row],[Date]])+1</f>
        <v>45717</v>
      </c>
      <c r="G31">
        <f>DAY(EOMONTH(Table1[[#This Row],[Month Year]],0))</f>
        <v>31</v>
      </c>
      <c r="H31" s="104">
        <v>45747</v>
      </c>
      <c r="I31" s="76">
        <f>IFERROR(VLOOKUP(Table1[[#This Row],[Date]],Table3[[Date]:[Sunset Time (POA&lt;20 W/m2)]],3,0),"")</f>
        <v>0.2638888888888889</v>
      </c>
      <c r="J31" s="76">
        <f>IFERROR(VLOOKUP(Table1[[#This Row],[Date]],Table3[[Date]:[Sunset Time (POA&lt;20 W/m2)]],4,0),"")</f>
        <v>0.77013888888888893</v>
      </c>
      <c r="K31" s="77">
        <f>IFERROR((Table1[[#This Row],[Sunset Time (POA&lt;20 W/m2)]]-Table1[[#This Row],[Sunrise Time (POA&gt;20 W/m2)]])*24,"")</f>
        <v>12.150000000000002</v>
      </c>
      <c r="L31" s="108" t="s">
        <v>180</v>
      </c>
      <c r="M31" s="91">
        <f>VLOOKUP(Table1[[#This Row],[Affceted Equipment]],'Basic Data'!$A$2:$C$818,2,0)</f>
        <v>2694.6</v>
      </c>
      <c r="N31" s="93">
        <f>IFERROR(VLOOKUP(Table1[[#This Row],[Affceted Equipment]],'Basic Data'!$A$2:$C$818,3,0),"")</f>
        <v>0.33594733758057077</v>
      </c>
      <c r="O31" s="118" t="s">
        <v>323</v>
      </c>
      <c r="P31" s="94" t="s">
        <v>1085</v>
      </c>
      <c r="Q31" s="94"/>
      <c r="R31" s="94" t="s">
        <v>1089</v>
      </c>
      <c r="S31" s="92">
        <v>0.43541666666666667</v>
      </c>
      <c r="T31" s="119"/>
      <c r="U31" s="119"/>
      <c r="V31" s="92">
        <v>0.43888888888888888</v>
      </c>
      <c r="W31" s="89">
        <f>IF(Table1[[#This Row],[Acknowledgemnet Time ]]="NA","",(Table1[[#This Row],[Acknowledgemnet Time ]]-Table1[[#This Row],[Fault Time]])*24)</f>
        <v>-10.45</v>
      </c>
      <c r="X31" s="89">
        <f>IF(Table1[[#This Row],[Work Start time on Fault]]="NA","",(Table1[[#This Row],[Work Start time on Fault]]-Table1[[#This Row],[Fault Time]])*24)</f>
        <v>-10.45</v>
      </c>
      <c r="Y31" s="52">
        <f>(Table1[[#This Row],[Work Completiuon time on fualt]]-Table1[[#This Row],[Fault Time]])*24</f>
        <v>8.3333333333333037E-2</v>
      </c>
      <c r="Z31" s="52">
        <f>IFERROR((Table1[[#This Row],[Work Completiuon time on fualt]]-Table1[[#This Row],[Fault Time]])*24,"")</f>
        <v>8.3333333333333037E-2</v>
      </c>
      <c r="AA31" s="2" t="s">
        <v>1086</v>
      </c>
      <c r="AB31" s="2" t="s">
        <v>1081</v>
      </c>
      <c r="AC31" s="90">
        <f>IFERROR(Table1[[#This Row],[Breakdown Time]]*Table1[[#This Row],[Plant Equivalent Weightage]],"")</f>
        <v>2.7995611465047466E-2</v>
      </c>
      <c r="AD31" s="2">
        <v>0.06</v>
      </c>
      <c r="AE31" s="89">
        <f>_xlfn.XLOOKUP($F31,'Modelling New'!$D:$D,'Modelling New'!$O:$O)*Table1[[#This Row],[Lost PoA(Wh/m2)]]*Table1[[#This Row],[DC Capacity Affceted (kW)]]</f>
        <v>115.36418812286304</v>
      </c>
      <c r="AF31" s="2"/>
      <c r="AG31" s="2"/>
    </row>
    <row r="32" spans="1:33" x14ac:dyDescent="0.3">
      <c r="A32" s="67">
        <f t="shared" si="0"/>
        <v>29</v>
      </c>
      <c r="B32" s="75">
        <f>YEAR(Table1[[#This Row],[Date]])+IF(MONTH(Table1[[#This Row],[Date]])&gt;=4,1,0)</f>
        <v>2025</v>
      </c>
      <c r="C32" s="74">
        <f>YEAR(Table1[[#This Row],[Date]])</f>
        <v>2025</v>
      </c>
      <c r="D32" s="74" t="s">
        <v>1082</v>
      </c>
      <c r="E32" s="74" t="s">
        <v>1082</v>
      </c>
      <c r="F32" s="181">
        <f>Table1[[#This Row],[Date]]-DAY(Table1[[#This Row],[Date]])+1</f>
        <v>45717</v>
      </c>
      <c r="G32">
        <f>DAY(EOMONTH(Table1[[#This Row],[Month Year]],0))</f>
        <v>31</v>
      </c>
      <c r="H32" s="104">
        <v>45747</v>
      </c>
      <c r="I32" s="76">
        <f>IFERROR(VLOOKUP(Table1[[#This Row],[Date]],Table3[[Date]:[Sunset Time (POA&lt;20 W/m2)]],3,0),"")</f>
        <v>0.2638888888888889</v>
      </c>
      <c r="J32" s="76">
        <f>IFERROR(VLOOKUP(Table1[[#This Row],[Date]],Table3[[Date]:[Sunset Time (POA&lt;20 W/m2)]],4,0),"")</f>
        <v>0.77013888888888893</v>
      </c>
      <c r="K32" s="77">
        <f>IFERROR((Table1[[#This Row],[Sunset Time (POA&lt;20 W/m2)]]-Table1[[#This Row],[Sunrise Time (POA&gt;20 W/m2)]])*24,"")</f>
        <v>12.150000000000002</v>
      </c>
      <c r="L32" s="108" t="s">
        <v>231</v>
      </c>
      <c r="M32" s="91">
        <f>VLOOKUP(Table1[[#This Row],[Affceted Equipment]],'Basic Data'!$A$2:$C$818,2,0)</f>
        <v>669.6</v>
      </c>
      <c r="N32" s="93">
        <f>IFERROR(VLOOKUP(Table1[[#This Row],[Affceted Equipment]],'Basic Data'!$A$2:$C$818,3,0),"")</f>
        <v>8.348190352703562E-2</v>
      </c>
      <c r="O32" s="118" t="s">
        <v>323</v>
      </c>
      <c r="P32" s="94" t="s">
        <v>1088</v>
      </c>
      <c r="Q32" s="94"/>
      <c r="R32" s="94" t="s">
        <v>1088</v>
      </c>
      <c r="S32" s="92">
        <v>0.43888888888888888</v>
      </c>
      <c r="T32" s="119"/>
      <c r="U32" s="119"/>
      <c r="V32" s="92">
        <v>0.4465277777777778</v>
      </c>
      <c r="W32" s="89">
        <f>IF(Table1[[#This Row],[Acknowledgemnet Time ]]="NA","",(Table1[[#This Row],[Acknowledgemnet Time ]]-Table1[[#This Row],[Fault Time]])*24)</f>
        <v>-10.533333333333333</v>
      </c>
      <c r="X32" s="89">
        <f>IF(Table1[[#This Row],[Work Start time on Fault]]="NA","",(Table1[[#This Row],[Work Start time on Fault]]-Table1[[#This Row],[Fault Time]])*24)</f>
        <v>-10.533333333333333</v>
      </c>
      <c r="Y32" s="52">
        <f>(Table1[[#This Row],[Work Completiuon time on fualt]]-Table1[[#This Row],[Fault Time]])*24</f>
        <v>0.18333333333333401</v>
      </c>
      <c r="Z32" s="52">
        <f>IFERROR((Table1[[#This Row],[Work Completiuon time on fualt]]-Table1[[#This Row],[Fault Time]])*24,"")</f>
        <v>0.18333333333333401</v>
      </c>
      <c r="AA32" s="2" t="s">
        <v>1084</v>
      </c>
      <c r="AB32" s="2" t="s">
        <v>1080</v>
      </c>
      <c r="AC32" s="90">
        <f>IFERROR(Table1[[#This Row],[Breakdown Time]]*Table1[[#This Row],[Plant Equivalent Weightage]],"")</f>
        <v>1.5305015646623253E-2</v>
      </c>
      <c r="AD32" s="2">
        <v>0.14000000000000001</v>
      </c>
      <c r="AE32" s="89">
        <f>_xlfn.XLOOKUP($F32,'Modelling New'!$D:$D,'Modelling New'!$O:$O)*Table1[[#This Row],[Lost PoA(Wh/m2)]]*Table1[[#This Row],[DC Capacity Affceted (kW)]]</f>
        <v>66.891192578921263</v>
      </c>
      <c r="AF32" s="2"/>
      <c r="AG32" s="2"/>
    </row>
    <row r="33" spans="1:33" x14ac:dyDescent="0.3">
      <c r="A33" s="67">
        <f t="shared" si="0"/>
        <v>30</v>
      </c>
      <c r="B33" s="75">
        <f>YEAR(Table1[[#This Row],[Date]])+IF(MONTH(Table1[[#This Row],[Date]])&gt;=4,1,0)</f>
        <v>2025</v>
      </c>
      <c r="C33" s="74">
        <f>YEAR(Table1[[#This Row],[Date]])</f>
        <v>2025</v>
      </c>
      <c r="D33" s="74" t="s">
        <v>1082</v>
      </c>
      <c r="E33" s="74" t="s">
        <v>1082</v>
      </c>
      <c r="F33" s="181">
        <f>Table1[[#This Row],[Date]]-DAY(Table1[[#This Row],[Date]])+1</f>
        <v>45717</v>
      </c>
      <c r="G33">
        <f>DAY(EOMONTH(Table1[[#This Row],[Month Year]],0))</f>
        <v>31</v>
      </c>
      <c r="H33" s="104">
        <v>45747</v>
      </c>
      <c r="I33" s="76">
        <f>IFERROR(VLOOKUP(Table1[[#This Row],[Date]],Table3[[Date]:[Sunset Time (POA&lt;20 W/m2)]],3,0),"")</f>
        <v>0.2638888888888889</v>
      </c>
      <c r="J33" s="76">
        <f>IFERROR(VLOOKUP(Table1[[#This Row],[Date]],Table3[[Date]:[Sunset Time (POA&lt;20 W/m2)]],4,0),"")</f>
        <v>0.77013888888888893</v>
      </c>
      <c r="K33" s="77">
        <f>IFERROR((Table1[[#This Row],[Sunset Time (POA&lt;20 W/m2)]]-Table1[[#This Row],[Sunrise Time (POA&gt;20 W/m2)]])*24,"")</f>
        <v>12.150000000000002</v>
      </c>
      <c r="L33" s="108" t="s">
        <v>232</v>
      </c>
      <c r="M33" s="91">
        <f>VLOOKUP(Table1[[#This Row],[Affceted Equipment]],'Basic Data'!$A$2:$C$818,2,0)</f>
        <v>669.6</v>
      </c>
      <c r="N33" s="93">
        <f>IFERROR(VLOOKUP(Table1[[#This Row],[Affceted Equipment]],'Basic Data'!$A$2:$C$818,3,0),"")</f>
        <v>8.348190352703562E-2</v>
      </c>
      <c r="O33" s="118" t="s">
        <v>323</v>
      </c>
      <c r="P33" s="94" t="s">
        <v>1090</v>
      </c>
      <c r="Q33" s="94"/>
      <c r="R33" s="94" t="s">
        <v>1090</v>
      </c>
      <c r="S33" s="92">
        <v>0.43888888888888888</v>
      </c>
      <c r="T33" s="119"/>
      <c r="U33" s="119"/>
      <c r="V33" s="92">
        <v>0.4465277777777778</v>
      </c>
      <c r="W33" s="89">
        <f>IF(Table1[[#This Row],[Acknowledgemnet Time ]]="NA","",(Table1[[#This Row],[Acknowledgemnet Time ]]-Table1[[#This Row],[Fault Time]])*24)</f>
        <v>-10.533333333333333</v>
      </c>
      <c r="X33" s="89">
        <f>IF(Table1[[#This Row],[Work Start time on Fault]]="NA","",(Table1[[#This Row],[Work Start time on Fault]]-Table1[[#This Row],[Fault Time]])*24)</f>
        <v>-10.533333333333333</v>
      </c>
      <c r="Y33" s="52">
        <f>(Table1[[#This Row],[Work Completiuon time on fualt]]-Table1[[#This Row],[Fault Time]])*24</f>
        <v>0.18333333333333401</v>
      </c>
      <c r="Z33" s="52">
        <f>IFERROR((Table1[[#This Row],[Work Completiuon time on fualt]]-Table1[[#This Row],[Fault Time]])*24,"")</f>
        <v>0.18333333333333401</v>
      </c>
      <c r="AA33" s="2" t="s">
        <v>1090</v>
      </c>
      <c r="AB33" s="2" t="s">
        <v>1080</v>
      </c>
      <c r="AC33" s="90">
        <f>IFERROR(Table1[[#This Row],[Breakdown Time]]*Table1[[#This Row],[Plant Equivalent Weightage]],"")</f>
        <v>1.5305015646623253E-2</v>
      </c>
      <c r="AD33" s="2">
        <v>0.14000000000000001</v>
      </c>
      <c r="AE33" s="89">
        <f>_xlfn.XLOOKUP($F33,'Modelling New'!$D:$D,'Modelling New'!$O:$O)*Table1[[#This Row],[Lost PoA(Wh/m2)]]*Table1[[#This Row],[DC Capacity Affceted (kW)]]</f>
        <v>66.891192578921263</v>
      </c>
      <c r="AF33" s="2"/>
      <c r="AG33" s="2"/>
    </row>
    <row r="34" spans="1:33" x14ac:dyDescent="0.3">
      <c r="A34" s="67">
        <f t="shared" si="0"/>
        <v>31</v>
      </c>
      <c r="B34" s="75">
        <f>YEAR(Table1[[#This Row],[Date]])+IF(MONTH(Table1[[#This Row],[Date]])&gt;=4,1,0)</f>
        <v>2025</v>
      </c>
      <c r="C34" s="74">
        <f>YEAR(Table1[[#This Row],[Date]])</f>
        <v>2025</v>
      </c>
      <c r="D34" s="74" t="s">
        <v>1082</v>
      </c>
      <c r="E34" s="74" t="s">
        <v>1082</v>
      </c>
      <c r="F34" s="181">
        <f>Table1[[#This Row],[Date]]-DAY(Table1[[#This Row],[Date]])+1</f>
        <v>45717</v>
      </c>
      <c r="G34">
        <f>DAY(EOMONTH(Table1[[#This Row],[Month Year]],0))</f>
        <v>31</v>
      </c>
      <c r="H34" s="104">
        <v>45747</v>
      </c>
      <c r="I34" s="76">
        <f>IFERROR(VLOOKUP(Table1[[#This Row],[Date]],Table3[[Date]:[Sunset Time (POA&lt;20 W/m2)]],3,0),"")</f>
        <v>0.2638888888888889</v>
      </c>
      <c r="J34" s="76">
        <f>IFERROR(VLOOKUP(Table1[[#This Row],[Date]],Table3[[Date]:[Sunset Time (POA&lt;20 W/m2)]],4,0),"")</f>
        <v>0.77013888888888893</v>
      </c>
      <c r="K34" s="77">
        <f>IFERROR((Table1[[#This Row],[Sunset Time (POA&lt;20 W/m2)]]-Table1[[#This Row],[Sunrise Time (POA&gt;20 W/m2)]])*24,"")</f>
        <v>12.150000000000002</v>
      </c>
      <c r="L34" s="108" t="s">
        <v>180</v>
      </c>
      <c r="M34" s="91">
        <f>VLOOKUP(Table1[[#This Row],[Affceted Equipment]],'Basic Data'!$A$2:$C$818,2,0)</f>
        <v>2694.6</v>
      </c>
      <c r="N34" s="93">
        <f>IFERROR(VLOOKUP(Table1[[#This Row],[Affceted Equipment]],'Basic Data'!$A$2:$C$818,3,0),"")</f>
        <v>0.33594733758057077</v>
      </c>
      <c r="O34" s="118" t="s">
        <v>323</v>
      </c>
      <c r="P34" s="94" t="s">
        <v>1085</v>
      </c>
      <c r="Q34" s="94"/>
      <c r="R34" s="94" t="s">
        <v>1089</v>
      </c>
      <c r="S34" s="92">
        <v>0.4465277777777778</v>
      </c>
      <c r="T34" s="119"/>
      <c r="U34" s="119"/>
      <c r="V34" s="92">
        <v>0.45</v>
      </c>
      <c r="W34" s="89">
        <f>IF(Table1[[#This Row],[Acknowledgemnet Time ]]="NA","",(Table1[[#This Row],[Acknowledgemnet Time ]]-Table1[[#This Row],[Fault Time]])*24)</f>
        <v>-10.716666666666667</v>
      </c>
      <c r="X34" s="89">
        <f>IF(Table1[[#This Row],[Work Start time on Fault]]="NA","",(Table1[[#This Row],[Work Start time on Fault]]-Table1[[#This Row],[Fault Time]])*24)</f>
        <v>-10.716666666666667</v>
      </c>
      <c r="Y34" s="52">
        <f>(Table1[[#This Row],[Work Completiuon time on fualt]]-Table1[[#This Row],[Fault Time]])*24</f>
        <v>8.3333333333333037E-2</v>
      </c>
      <c r="Z34" s="52">
        <f>IFERROR((Table1[[#This Row],[Work Completiuon time on fualt]]-Table1[[#This Row],[Fault Time]])*24,"")</f>
        <v>8.3333333333333037E-2</v>
      </c>
      <c r="AA34" s="2" t="s">
        <v>1086</v>
      </c>
      <c r="AB34" s="2" t="s">
        <v>1081</v>
      </c>
      <c r="AC34" s="90">
        <f>IFERROR(Table1[[#This Row],[Breakdown Time]]*Table1[[#This Row],[Plant Equivalent Weightage]],"")</f>
        <v>2.7995611465047466E-2</v>
      </c>
      <c r="AD34" s="2">
        <v>7.0000000000000007E-2</v>
      </c>
      <c r="AE34" s="89">
        <f>_xlfn.XLOOKUP($F34,'Modelling New'!$D:$D,'Modelling New'!$O:$O)*Table1[[#This Row],[Lost PoA(Wh/m2)]]*Table1[[#This Row],[DC Capacity Affceted (kW)]]</f>
        <v>134.5915528100069</v>
      </c>
      <c r="AF34" s="2"/>
      <c r="AG34" s="2"/>
    </row>
    <row r="35" spans="1:33" x14ac:dyDescent="0.3">
      <c r="A35" s="67">
        <f t="shared" si="0"/>
        <v>32</v>
      </c>
      <c r="B35" s="75">
        <f>YEAR(Table1[[#This Row],[Date]])+IF(MONTH(Table1[[#This Row],[Date]])&gt;=4,1,0)</f>
        <v>2025</v>
      </c>
      <c r="C35" s="74">
        <f>YEAR(Table1[[#This Row],[Date]])</f>
        <v>2025</v>
      </c>
      <c r="D35" s="74" t="s">
        <v>1082</v>
      </c>
      <c r="E35" s="74" t="s">
        <v>1082</v>
      </c>
      <c r="F35" s="181">
        <f>Table1[[#This Row],[Date]]-DAY(Table1[[#This Row],[Date]])+1</f>
        <v>45717</v>
      </c>
      <c r="G35">
        <f>DAY(EOMONTH(Table1[[#This Row],[Month Year]],0))</f>
        <v>31</v>
      </c>
      <c r="H35" s="104">
        <v>45747</v>
      </c>
      <c r="I35" s="76">
        <f>IFERROR(VLOOKUP(Table1[[#This Row],[Date]],Table3[[Date]:[Sunset Time (POA&lt;20 W/m2)]],3,0),"")</f>
        <v>0.2638888888888889</v>
      </c>
      <c r="J35" s="76">
        <f>IFERROR(VLOOKUP(Table1[[#This Row],[Date]],Table3[[Date]:[Sunset Time (POA&lt;20 W/m2)]],4,0),"")</f>
        <v>0.77013888888888893</v>
      </c>
      <c r="K35" s="77">
        <f>IFERROR((Table1[[#This Row],[Sunset Time (POA&lt;20 W/m2)]]-Table1[[#This Row],[Sunrise Time (POA&gt;20 W/m2)]])*24,"")</f>
        <v>12.150000000000002</v>
      </c>
      <c r="L35" s="108" t="s">
        <v>231</v>
      </c>
      <c r="M35" s="91">
        <f>VLOOKUP(Table1[[#This Row],[Affceted Equipment]],'Basic Data'!$A$2:$C$818,2,0)</f>
        <v>669.6</v>
      </c>
      <c r="N35" s="93">
        <f>IFERROR(VLOOKUP(Table1[[#This Row],[Affceted Equipment]],'Basic Data'!$A$2:$C$818,3,0),"")</f>
        <v>8.348190352703562E-2</v>
      </c>
      <c r="O35" s="118" t="s">
        <v>323</v>
      </c>
      <c r="P35" s="94" t="s">
        <v>1088</v>
      </c>
      <c r="Q35" s="94"/>
      <c r="R35" s="94" t="s">
        <v>1088</v>
      </c>
      <c r="S35" s="92">
        <v>0.45</v>
      </c>
      <c r="T35" s="119"/>
      <c r="U35" s="119"/>
      <c r="V35" s="92">
        <v>0.68402777777777779</v>
      </c>
      <c r="W35" s="89">
        <f>IF(Table1[[#This Row],[Acknowledgemnet Time ]]="NA","",(Table1[[#This Row],[Acknowledgemnet Time ]]-Table1[[#This Row],[Fault Time]])*24)</f>
        <v>-10.8</v>
      </c>
      <c r="X35" s="89">
        <f>IF(Table1[[#This Row],[Work Start time on Fault]]="NA","",(Table1[[#This Row],[Work Start time on Fault]]-Table1[[#This Row],[Fault Time]])*24)</f>
        <v>-10.8</v>
      </c>
      <c r="Y35" s="52">
        <f>(Table1[[#This Row],[Work Completiuon time on fualt]]-Table1[[#This Row],[Fault Time]])*24</f>
        <v>5.6166666666666671</v>
      </c>
      <c r="Z35" s="52">
        <f>IFERROR((Table1[[#This Row],[Work Completiuon time on fualt]]-Table1[[#This Row],[Fault Time]])*24,"")</f>
        <v>5.6166666666666671</v>
      </c>
      <c r="AA35" s="2" t="s">
        <v>1084</v>
      </c>
      <c r="AB35" s="2" t="s">
        <v>1080</v>
      </c>
      <c r="AC35" s="90">
        <f>IFERROR(Table1[[#This Row],[Breakdown Time]]*Table1[[#This Row],[Plant Equivalent Weightage]],"")</f>
        <v>0.46889002481018344</v>
      </c>
      <c r="AD35" s="2">
        <v>4.16</v>
      </c>
      <c r="AE35" s="89">
        <f>_xlfn.XLOOKUP($F35,'Modelling New'!$D:$D,'Modelling New'!$O:$O)*Table1[[#This Row],[Lost PoA(Wh/m2)]]*Table1[[#This Row],[DC Capacity Affceted (kW)]]</f>
        <v>1987.6240080593748</v>
      </c>
      <c r="AF35" s="2"/>
      <c r="AG35" s="2"/>
    </row>
    <row r="36" spans="1:33" x14ac:dyDescent="0.3">
      <c r="A36" s="67">
        <f t="shared" si="0"/>
        <v>33</v>
      </c>
      <c r="B36" s="75">
        <f>YEAR(Table1[[#This Row],[Date]])+IF(MONTH(Table1[[#This Row],[Date]])&gt;=4,1,0)</f>
        <v>2025</v>
      </c>
      <c r="C36" s="74">
        <f>YEAR(Table1[[#This Row],[Date]])</f>
        <v>2025</v>
      </c>
      <c r="D36" s="74" t="s">
        <v>1082</v>
      </c>
      <c r="E36" s="74" t="s">
        <v>1082</v>
      </c>
      <c r="F36" s="181">
        <f>Table1[[#This Row],[Date]]-DAY(Table1[[#This Row],[Date]])+1</f>
        <v>45717</v>
      </c>
      <c r="G36">
        <f>DAY(EOMONTH(Table1[[#This Row],[Month Year]],0))</f>
        <v>31</v>
      </c>
      <c r="H36" s="104">
        <v>45747</v>
      </c>
      <c r="I36" s="76">
        <f>IFERROR(VLOOKUP(Table1[[#This Row],[Date]],Table3[[Date]:[Sunset Time (POA&lt;20 W/m2)]],3,0),"")</f>
        <v>0.2638888888888889</v>
      </c>
      <c r="J36" s="76">
        <f>IFERROR(VLOOKUP(Table1[[#This Row],[Date]],Table3[[Date]:[Sunset Time (POA&lt;20 W/m2)]],4,0),"")</f>
        <v>0.77013888888888893</v>
      </c>
      <c r="K36" s="77">
        <f>IFERROR((Table1[[#This Row],[Sunset Time (POA&lt;20 W/m2)]]-Table1[[#This Row],[Sunrise Time (POA&gt;20 W/m2)]])*24,"")</f>
        <v>12.150000000000002</v>
      </c>
      <c r="L36" s="108" t="s">
        <v>232</v>
      </c>
      <c r="M36" s="91">
        <f>VLOOKUP(Table1[[#This Row],[Affceted Equipment]],'Basic Data'!$A$2:$C$818,2,0)</f>
        <v>669.6</v>
      </c>
      <c r="N36" s="93">
        <f>IFERROR(VLOOKUP(Table1[[#This Row],[Affceted Equipment]],'Basic Data'!$A$2:$C$818,3,0),"")</f>
        <v>8.348190352703562E-2</v>
      </c>
      <c r="O36" s="118" t="s">
        <v>323</v>
      </c>
      <c r="P36" s="94" t="s">
        <v>1090</v>
      </c>
      <c r="Q36" s="94"/>
      <c r="R36" s="94" t="s">
        <v>1090</v>
      </c>
      <c r="S36" s="92">
        <v>0.45</v>
      </c>
      <c r="T36" s="119"/>
      <c r="U36" s="119"/>
      <c r="V36" s="92">
        <v>0.68402777777777779</v>
      </c>
      <c r="W36" s="89">
        <f>IF(Table1[[#This Row],[Acknowledgemnet Time ]]="NA","",(Table1[[#This Row],[Acknowledgemnet Time ]]-Table1[[#This Row],[Fault Time]])*24)</f>
        <v>-10.8</v>
      </c>
      <c r="X36" s="89">
        <f>IF(Table1[[#This Row],[Work Start time on Fault]]="NA","",(Table1[[#This Row],[Work Start time on Fault]]-Table1[[#This Row],[Fault Time]])*24)</f>
        <v>-10.8</v>
      </c>
      <c r="Y36" s="52">
        <f>(Table1[[#This Row],[Work Completiuon time on fualt]]-Table1[[#This Row],[Fault Time]])*24</f>
        <v>5.6166666666666671</v>
      </c>
      <c r="Z36" s="52">
        <f>IFERROR((Table1[[#This Row],[Work Completiuon time on fualt]]-Table1[[#This Row],[Fault Time]])*24,"")</f>
        <v>5.6166666666666671</v>
      </c>
      <c r="AA36" s="2" t="s">
        <v>1090</v>
      </c>
      <c r="AB36" s="2" t="s">
        <v>1080</v>
      </c>
      <c r="AC36" s="90">
        <f>IFERROR(Table1[[#This Row],[Breakdown Time]]*Table1[[#This Row],[Plant Equivalent Weightage]],"")</f>
        <v>0.46889002481018344</v>
      </c>
      <c r="AD36" s="2">
        <v>4.16</v>
      </c>
      <c r="AE36" s="89">
        <f>_xlfn.XLOOKUP($F36,'Modelling New'!$D:$D,'Modelling New'!$O:$O)*Table1[[#This Row],[Lost PoA(Wh/m2)]]*Table1[[#This Row],[DC Capacity Affceted (kW)]]</f>
        <v>1987.6240080593748</v>
      </c>
      <c r="AF36" s="2"/>
      <c r="AG36" s="2"/>
    </row>
    <row r="37" spans="1:33" x14ac:dyDescent="0.3">
      <c r="A37" s="67">
        <f t="shared" si="0"/>
        <v>34</v>
      </c>
      <c r="B37" s="75">
        <f>YEAR(Table1[[#This Row],[Date]])+IF(MONTH(Table1[[#This Row],[Date]])&gt;=4,1,0)</f>
        <v>2025</v>
      </c>
      <c r="C37" s="74">
        <f>YEAR(Table1[[#This Row],[Date]])</f>
        <v>2025</v>
      </c>
      <c r="D37" s="74" t="s">
        <v>1082</v>
      </c>
      <c r="E37" s="74" t="s">
        <v>1082</v>
      </c>
      <c r="F37" s="181">
        <f>Table1[[#This Row],[Date]]-DAY(Table1[[#This Row],[Date]])+1</f>
        <v>45717</v>
      </c>
      <c r="G37">
        <f>DAY(EOMONTH(Table1[[#This Row],[Month Year]],0))</f>
        <v>31</v>
      </c>
      <c r="H37" s="104">
        <v>45747</v>
      </c>
      <c r="I37" s="76">
        <f>IFERROR(VLOOKUP(Table1[[#This Row],[Date]],Table3[[Date]:[Sunset Time (POA&lt;20 W/m2)]],3,0),"")</f>
        <v>0.2638888888888889</v>
      </c>
      <c r="J37" s="76">
        <f>IFERROR(VLOOKUP(Table1[[#This Row],[Date]],Table3[[Date]:[Sunset Time (POA&lt;20 W/m2)]],4,0),"")</f>
        <v>0.77013888888888893</v>
      </c>
      <c r="K37" s="77">
        <f>IFERROR((Table1[[#This Row],[Sunset Time (POA&lt;20 W/m2)]]-Table1[[#This Row],[Sunrise Time (POA&gt;20 W/m2)]])*24,"")</f>
        <v>12.150000000000002</v>
      </c>
      <c r="L37" s="108" t="s">
        <v>180</v>
      </c>
      <c r="M37" s="91">
        <f>VLOOKUP(Table1[[#This Row],[Affceted Equipment]],'Basic Data'!$A$2:$C$818,2,0)</f>
        <v>2694.6</v>
      </c>
      <c r="N37" s="93">
        <f>IFERROR(VLOOKUP(Table1[[#This Row],[Affceted Equipment]],'Basic Data'!$A$2:$C$818,3,0),"")</f>
        <v>0.33594733758057077</v>
      </c>
      <c r="O37" s="118" t="s">
        <v>323</v>
      </c>
      <c r="P37" s="94" t="s">
        <v>1091</v>
      </c>
      <c r="Q37" s="94"/>
      <c r="R37" s="94" t="s">
        <v>1091</v>
      </c>
      <c r="S37" s="92">
        <v>0.68402777777777779</v>
      </c>
      <c r="T37" s="119"/>
      <c r="U37" s="119"/>
      <c r="V37" s="92">
        <v>0.68611111111111112</v>
      </c>
      <c r="W37" s="89">
        <f>IF(Table1[[#This Row],[Acknowledgemnet Time ]]="NA","",(Table1[[#This Row],[Acknowledgemnet Time ]]-Table1[[#This Row],[Fault Time]])*24)</f>
        <v>-16.416666666666668</v>
      </c>
      <c r="X37" s="89">
        <f>IF(Table1[[#This Row],[Work Start time on Fault]]="NA","",(Table1[[#This Row],[Work Start time on Fault]]-Table1[[#This Row],[Fault Time]])*24)</f>
        <v>-16.416666666666668</v>
      </c>
      <c r="Y37" s="52">
        <f>(Table1[[#This Row],[Work Completiuon time on fualt]]-Table1[[#This Row],[Fault Time]])*24</f>
        <v>4.9999999999999822E-2</v>
      </c>
      <c r="Z37" s="52">
        <f>IFERROR((Table1[[#This Row],[Work Completiuon time on fualt]]-Table1[[#This Row],[Fault Time]])*24,"")</f>
        <v>4.9999999999999822E-2</v>
      </c>
      <c r="AA37" s="2" t="s">
        <v>1086</v>
      </c>
      <c r="AB37" s="2" t="s">
        <v>1081</v>
      </c>
      <c r="AC37" s="90">
        <f>IFERROR(Table1[[#This Row],[Breakdown Time]]*Table1[[#This Row],[Plant Equivalent Weightage]],"")</f>
        <v>1.679736687902848E-2</v>
      </c>
      <c r="AD37" s="2">
        <v>0.02</v>
      </c>
      <c r="AE37" s="89">
        <f>_xlfn.XLOOKUP($F37,'Modelling New'!$D:$D,'Modelling New'!$O:$O)*Table1[[#This Row],[Lost PoA(Wh/m2)]]*Table1[[#This Row],[DC Capacity Affceted (kW)]]</f>
        <v>38.454729374287687</v>
      </c>
      <c r="AF37" s="2"/>
      <c r="AG37" s="2"/>
    </row>
    <row r="38" spans="1:33" x14ac:dyDescent="0.3">
      <c r="A38" s="67">
        <f t="shared" si="0"/>
        <v>35</v>
      </c>
      <c r="B38" s="75">
        <f>YEAR(Table1[[#This Row],[Date]])+IF(MONTH(Table1[[#This Row],[Date]])&gt;=4,1,0)</f>
        <v>2025</v>
      </c>
      <c r="C38" s="74">
        <f>YEAR(Table1[[#This Row],[Date]])</f>
        <v>2025</v>
      </c>
      <c r="D38" s="74" t="s">
        <v>1082</v>
      </c>
      <c r="E38" s="74" t="s">
        <v>1082</v>
      </c>
      <c r="F38" s="181">
        <f>Table1[[#This Row],[Date]]-DAY(Table1[[#This Row],[Date]])+1</f>
        <v>45717</v>
      </c>
      <c r="G38">
        <f>DAY(EOMONTH(Table1[[#This Row],[Month Year]],0))</f>
        <v>31</v>
      </c>
      <c r="H38" s="104">
        <v>45747</v>
      </c>
      <c r="I38" s="76">
        <f>IFERROR(VLOOKUP(Table1[[#This Row],[Date]],Table3[[Date]:[Sunset Time (POA&lt;20 W/m2)]],3,0),"")</f>
        <v>0.2638888888888889</v>
      </c>
      <c r="J38" s="76">
        <f>IFERROR(VLOOKUP(Table1[[#This Row],[Date]],Table3[[Date]:[Sunset Time (POA&lt;20 W/m2)]],4,0),"")</f>
        <v>0.77013888888888893</v>
      </c>
      <c r="K38" s="77">
        <f>IFERROR((Table1[[#This Row],[Sunset Time (POA&lt;20 W/m2)]]-Table1[[#This Row],[Sunrise Time (POA&gt;20 W/m2)]])*24,"")</f>
        <v>12.150000000000002</v>
      </c>
      <c r="L38" s="108" t="s">
        <v>231</v>
      </c>
      <c r="M38" s="91">
        <f>VLOOKUP(Table1[[#This Row],[Affceted Equipment]],'Basic Data'!$A$2:$C$818,2,0)</f>
        <v>669.6</v>
      </c>
      <c r="N38" s="93">
        <f>IFERROR(VLOOKUP(Table1[[#This Row],[Affceted Equipment]],'Basic Data'!$A$2:$C$818,3,0),"")</f>
        <v>8.348190352703562E-2</v>
      </c>
      <c r="O38" s="118" t="s">
        <v>323</v>
      </c>
      <c r="P38" s="94" t="s">
        <v>1088</v>
      </c>
      <c r="Q38" s="94"/>
      <c r="R38" s="94" t="s">
        <v>1088</v>
      </c>
      <c r="S38" s="92">
        <v>0.68611111111111112</v>
      </c>
      <c r="T38" s="119"/>
      <c r="U38" s="119"/>
      <c r="V38" s="92">
        <v>0.76388888888888884</v>
      </c>
      <c r="W38" s="89">
        <f>IF(Table1[[#This Row],[Acknowledgemnet Time ]]="NA","",(Table1[[#This Row],[Acknowledgemnet Time ]]-Table1[[#This Row],[Fault Time]])*24)</f>
        <v>-16.466666666666669</v>
      </c>
      <c r="X38" s="89">
        <f>IF(Table1[[#This Row],[Work Start time on Fault]]="NA","",(Table1[[#This Row],[Work Start time on Fault]]-Table1[[#This Row],[Fault Time]])*24)</f>
        <v>-16.466666666666669</v>
      </c>
      <c r="Y38" s="52">
        <f>(Table1[[#This Row],[Work Completiuon time on fualt]]-Table1[[#This Row],[Fault Time]])*24</f>
        <v>1.8666666666666654</v>
      </c>
      <c r="Z38" s="52">
        <f>IFERROR((Table1[[#This Row],[Work Completiuon time on fualt]]-Table1[[#This Row],[Fault Time]])*24,"")</f>
        <v>1.8666666666666654</v>
      </c>
      <c r="AA38" s="2" t="s">
        <v>1084</v>
      </c>
      <c r="AB38" s="2" t="s">
        <v>1080</v>
      </c>
      <c r="AC38" s="90">
        <f>IFERROR(Table1[[#This Row],[Breakdown Time]]*Table1[[#This Row],[Plant Equivalent Weightage]],"")</f>
        <v>0.15583288658379971</v>
      </c>
      <c r="AD38" s="2">
        <v>0.28999999999999998</v>
      </c>
      <c r="AE38" s="89">
        <f>_xlfn.XLOOKUP($F38,'Modelling New'!$D:$D,'Modelling New'!$O:$O)*Table1[[#This Row],[Lost PoA(Wh/m2)]]*Table1[[#This Row],[DC Capacity Affceted (kW)]]</f>
        <v>138.56032748490833</v>
      </c>
      <c r="AF38" s="2"/>
      <c r="AG38" s="2"/>
    </row>
    <row r="39" spans="1:33" x14ac:dyDescent="0.3">
      <c r="A39" s="67">
        <f t="shared" si="0"/>
        <v>36</v>
      </c>
      <c r="B39" s="75">
        <f>YEAR(Table1[[#This Row],[Date]])+IF(MONTH(Table1[[#This Row],[Date]])&gt;=4,1,0)</f>
        <v>2026</v>
      </c>
      <c r="C39" s="74">
        <f>YEAR(Table1[[#This Row],[Date]])</f>
        <v>2025</v>
      </c>
      <c r="D39" s="74" t="s">
        <v>1082</v>
      </c>
      <c r="E39" s="74" t="s">
        <v>1082</v>
      </c>
      <c r="F39" s="181">
        <f>Table1[[#This Row],[Date]]-DAY(Table1[[#This Row],[Date]])+1</f>
        <v>45748</v>
      </c>
      <c r="G39">
        <f>DAY(EOMONTH(Table1[[#This Row],[Month Year]],0))</f>
        <v>30</v>
      </c>
      <c r="H39" s="104">
        <v>45748</v>
      </c>
      <c r="I39" s="76">
        <f>IFERROR(VLOOKUP(Table1[[#This Row],[Date]],Table3[[Date]:[Sunset Time (POA&lt;20 W/m2)]],3,0),"")</f>
        <v>0.2638888888888889</v>
      </c>
      <c r="J39" s="76">
        <f>IFERROR(VLOOKUP(Table1[[#This Row],[Date]],Table3[[Date]:[Sunset Time (POA&lt;20 W/m2)]],4,0),"")</f>
        <v>0.76597222222222228</v>
      </c>
      <c r="K39" s="77">
        <f>IFERROR((Table1[[#This Row],[Sunset Time (POA&lt;20 W/m2)]]-Table1[[#This Row],[Sunrise Time (POA&gt;20 W/m2)]])*24,"")</f>
        <v>12.050000000000002</v>
      </c>
      <c r="L39" s="108" t="s">
        <v>238</v>
      </c>
      <c r="M39" s="91">
        <f>VLOOKUP(Table1[[#This Row],[Affceted Equipment]],'Basic Data'!$A$2:$C$818,2,0)</f>
        <v>658.8</v>
      </c>
      <c r="N39" s="93">
        <f>IFERROR(VLOOKUP(Table1[[#This Row],[Affceted Equipment]],'Basic Data'!$A$2:$C$818,3,0),"")</f>
        <v>8.2135421212083434E-2</v>
      </c>
      <c r="O39" s="118" t="s">
        <v>323</v>
      </c>
      <c r="P39" s="94" t="s">
        <v>1087</v>
      </c>
      <c r="Q39" s="94"/>
      <c r="R39" s="94" t="s">
        <v>1087</v>
      </c>
      <c r="S39" s="92">
        <v>0.2638888888888889</v>
      </c>
      <c r="T39" s="119"/>
      <c r="U39" s="119"/>
      <c r="V39" s="92">
        <v>0.76597222222222228</v>
      </c>
      <c r="W39" s="89">
        <f>IF(Table1[[#This Row],[Acknowledgemnet Time ]]="NA","",(Table1[[#This Row],[Acknowledgemnet Time ]]-Table1[[#This Row],[Fault Time]])*24)</f>
        <v>-6.3333333333333339</v>
      </c>
      <c r="X39" s="89">
        <f>IF(Table1[[#This Row],[Work Start time on Fault]]="NA","",(Table1[[#This Row],[Work Start time on Fault]]-Table1[[#This Row],[Fault Time]])*24)</f>
        <v>-6.3333333333333339</v>
      </c>
      <c r="Y39" s="52">
        <f>(Table1[[#This Row],[Work Completiuon time on fualt]]-Table1[[#This Row],[Fault Time]])*24</f>
        <v>12.050000000000002</v>
      </c>
      <c r="Z39" s="52">
        <f>IFERROR((Table1[[#This Row],[Work Completiuon time on fualt]]-Table1[[#This Row],[Fault Time]])*24,"")</f>
        <v>12.050000000000002</v>
      </c>
      <c r="AA39" s="2" t="s">
        <v>1084</v>
      </c>
      <c r="AB39" s="2" t="s">
        <v>1080</v>
      </c>
      <c r="AC39" s="90">
        <f>IFERROR(Table1[[#This Row],[Breakdown Time]]*Table1[[#This Row],[Plant Equivalent Weightage]],"")</f>
        <v>0.98973182560560558</v>
      </c>
      <c r="AD39" s="2">
        <v>6.04</v>
      </c>
      <c r="AE39" s="89">
        <f>_xlfn.XLOOKUP($F39,'Modelling New'!$D:$D,'Modelling New'!$O:$O)*Table1[[#This Row],[Lost PoA(Wh/m2)]]*Table1[[#This Row],[DC Capacity Affceted (kW)]]</f>
        <v>2687.0208375717666</v>
      </c>
      <c r="AF39" s="2"/>
      <c r="AG39" s="2"/>
    </row>
    <row r="40" spans="1:33" x14ac:dyDescent="0.3">
      <c r="A40" s="67">
        <f t="shared" si="0"/>
        <v>37</v>
      </c>
      <c r="B40" s="75">
        <f>YEAR(Table1[[#This Row],[Date]])+IF(MONTH(Table1[[#This Row],[Date]])&gt;=4,1,0)</f>
        <v>2026</v>
      </c>
      <c r="C40" s="74">
        <f>YEAR(Table1[[#This Row],[Date]])</f>
        <v>2025</v>
      </c>
      <c r="D40" s="74" t="s">
        <v>1082</v>
      </c>
      <c r="E40" s="74" t="s">
        <v>1082</v>
      </c>
      <c r="F40" s="181">
        <f>Table1[[#This Row],[Date]]-DAY(Table1[[#This Row],[Date]])+1</f>
        <v>45748</v>
      </c>
      <c r="G40">
        <f>DAY(EOMONTH(Table1[[#This Row],[Month Year]],0))</f>
        <v>30</v>
      </c>
      <c r="H40" s="104">
        <v>45748</v>
      </c>
      <c r="I40" s="76">
        <f>IFERROR(VLOOKUP(Table1[[#This Row],[Date]],Table3[[Date]:[Sunset Time (POA&lt;20 W/m2)]],3,0),"")</f>
        <v>0.2638888888888889</v>
      </c>
      <c r="J40" s="76">
        <f>IFERROR(VLOOKUP(Table1[[#This Row],[Date]],Table3[[Date]:[Sunset Time (POA&lt;20 W/m2)]],4,0),"")</f>
        <v>0.76597222222222228</v>
      </c>
      <c r="K40" s="77">
        <f>IFERROR((Table1[[#This Row],[Sunset Time (POA&lt;20 W/m2)]]-Table1[[#This Row],[Sunrise Time (POA&gt;20 W/m2)]])*24,"")</f>
        <v>12.050000000000002</v>
      </c>
      <c r="L40" s="108" t="s">
        <v>231</v>
      </c>
      <c r="M40" s="91">
        <f>VLOOKUP(Table1[[#This Row],[Affceted Equipment]],'Basic Data'!$A$2:$C$818,2,0)</f>
        <v>669.6</v>
      </c>
      <c r="N40" s="93">
        <f>IFERROR(VLOOKUP(Table1[[#This Row],[Affceted Equipment]],'Basic Data'!$A$2:$C$818,3,0),"")</f>
        <v>8.348190352703562E-2</v>
      </c>
      <c r="O40" s="118" t="s">
        <v>323</v>
      </c>
      <c r="P40" s="94" t="s">
        <v>1088</v>
      </c>
      <c r="Q40" s="94"/>
      <c r="R40" s="94" t="s">
        <v>1088</v>
      </c>
      <c r="S40" s="92">
        <v>0.2638888888888889</v>
      </c>
      <c r="T40" s="119"/>
      <c r="U40" s="119"/>
      <c r="V40" s="92">
        <v>0.44027777777777777</v>
      </c>
      <c r="W40" s="89">
        <f>IF(Table1[[#This Row],[Acknowledgemnet Time ]]="NA","",(Table1[[#This Row],[Acknowledgemnet Time ]]-Table1[[#This Row],[Fault Time]])*24)</f>
        <v>-6.3333333333333339</v>
      </c>
      <c r="X40" s="89">
        <f>IF(Table1[[#This Row],[Work Start time on Fault]]="NA","",(Table1[[#This Row],[Work Start time on Fault]]-Table1[[#This Row],[Fault Time]])*24)</f>
        <v>-6.3333333333333339</v>
      </c>
      <c r="Y40" s="52">
        <f>(Table1[[#This Row],[Work Completiuon time on fualt]]-Table1[[#This Row],[Fault Time]])*24</f>
        <v>4.2333333333333325</v>
      </c>
      <c r="Z40" s="52">
        <f>IFERROR((Table1[[#This Row],[Work Completiuon time on fualt]]-Table1[[#This Row],[Fault Time]])*24,"")</f>
        <v>4.2333333333333325</v>
      </c>
      <c r="AA40" s="2" t="s">
        <v>1084</v>
      </c>
      <c r="AB40" s="2" t="s">
        <v>1080</v>
      </c>
      <c r="AC40" s="90">
        <f>IFERROR(Table1[[#This Row],[Breakdown Time]]*Table1[[#This Row],[Plant Equivalent Weightage]],"")</f>
        <v>0.35340672493111741</v>
      </c>
      <c r="AD40" s="2">
        <v>1.41</v>
      </c>
      <c r="AE40" s="89">
        <f>_xlfn.XLOOKUP($F40,'Modelling New'!$D:$D,'Modelling New'!$O:$O)*Table1[[#This Row],[Lost PoA(Wh/m2)]]*Table1[[#This Row],[DC Capacity Affceted (kW)]]</f>
        <v>637.55119319434334</v>
      </c>
      <c r="AF40" s="2"/>
      <c r="AG40" s="2"/>
    </row>
    <row r="41" spans="1:33" x14ac:dyDescent="0.3">
      <c r="A41" s="67">
        <f t="shared" si="0"/>
        <v>38</v>
      </c>
      <c r="B41" s="75">
        <f>YEAR(Table1[[#This Row],[Date]])+IF(MONTH(Table1[[#This Row],[Date]])&gt;=4,1,0)</f>
        <v>2026</v>
      </c>
      <c r="C41" s="74">
        <f>YEAR(Table1[[#This Row],[Date]])</f>
        <v>2025</v>
      </c>
      <c r="D41" s="74" t="s">
        <v>1082</v>
      </c>
      <c r="E41" s="74" t="s">
        <v>1082</v>
      </c>
      <c r="F41" s="181">
        <f>Table1[[#This Row],[Date]]-DAY(Table1[[#This Row],[Date]])+1</f>
        <v>45748</v>
      </c>
      <c r="G41">
        <f>DAY(EOMONTH(Table1[[#This Row],[Month Year]],0))</f>
        <v>30</v>
      </c>
      <c r="H41" s="104">
        <v>45748</v>
      </c>
      <c r="I41" s="76">
        <f>IFERROR(VLOOKUP(Table1[[#This Row],[Date]],Table3[[Date]:[Sunset Time (POA&lt;20 W/m2)]],3,0),"")</f>
        <v>0.2638888888888889</v>
      </c>
      <c r="J41" s="76">
        <f>IFERROR(VLOOKUP(Table1[[#This Row],[Date]],Table3[[Date]:[Sunset Time (POA&lt;20 W/m2)]],4,0),"")</f>
        <v>0.76597222222222228</v>
      </c>
      <c r="K41" s="77">
        <f>IFERROR((Table1[[#This Row],[Sunset Time (POA&lt;20 W/m2)]]-Table1[[#This Row],[Sunrise Time (POA&gt;20 W/m2)]])*24,"")</f>
        <v>12.050000000000002</v>
      </c>
      <c r="L41" s="108" t="s">
        <v>180</v>
      </c>
      <c r="M41" s="91">
        <f>VLOOKUP(Table1[[#This Row],[Affceted Equipment]],'Basic Data'!$A$2:$C$818,2,0)</f>
        <v>2694.6</v>
      </c>
      <c r="N41" s="93">
        <f>IFERROR(VLOOKUP(Table1[[#This Row],[Affceted Equipment]],'Basic Data'!$A$2:$C$818,3,0),"")</f>
        <v>0.33594733758057077</v>
      </c>
      <c r="O41" s="118" t="s">
        <v>323</v>
      </c>
      <c r="P41" s="94" t="s">
        <v>1085</v>
      </c>
      <c r="Q41" s="94"/>
      <c r="R41" s="94" t="s">
        <v>1089</v>
      </c>
      <c r="S41" s="92">
        <v>0.44027777777777777</v>
      </c>
      <c r="T41" s="119"/>
      <c r="U41" s="119"/>
      <c r="V41" s="92">
        <v>0.44583333333333336</v>
      </c>
      <c r="W41" s="89">
        <f>IF(Table1[[#This Row],[Acknowledgemnet Time ]]="NA","",(Table1[[#This Row],[Acknowledgemnet Time ]]-Table1[[#This Row],[Fault Time]])*24)</f>
        <v>-10.566666666666666</v>
      </c>
      <c r="X41" s="89">
        <f>IF(Table1[[#This Row],[Work Start time on Fault]]="NA","",(Table1[[#This Row],[Work Start time on Fault]]-Table1[[#This Row],[Fault Time]])*24)</f>
        <v>-10.566666666666666</v>
      </c>
      <c r="Y41" s="52">
        <f>(Table1[[#This Row],[Work Completiuon time on fualt]]-Table1[[#This Row],[Fault Time]])*24</f>
        <v>0.13333333333333419</v>
      </c>
      <c r="Z41" s="52">
        <f>IFERROR((Table1[[#This Row],[Work Completiuon time on fualt]]-Table1[[#This Row],[Fault Time]])*24,"")</f>
        <v>0.13333333333333419</v>
      </c>
      <c r="AA41" s="2" t="s">
        <v>1086</v>
      </c>
      <c r="AB41" s="2" t="s">
        <v>1081</v>
      </c>
      <c r="AC41" s="90">
        <f>IFERROR(Table1[[#This Row],[Breakdown Time]]*Table1[[#This Row],[Plant Equivalent Weightage]],"")</f>
        <v>4.479297834407639E-2</v>
      </c>
      <c r="AD41" s="2">
        <v>0.1</v>
      </c>
      <c r="AE41" s="89">
        <f>_xlfn.XLOOKUP($F41,'Modelling New'!$D:$D,'Modelling New'!$O:$O)*Table1[[#This Row],[Lost PoA(Wh/m2)]]*Table1[[#This Row],[DC Capacity Affceted (kW)]]</f>
        <v>181.95953180277817</v>
      </c>
      <c r="AF41" s="2"/>
      <c r="AG41" s="2"/>
    </row>
    <row r="42" spans="1:33" x14ac:dyDescent="0.3">
      <c r="A42" s="67">
        <f t="shared" si="0"/>
        <v>39</v>
      </c>
      <c r="B42" s="75">
        <f>YEAR(Table1[[#This Row],[Date]])+IF(MONTH(Table1[[#This Row],[Date]])&gt;=4,1,0)</f>
        <v>2026</v>
      </c>
      <c r="C42" s="74">
        <f>YEAR(Table1[[#This Row],[Date]])</f>
        <v>2025</v>
      </c>
      <c r="D42" s="74" t="s">
        <v>1082</v>
      </c>
      <c r="E42" s="74" t="s">
        <v>1082</v>
      </c>
      <c r="F42" s="181">
        <f>Table1[[#This Row],[Date]]-DAY(Table1[[#This Row],[Date]])+1</f>
        <v>45748</v>
      </c>
      <c r="G42">
        <f>DAY(EOMONTH(Table1[[#This Row],[Month Year]],0))</f>
        <v>30</v>
      </c>
      <c r="H42" s="104">
        <v>45748</v>
      </c>
      <c r="I42" s="76">
        <f>IFERROR(VLOOKUP(Table1[[#This Row],[Date]],Table3[[Date]:[Sunset Time (POA&lt;20 W/m2)]],3,0),"")</f>
        <v>0.2638888888888889</v>
      </c>
      <c r="J42" s="76">
        <f>IFERROR(VLOOKUP(Table1[[#This Row],[Date]],Table3[[Date]:[Sunset Time (POA&lt;20 W/m2)]],4,0),"")</f>
        <v>0.76597222222222228</v>
      </c>
      <c r="K42" s="77">
        <f>IFERROR((Table1[[#This Row],[Sunset Time (POA&lt;20 W/m2)]]-Table1[[#This Row],[Sunrise Time (POA&gt;20 W/m2)]])*24,"")</f>
        <v>12.050000000000002</v>
      </c>
      <c r="L42" s="108" t="s">
        <v>231</v>
      </c>
      <c r="M42" s="91">
        <f>VLOOKUP(Table1[[#This Row],[Affceted Equipment]],'Basic Data'!$A$2:$C$818,2,0)</f>
        <v>669.6</v>
      </c>
      <c r="N42" s="93">
        <f>IFERROR(VLOOKUP(Table1[[#This Row],[Affceted Equipment]],'Basic Data'!$A$2:$C$818,3,0),"")</f>
        <v>8.348190352703562E-2</v>
      </c>
      <c r="O42" s="118" t="s">
        <v>323</v>
      </c>
      <c r="P42" s="94" t="s">
        <v>1088</v>
      </c>
      <c r="Q42" s="94"/>
      <c r="R42" s="94" t="s">
        <v>1088</v>
      </c>
      <c r="S42" s="92">
        <v>0.44583333333333336</v>
      </c>
      <c r="T42" s="119"/>
      <c r="U42" s="119"/>
      <c r="V42" s="92">
        <v>0.69305555555555554</v>
      </c>
      <c r="W42" s="89">
        <f>IF(Table1[[#This Row],[Acknowledgemnet Time ]]="NA","",(Table1[[#This Row],[Acknowledgemnet Time ]]-Table1[[#This Row],[Fault Time]])*24)</f>
        <v>-10.700000000000001</v>
      </c>
      <c r="X42" s="89">
        <f>IF(Table1[[#This Row],[Work Start time on Fault]]="NA","",(Table1[[#This Row],[Work Start time on Fault]]-Table1[[#This Row],[Fault Time]])*24)</f>
        <v>-10.700000000000001</v>
      </c>
      <c r="Y42" s="52">
        <f>(Table1[[#This Row],[Work Completiuon time on fualt]]-Table1[[#This Row],[Fault Time]])*24</f>
        <v>5.9333333333333318</v>
      </c>
      <c r="Z42" s="52">
        <f>IFERROR((Table1[[#This Row],[Work Completiuon time on fualt]]-Table1[[#This Row],[Fault Time]])*24,"")</f>
        <v>5.9333333333333318</v>
      </c>
      <c r="AA42" s="2" t="s">
        <v>1084</v>
      </c>
      <c r="AB42" s="2" t="s">
        <v>1080</v>
      </c>
      <c r="AC42" s="90">
        <f>IFERROR(Table1[[#This Row],[Breakdown Time]]*Table1[[#This Row],[Plant Equivalent Weightage]],"")</f>
        <v>0.49532596092707787</v>
      </c>
      <c r="AD42" s="2">
        <v>4.33</v>
      </c>
      <c r="AE42" s="89">
        <f>_xlfn.XLOOKUP($F42,'Modelling New'!$D:$D,'Modelling New'!$O:$O)*Table1[[#This Row],[Lost PoA(Wh/m2)]]*Table1[[#This Row],[DC Capacity Affceted (kW)]]</f>
        <v>1957.8699762634801</v>
      </c>
      <c r="AF42" s="2"/>
      <c r="AG42" s="2"/>
    </row>
    <row r="43" spans="1:33" x14ac:dyDescent="0.3">
      <c r="A43" s="67">
        <f t="shared" si="0"/>
        <v>40</v>
      </c>
      <c r="B43" s="75">
        <f>YEAR(Table1[[#This Row],[Date]])+IF(MONTH(Table1[[#This Row],[Date]])&gt;=4,1,0)</f>
        <v>2026</v>
      </c>
      <c r="C43" s="74">
        <f>YEAR(Table1[[#This Row],[Date]])</f>
        <v>2025</v>
      </c>
      <c r="D43" s="74" t="s">
        <v>1082</v>
      </c>
      <c r="E43" s="74" t="s">
        <v>1082</v>
      </c>
      <c r="F43" s="181">
        <f>Table1[[#This Row],[Date]]-DAY(Table1[[#This Row],[Date]])+1</f>
        <v>45748</v>
      </c>
      <c r="G43">
        <f>DAY(EOMONTH(Table1[[#This Row],[Month Year]],0))</f>
        <v>30</v>
      </c>
      <c r="H43" s="104">
        <v>45748</v>
      </c>
      <c r="I43" s="76">
        <f>IFERROR(VLOOKUP(Table1[[#This Row],[Date]],Table3[[Date]:[Sunset Time (POA&lt;20 W/m2)]],3,0),"")</f>
        <v>0.2638888888888889</v>
      </c>
      <c r="J43" s="76">
        <f>IFERROR(VLOOKUP(Table1[[#This Row],[Date]],Table3[[Date]:[Sunset Time (POA&lt;20 W/m2)]],4,0),"")</f>
        <v>0.76597222222222228</v>
      </c>
      <c r="K43" s="77">
        <f>IFERROR((Table1[[#This Row],[Sunset Time (POA&lt;20 W/m2)]]-Table1[[#This Row],[Sunrise Time (POA&gt;20 W/m2)]])*24,"")</f>
        <v>12.050000000000002</v>
      </c>
      <c r="L43" s="108" t="s">
        <v>232</v>
      </c>
      <c r="M43" s="91">
        <f>VLOOKUP(Table1[[#This Row],[Affceted Equipment]],'Basic Data'!$A$2:$C$818,2,0)</f>
        <v>669.6</v>
      </c>
      <c r="N43" s="93">
        <f>IFERROR(VLOOKUP(Table1[[#This Row],[Affceted Equipment]],'Basic Data'!$A$2:$C$818,3,0),"")</f>
        <v>8.348190352703562E-2</v>
      </c>
      <c r="O43" s="118" t="s">
        <v>323</v>
      </c>
      <c r="P43" s="94" t="s">
        <v>1090</v>
      </c>
      <c r="Q43" s="94"/>
      <c r="R43" s="94" t="s">
        <v>1090</v>
      </c>
      <c r="S43" s="92">
        <v>0.44583333333333336</v>
      </c>
      <c r="T43" s="119"/>
      <c r="U43" s="119"/>
      <c r="V43" s="92">
        <v>0.69305555555555554</v>
      </c>
      <c r="W43" s="89">
        <f>IF(Table1[[#This Row],[Acknowledgemnet Time ]]="NA","",(Table1[[#This Row],[Acknowledgemnet Time ]]-Table1[[#This Row],[Fault Time]])*24)</f>
        <v>-10.700000000000001</v>
      </c>
      <c r="X43" s="89">
        <f>IF(Table1[[#This Row],[Work Start time on Fault]]="NA","",(Table1[[#This Row],[Work Start time on Fault]]-Table1[[#This Row],[Fault Time]])*24)</f>
        <v>-10.700000000000001</v>
      </c>
      <c r="Y43" s="52">
        <f>(Table1[[#This Row],[Work Completiuon time on fualt]]-Table1[[#This Row],[Fault Time]])*24</f>
        <v>5.9333333333333318</v>
      </c>
      <c r="Z43" s="52">
        <f>IFERROR((Table1[[#This Row],[Work Completiuon time on fualt]]-Table1[[#This Row],[Fault Time]])*24,"")</f>
        <v>5.9333333333333318</v>
      </c>
      <c r="AA43" s="2" t="s">
        <v>1090</v>
      </c>
      <c r="AB43" s="2" t="s">
        <v>1080</v>
      </c>
      <c r="AC43" s="90">
        <f>IFERROR(Table1[[#This Row],[Breakdown Time]]*Table1[[#This Row],[Plant Equivalent Weightage]],"")</f>
        <v>0.49532596092707787</v>
      </c>
      <c r="AD43" s="2">
        <v>4.33</v>
      </c>
      <c r="AE43" s="89">
        <f>_xlfn.XLOOKUP($F43,'Modelling New'!$D:$D,'Modelling New'!$O:$O)*Table1[[#This Row],[Lost PoA(Wh/m2)]]*Table1[[#This Row],[DC Capacity Affceted (kW)]]</f>
        <v>1957.8699762634801</v>
      </c>
      <c r="AF43" s="2"/>
      <c r="AG43" s="2"/>
    </row>
    <row r="44" spans="1:33" x14ac:dyDescent="0.3">
      <c r="A44" s="67">
        <f t="shared" si="0"/>
        <v>41</v>
      </c>
      <c r="B44" s="75">
        <f>YEAR(Table1[[#This Row],[Date]])+IF(MONTH(Table1[[#This Row],[Date]])&gt;=4,1,0)</f>
        <v>2026</v>
      </c>
      <c r="C44" s="74">
        <f>YEAR(Table1[[#This Row],[Date]])</f>
        <v>2025</v>
      </c>
      <c r="D44" s="74" t="s">
        <v>1082</v>
      </c>
      <c r="E44" s="74" t="s">
        <v>1082</v>
      </c>
      <c r="F44" s="181">
        <f>Table1[[#This Row],[Date]]-DAY(Table1[[#This Row],[Date]])+1</f>
        <v>45748</v>
      </c>
      <c r="G44">
        <f>DAY(EOMONTH(Table1[[#This Row],[Month Year]],0))</f>
        <v>30</v>
      </c>
      <c r="H44" s="104">
        <v>45748</v>
      </c>
      <c r="I44" s="76">
        <f>IFERROR(VLOOKUP(Table1[[#This Row],[Date]],Table3[[Date]:[Sunset Time (POA&lt;20 W/m2)]],3,0),"")</f>
        <v>0.2638888888888889</v>
      </c>
      <c r="J44" s="76">
        <f>IFERROR(VLOOKUP(Table1[[#This Row],[Date]],Table3[[Date]:[Sunset Time (POA&lt;20 W/m2)]],4,0),"")</f>
        <v>0.76597222222222228</v>
      </c>
      <c r="K44" s="77">
        <f>IFERROR((Table1[[#This Row],[Sunset Time (POA&lt;20 W/m2)]]-Table1[[#This Row],[Sunrise Time (POA&gt;20 W/m2)]])*24,"")</f>
        <v>12.050000000000002</v>
      </c>
      <c r="L44" s="108" t="s">
        <v>180</v>
      </c>
      <c r="M44" s="91">
        <f>VLOOKUP(Table1[[#This Row],[Affceted Equipment]],'Basic Data'!$A$2:$C$818,2,0)</f>
        <v>2694.6</v>
      </c>
      <c r="N44" s="93">
        <f>IFERROR(VLOOKUP(Table1[[#This Row],[Affceted Equipment]],'Basic Data'!$A$2:$C$818,3,0),"")</f>
        <v>0.33594733758057077</v>
      </c>
      <c r="O44" s="118" t="s">
        <v>323</v>
      </c>
      <c r="P44" s="94" t="s">
        <v>1091</v>
      </c>
      <c r="Q44" s="94"/>
      <c r="R44" s="94" t="s">
        <v>1091</v>
      </c>
      <c r="S44" s="92">
        <v>0.69305555555555554</v>
      </c>
      <c r="T44" s="119"/>
      <c r="U44" s="119"/>
      <c r="V44" s="92">
        <v>0.69444444444444442</v>
      </c>
      <c r="W44" s="89">
        <f>IF(Table1[[#This Row],[Acknowledgemnet Time ]]="NA","",(Table1[[#This Row],[Acknowledgemnet Time ]]-Table1[[#This Row],[Fault Time]])*24)</f>
        <v>-16.633333333333333</v>
      </c>
      <c r="X44" s="89">
        <f>IF(Table1[[#This Row],[Work Start time on Fault]]="NA","",(Table1[[#This Row],[Work Start time on Fault]]-Table1[[#This Row],[Fault Time]])*24)</f>
        <v>-16.633333333333333</v>
      </c>
      <c r="Y44" s="52">
        <f>(Table1[[#This Row],[Work Completiuon time on fualt]]-Table1[[#This Row],[Fault Time]])*24</f>
        <v>3.3333333333333215E-2</v>
      </c>
      <c r="Z44" s="52">
        <f>IFERROR((Table1[[#This Row],[Work Completiuon time on fualt]]-Table1[[#This Row],[Fault Time]])*24,"")</f>
        <v>3.3333333333333215E-2</v>
      </c>
      <c r="AA44" s="2" t="s">
        <v>1086</v>
      </c>
      <c r="AB44" s="2" t="s">
        <v>1081</v>
      </c>
      <c r="AC44" s="90">
        <f>IFERROR(Table1[[#This Row],[Breakdown Time]]*Table1[[#This Row],[Plant Equivalent Weightage]],"")</f>
        <v>1.1198244586018986E-2</v>
      </c>
      <c r="AD44" s="2">
        <v>0.01</v>
      </c>
      <c r="AE44" s="89">
        <f>_xlfn.XLOOKUP($F44,'Modelling New'!$D:$D,'Modelling New'!$O:$O)*Table1[[#This Row],[Lost PoA(Wh/m2)]]*Table1[[#This Row],[DC Capacity Affceted (kW)]]</f>
        <v>18.195953180277815</v>
      </c>
      <c r="AF44" s="2"/>
      <c r="AG44" s="2"/>
    </row>
    <row r="45" spans="1:33" x14ac:dyDescent="0.3">
      <c r="A45" s="67">
        <f t="shared" si="0"/>
        <v>42</v>
      </c>
      <c r="B45" s="75">
        <f>YEAR(Table1[[#This Row],[Date]])+IF(MONTH(Table1[[#This Row],[Date]])&gt;=4,1,0)</f>
        <v>2026</v>
      </c>
      <c r="C45" s="74">
        <f>YEAR(Table1[[#This Row],[Date]])</f>
        <v>2025</v>
      </c>
      <c r="D45" s="74" t="s">
        <v>1082</v>
      </c>
      <c r="E45" s="74" t="s">
        <v>1082</v>
      </c>
      <c r="F45" s="181">
        <f>Table1[[#This Row],[Date]]-DAY(Table1[[#This Row],[Date]])+1</f>
        <v>45748</v>
      </c>
      <c r="G45">
        <f>DAY(EOMONTH(Table1[[#This Row],[Month Year]],0))</f>
        <v>30</v>
      </c>
      <c r="H45" s="104">
        <v>45748</v>
      </c>
      <c r="I45" s="76">
        <f>IFERROR(VLOOKUP(Table1[[#This Row],[Date]],Table3[[Date]:[Sunset Time (POA&lt;20 W/m2)]],3,0),"")</f>
        <v>0.2638888888888889</v>
      </c>
      <c r="J45" s="76">
        <f>IFERROR(VLOOKUP(Table1[[#This Row],[Date]],Table3[[Date]:[Sunset Time (POA&lt;20 W/m2)]],4,0),"")</f>
        <v>0.76597222222222228</v>
      </c>
      <c r="K45" s="77">
        <f>IFERROR((Table1[[#This Row],[Sunset Time (POA&lt;20 W/m2)]]-Table1[[#This Row],[Sunrise Time (POA&gt;20 W/m2)]])*24,"")</f>
        <v>12.050000000000002</v>
      </c>
      <c r="L45" s="108" t="s">
        <v>231</v>
      </c>
      <c r="M45" s="91">
        <f>VLOOKUP(Table1[[#This Row],[Affceted Equipment]],'Basic Data'!$A$2:$C$818,2,0)</f>
        <v>669.6</v>
      </c>
      <c r="N45" s="93">
        <f>IFERROR(VLOOKUP(Table1[[#This Row],[Affceted Equipment]],'Basic Data'!$A$2:$C$818,3,0),"")</f>
        <v>8.348190352703562E-2</v>
      </c>
      <c r="O45" s="118" t="s">
        <v>323</v>
      </c>
      <c r="P45" s="94" t="s">
        <v>1088</v>
      </c>
      <c r="Q45" s="94"/>
      <c r="R45" s="94" t="s">
        <v>1088</v>
      </c>
      <c r="S45" s="92">
        <v>0.69444444444444442</v>
      </c>
      <c r="T45" s="119"/>
      <c r="U45" s="119"/>
      <c r="V45" s="92">
        <v>0.76597222222222228</v>
      </c>
      <c r="W45" s="89">
        <f>IF(Table1[[#This Row],[Acknowledgemnet Time ]]="NA","",(Table1[[#This Row],[Acknowledgemnet Time ]]-Table1[[#This Row],[Fault Time]])*24)</f>
        <v>-16.666666666666664</v>
      </c>
      <c r="X45" s="89">
        <f>IF(Table1[[#This Row],[Work Start time on Fault]]="NA","",(Table1[[#This Row],[Work Start time on Fault]]-Table1[[#This Row],[Fault Time]])*24)</f>
        <v>-16.666666666666664</v>
      </c>
      <c r="Y45" s="52">
        <f>(Table1[[#This Row],[Work Completiuon time on fualt]]-Table1[[#This Row],[Fault Time]])*24</f>
        <v>1.7166666666666686</v>
      </c>
      <c r="Z45" s="52">
        <f>IFERROR((Table1[[#This Row],[Work Completiuon time on fualt]]-Table1[[#This Row],[Fault Time]])*24,"")</f>
        <v>1.7166666666666686</v>
      </c>
      <c r="AA45" s="2" t="s">
        <v>1084</v>
      </c>
      <c r="AB45" s="2" t="s">
        <v>1080</v>
      </c>
      <c r="AC45" s="90">
        <f>IFERROR(Table1[[#This Row],[Breakdown Time]]*Table1[[#This Row],[Plant Equivalent Weightage]],"")</f>
        <v>0.14331060105474464</v>
      </c>
      <c r="AD45" s="2">
        <v>0.21</v>
      </c>
      <c r="AE45" s="89">
        <f>_xlfn.XLOOKUP($F45,'Modelling New'!$D:$D,'Modelling New'!$O:$O)*Table1[[#This Row],[Lost PoA(Wh/m2)]]*Table1[[#This Row],[DC Capacity Affceted (kW)]]</f>
        <v>94.954433028944749</v>
      </c>
      <c r="AF45" s="2"/>
      <c r="AG45" s="2"/>
    </row>
    <row r="46" spans="1:33" x14ac:dyDescent="0.3">
      <c r="A46" s="67">
        <f t="shared" si="0"/>
        <v>43</v>
      </c>
      <c r="B46" s="75">
        <f>YEAR(Table1[[#This Row],[Date]])+IF(MONTH(Table1[[#This Row],[Date]])&gt;=4,1,0)</f>
        <v>2026</v>
      </c>
      <c r="C46" s="74">
        <f>YEAR(Table1[[#This Row],[Date]])</f>
        <v>2025</v>
      </c>
      <c r="D46" s="74" t="s">
        <v>1082</v>
      </c>
      <c r="E46" s="74" t="s">
        <v>1082</v>
      </c>
      <c r="F46" s="181">
        <f>Table1[[#This Row],[Date]]-DAY(Table1[[#This Row],[Date]])+1</f>
        <v>45748</v>
      </c>
      <c r="G46">
        <f>DAY(EOMONTH(Table1[[#This Row],[Month Year]],0))</f>
        <v>30</v>
      </c>
      <c r="H46" s="104">
        <v>45749</v>
      </c>
      <c r="I46" s="76">
        <f>IFERROR(VLOOKUP(Table1[[#This Row],[Date]],Table3[[Date]:[Sunset Time (POA&lt;20 W/m2)]],3,0),"")</f>
        <v>0.26319444444444445</v>
      </c>
      <c r="J46" s="76">
        <f>IFERROR(VLOOKUP(Table1[[#This Row],[Date]],Table3[[Date]:[Sunset Time (POA&lt;20 W/m2)]],4,0),"")</f>
        <v>0.7729166666666667</v>
      </c>
      <c r="K46" s="77">
        <f>IFERROR((Table1[[#This Row],[Sunset Time (POA&lt;20 W/m2)]]-Table1[[#This Row],[Sunrise Time (POA&gt;20 W/m2)]])*24,"")</f>
        <v>12.233333333333333</v>
      </c>
      <c r="L46" s="108" t="s">
        <v>238</v>
      </c>
      <c r="M46" s="61">
        <f>VLOOKUP(Table1[[#This Row],[Affceted Equipment]],'Basic Data'!$A$2:$C$818,2,0)</f>
        <v>658.8</v>
      </c>
      <c r="N46" s="93">
        <f>IFERROR(VLOOKUP(Table1[[#This Row],[Affceted Equipment]],'Basic Data'!$A$2:$C$818,3,0),"")</f>
        <v>8.2135421212083434E-2</v>
      </c>
      <c r="O46" s="118" t="s">
        <v>303</v>
      </c>
      <c r="P46" s="94" t="s">
        <v>1087</v>
      </c>
      <c r="Q46" s="94"/>
      <c r="R46" s="94" t="s">
        <v>1087</v>
      </c>
      <c r="S46" s="92">
        <v>0.26319444444444445</v>
      </c>
      <c r="T46" s="119"/>
      <c r="U46" s="119"/>
      <c r="V46" s="92">
        <v>0.7729166666666667</v>
      </c>
      <c r="W46" s="89">
        <f>IF(Table1[[#This Row],[Acknowledgemnet Time ]]="NA","",(Table1[[#This Row],[Acknowledgemnet Time ]]-Table1[[#This Row],[Fault Time]])*24)</f>
        <v>-6.3166666666666664</v>
      </c>
      <c r="X46" s="89">
        <f>IF(Table1[[#This Row],[Work Start time on Fault]]="NA","",(Table1[[#This Row],[Work Start time on Fault]]-Table1[[#This Row],[Fault Time]])*24)</f>
        <v>-6.3166666666666664</v>
      </c>
      <c r="Y46" s="52">
        <f>(Table1[[#This Row],[Work Completiuon time on fualt]]-Table1[[#This Row],[Fault Time]])*24</f>
        <v>12.233333333333333</v>
      </c>
      <c r="Z46" s="52">
        <f>IFERROR((Table1[[#This Row],[Work Completiuon time on fualt]]-Table1[[#This Row],[Fault Time]])*24,"")</f>
        <v>12.233333333333333</v>
      </c>
      <c r="AA46" s="2" t="s">
        <v>1084</v>
      </c>
      <c r="AB46" s="2" t="s">
        <v>1080</v>
      </c>
      <c r="AC46" s="90">
        <f>IFERROR(Table1[[#This Row],[Breakdown Time]]*Table1[[#This Row],[Plant Equivalent Weightage]],"")</f>
        <v>1.004789986161154</v>
      </c>
      <c r="AD46" s="2">
        <v>6.71</v>
      </c>
      <c r="AE46" s="89">
        <f>_xlfn.XLOOKUP($F46,'Modelling New'!$D:$D,'Modelling New'!$O:$O)*Table1[[#This Row],[Lost PoA(Wh/m2)]]*Table1[[#This Row],[DC Capacity Affceted (kW)]]</f>
        <v>2985.0844073024095</v>
      </c>
      <c r="AF46" s="2"/>
      <c r="AG46" s="2"/>
    </row>
    <row r="47" spans="1:33" x14ac:dyDescent="0.3">
      <c r="A47" s="67">
        <f t="shared" si="0"/>
        <v>44</v>
      </c>
      <c r="B47" s="75">
        <f>YEAR(Table1[[#This Row],[Date]])+IF(MONTH(Table1[[#This Row],[Date]])&gt;=4,1,0)</f>
        <v>2026</v>
      </c>
      <c r="C47" s="74">
        <f>YEAR(Table1[[#This Row],[Date]])</f>
        <v>2025</v>
      </c>
      <c r="D47" s="74" t="s">
        <v>1082</v>
      </c>
      <c r="E47" s="74" t="s">
        <v>1082</v>
      </c>
      <c r="F47" s="181">
        <f>Table1[[#This Row],[Date]]-DAY(Table1[[#This Row],[Date]])+1</f>
        <v>45748</v>
      </c>
      <c r="G47">
        <f>DAY(EOMONTH(Table1[[#This Row],[Month Year]],0))</f>
        <v>30</v>
      </c>
      <c r="H47" s="104">
        <v>45749</v>
      </c>
      <c r="I47" s="76">
        <f>IFERROR(VLOOKUP(Table1[[#This Row],[Date]],Table3[[Date]:[Sunset Time (POA&lt;20 W/m2)]],3,0),"")</f>
        <v>0.26319444444444445</v>
      </c>
      <c r="J47" s="76">
        <f>IFERROR(VLOOKUP(Table1[[#This Row],[Date]],Table3[[Date]:[Sunset Time (POA&lt;20 W/m2)]],4,0),"")</f>
        <v>0.7729166666666667</v>
      </c>
      <c r="K47" s="77">
        <f>IFERROR((Table1[[#This Row],[Sunset Time (POA&lt;20 W/m2)]]-Table1[[#This Row],[Sunrise Time (POA&gt;20 W/m2)]])*24,"")</f>
        <v>12.233333333333333</v>
      </c>
      <c r="L47" s="108" t="s">
        <v>231</v>
      </c>
      <c r="M47" s="61">
        <f>VLOOKUP(Table1[[#This Row],[Affceted Equipment]],'Basic Data'!$A$2:$C$818,2,0)</f>
        <v>669.6</v>
      </c>
      <c r="N47" s="93">
        <f>IFERROR(VLOOKUP(Table1[[#This Row],[Affceted Equipment]],'Basic Data'!$A$2:$C$818,3,0),"")</f>
        <v>8.348190352703562E-2</v>
      </c>
      <c r="O47" s="118" t="s">
        <v>323</v>
      </c>
      <c r="P47" s="94" t="s">
        <v>1088</v>
      </c>
      <c r="Q47" s="94"/>
      <c r="R47" s="94" t="s">
        <v>1088</v>
      </c>
      <c r="S47" s="92">
        <v>0.26319444444444445</v>
      </c>
      <c r="T47" s="119"/>
      <c r="U47" s="119"/>
      <c r="V47" s="92">
        <v>0.40763888888888888</v>
      </c>
      <c r="W47" s="89">
        <f>IF(Table1[[#This Row],[Acknowledgemnet Time ]]="NA","",(Table1[[#This Row],[Acknowledgemnet Time ]]-Table1[[#This Row],[Fault Time]])*24)</f>
        <v>-6.3166666666666664</v>
      </c>
      <c r="X47" s="89">
        <f>IF(Table1[[#This Row],[Work Start time on Fault]]="NA","",(Table1[[#This Row],[Work Start time on Fault]]-Table1[[#This Row],[Fault Time]])*24)</f>
        <v>-6.3166666666666664</v>
      </c>
      <c r="Y47" s="52">
        <f>(Table1[[#This Row],[Work Completiuon time on fualt]]-Table1[[#This Row],[Fault Time]])*24</f>
        <v>3.4666666666666663</v>
      </c>
      <c r="Z47" s="52">
        <f>IFERROR((Table1[[#This Row],[Work Completiuon time on fualt]]-Table1[[#This Row],[Fault Time]])*24,"")</f>
        <v>3.4666666666666663</v>
      </c>
      <c r="AA47" s="2" t="s">
        <v>1084</v>
      </c>
      <c r="AB47" s="2" t="s">
        <v>1080</v>
      </c>
      <c r="AC47" s="90">
        <f>IFERROR(Table1[[#This Row],[Breakdown Time]]*Table1[[#This Row],[Plant Equivalent Weightage]],"")</f>
        <v>0.28940393222705679</v>
      </c>
      <c r="AD47" s="2">
        <v>1.01</v>
      </c>
      <c r="AE47" s="89">
        <f>_xlfn.XLOOKUP($F47,'Modelling New'!$D:$D,'Modelling New'!$O:$O)*Table1[[#This Row],[Lost PoA(Wh/m2)]]*Table1[[#This Row],[DC Capacity Affceted (kW)]]</f>
        <v>456.68560647254384</v>
      </c>
      <c r="AF47" s="2"/>
      <c r="AG47" s="2"/>
    </row>
    <row r="48" spans="1:33" x14ac:dyDescent="0.3">
      <c r="A48" s="67">
        <f t="shared" si="0"/>
        <v>45</v>
      </c>
      <c r="B48" s="75">
        <f>YEAR(Table1[[#This Row],[Date]])+IF(MONTH(Table1[[#This Row],[Date]])&gt;=4,1,0)</f>
        <v>2026</v>
      </c>
      <c r="C48" s="74">
        <f>YEAR(Table1[[#This Row],[Date]])</f>
        <v>2025</v>
      </c>
      <c r="D48" s="74" t="s">
        <v>1082</v>
      </c>
      <c r="E48" s="74" t="s">
        <v>1082</v>
      </c>
      <c r="F48" s="181">
        <f>Table1[[#This Row],[Date]]-DAY(Table1[[#This Row],[Date]])+1</f>
        <v>45748</v>
      </c>
      <c r="G48">
        <f>DAY(EOMONTH(Table1[[#This Row],[Month Year]],0))</f>
        <v>30</v>
      </c>
      <c r="H48" s="104">
        <v>45749</v>
      </c>
      <c r="I48" s="76">
        <f>IFERROR(VLOOKUP(Table1[[#This Row],[Date]],Table3[[Date]:[Sunset Time (POA&lt;20 W/m2)]],3,0),"")</f>
        <v>0.26319444444444445</v>
      </c>
      <c r="J48" s="76">
        <f>IFERROR(VLOOKUP(Table1[[#This Row],[Date]],Table3[[Date]:[Sunset Time (POA&lt;20 W/m2)]],4,0),"")</f>
        <v>0.7729166666666667</v>
      </c>
      <c r="K48" s="77">
        <f>IFERROR((Table1[[#This Row],[Sunset Time (POA&lt;20 W/m2)]]-Table1[[#This Row],[Sunrise Time (POA&gt;20 W/m2)]])*24,"")</f>
        <v>12.233333333333333</v>
      </c>
      <c r="L48" s="108" t="s">
        <v>180</v>
      </c>
      <c r="M48" s="61">
        <f>VLOOKUP(Table1[[#This Row],[Affceted Equipment]],'Basic Data'!$A$2:$C$818,2,0)</f>
        <v>2694.6</v>
      </c>
      <c r="N48" s="93">
        <f>IFERROR(VLOOKUP(Table1[[#This Row],[Affceted Equipment]],'Basic Data'!$A$2:$C$818,3,0),"")</f>
        <v>0.33594733758057077</v>
      </c>
      <c r="O48" s="118" t="s">
        <v>323</v>
      </c>
      <c r="P48" s="94" t="s">
        <v>1085</v>
      </c>
      <c r="Q48" s="94"/>
      <c r="R48" s="94" t="s">
        <v>1089</v>
      </c>
      <c r="S48" s="92">
        <v>0.40763888888888888</v>
      </c>
      <c r="T48" s="119"/>
      <c r="U48" s="119"/>
      <c r="V48" s="92">
        <v>0.41388888888888886</v>
      </c>
      <c r="W48" s="89">
        <f>IF(Table1[[#This Row],[Acknowledgemnet Time ]]="NA","",(Table1[[#This Row],[Acknowledgemnet Time ]]-Table1[[#This Row],[Fault Time]])*24)</f>
        <v>-9.7833333333333332</v>
      </c>
      <c r="X48" s="89">
        <f>IF(Table1[[#This Row],[Work Start time on Fault]]="NA","",(Table1[[#This Row],[Work Start time on Fault]]-Table1[[#This Row],[Fault Time]])*24)</f>
        <v>-9.7833333333333332</v>
      </c>
      <c r="Y48" s="52">
        <f>(Table1[[#This Row],[Work Completiuon time on fualt]]-Table1[[#This Row],[Fault Time]])*24</f>
        <v>0.14999999999999947</v>
      </c>
      <c r="Z48" s="52">
        <f>IFERROR((Table1[[#This Row],[Work Completiuon time on fualt]]-Table1[[#This Row],[Fault Time]])*24,"")</f>
        <v>0.14999999999999947</v>
      </c>
      <c r="AA48" s="2" t="s">
        <v>1086</v>
      </c>
      <c r="AB48" s="2" t="s">
        <v>1081</v>
      </c>
      <c r="AC48" s="90">
        <f>IFERROR(Table1[[#This Row],[Breakdown Time]]*Table1[[#This Row],[Plant Equivalent Weightage]],"")</f>
        <v>5.0392100637085435E-2</v>
      </c>
      <c r="AD48" s="2">
        <v>0.12</v>
      </c>
      <c r="AE48" s="89">
        <f>_xlfn.XLOOKUP($F48,'Modelling New'!$D:$D,'Modelling New'!$O:$O)*Table1[[#This Row],[Lost PoA(Wh/m2)]]*Table1[[#This Row],[DC Capacity Affceted (kW)]]</f>
        <v>218.3514381633338</v>
      </c>
      <c r="AF48" s="2"/>
      <c r="AG48" s="2"/>
    </row>
    <row r="49" spans="1:33" x14ac:dyDescent="0.3">
      <c r="A49" s="67">
        <f t="shared" si="0"/>
        <v>46</v>
      </c>
      <c r="B49" s="75">
        <f>YEAR(Table1[[#This Row],[Date]])+IF(MONTH(Table1[[#This Row],[Date]])&gt;=4,1,0)</f>
        <v>2026</v>
      </c>
      <c r="C49" s="74">
        <f>YEAR(Table1[[#This Row],[Date]])</f>
        <v>2025</v>
      </c>
      <c r="D49" s="74" t="s">
        <v>1082</v>
      </c>
      <c r="E49" s="74" t="s">
        <v>1082</v>
      </c>
      <c r="F49" s="181">
        <f>Table1[[#This Row],[Date]]-DAY(Table1[[#This Row],[Date]])+1</f>
        <v>45748</v>
      </c>
      <c r="G49">
        <f>DAY(EOMONTH(Table1[[#This Row],[Month Year]],0))</f>
        <v>30</v>
      </c>
      <c r="H49" s="104">
        <v>45749</v>
      </c>
      <c r="I49" s="76">
        <f>IFERROR(VLOOKUP(Table1[[#This Row],[Date]],Table3[[Date]:[Sunset Time (POA&lt;20 W/m2)]],3,0),"")</f>
        <v>0.26319444444444445</v>
      </c>
      <c r="J49" s="76">
        <f>IFERROR(VLOOKUP(Table1[[#This Row],[Date]],Table3[[Date]:[Sunset Time (POA&lt;20 W/m2)]],4,0),"")</f>
        <v>0.7729166666666667</v>
      </c>
      <c r="K49" s="77">
        <f>IFERROR((Table1[[#This Row],[Sunset Time (POA&lt;20 W/m2)]]-Table1[[#This Row],[Sunrise Time (POA&gt;20 W/m2)]])*24,"")</f>
        <v>12.233333333333333</v>
      </c>
      <c r="L49" s="108" t="s">
        <v>231</v>
      </c>
      <c r="M49" s="61">
        <f>VLOOKUP(Table1[[#This Row],[Affceted Equipment]],'Basic Data'!$A$2:$C$818,2,0)</f>
        <v>669.6</v>
      </c>
      <c r="N49" s="93">
        <f>IFERROR(VLOOKUP(Table1[[#This Row],[Affceted Equipment]],'Basic Data'!$A$2:$C$818,3,0),"")</f>
        <v>8.348190352703562E-2</v>
      </c>
      <c r="O49" s="118" t="s">
        <v>323</v>
      </c>
      <c r="P49" s="94" t="s">
        <v>1088</v>
      </c>
      <c r="Q49" s="94"/>
      <c r="R49" s="94" t="s">
        <v>1088</v>
      </c>
      <c r="S49" s="92">
        <v>0.41388888888888886</v>
      </c>
      <c r="T49" s="119"/>
      <c r="U49" s="119"/>
      <c r="V49" s="92">
        <v>0.42152777777777778</v>
      </c>
      <c r="W49" s="89">
        <f>IF(Table1[[#This Row],[Acknowledgemnet Time ]]="NA","",(Table1[[#This Row],[Acknowledgemnet Time ]]-Table1[[#This Row],[Fault Time]])*24)</f>
        <v>-9.9333333333333336</v>
      </c>
      <c r="X49" s="89">
        <f>IF(Table1[[#This Row],[Work Start time on Fault]]="NA","",(Table1[[#This Row],[Work Start time on Fault]]-Table1[[#This Row],[Fault Time]])*24)</f>
        <v>-9.9333333333333336</v>
      </c>
      <c r="Y49" s="52">
        <f>(Table1[[#This Row],[Work Completiuon time on fualt]]-Table1[[#This Row],[Fault Time]])*24</f>
        <v>0.18333333333333401</v>
      </c>
      <c r="Z49" s="52">
        <f>IFERROR((Table1[[#This Row],[Work Completiuon time on fualt]]-Table1[[#This Row],[Fault Time]])*24,"")</f>
        <v>0.18333333333333401</v>
      </c>
      <c r="AA49" s="2" t="s">
        <v>1084</v>
      </c>
      <c r="AB49" s="2" t="s">
        <v>1080</v>
      </c>
      <c r="AC49" s="90">
        <f>IFERROR(Table1[[#This Row],[Breakdown Time]]*Table1[[#This Row],[Plant Equivalent Weightage]],"")</f>
        <v>1.5305015646623253E-2</v>
      </c>
      <c r="AD49" s="2">
        <v>0.15</v>
      </c>
      <c r="AE49" s="89">
        <f>_xlfn.XLOOKUP($F49,'Modelling New'!$D:$D,'Modelling New'!$O:$O)*Table1[[#This Row],[Lost PoA(Wh/m2)]]*Table1[[#This Row],[DC Capacity Affceted (kW)]]</f>
        <v>67.82459502067482</v>
      </c>
      <c r="AF49" s="2"/>
      <c r="AG49" s="2"/>
    </row>
    <row r="50" spans="1:33" x14ac:dyDescent="0.3">
      <c r="A50" s="67">
        <f t="shared" si="0"/>
        <v>47</v>
      </c>
      <c r="B50" s="75">
        <f>YEAR(Table1[[#This Row],[Date]])+IF(MONTH(Table1[[#This Row],[Date]])&gt;=4,1,0)</f>
        <v>2026</v>
      </c>
      <c r="C50" s="74">
        <f>YEAR(Table1[[#This Row],[Date]])</f>
        <v>2025</v>
      </c>
      <c r="D50" s="74" t="s">
        <v>1082</v>
      </c>
      <c r="E50" s="74" t="s">
        <v>1082</v>
      </c>
      <c r="F50" s="181">
        <f>Table1[[#This Row],[Date]]-DAY(Table1[[#This Row],[Date]])+1</f>
        <v>45748</v>
      </c>
      <c r="G50">
        <f>DAY(EOMONTH(Table1[[#This Row],[Month Year]],0))</f>
        <v>30</v>
      </c>
      <c r="H50" s="104">
        <v>45749</v>
      </c>
      <c r="I50" s="76">
        <f>IFERROR(VLOOKUP(Table1[[#This Row],[Date]],Table3[[Date]:[Sunset Time (POA&lt;20 W/m2)]],3,0),"")</f>
        <v>0.26319444444444445</v>
      </c>
      <c r="J50" s="76">
        <f>IFERROR(VLOOKUP(Table1[[#This Row],[Date]],Table3[[Date]:[Sunset Time (POA&lt;20 W/m2)]],4,0),"")</f>
        <v>0.7729166666666667</v>
      </c>
      <c r="K50" s="77">
        <f>IFERROR((Table1[[#This Row],[Sunset Time (POA&lt;20 W/m2)]]-Table1[[#This Row],[Sunrise Time (POA&gt;20 W/m2)]])*24,"")</f>
        <v>12.233333333333333</v>
      </c>
      <c r="L50" s="108" t="s">
        <v>232</v>
      </c>
      <c r="M50" s="61">
        <f>VLOOKUP(Table1[[#This Row],[Affceted Equipment]],'Basic Data'!$A$2:$C$818,2,0)</f>
        <v>669.6</v>
      </c>
      <c r="N50" s="93">
        <f>IFERROR(VLOOKUP(Table1[[#This Row],[Affceted Equipment]],'Basic Data'!$A$2:$C$818,3,0),"")</f>
        <v>8.348190352703562E-2</v>
      </c>
      <c r="O50" s="118" t="s">
        <v>323</v>
      </c>
      <c r="P50" s="94" t="s">
        <v>1090</v>
      </c>
      <c r="Q50" s="94"/>
      <c r="R50" s="94" t="s">
        <v>1090</v>
      </c>
      <c r="S50" s="92">
        <v>0.41388888888888886</v>
      </c>
      <c r="T50" s="119"/>
      <c r="U50" s="119"/>
      <c r="V50" s="92">
        <v>0.42152777777777778</v>
      </c>
      <c r="W50" s="89">
        <f>IF(Table1[[#This Row],[Acknowledgemnet Time ]]="NA","",(Table1[[#This Row],[Acknowledgemnet Time ]]-Table1[[#This Row],[Fault Time]])*24)</f>
        <v>-9.9333333333333336</v>
      </c>
      <c r="X50" s="89">
        <f>IF(Table1[[#This Row],[Work Start time on Fault]]="NA","",(Table1[[#This Row],[Work Start time on Fault]]-Table1[[#This Row],[Fault Time]])*24)</f>
        <v>-9.9333333333333336</v>
      </c>
      <c r="Y50" s="52">
        <f>(Table1[[#This Row],[Work Completiuon time on fualt]]-Table1[[#This Row],[Fault Time]])*24</f>
        <v>0.18333333333333401</v>
      </c>
      <c r="Z50" s="52">
        <f>IFERROR((Table1[[#This Row],[Work Completiuon time on fualt]]-Table1[[#This Row],[Fault Time]])*24,"")</f>
        <v>0.18333333333333401</v>
      </c>
      <c r="AA50" s="2" t="s">
        <v>1084</v>
      </c>
      <c r="AB50" s="2" t="s">
        <v>1080</v>
      </c>
      <c r="AC50" s="90">
        <f>IFERROR(Table1[[#This Row],[Breakdown Time]]*Table1[[#This Row],[Plant Equivalent Weightage]],"")</f>
        <v>1.5305015646623253E-2</v>
      </c>
      <c r="AD50" s="2">
        <v>0.15</v>
      </c>
      <c r="AE50" s="89">
        <f>_xlfn.XLOOKUP($F50,'Modelling New'!$D:$D,'Modelling New'!$O:$O)*Table1[[#This Row],[Lost PoA(Wh/m2)]]*Table1[[#This Row],[DC Capacity Affceted (kW)]]</f>
        <v>67.82459502067482</v>
      </c>
      <c r="AF50" s="2"/>
      <c r="AG50" s="2"/>
    </row>
    <row r="51" spans="1:33" x14ac:dyDescent="0.3">
      <c r="A51" s="67">
        <f t="shared" si="0"/>
        <v>48</v>
      </c>
      <c r="B51" s="75">
        <f>YEAR(Table1[[#This Row],[Date]])+IF(MONTH(Table1[[#This Row],[Date]])&gt;=4,1,0)</f>
        <v>2026</v>
      </c>
      <c r="C51" s="74">
        <f>YEAR(Table1[[#This Row],[Date]])</f>
        <v>2025</v>
      </c>
      <c r="D51" s="74" t="s">
        <v>1082</v>
      </c>
      <c r="E51" s="74" t="s">
        <v>1082</v>
      </c>
      <c r="F51" s="181">
        <f>Table1[[#This Row],[Date]]-DAY(Table1[[#This Row],[Date]])+1</f>
        <v>45748</v>
      </c>
      <c r="G51">
        <f>DAY(EOMONTH(Table1[[#This Row],[Month Year]],0))</f>
        <v>30</v>
      </c>
      <c r="H51" s="104">
        <v>45749</v>
      </c>
      <c r="I51" s="76">
        <f>IFERROR(VLOOKUP(Table1[[#This Row],[Date]],Table3[[Date]:[Sunset Time (POA&lt;20 W/m2)]],3,0),"")</f>
        <v>0.26319444444444445</v>
      </c>
      <c r="J51" s="76">
        <f>IFERROR(VLOOKUP(Table1[[#This Row],[Date]],Table3[[Date]:[Sunset Time (POA&lt;20 W/m2)]],4,0),"")</f>
        <v>0.7729166666666667</v>
      </c>
      <c r="K51" s="77">
        <f>IFERROR((Table1[[#This Row],[Sunset Time (POA&lt;20 W/m2)]]-Table1[[#This Row],[Sunrise Time (POA&gt;20 W/m2)]])*24,"")</f>
        <v>12.233333333333333</v>
      </c>
      <c r="L51" s="108" t="s">
        <v>231</v>
      </c>
      <c r="M51" s="61">
        <f>VLOOKUP(Table1[[#This Row],[Affceted Equipment]],'Basic Data'!$A$2:$C$818,2,0)</f>
        <v>669.6</v>
      </c>
      <c r="N51" s="93">
        <f>IFERROR(VLOOKUP(Table1[[#This Row],[Affceted Equipment]],'Basic Data'!$A$2:$C$818,3,0),"")</f>
        <v>8.348190352703562E-2</v>
      </c>
      <c r="O51" s="118" t="s">
        <v>323</v>
      </c>
      <c r="P51" s="94" t="s">
        <v>1088</v>
      </c>
      <c r="Q51" s="94"/>
      <c r="R51" s="94" t="s">
        <v>1088</v>
      </c>
      <c r="S51" s="92">
        <v>0.42152777777777778</v>
      </c>
      <c r="T51" s="119"/>
      <c r="U51" s="119"/>
      <c r="V51" s="92">
        <v>0.48749999999999999</v>
      </c>
      <c r="W51" s="89">
        <f>IF(Table1[[#This Row],[Acknowledgemnet Time ]]="NA","",(Table1[[#This Row],[Acknowledgemnet Time ]]-Table1[[#This Row],[Fault Time]])*24)</f>
        <v>-10.116666666666667</v>
      </c>
      <c r="X51" s="89">
        <f>IF(Table1[[#This Row],[Work Start time on Fault]]="NA","",(Table1[[#This Row],[Work Start time on Fault]]-Table1[[#This Row],[Fault Time]])*24)</f>
        <v>-10.116666666666667</v>
      </c>
      <c r="Y51" s="52">
        <f>(Table1[[#This Row],[Work Completiuon time on fualt]]-Table1[[#This Row],[Fault Time]])*24</f>
        <v>1.583333333333333</v>
      </c>
      <c r="Z51" s="52">
        <f>IFERROR((Table1[[#This Row],[Work Completiuon time on fualt]]-Table1[[#This Row],[Fault Time]])*24,"")</f>
        <v>1.583333333333333</v>
      </c>
      <c r="AA51" s="2" t="s">
        <v>1084</v>
      </c>
      <c r="AB51" s="2" t="s">
        <v>1080</v>
      </c>
      <c r="AC51" s="90">
        <f>IFERROR(Table1[[#This Row],[Breakdown Time]]*Table1[[#This Row],[Plant Equivalent Weightage]],"")</f>
        <v>0.13217968058447305</v>
      </c>
      <c r="AD51" s="2">
        <v>1.45</v>
      </c>
      <c r="AE51" s="89">
        <f>_xlfn.XLOOKUP($F51,'Modelling New'!$D:$D,'Modelling New'!$O:$O)*Table1[[#This Row],[Lost PoA(Wh/m2)]]*Table1[[#This Row],[DC Capacity Affceted (kW)]]</f>
        <v>655.63775186652333</v>
      </c>
      <c r="AF51" s="2"/>
      <c r="AG51" s="2"/>
    </row>
    <row r="52" spans="1:33" x14ac:dyDescent="0.3">
      <c r="A52" s="67">
        <f t="shared" si="0"/>
        <v>49</v>
      </c>
      <c r="B52" s="75">
        <f>YEAR(Table1[[#This Row],[Date]])+IF(MONTH(Table1[[#This Row],[Date]])&gt;=4,1,0)</f>
        <v>2026</v>
      </c>
      <c r="C52" s="74">
        <f>YEAR(Table1[[#This Row],[Date]])</f>
        <v>2025</v>
      </c>
      <c r="D52" s="74" t="s">
        <v>1082</v>
      </c>
      <c r="E52" s="74" t="s">
        <v>1082</v>
      </c>
      <c r="F52" s="181">
        <f>Table1[[#This Row],[Date]]-DAY(Table1[[#This Row],[Date]])+1</f>
        <v>45748</v>
      </c>
      <c r="G52">
        <f>DAY(EOMONTH(Table1[[#This Row],[Month Year]],0))</f>
        <v>30</v>
      </c>
      <c r="H52" s="104">
        <v>45749</v>
      </c>
      <c r="I52" s="76">
        <f>IFERROR(VLOOKUP(Table1[[#This Row],[Date]],Table3[[Date]:[Sunset Time (POA&lt;20 W/m2)]],3,0),"")</f>
        <v>0.26319444444444445</v>
      </c>
      <c r="J52" s="76">
        <f>IFERROR(VLOOKUP(Table1[[#This Row],[Date]],Table3[[Date]:[Sunset Time (POA&lt;20 W/m2)]],4,0),"")</f>
        <v>0.7729166666666667</v>
      </c>
      <c r="K52" s="77">
        <f>IFERROR((Table1[[#This Row],[Sunset Time (POA&lt;20 W/m2)]]-Table1[[#This Row],[Sunrise Time (POA&gt;20 W/m2)]])*24,"")</f>
        <v>12.233333333333333</v>
      </c>
      <c r="L52" s="108" t="s">
        <v>232</v>
      </c>
      <c r="M52" s="61">
        <f>VLOOKUP(Table1[[#This Row],[Affceted Equipment]],'Basic Data'!$A$2:$C$818,2,0)</f>
        <v>669.6</v>
      </c>
      <c r="N52" s="93">
        <f>IFERROR(VLOOKUP(Table1[[#This Row],[Affceted Equipment]],'Basic Data'!$A$2:$C$818,3,0),"")</f>
        <v>8.348190352703562E-2</v>
      </c>
      <c r="O52" s="118" t="s">
        <v>323</v>
      </c>
      <c r="P52" s="94" t="s">
        <v>1090</v>
      </c>
      <c r="Q52" s="94"/>
      <c r="R52" s="94" t="s">
        <v>1090</v>
      </c>
      <c r="S52" s="92">
        <v>0.42152777777777778</v>
      </c>
      <c r="T52" s="119"/>
      <c r="U52" s="119"/>
      <c r="V52" s="92">
        <v>0.48749999999999999</v>
      </c>
      <c r="W52" s="89">
        <f>IF(Table1[[#This Row],[Acknowledgemnet Time ]]="NA","",(Table1[[#This Row],[Acknowledgemnet Time ]]-Table1[[#This Row],[Fault Time]])*24)</f>
        <v>-10.116666666666667</v>
      </c>
      <c r="X52" s="89">
        <f>IF(Table1[[#This Row],[Work Start time on Fault]]="NA","",(Table1[[#This Row],[Work Start time on Fault]]-Table1[[#This Row],[Fault Time]])*24)</f>
        <v>-10.116666666666667</v>
      </c>
      <c r="Y52" s="52">
        <f>(Table1[[#This Row],[Work Completiuon time on fualt]]-Table1[[#This Row],[Fault Time]])*24</f>
        <v>1.583333333333333</v>
      </c>
      <c r="Z52" s="52">
        <f>IFERROR((Table1[[#This Row],[Work Completiuon time on fualt]]-Table1[[#This Row],[Fault Time]])*24,"")</f>
        <v>1.583333333333333</v>
      </c>
      <c r="AA52" s="2" t="s">
        <v>1084</v>
      </c>
      <c r="AB52" s="2" t="s">
        <v>1080</v>
      </c>
      <c r="AC52" s="90">
        <f>IFERROR(Table1[[#This Row],[Breakdown Time]]*Table1[[#This Row],[Plant Equivalent Weightage]],"")</f>
        <v>0.13217968058447305</v>
      </c>
      <c r="AD52" s="2">
        <v>1.45</v>
      </c>
      <c r="AE52" s="89">
        <f>_xlfn.XLOOKUP($F52,'Modelling New'!$D:$D,'Modelling New'!$O:$O)*Table1[[#This Row],[Lost PoA(Wh/m2)]]*Table1[[#This Row],[DC Capacity Affceted (kW)]]</f>
        <v>655.63775186652333</v>
      </c>
      <c r="AF52" s="2"/>
      <c r="AG52" s="2"/>
    </row>
    <row r="53" spans="1:33" x14ac:dyDescent="0.3">
      <c r="A53" s="67">
        <f t="shared" si="0"/>
        <v>50</v>
      </c>
      <c r="B53" s="75">
        <f>YEAR(Table1[[#This Row],[Date]])+IF(MONTH(Table1[[#This Row],[Date]])&gt;=4,1,0)</f>
        <v>2026</v>
      </c>
      <c r="C53" s="74">
        <f>YEAR(Table1[[#This Row],[Date]])</f>
        <v>2025</v>
      </c>
      <c r="D53" s="74" t="s">
        <v>1082</v>
      </c>
      <c r="E53" s="74" t="s">
        <v>1082</v>
      </c>
      <c r="F53" s="181">
        <f>Table1[[#This Row],[Date]]-DAY(Table1[[#This Row],[Date]])+1</f>
        <v>45748</v>
      </c>
      <c r="G53">
        <f>DAY(EOMONTH(Table1[[#This Row],[Month Year]],0))</f>
        <v>30</v>
      </c>
      <c r="H53" s="104">
        <v>45749</v>
      </c>
      <c r="I53" s="76">
        <f>IFERROR(VLOOKUP(Table1[[#This Row],[Date]],Table3[[Date]:[Sunset Time (POA&lt;20 W/m2)]],3,0),"")</f>
        <v>0.26319444444444445</v>
      </c>
      <c r="J53" s="76">
        <f>IFERROR(VLOOKUP(Table1[[#This Row],[Date]],Table3[[Date]:[Sunset Time (POA&lt;20 W/m2)]],4,0),"")</f>
        <v>0.7729166666666667</v>
      </c>
      <c r="K53" s="77">
        <f>IFERROR((Table1[[#This Row],[Sunset Time (POA&lt;20 W/m2)]]-Table1[[#This Row],[Sunrise Time (POA&gt;20 W/m2)]])*24,"")</f>
        <v>12.233333333333333</v>
      </c>
      <c r="L53" s="108" t="s">
        <v>180</v>
      </c>
      <c r="M53" s="61">
        <f>VLOOKUP(Table1[[#This Row],[Affceted Equipment]],'Basic Data'!$A$2:$C$818,2,0)</f>
        <v>2694.6</v>
      </c>
      <c r="N53" s="93">
        <f>IFERROR(VLOOKUP(Table1[[#This Row],[Affceted Equipment]],'Basic Data'!$A$2:$C$818,3,0),"")</f>
        <v>0.33594733758057077</v>
      </c>
      <c r="O53" s="118" t="s">
        <v>323</v>
      </c>
      <c r="P53" s="94" t="s">
        <v>1089</v>
      </c>
      <c r="Q53" s="94"/>
      <c r="R53" s="94" t="s">
        <v>1089</v>
      </c>
      <c r="S53" s="92">
        <v>0.48749999999999999</v>
      </c>
      <c r="T53" s="119"/>
      <c r="U53" s="119"/>
      <c r="V53" s="92">
        <v>0.49305555555555558</v>
      </c>
      <c r="W53" s="89">
        <f>IF(Table1[[#This Row],[Acknowledgemnet Time ]]="NA","",(Table1[[#This Row],[Acknowledgemnet Time ]]-Table1[[#This Row],[Fault Time]])*24)</f>
        <v>-11.7</v>
      </c>
      <c r="X53" s="89">
        <f>IF(Table1[[#This Row],[Work Start time on Fault]]="NA","",(Table1[[#This Row],[Work Start time on Fault]]-Table1[[#This Row],[Fault Time]])*24)</f>
        <v>-11.7</v>
      </c>
      <c r="Y53" s="52">
        <f>(Table1[[#This Row],[Work Completiuon time on fualt]]-Table1[[#This Row],[Fault Time]])*24</f>
        <v>0.13333333333333419</v>
      </c>
      <c r="Z53" s="52">
        <f>IFERROR((Table1[[#This Row],[Work Completiuon time on fualt]]-Table1[[#This Row],[Fault Time]])*24,"")</f>
        <v>0.13333333333333419</v>
      </c>
      <c r="AA53" s="2" t="s">
        <v>1086</v>
      </c>
      <c r="AB53" s="2" t="s">
        <v>1081</v>
      </c>
      <c r="AC53" s="90">
        <f>IFERROR(Table1[[#This Row],[Breakdown Time]]*Table1[[#This Row],[Plant Equivalent Weightage]],"")</f>
        <v>4.479297834407639E-2</v>
      </c>
      <c r="AD53" s="2">
        <v>0.18</v>
      </c>
      <c r="AE53" s="89">
        <f>_xlfn.XLOOKUP($F53,'Modelling New'!$D:$D,'Modelling New'!$O:$O)*Table1[[#This Row],[Lost PoA(Wh/m2)]]*Table1[[#This Row],[DC Capacity Affceted (kW)]]</f>
        <v>327.52715724500069</v>
      </c>
      <c r="AF53" s="2"/>
      <c r="AG53" s="2"/>
    </row>
    <row r="54" spans="1:33" x14ac:dyDescent="0.3">
      <c r="A54" s="67">
        <f t="shared" si="0"/>
        <v>51</v>
      </c>
      <c r="B54" s="75">
        <f>YEAR(Table1[[#This Row],[Date]])+IF(MONTH(Table1[[#This Row],[Date]])&gt;=4,1,0)</f>
        <v>2026</v>
      </c>
      <c r="C54" s="74">
        <f>YEAR(Table1[[#This Row],[Date]])</f>
        <v>2025</v>
      </c>
      <c r="D54" s="74" t="s">
        <v>1082</v>
      </c>
      <c r="E54" s="74" t="s">
        <v>1082</v>
      </c>
      <c r="F54" s="181">
        <f>Table1[[#This Row],[Date]]-DAY(Table1[[#This Row],[Date]])+1</f>
        <v>45748</v>
      </c>
      <c r="G54">
        <f>DAY(EOMONTH(Table1[[#This Row],[Month Year]],0))</f>
        <v>30</v>
      </c>
      <c r="H54" s="104">
        <v>45749</v>
      </c>
      <c r="I54" s="76">
        <f>IFERROR(VLOOKUP(Table1[[#This Row],[Date]],Table3[[Date]:[Sunset Time (POA&lt;20 W/m2)]],3,0),"")</f>
        <v>0.26319444444444445</v>
      </c>
      <c r="J54" s="76">
        <f>IFERROR(VLOOKUP(Table1[[#This Row],[Date]],Table3[[Date]:[Sunset Time (POA&lt;20 W/m2)]],4,0),"")</f>
        <v>0.7729166666666667</v>
      </c>
      <c r="K54" s="77">
        <f>IFERROR((Table1[[#This Row],[Sunset Time (POA&lt;20 W/m2)]]-Table1[[#This Row],[Sunrise Time (POA&gt;20 W/m2)]])*24,"")</f>
        <v>12.233333333333333</v>
      </c>
      <c r="L54" s="108" t="s">
        <v>231</v>
      </c>
      <c r="M54" s="61">
        <f>VLOOKUP(Table1[[#This Row],[Affceted Equipment]],'Basic Data'!$A$2:$C$818,2,0)</f>
        <v>669.6</v>
      </c>
      <c r="N54" s="93">
        <f>IFERROR(VLOOKUP(Table1[[#This Row],[Affceted Equipment]],'Basic Data'!$A$2:$C$818,3,0),"")</f>
        <v>8.348190352703562E-2</v>
      </c>
      <c r="O54" s="118" t="s">
        <v>323</v>
      </c>
      <c r="P54" s="94" t="s">
        <v>1088</v>
      </c>
      <c r="Q54" s="94"/>
      <c r="R54" s="94" t="s">
        <v>1088</v>
      </c>
      <c r="S54" s="92">
        <v>0.49305555555555558</v>
      </c>
      <c r="T54" s="119"/>
      <c r="U54" s="119"/>
      <c r="V54" s="92">
        <v>0.5083333333333333</v>
      </c>
      <c r="W54" s="89">
        <f>IF(Table1[[#This Row],[Acknowledgemnet Time ]]="NA","",(Table1[[#This Row],[Acknowledgemnet Time ]]-Table1[[#This Row],[Fault Time]])*24)</f>
        <v>-11.833333333333334</v>
      </c>
      <c r="X54" s="89">
        <f>IF(Table1[[#This Row],[Work Start time on Fault]]="NA","",(Table1[[#This Row],[Work Start time on Fault]]-Table1[[#This Row],[Fault Time]])*24)</f>
        <v>-11.833333333333334</v>
      </c>
      <c r="Y54" s="52">
        <f>(Table1[[#This Row],[Work Completiuon time on fualt]]-Table1[[#This Row],[Fault Time]])*24</f>
        <v>0.36666666666666536</v>
      </c>
      <c r="Z54" s="52">
        <f>IFERROR((Table1[[#This Row],[Work Completiuon time on fualt]]-Table1[[#This Row],[Fault Time]])*24,"")</f>
        <v>0.36666666666666536</v>
      </c>
      <c r="AA54" s="2" t="s">
        <v>1084</v>
      </c>
      <c r="AB54" s="2" t="s">
        <v>1080</v>
      </c>
      <c r="AC54" s="90">
        <f>IFERROR(Table1[[#This Row],[Breakdown Time]]*Table1[[#This Row],[Plant Equivalent Weightage]],"")</f>
        <v>3.0610031293246284E-2</v>
      </c>
      <c r="AD54" s="2">
        <v>0.39</v>
      </c>
      <c r="AE54" s="89">
        <f>_xlfn.XLOOKUP($F54,'Modelling New'!$D:$D,'Modelling New'!$O:$O)*Table1[[#This Row],[Lost PoA(Wh/m2)]]*Table1[[#This Row],[DC Capacity Affceted (kW)]]</f>
        <v>176.34394705375456</v>
      </c>
      <c r="AF54" s="2"/>
      <c r="AG54" s="2"/>
    </row>
    <row r="55" spans="1:33" x14ac:dyDescent="0.3">
      <c r="A55" s="67">
        <f t="shared" si="0"/>
        <v>52</v>
      </c>
      <c r="B55" s="75">
        <f>YEAR(Table1[[#This Row],[Date]])+IF(MONTH(Table1[[#This Row],[Date]])&gt;=4,1,0)</f>
        <v>2026</v>
      </c>
      <c r="C55" s="74">
        <f>YEAR(Table1[[#This Row],[Date]])</f>
        <v>2025</v>
      </c>
      <c r="D55" s="74" t="s">
        <v>1082</v>
      </c>
      <c r="E55" s="74" t="s">
        <v>1082</v>
      </c>
      <c r="F55" s="181">
        <f>Table1[[#This Row],[Date]]-DAY(Table1[[#This Row],[Date]])+1</f>
        <v>45748</v>
      </c>
      <c r="G55">
        <f>DAY(EOMONTH(Table1[[#This Row],[Month Year]],0))</f>
        <v>30</v>
      </c>
      <c r="H55" s="104">
        <v>45749</v>
      </c>
      <c r="I55" s="76">
        <f>IFERROR(VLOOKUP(Table1[[#This Row],[Date]],Table3[[Date]:[Sunset Time (POA&lt;20 W/m2)]],3,0),"")</f>
        <v>0.26319444444444445</v>
      </c>
      <c r="J55" s="76">
        <f>IFERROR(VLOOKUP(Table1[[#This Row],[Date]],Table3[[Date]:[Sunset Time (POA&lt;20 W/m2)]],4,0),"")</f>
        <v>0.7729166666666667</v>
      </c>
      <c r="K55" s="77">
        <f>IFERROR((Table1[[#This Row],[Sunset Time (POA&lt;20 W/m2)]]-Table1[[#This Row],[Sunrise Time (POA&gt;20 W/m2)]])*24,"")</f>
        <v>12.233333333333333</v>
      </c>
      <c r="L55" s="108" t="s">
        <v>232</v>
      </c>
      <c r="M55" s="61">
        <f>VLOOKUP(Table1[[#This Row],[Affceted Equipment]],'Basic Data'!$A$2:$C$818,2,0)</f>
        <v>669.6</v>
      </c>
      <c r="N55" s="93">
        <f>IFERROR(VLOOKUP(Table1[[#This Row],[Affceted Equipment]],'Basic Data'!$A$2:$C$818,3,0),"")</f>
        <v>8.348190352703562E-2</v>
      </c>
      <c r="O55" s="118" t="s">
        <v>323</v>
      </c>
      <c r="P55" s="94" t="s">
        <v>1090</v>
      </c>
      <c r="Q55" s="94"/>
      <c r="R55" s="94" t="s">
        <v>1090</v>
      </c>
      <c r="S55" s="92">
        <v>0.49305555555555558</v>
      </c>
      <c r="T55" s="119"/>
      <c r="U55" s="119"/>
      <c r="V55" s="92">
        <v>0.5083333333333333</v>
      </c>
      <c r="W55" s="89">
        <f>IF(Table1[[#This Row],[Acknowledgemnet Time ]]="NA","",(Table1[[#This Row],[Acknowledgemnet Time ]]-Table1[[#This Row],[Fault Time]])*24)</f>
        <v>-11.833333333333334</v>
      </c>
      <c r="X55" s="89">
        <f>IF(Table1[[#This Row],[Work Start time on Fault]]="NA","",(Table1[[#This Row],[Work Start time on Fault]]-Table1[[#This Row],[Fault Time]])*24)</f>
        <v>-11.833333333333334</v>
      </c>
      <c r="Y55" s="52">
        <f>(Table1[[#This Row],[Work Completiuon time on fualt]]-Table1[[#This Row],[Fault Time]])*24</f>
        <v>0.36666666666666536</v>
      </c>
      <c r="Z55" s="52">
        <f>IFERROR((Table1[[#This Row],[Work Completiuon time on fualt]]-Table1[[#This Row],[Fault Time]])*24,"")</f>
        <v>0.36666666666666536</v>
      </c>
      <c r="AA55" s="2" t="s">
        <v>1084</v>
      </c>
      <c r="AB55" s="2" t="s">
        <v>1080</v>
      </c>
      <c r="AC55" s="90">
        <f>IFERROR(Table1[[#This Row],[Breakdown Time]]*Table1[[#This Row],[Plant Equivalent Weightage]],"")</f>
        <v>3.0610031293246284E-2</v>
      </c>
      <c r="AD55" s="2">
        <v>0.39</v>
      </c>
      <c r="AE55" s="89">
        <f>_xlfn.XLOOKUP($F55,'Modelling New'!$D:$D,'Modelling New'!$O:$O)*Table1[[#This Row],[Lost PoA(Wh/m2)]]*Table1[[#This Row],[DC Capacity Affceted (kW)]]</f>
        <v>176.34394705375456</v>
      </c>
      <c r="AF55" s="2"/>
      <c r="AG55" s="2"/>
    </row>
    <row r="56" spans="1:33" x14ac:dyDescent="0.3">
      <c r="A56" s="67">
        <f t="shared" si="0"/>
        <v>53</v>
      </c>
      <c r="B56" s="75">
        <f>YEAR(Table1[[#This Row],[Date]])+IF(MONTH(Table1[[#This Row],[Date]])&gt;=4,1,0)</f>
        <v>2026</v>
      </c>
      <c r="C56" s="74">
        <f>YEAR(Table1[[#This Row],[Date]])</f>
        <v>2025</v>
      </c>
      <c r="D56" s="74" t="s">
        <v>1082</v>
      </c>
      <c r="E56" s="74" t="s">
        <v>1082</v>
      </c>
      <c r="F56" s="181">
        <f>Table1[[#This Row],[Date]]-DAY(Table1[[#This Row],[Date]])+1</f>
        <v>45748</v>
      </c>
      <c r="G56">
        <f>DAY(EOMONTH(Table1[[#This Row],[Month Year]],0))</f>
        <v>30</v>
      </c>
      <c r="H56" s="104">
        <v>45749</v>
      </c>
      <c r="I56" s="76">
        <f>IFERROR(VLOOKUP(Table1[[#This Row],[Date]],Table3[[Date]:[Sunset Time (POA&lt;20 W/m2)]],3,0),"")</f>
        <v>0.26319444444444445</v>
      </c>
      <c r="J56" s="76">
        <f>IFERROR(VLOOKUP(Table1[[#This Row],[Date]],Table3[[Date]:[Sunset Time (POA&lt;20 W/m2)]],4,0),"")</f>
        <v>0.7729166666666667</v>
      </c>
      <c r="K56" s="77">
        <f>IFERROR((Table1[[#This Row],[Sunset Time (POA&lt;20 W/m2)]]-Table1[[#This Row],[Sunrise Time (POA&gt;20 W/m2)]])*24,"")</f>
        <v>12.233333333333333</v>
      </c>
      <c r="L56" s="108" t="s">
        <v>180</v>
      </c>
      <c r="M56" s="61">
        <f>VLOOKUP(Table1[[#This Row],[Affceted Equipment]],'Basic Data'!$A$2:$C$818,2,0)</f>
        <v>2694.6</v>
      </c>
      <c r="N56" s="93">
        <f>IFERROR(VLOOKUP(Table1[[#This Row],[Affceted Equipment]],'Basic Data'!$A$2:$C$818,3,0),"")</f>
        <v>0.33594733758057077</v>
      </c>
      <c r="O56" s="118" t="s">
        <v>323</v>
      </c>
      <c r="P56" s="94" t="s">
        <v>1089</v>
      </c>
      <c r="Q56" s="94"/>
      <c r="R56" s="94" t="s">
        <v>1089</v>
      </c>
      <c r="S56" s="92">
        <v>0.5083333333333333</v>
      </c>
      <c r="T56" s="119"/>
      <c r="U56" s="119"/>
      <c r="V56" s="92">
        <v>0.5131944444444444</v>
      </c>
      <c r="W56" s="89">
        <f>IF(Table1[[#This Row],[Acknowledgemnet Time ]]="NA","",(Table1[[#This Row],[Acknowledgemnet Time ]]-Table1[[#This Row],[Fault Time]])*24)</f>
        <v>-12.2</v>
      </c>
      <c r="X56" s="89">
        <f>IF(Table1[[#This Row],[Work Start time on Fault]]="NA","",(Table1[[#This Row],[Work Start time on Fault]]-Table1[[#This Row],[Fault Time]])*24)</f>
        <v>-12.2</v>
      </c>
      <c r="Y56" s="52">
        <f>(Table1[[#This Row],[Work Completiuon time on fualt]]-Table1[[#This Row],[Fault Time]])*24</f>
        <v>0.11666666666666625</v>
      </c>
      <c r="Z56" s="52">
        <f>IFERROR((Table1[[#This Row],[Work Completiuon time on fualt]]-Table1[[#This Row],[Fault Time]])*24,"")</f>
        <v>0.11666666666666625</v>
      </c>
      <c r="AA56" s="2" t="s">
        <v>1086</v>
      </c>
      <c r="AB56" s="2" t="s">
        <v>1081</v>
      </c>
      <c r="AC56" s="90">
        <f>IFERROR(Table1[[#This Row],[Breakdown Time]]*Table1[[#This Row],[Plant Equivalent Weightage]],"")</f>
        <v>3.9193856051066449E-2</v>
      </c>
      <c r="AD56" s="2">
        <v>0.13</v>
      </c>
      <c r="AE56" s="89">
        <f>_xlfn.XLOOKUP($F56,'Modelling New'!$D:$D,'Modelling New'!$O:$O)*Table1[[#This Row],[Lost PoA(Wh/m2)]]*Table1[[#This Row],[DC Capacity Affceted (kW)]]</f>
        <v>236.54739134361159</v>
      </c>
      <c r="AF56" s="2"/>
      <c r="AG56" s="2"/>
    </row>
    <row r="57" spans="1:33" x14ac:dyDescent="0.3">
      <c r="A57" s="67">
        <f t="shared" si="0"/>
        <v>54</v>
      </c>
      <c r="B57" s="75">
        <f>YEAR(Table1[[#This Row],[Date]])+IF(MONTH(Table1[[#This Row],[Date]])&gt;=4,1,0)</f>
        <v>2026</v>
      </c>
      <c r="C57" s="74">
        <f>YEAR(Table1[[#This Row],[Date]])</f>
        <v>2025</v>
      </c>
      <c r="D57" s="74" t="s">
        <v>1082</v>
      </c>
      <c r="E57" s="74" t="s">
        <v>1082</v>
      </c>
      <c r="F57" s="181">
        <f>Table1[[#This Row],[Date]]-DAY(Table1[[#This Row],[Date]])+1</f>
        <v>45748</v>
      </c>
      <c r="G57">
        <f>DAY(EOMONTH(Table1[[#This Row],[Month Year]],0))</f>
        <v>30</v>
      </c>
      <c r="H57" s="104">
        <v>45749</v>
      </c>
      <c r="I57" s="76">
        <f>IFERROR(VLOOKUP(Table1[[#This Row],[Date]],Table3[[Date]:[Sunset Time (POA&lt;20 W/m2)]],3,0),"")</f>
        <v>0.26319444444444445</v>
      </c>
      <c r="J57" s="76">
        <f>IFERROR(VLOOKUP(Table1[[#This Row],[Date]],Table3[[Date]:[Sunset Time (POA&lt;20 W/m2)]],4,0),"")</f>
        <v>0.7729166666666667</v>
      </c>
      <c r="K57" s="77">
        <f>IFERROR((Table1[[#This Row],[Sunset Time (POA&lt;20 W/m2)]]-Table1[[#This Row],[Sunrise Time (POA&gt;20 W/m2)]])*24,"")</f>
        <v>12.233333333333333</v>
      </c>
      <c r="L57" s="108" t="s">
        <v>231</v>
      </c>
      <c r="M57" s="61">
        <f>VLOOKUP(Table1[[#This Row],[Affceted Equipment]],'Basic Data'!$A$2:$C$818,2,0)</f>
        <v>669.6</v>
      </c>
      <c r="N57" s="93">
        <f>IFERROR(VLOOKUP(Table1[[#This Row],[Affceted Equipment]],'Basic Data'!$A$2:$C$818,3,0),"")</f>
        <v>8.348190352703562E-2</v>
      </c>
      <c r="O57" s="118" t="s">
        <v>323</v>
      </c>
      <c r="P57" s="94" t="s">
        <v>1088</v>
      </c>
      <c r="Q57" s="94"/>
      <c r="R57" s="94" t="s">
        <v>1088</v>
      </c>
      <c r="S57" s="92">
        <v>0.5131944444444444</v>
      </c>
      <c r="T57" s="119"/>
      <c r="U57" s="119"/>
      <c r="V57" s="92">
        <v>0.53055555555555556</v>
      </c>
      <c r="W57" s="89">
        <f>IF(Table1[[#This Row],[Acknowledgemnet Time ]]="NA","",(Table1[[#This Row],[Acknowledgemnet Time ]]-Table1[[#This Row],[Fault Time]])*24)</f>
        <v>-12.316666666666666</v>
      </c>
      <c r="X57" s="89">
        <f>IF(Table1[[#This Row],[Work Start time on Fault]]="NA","",(Table1[[#This Row],[Work Start time on Fault]]-Table1[[#This Row],[Fault Time]])*24)</f>
        <v>-12.316666666666666</v>
      </c>
      <c r="Y57" s="52">
        <f>(Table1[[#This Row],[Work Completiuon time on fualt]]-Table1[[#This Row],[Fault Time]])*24</f>
        <v>0.41666666666666785</v>
      </c>
      <c r="Z57" s="52">
        <f>IFERROR((Table1[[#This Row],[Work Completiuon time on fualt]]-Table1[[#This Row],[Fault Time]])*24,"")</f>
        <v>0.41666666666666785</v>
      </c>
      <c r="AA57" s="2" t="s">
        <v>1084</v>
      </c>
      <c r="AB57" s="2" t="s">
        <v>1080</v>
      </c>
      <c r="AC57" s="90">
        <f>IFERROR(Table1[[#This Row],[Breakdown Time]]*Table1[[#This Row],[Plant Equivalent Weightage]],"")</f>
        <v>3.4784126469598275E-2</v>
      </c>
      <c r="AD57" s="2">
        <v>0.42</v>
      </c>
      <c r="AE57" s="89">
        <f>_xlfn.XLOOKUP($F57,'Modelling New'!$D:$D,'Modelling New'!$O:$O)*Table1[[#This Row],[Lost PoA(Wh/m2)]]*Table1[[#This Row],[DC Capacity Affceted (kW)]]</f>
        <v>189.9088660578895</v>
      </c>
      <c r="AF57" s="2"/>
      <c r="AG57" s="2"/>
    </row>
    <row r="58" spans="1:33" x14ac:dyDescent="0.3">
      <c r="A58" s="67">
        <f t="shared" si="0"/>
        <v>55</v>
      </c>
      <c r="B58" s="75">
        <f>YEAR(Table1[[#This Row],[Date]])+IF(MONTH(Table1[[#This Row],[Date]])&gt;=4,1,0)</f>
        <v>2026</v>
      </c>
      <c r="C58" s="74">
        <f>YEAR(Table1[[#This Row],[Date]])</f>
        <v>2025</v>
      </c>
      <c r="D58" s="74" t="s">
        <v>1082</v>
      </c>
      <c r="E58" s="74" t="s">
        <v>1082</v>
      </c>
      <c r="F58" s="181">
        <f>Table1[[#This Row],[Date]]-DAY(Table1[[#This Row],[Date]])+1</f>
        <v>45748</v>
      </c>
      <c r="G58">
        <f>DAY(EOMONTH(Table1[[#This Row],[Month Year]],0))</f>
        <v>30</v>
      </c>
      <c r="H58" s="104">
        <v>45749</v>
      </c>
      <c r="I58" s="76">
        <f>IFERROR(VLOOKUP(Table1[[#This Row],[Date]],Table3[[Date]:[Sunset Time (POA&lt;20 W/m2)]],3,0),"")</f>
        <v>0.26319444444444445</v>
      </c>
      <c r="J58" s="76">
        <f>IFERROR(VLOOKUP(Table1[[#This Row],[Date]],Table3[[Date]:[Sunset Time (POA&lt;20 W/m2)]],4,0),"")</f>
        <v>0.7729166666666667</v>
      </c>
      <c r="K58" s="77">
        <f>IFERROR((Table1[[#This Row],[Sunset Time (POA&lt;20 W/m2)]]-Table1[[#This Row],[Sunrise Time (POA&gt;20 W/m2)]])*24,"")</f>
        <v>12.233333333333333</v>
      </c>
      <c r="L58" s="108" t="s">
        <v>232</v>
      </c>
      <c r="M58" s="61">
        <f>VLOOKUP(Table1[[#This Row],[Affceted Equipment]],'Basic Data'!$A$2:$C$818,2,0)</f>
        <v>669.6</v>
      </c>
      <c r="N58" s="93">
        <f>IFERROR(VLOOKUP(Table1[[#This Row],[Affceted Equipment]],'Basic Data'!$A$2:$C$818,3,0),"")</f>
        <v>8.348190352703562E-2</v>
      </c>
      <c r="O58" s="118" t="s">
        <v>323</v>
      </c>
      <c r="P58" s="94" t="s">
        <v>1090</v>
      </c>
      <c r="Q58" s="94"/>
      <c r="R58" s="94" t="s">
        <v>1090</v>
      </c>
      <c r="S58" s="92">
        <v>0.5131944444444444</v>
      </c>
      <c r="T58" s="119"/>
      <c r="U58" s="119"/>
      <c r="V58" s="92">
        <v>0.53055555555555556</v>
      </c>
      <c r="W58" s="89">
        <f>IF(Table1[[#This Row],[Acknowledgemnet Time ]]="NA","",(Table1[[#This Row],[Acknowledgemnet Time ]]-Table1[[#This Row],[Fault Time]])*24)</f>
        <v>-12.316666666666666</v>
      </c>
      <c r="X58" s="89">
        <f>IF(Table1[[#This Row],[Work Start time on Fault]]="NA","",(Table1[[#This Row],[Work Start time on Fault]]-Table1[[#This Row],[Fault Time]])*24)</f>
        <v>-12.316666666666666</v>
      </c>
      <c r="Y58" s="52">
        <f>(Table1[[#This Row],[Work Completiuon time on fualt]]-Table1[[#This Row],[Fault Time]])*24</f>
        <v>0.41666666666666785</v>
      </c>
      <c r="Z58" s="52">
        <f>IFERROR((Table1[[#This Row],[Work Completiuon time on fualt]]-Table1[[#This Row],[Fault Time]])*24,"")</f>
        <v>0.41666666666666785</v>
      </c>
      <c r="AA58" s="2" t="s">
        <v>1084</v>
      </c>
      <c r="AB58" s="2" t="s">
        <v>1080</v>
      </c>
      <c r="AC58" s="90">
        <f>IFERROR(Table1[[#This Row],[Breakdown Time]]*Table1[[#This Row],[Plant Equivalent Weightage]],"")</f>
        <v>3.4784126469598275E-2</v>
      </c>
      <c r="AD58" s="2">
        <v>0.42</v>
      </c>
      <c r="AE58" s="89">
        <f>_xlfn.XLOOKUP($F58,'Modelling New'!$D:$D,'Modelling New'!$O:$O)*Table1[[#This Row],[Lost PoA(Wh/m2)]]*Table1[[#This Row],[DC Capacity Affceted (kW)]]</f>
        <v>189.9088660578895</v>
      </c>
      <c r="AF58" s="2"/>
      <c r="AG58" s="2"/>
    </row>
    <row r="59" spans="1:33" x14ac:dyDescent="0.3">
      <c r="A59" s="67">
        <f t="shared" si="0"/>
        <v>56</v>
      </c>
      <c r="B59" s="75">
        <f>YEAR(Table1[[#This Row],[Date]])+IF(MONTH(Table1[[#This Row],[Date]])&gt;=4,1,0)</f>
        <v>2026</v>
      </c>
      <c r="C59" s="74">
        <f>YEAR(Table1[[#This Row],[Date]])</f>
        <v>2025</v>
      </c>
      <c r="D59" s="74" t="s">
        <v>1082</v>
      </c>
      <c r="E59" s="74" t="s">
        <v>1082</v>
      </c>
      <c r="F59" s="181">
        <f>Table1[[#This Row],[Date]]-DAY(Table1[[#This Row],[Date]])+1</f>
        <v>45748</v>
      </c>
      <c r="G59">
        <f>DAY(EOMONTH(Table1[[#This Row],[Month Year]],0))</f>
        <v>30</v>
      </c>
      <c r="H59" s="104">
        <v>45749</v>
      </c>
      <c r="I59" s="76">
        <f>IFERROR(VLOOKUP(Table1[[#This Row],[Date]],Table3[[Date]:[Sunset Time (POA&lt;20 W/m2)]],3,0),"")</f>
        <v>0.26319444444444445</v>
      </c>
      <c r="J59" s="76">
        <f>IFERROR(VLOOKUP(Table1[[#This Row],[Date]],Table3[[Date]:[Sunset Time (POA&lt;20 W/m2)]],4,0),"")</f>
        <v>0.7729166666666667</v>
      </c>
      <c r="K59" s="77">
        <f>IFERROR((Table1[[#This Row],[Sunset Time (POA&lt;20 W/m2)]]-Table1[[#This Row],[Sunrise Time (POA&gt;20 W/m2)]])*24,"")</f>
        <v>12.233333333333333</v>
      </c>
      <c r="L59" s="108" t="s">
        <v>180</v>
      </c>
      <c r="M59" s="61">
        <f>VLOOKUP(Table1[[#This Row],[Affceted Equipment]],'Basic Data'!$A$2:$C$818,2,0)</f>
        <v>2694.6</v>
      </c>
      <c r="N59" s="93">
        <f>IFERROR(VLOOKUP(Table1[[#This Row],[Affceted Equipment]],'Basic Data'!$A$2:$C$818,3,0),"")</f>
        <v>0.33594733758057077</v>
      </c>
      <c r="O59" s="118" t="s">
        <v>323</v>
      </c>
      <c r="P59" s="94" t="s">
        <v>1089</v>
      </c>
      <c r="Q59" s="94"/>
      <c r="R59" s="94" t="s">
        <v>1089</v>
      </c>
      <c r="S59" s="92">
        <v>0.53055555555555556</v>
      </c>
      <c r="T59" s="119"/>
      <c r="U59" s="119"/>
      <c r="V59" s="92">
        <v>0.53611111111111109</v>
      </c>
      <c r="W59" s="89">
        <f>IF(Table1[[#This Row],[Acknowledgemnet Time ]]="NA","",(Table1[[#This Row],[Acknowledgemnet Time ]]-Table1[[#This Row],[Fault Time]])*24)</f>
        <v>-12.733333333333334</v>
      </c>
      <c r="X59" s="89">
        <f>IF(Table1[[#This Row],[Work Start time on Fault]]="NA","",(Table1[[#This Row],[Work Start time on Fault]]-Table1[[#This Row],[Fault Time]])*24)</f>
        <v>-12.733333333333334</v>
      </c>
      <c r="Y59" s="52">
        <f>(Table1[[#This Row],[Work Completiuon time on fualt]]-Table1[[#This Row],[Fault Time]])*24</f>
        <v>0.13333333333333286</v>
      </c>
      <c r="Z59" s="52">
        <f>IFERROR((Table1[[#This Row],[Work Completiuon time on fualt]]-Table1[[#This Row],[Fault Time]])*24,"")</f>
        <v>0.13333333333333286</v>
      </c>
      <c r="AA59" s="2" t="s">
        <v>1086</v>
      </c>
      <c r="AB59" s="2" t="s">
        <v>1081</v>
      </c>
      <c r="AC59" s="90">
        <f>IFERROR(Table1[[#This Row],[Breakdown Time]]*Table1[[#This Row],[Plant Equivalent Weightage]],"")</f>
        <v>4.4792978344075945E-2</v>
      </c>
      <c r="AD59" s="2">
        <v>0.14000000000000001</v>
      </c>
      <c r="AE59" s="89">
        <f>_xlfn.XLOOKUP($F59,'Modelling New'!$D:$D,'Modelling New'!$O:$O)*Table1[[#This Row],[Lost PoA(Wh/m2)]]*Table1[[#This Row],[DC Capacity Affceted (kW)]]</f>
        <v>254.74334452388945</v>
      </c>
      <c r="AF59" s="2"/>
      <c r="AG59" s="2"/>
    </row>
    <row r="60" spans="1:33" x14ac:dyDescent="0.3">
      <c r="A60" s="67">
        <f t="shared" si="0"/>
        <v>57</v>
      </c>
      <c r="B60" s="75">
        <f>YEAR(Table1[[#This Row],[Date]])+IF(MONTH(Table1[[#This Row],[Date]])&gt;=4,1,0)</f>
        <v>2026</v>
      </c>
      <c r="C60" s="74">
        <f>YEAR(Table1[[#This Row],[Date]])</f>
        <v>2025</v>
      </c>
      <c r="D60" s="74" t="s">
        <v>1082</v>
      </c>
      <c r="E60" s="74" t="s">
        <v>1082</v>
      </c>
      <c r="F60" s="181">
        <f>Table1[[#This Row],[Date]]-DAY(Table1[[#This Row],[Date]])+1</f>
        <v>45748</v>
      </c>
      <c r="G60">
        <f>DAY(EOMONTH(Table1[[#This Row],[Month Year]],0))</f>
        <v>30</v>
      </c>
      <c r="H60" s="104">
        <v>45749</v>
      </c>
      <c r="I60" s="76">
        <f>IFERROR(VLOOKUP(Table1[[#This Row],[Date]],Table3[[Date]:[Sunset Time (POA&lt;20 W/m2)]],3,0),"")</f>
        <v>0.26319444444444445</v>
      </c>
      <c r="J60" s="76">
        <f>IFERROR(VLOOKUP(Table1[[#This Row],[Date]],Table3[[Date]:[Sunset Time (POA&lt;20 W/m2)]],4,0),"")</f>
        <v>0.7729166666666667</v>
      </c>
      <c r="K60" s="77">
        <f>IFERROR((Table1[[#This Row],[Sunset Time (POA&lt;20 W/m2)]]-Table1[[#This Row],[Sunrise Time (POA&gt;20 W/m2)]])*24,"")</f>
        <v>12.233333333333333</v>
      </c>
      <c r="L60" s="108" t="s">
        <v>231</v>
      </c>
      <c r="M60" s="61">
        <f>VLOOKUP(Table1[[#This Row],[Affceted Equipment]],'Basic Data'!$A$2:$C$818,2,0)</f>
        <v>669.6</v>
      </c>
      <c r="N60" s="93">
        <f>IFERROR(VLOOKUP(Table1[[#This Row],[Affceted Equipment]],'Basic Data'!$A$2:$C$818,3,0),"")</f>
        <v>8.348190352703562E-2</v>
      </c>
      <c r="O60" s="118" t="s">
        <v>323</v>
      </c>
      <c r="P60" s="94" t="s">
        <v>1088</v>
      </c>
      <c r="Q60" s="94"/>
      <c r="R60" s="94" t="s">
        <v>1088</v>
      </c>
      <c r="S60" s="92">
        <v>0.53611111111111109</v>
      </c>
      <c r="T60" s="119"/>
      <c r="U60" s="119"/>
      <c r="V60" s="92">
        <v>0.54583333333333328</v>
      </c>
      <c r="W60" s="89">
        <f>IF(Table1[[#This Row],[Acknowledgemnet Time ]]="NA","",(Table1[[#This Row],[Acknowledgemnet Time ]]-Table1[[#This Row],[Fault Time]])*24)</f>
        <v>-12.866666666666667</v>
      </c>
      <c r="X60" s="89">
        <f>IF(Table1[[#This Row],[Work Start time on Fault]]="NA","",(Table1[[#This Row],[Work Start time on Fault]]-Table1[[#This Row],[Fault Time]])*24)</f>
        <v>-12.866666666666667</v>
      </c>
      <c r="Y60" s="52">
        <f>(Table1[[#This Row],[Work Completiuon time on fualt]]-Table1[[#This Row],[Fault Time]])*24</f>
        <v>0.2333333333333325</v>
      </c>
      <c r="Z60" s="52">
        <f>IFERROR((Table1[[#This Row],[Work Completiuon time on fualt]]-Table1[[#This Row],[Fault Time]])*24,"")</f>
        <v>0.2333333333333325</v>
      </c>
      <c r="AA60" s="2" t="s">
        <v>1084</v>
      </c>
      <c r="AB60" s="2" t="s">
        <v>1080</v>
      </c>
      <c r="AC60" s="90">
        <f>IFERROR(Table1[[#This Row],[Breakdown Time]]*Table1[[#This Row],[Plant Equivalent Weightage]],"")</f>
        <v>1.9479110822974908E-2</v>
      </c>
      <c r="AD60" s="2">
        <v>0.28999999999999998</v>
      </c>
      <c r="AE60" s="89">
        <f>_xlfn.XLOOKUP($F60,'Modelling New'!$D:$D,'Modelling New'!$O:$O)*Table1[[#This Row],[Lost PoA(Wh/m2)]]*Table1[[#This Row],[DC Capacity Affceted (kW)]]</f>
        <v>131.12755037330467</v>
      </c>
      <c r="AF60" s="2"/>
      <c r="AG60" s="2"/>
    </row>
    <row r="61" spans="1:33" x14ac:dyDescent="0.3">
      <c r="A61" s="67">
        <f t="shared" si="0"/>
        <v>58</v>
      </c>
      <c r="B61" s="75">
        <f>YEAR(Table1[[#This Row],[Date]])+IF(MONTH(Table1[[#This Row],[Date]])&gt;=4,1,0)</f>
        <v>2026</v>
      </c>
      <c r="C61" s="74">
        <f>YEAR(Table1[[#This Row],[Date]])</f>
        <v>2025</v>
      </c>
      <c r="D61" s="74" t="s">
        <v>1082</v>
      </c>
      <c r="E61" s="74" t="s">
        <v>1082</v>
      </c>
      <c r="F61" s="181">
        <f>Table1[[#This Row],[Date]]-DAY(Table1[[#This Row],[Date]])+1</f>
        <v>45748</v>
      </c>
      <c r="G61">
        <f>DAY(EOMONTH(Table1[[#This Row],[Month Year]],0))</f>
        <v>30</v>
      </c>
      <c r="H61" s="104">
        <v>45749</v>
      </c>
      <c r="I61" s="76">
        <f>IFERROR(VLOOKUP(Table1[[#This Row],[Date]],Table3[[Date]:[Sunset Time (POA&lt;20 W/m2)]],3,0),"")</f>
        <v>0.26319444444444445</v>
      </c>
      <c r="J61" s="76">
        <f>IFERROR(VLOOKUP(Table1[[#This Row],[Date]],Table3[[Date]:[Sunset Time (POA&lt;20 W/m2)]],4,0),"")</f>
        <v>0.7729166666666667</v>
      </c>
      <c r="K61" s="77">
        <f>IFERROR((Table1[[#This Row],[Sunset Time (POA&lt;20 W/m2)]]-Table1[[#This Row],[Sunrise Time (POA&gt;20 W/m2)]])*24,"")</f>
        <v>12.233333333333333</v>
      </c>
      <c r="L61" s="108" t="s">
        <v>232</v>
      </c>
      <c r="M61" s="61">
        <f>VLOOKUP(Table1[[#This Row],[Affceted Equipment]],'Basic Data'!$A$2:$C$818,2,0)</f>
        <v>669.6</v>
      </c>
      <c r="N61" s="93">
        <f>IFERROR(VLOOKUP(Table1[[#This Row],[Affceted Equipment]],'Basic Data'!$A$2:$C$818,3,0),"")</f>
        <v>8.348190352703562E-2</v>
      </c>
      <c r="O61" s="118" t="s">
        <v>323</v>
      </c>
      <c r="P61" s="94" t="s">
        <v>1090</v>
      </c>
      <c r="Q61" s="94"/>
      <c r="R61" s="94" t="s">
        <v>1090</v>
      </c>
      <c r="S61" s="92">
        <v>0.53611111111111109</v>
      </c>
      <c r="T61" s="119"/>
      <c r="U61" s="119"/>
      <c r="V61" s="92">
        <v>0.54583333333333328</v>
      </c>
      <c r="W61" s="89">
        <f>IF(Table1[[#This Row],[Acknowledgemnet Time ]]="NA","",(Table1[[#This Row],[Acknowledgemnet Time ]]-Table1[[#This Row],[Fault Time]])*24)</f>
        <v>-12.866666666666667</v>
      </c>
      <c r="X61" s="89">
        <f>IF(Table1[[#This Row],[Work Start time on Fault]]="NA","",(Table1[[#This Row],[Work Start time on Fault]]-Table1[[#This Row],[Fault Time]])*24)</f>
        <v>-12.866666666666667</v>
      </c>
      <c r="Y61" s="52">
        <f>(Table1[[#This Row],[Work Completiuon time on fualt]]-Table1[[#This Row],[Fault Time]])*24</f>
        <v>0.2333333333333325</v>
      </c>
      <c r="Z61" s="52">
        <f>IFERROR((Table1[[#This Row],[Work Completiuon time on fualt]]-Table1[[#This Row],[Fault Time]])*24,"")</f>
        <v>0.2333333333333325</v>
      </c>
      <c r="AA61" s="2" t="s">
        <v>1084</v>
      </c>
      <c r="AB61" s="2" t="s">
        <v>1080</v>
      </c>
      <c r="AC61" s="90">
        <f>IFERROR(Table1[[#This Row],[Breakdown Time]]*Table1[[#This Row],[Plant Equivalent Weightage]],"")</f>
        <v>1.9479110822974908E-2</v>
      </c>
      <c r="AD61" s="2">
        <v>0.28999999999999998</v>
      </c>
      <c r="AE61" s="89">
        <f>_xlfn.XLOOKUP($F61,'Modelling New'!$D:$D,'Modelling New'!$O:$O)*Table1[[#This Row],[Lost PoA(Wh/m2)]]*Table1[[#This Row],[DC Capacity Affceted (kW)]]</f>
        <v>131.12755037330467</v>
      </c>
      <c r="AF61" s="2"/>
      <c r="AG61" s="2"/>
    </row>
    <row r="62" spans="1:33" x14ac:dyDescent="0.3">
      <c r="A62" s="67">
        <f t="shared" si="0"/>
        <v>59</v>
      </c>
      <c r="B62" s="75">
        <f>YEAR(Table1[[#This Row],[Date]])+IF(MONTH(Table1[[#This Row],[Date]])&gt;=4,1,0)</f>
        <v>2026</v>
      </c>
      <c r="C62" s="74">
        <f>YEAR(Table1[[#This Row],[Date]])</f>
        <v>2025</v>
      </c>
      <c r="D62" s="74" t="s">
        <v>1082</v>
      </c>
      <c r="E62" s="74" t="s">
        <v>1082</v>
      </c>
      <c r="F62" s="181">
        <f>Table1[[#This Row],[Date]]-DAY(Table1[[#This Row],[Date]])+1</f>
        <v>45748</v>
      </c>
      <c r="G62">
        <f>DAY(EOMONTH(Table1[[#This Row],[Month Year]],0))</f>
        <v>30</v>
      </c>
      <c r="H62" s="104">
        <v>45749</v>
      </c>
      <c r="I62" s="76">
        <f>IFERROR(VLOOKUP(Table1[[#This Row],[Date]],Table3[[Date]:[Sunset Time (POA&lt;20 W/m2)]],3,0),"")</f>
        <v>0.26319444444444445</v>
      </c>
      <c r="J62" s="76">
        <f>IFERROR(VLOOKUP(Table1[[#This Row],[Date]],Table3[[Date]:[Sunset Time (POA&lt;20 W/m2)]],4,0),"")</f>
        <v>0.7729166666666667</v>
      </c>
      <c r="K62" s="77">
        <f>IFERROR((Table1[[#This Row],[Sunset Time (POA&lt;20 W/m2)]]-Table1[[#This Row],[Sunrise Time (POA&gt;20 W/m2)]])*24,"")</f>
        <v>12.233333333333333</v>
      </c>
      <c r="L62" s="108" t="s">
        <v>180</v>
      </c>
      <c r="M62" s="61">
        <f>VLOOKUP(Table1[[#This Row],[Affceted Equipment]],'Basic Data'!$A$2:$C$818,2,0)</f>
        <v>2694.6</v>
      </c>
      <c r="N62" s="93">
        <f>IFERROR(VLOOKUP(Table1[[#This Row],[Affceted Equipment]],'Basic Data'!$A$2:$C$818,3,0),"")</f>
        <v>0.33594733758057077</v>
      </c>
      <c r="O62" s="118" t="s">
        <v>323</v>
      </c>
      <c r="P62" s="94" t="s">
        <v>1089</v>
      </c>
      <c r="Q62" s="94"/>
      <c r="R62" s="94" t="s">
        <v>1089</v>
      </c>
      <c r="S62" s="92">
        <v>0.54583333333333328</v>
      </c>
      <c r="T62" s="119"/>
      <c r="U62" s="119"/>
      <c r="V62" s="92">
        <v>0.60347222222222219</v>
      </c>
      <c r="W62" s="89">
        <f>IF(Table1[[#This Row],[Acknowledgemnet Time ]]="NA","",(Table1[[#This Row],[Acknowledgemnet Time ]]-Table1[[#This Row],[Fault Time]])*24)</f>
        <v>-13.099999999999998</v>
      </c>
      <c r="X62" s="89">
        <f>IF(Table1[[#This Row],[Work Start time on Fault]]="NA","",(Table1[[#This Row],[Work Start time on Fault]]-Table1[[#This Row],[Fault Time]])*24)</f>
        <v>-13.099999999999998</v>
      </c>
      <c r="Y62" s="52">
        <f>(Table1[[#This Row],[Work Completiuon time on fualt]]-Table1[[#This Row],[Fault Time]])*24</f>
        <v>1.3833333333333337</v>
      </c>
      <c r="Z62" s="52">
        <f>IFERROR((Table1[[#This Row],[Work Completiuon time on fualt]]-Table1[[#This Row],[Fault Time]])*24,"")</f>
        <v>1.3833333333333337</v>
      </c>
      <c r="AA62" s="2" t="s">
        <v>1086</v>
      </c>
      <c r="AB62" s="2" t="s">
        <v>1081</v>
      </c>
      <c r="AC62" s="90">
        <f>IFERROR(Table1[[#This Row],[Breakdown Time]]*Table1[[#This Row],[Plant Equivalent Weightage]],"")</f>
        <v>0.46472715031978973</v>
      </c>
      <c r="AD62" s="2">
        <v>1.18</v>
      </c>
      <c r="AE62" s="89">
        <f>_xlfn.XLOOKUP($F62,'Modelling New'!$D:$D,'Modelling New'!$O:$O)*Table1[[#This Row],[Lost PoA(Wh/m2)]]*Table1[[#This Row],[DC Capacity Affceted (kW)]]</f>
        <v>2147.1224752727821</v>
      </c>
      <c r="AF62" s="2"/>
      <c r="AG62" s="2"/>
    </row>
    <row r="63" spans="1:33" x14ac:dyDescent="0.3">
      <c r="A63" s="67">
        <f t="shared" si="0"/>
        <v>60</v>
      </c>
      <c r="B63" s="75">
        <f>YEAR(Table1[[#This Row],[Date]])+IF(MONTH(Table1[[#This Row],[Date]])&gt;=4,1,0)</f>
        <v>2026</v>
      </c>
      <c r="C63" s="74">
        <f>YEAR(Table1[[#This Row],[Date]])</f>
        <v>2025</v>
      </c>
      <c r="D63" s="74" t="s">
        <v>1082</v>
      </c>
      <c r="E63" s="74" t="s">
        <v>1082</v>
      </c>
      <c r="F63" s="181">
        <f>Table1[[#This Row],[Date]]-DAY(Table1[[#This Row],[Date]])+1</f>
        <v>45748</v>
      </c>
      <c r="G63">
        <f>DAY(EOMONTH(Table1[[#This Row],[Month Year]],0))</f>
        <v>30</v>
      </c>
      <c r="H63" s="104">
        <v>45749</v>
      </c>
      <c r="I63" s="76">
        <f>IFERROR(VLOOKUP(Table1[[#This Row],[Date]],Table3[[Date]:[Sunset Time (POA&lt;20 W/m2)]],3,0),"")</f>
        <v>0.26319444444444445</v>
      </c>
      <c r="J63" s="76">
        <f>IFERROR(VLOOKUP(Table1[[#This Row],[Date]],Table3[[Date]:[Sunset Time (POA&lt;20 W/m2)]],4,0),"")</f>
        <v>0.7729166666666667</v>
      </c>
      <c r="K63" s="77">
        <f>IFERROR((Table1[[#This Row],[Sunset Time (POA&lt;20 W/m2)]]-Table1[[#This Row],[Sunrise Time (POA&gt;20 W/m2)]])*24,"")</f>
        <v>12.233333333333333</v>
      </c>
      <c r="L63" s="108" t="s">
        <v>231</v>
      </c>
      <c r="M63" s="61">
        <f>VLOOKUP(Table1[[#This Row],[Affceted Equipment]],'Basic Data'!$A$2:$C$818,2,0)</f>
        <v>669.6</v>
      </c>
      <c r="N63" s="93">
        <f>IFERROR(VLOOKUP(Table1[[#This Row],[Affceted Equipment]],'Basic Data'!$A$2:$C$818,3,0),"")</f>
        <v>8.348190352703562E-2</v>
      </c>
      <c r="O63" s="118" t="s">
        <v>323</v>
      </c>
      <c r="P63" s="94" t="s">
        <v>1088</v>
      </c>
      <c r="Q63" s="94"/>
      <c r="R63" s="94" t="s">
        <v>1088</v>
      </c>
      <c r="S63" s="92">
        <v>0.60347222222222219</v>
      </c>
      <c r="T63" s="119"/>
      <c r="U63" s="119"/>
      <c r="V63" s="92">
        <v>0.69444444444444442</v>
      </c>
      <c r="W63" s="89">
        <f>IF(Table1[[#This Row],[Acknowledgemnet Time ]]="NA","",(Table1[[#This Row],[Acknowledgemnet Time ]]-Table1[[#This Row],[Fault Time]])*24)</f>
        <v>-14.483333333333333</v>
      </c>
      <c r="X63" s="89">
        <f>IF(Table1[[#This Row],[Work Start time on Fault]]="NA","",(Table1[[#This Row],[Work Start time on Fault]]-Table1[[#This Row],[Fault Time]])*24)</f>
        <v>-14.483333333333333</v>
      </c>
      <c r="Y63" s="52">
        <f>(Table1[[#This Row],[Work Completiuon time on fualt]]-Table1[[#This Row],[Fault Time]])*24</f>
        <v>2.1833333333333336</v>
      </c>
      <c r="Z63" s="52">
        <f>IFERROR((Table1[[#This Row],[Work Completiuon time on fualt]]-Table1[[#This Row],[Fault Time]])*24,"")</f>
        <v>2.1833333333333336</v>
      </c>
      <c r="AA63" s="2" t="s">
        <v>1084</v>
      </c>
      <c r="AB63" s="2" t="s">
        <v>1080</v>
      </c>
      <c r="AC63" s="90">
        <f>IFERROR(Table1[[#This Row],[Breakdown Time]]*Table1[[#This Row],[Plant Equivalent Weightage]],"")</f>
        <v>0.18226882270069444</v>
      </c>
      <c r="AD63" s="2">
        <v>1.24</v>
      </c>
      <c r="AE63" s="89">
        <f>_xlfn.XLOOKUP($F63,'Modelling New'!$D:$D,'Modelling New'!$O:$O)*Table1[[#This Row],[Lost PoA(Wh/m2)]]*Table1[[#This Row],[DC Capacity Affceted (kW)]]</f>
        <v>560.68331883757855</v>
      </c>
      <c r="AF63" s="2"/>
      <c r="AG63" s="2"/>
    </row>
    <row r="64" spans="1:33" x14ac:dyDescent="0.3">
      <c r="A64" s="67">
        <f t="shared" si="0"/>
        <v>61</v>
      </c>
      <c r="B64" s="75">
        <f>YEAR(Table1[[#This Row],[Date]])+IF(MONTH(Table1[[#This Row],[Date]])&gt;=4,1,0)</f>
        <v>2026</v>
      </c>
      <c r="C64" s="74">
        <f>YEAR(Table1[[#This Row],[Date]])</f>
        <v>2025</v>
      </c>
      <c r="D64" s="74" t="s">
        <v>1082</v>
      </c>
      <c r="E64" s="74" t="s">
        <v>1082</v>
      </c>
      <c r="F64" s="181">
        <f>Table1[[#This Row],[Date]]-DAY(Table1[[#This Row],[Date]])+1</f>
        <v>45748</v>
      </c>
      <c r="G64">
        <f>DAY(EOMONTH(Table1[[#This Row],[Month Year]],0))</f>
        <v>30</v>
      </c>
      <c r="H64" s="104">
        <v>45749</v>
      </c>
      <c r="I64" s="76">
        <f>IFERROR(VLOOKUP(Table1[[#This Row],[Date]],Table3[[Date]:[Sunset Time (POA&lt;20 W/m2)]],3,0),"")</f>
        <v>0.26319444444444445</v>
      </c>
      <c r="J64" s="76">
        <f>IFERROR(VLOOKUP(Table1[[#This Row],[Date]],Table3[[Date]:[Sunset Time (POA&lt;20 W/m2)]],4,0),"")</f>
        <v>0.7729166666666667</v>
      </c>
      <c r="K64" s="77">
        <f>IFERROR((Table1[[#This Row],[Sunset Time (POA&lt;20 W/m2)]]-Table1[[#This Row],[Sunrise Time (POA&gt;20 W/m2)]])*24,"")</f>
        <v>12.233333333333333</v>
      </c>
      <c r="L64" s="108" t="s">
        <v>232</v>
      </c>
      <c r="M64" s="61">
        <f>VLOOKUP(Table1[[#This Row],[Affceted Equipment]],'Basic Data'!$A$2:$C$818,2,0)</f>
        <v>669.6</v>
      </c>
      <c r="N64" s="93">
        <f>IFERROR(VLOOKUP(Table1[[#This Row],[Affceted Equipment]],'Basic Data'!$A$2:$C$818,3,0),"")</f>
        <v>8.348190352703562E-2</v>
      </c>
      <c r="O64" s="118" t="s">
        <v>323</v>
      </c>
      <c r="P64" s="94" t="s">
        <v>1090</v>
      </c>
      <c r="Q64" s="94"/>
      <c r="R64" s="94" t="s">
        <v>1090</v>
      </c>
      <c r="S64" s="92">
        <v>0.60347222222222219</v>
      </c>
      <c r="T64" s="119"/>
      <c r="U64" s="119"/>
      <c r="V64" s="92">
        <v>0.69444444444444442</v>
      </c>
      <c r="W64" s="89">
        <f>IF(Table1[[#This Row],[Acknowledgemnet Time ]]="NA","",(Table1[[#This Row],[Acknowledgemnet Time ]]-Table1[[#This Row],[Fault Time]])*24)</f>
        <v>-14.483333333333333</v>
      </c>
      <c r="X64" s="89">
        <f>IF(Table1[[#This Row],[Work Start time on Fault]]="NA","",(Table1[[#This Row],[Work Start time on Fault]]-Table1[[#This Row],[Fault Time]])*24)</f>
        <v>-14.483333333333333</v>
      </c>
      <c r="Y64" s="52">
        <f>(Table1[[#This Row],[Work Completiuon time on fualt]]-Table1[[#This Row],[Fault Time]])*24</f>
        <v>2.1833333333333336</v>
      </c>
      <c r="Z64" s="52">
        <f>IFERROR((Table1[[#This Row],[Work Completiuon time on fualt]]-Table1[[#This Row],[Fault Time]])*24,"")</f>
        <v>2.1833333333333336</v>
      </c>
      <c r="AA64" s="2" t="s">
        <v>1084</v>
      </c>
      <c r="AB64" s="2" t="s">
        <v>1080</v>
      </c>
      <c r="AC64" s="90">
        <f>IFERROR(Table1[[#This Row],[Breakdown Time]]*Table1[[#This Row],[Plant Equivalent Weightage]],"")</f>
        <v>0.18226882270069444</v>
      </c>
      <c r="AD64" s="2">
        <v>1.24</v>
      </c>
      <c r="AE64" s="89">
        <f>_xlfn.XLOOKUP($F64,'Modelling New'!$D:$D,'Modelling New'!$O:$O)*Table1[[#This Row],[Lost PoA(Wh/m2)]]*Table1[[#This Row],[DC Capacity Affceted (kW)]]</f>
        <v>560.68331883757855</v>
      </c>
      <c r="AF64" s="2"/>
      <c r="AG64" s="2"/>
    </row>
    <row r="65" spans="1:33" x14ac:dyDescent="0.3">
      <c r="A65" s="67">
        <f t="shared" si="0"/>
        <v>62</v>
      </c>
      <c r="B65" s="75">
        <f>YEAR(Table1[[#This Row],[Date]])+IF(MONTH(Table1[[#This Row],[Date]])&gt;=4,1,0)</f>
        <v>2026</v>
      </c>
      <c r="C65" s="74">
        <f>YEAR(Table1[[#This Row],[Date]])</f>
        <v>2025</v>
      </c>
      <c r="D65" s="74" t="s">
        <v>1082</v>
      </c>
      <c r="E65" s="74" t="s">
        <v>1082</v>
      </c>
      <c r="F65" s="181">
        <f>Table1[[#This Row],[Date]]-DAY(Table1[[#This Row],[Date]])+1</f>
        <v>45748</v>
      </c>
      <c r="G65">
        <f>DAY(EOMONTH(Table1[[#This Row],[Month Year]],0))</f>
        <v>30</v>
      </c>
      <c r="H65" s="104">
        <v>45749</v>
      </c>
      <c r="I65" s="76">
        <f>IFERROR(VLOOKUP(Table1[[#This Row],[Date]],Table3[[Date]:[Sunset Time (POA&lt;20 W/m2)]],3,0),"")</f>
        <v>0.26319444444444445</v>
      </c>
      <c r="J65" s="76">
        <f>IFERROR(VLOOKUP(Table1[[#This Row],[Date]],Table3[[Date]:[Sunset Time (POA&lt;20 W/m2)]],4,0),"")</f>
        <v>0.7729166666666667</v>
      </c>
      <c r="K65" s="77">
        <f>IFERROR((Table1[[#This Row],[Sunset Time (POA&lt;20 W/m2)]]-Table1[[#This Row],[Sunrise Time (POA&gt;20 W/m2)]])*24,"")</f>
        <v>12.233333333333333</v>
      </c>
      <c r="L65" s="108" t="s">
        <v>180</v>
      </c>
      <c r="M65" s="61">
        <f>VLOOKUP(Table1[[#This Row],[Affceted Equipment]],'Basic Data'!$A$2:$C$818,2,0)</f>
        <v>2694.6</v>
      </c>
      <c r="N65" s="93">
        <f>IFERROR(VLOOKUP(Table1[[#This Row],[Affceted Equipment]],'Basic Data'!$A$2:$C$818,3,0),"")</f>
        <v>0.33594733758057077</v>
      </c>
      <c r="O65" s="118" t="s">
        <v>323</v>
      </c>
      <c r="P65" s="94" t="s">
        <v>1091</v>
      </c>
      <c r="Q65" s="94"/>
      <c r="R65" s="94" t="s">
        <v>1091</v>
      </c>
      <c r="S65" s="92">
        <v>0.69444444444444442</v>
      </c>
      <c r="T65" s="119"/>
      <c r="U65" s="119"/>
      <c r="V65" s="92">
        <v>0.69652777777777775</v>
      </c>
      <c r="W65" s="89">
        <f>IF(Table1[[#This Row],[Acknowledgemnet Time ]]="NA","",(Table1[[#This Row],[Acknowledgemnet Time ]]-Table1[[#This Row],[Fault Time]])*24)</f>
        <v>-16.666666666666664</v>
      </c>
      <c r="X65" s="89">
        <f>IF(Table1[[#This Row],[Work Start time on Fault]]="NA","",(Table1[[#This Row],[Work Start time on Fault]]-Table1[[#This Row],[Fault Time]])*24)</f>
        <v>-16.666666666666664</v>
      </c>
      <c r="Y65" s="52">
        <f>(Table1[[#This Row],[Work Completiuon time on fualt]]-Table1[[#This Row],[Fault Time]])*24</f>
        <v>4.9999999999999822E-2</v>
      </c>
      <c r="Z65" s="52">
        <f>IFERROR((Table1[[#This Row],[Work Completiuon time on fualt]]-Table1[[#This Row],[Fault Time]])*24,"")</f>
        <v>4.9999999999999822E-2</v>
      </c>
      <c r="AA65" s="2" t="s">
        <v>1086</v>
      </c>
      <c r="AB65" s="2" t="s">
        <v>1081</v>
      </c>
      <c r="AC65" s="90">
        <f>IFERROR(Table1[[#This Row],[Breakdown Time]]*Table1[[#This Row],[Plant Equivalent Weightage]],"")</f>
        <v>1.679736687902848E-2</v>
      </c>
      <c r="AD65" s="2">
        <v>0.02</v>
      </c>
      <c r="AE65" s="89">
        <f>_xlfn.XLOOKUP($F65,'Modelling New'!$D:$D,'Modelling New'!$O:$O)*Table1[[#This Row],[Lost PoA(Wh/m2)]]*Table1[[#This Row],[DC Capacity Affceted (kW)]]</f>
        <v>36.39190636055563</v>
      </c>
      <c r="AF65" s="2"/>
      <c r="AG65" s="2"/>
    </row>
    <row r="66" spans="1:33" x14ac:dyDescent="0.3">
      <c r="A66" s="67">
        <f t="shared" si="0"/>
        <v>63</v>
      </c>
      <c r="B66" s="75">
        <f>YEAR(Table1[[#This Row],[Date]])+IF(MONTH(Table1[[#This Row],[Date]])&gt;=4,1,0)</f>
        <v>2026</v>
      </c>
      <c r="C66" s="74">
        <f>YEAR(Table1[[#This Row],[Date]])</f>
        <v>2025</v>
      </c>
      <c r="D66" s="74" t="s">
        <v>1082</v>
      </c>
      <c r="E66" s="74" t="s">
        <v>1082</v>
      </c>
      <c r="F66" s="181">
        <f>Table1[[#This Row],[Date]]-DAY(Table1[[#This Row],[Date]])+1</f>
        <v>45748</v>
      </c>
      <c r="G66">
        <f>DAY(EOMONTH(Table1[[#This Row],[Month Year]],0))</f>
        <v>30</v>
      </c>
      <c r="H66" s="104">
        <v>45749</v>
      </c>
      <c r="I66" s="76">
        <f>IFERROR(VLOOKUP(Table1[[#This Row],[Date]],Table3[[Date]:[Sunset Time (POA&lt;20 W/m2)]],3,0),"")</f>
        <v>0.26319444444444445</v>
      </c>
      <c r="J66" s="76">
        <f>IFERROR(VLOOKUP(Table1[[#This Row],[Date]],Table3[[Date]:[Sunset Time (POA&lt;20 W/m2)]],4,0),"")</f>
        <v>0.7729166666666667</v>
      </c>
      <c r="K66" s="77">
        <f>IFERROR((Table1[[#This Row],[Sunset Time (POA&lt;20 W/m2)]]-Table1[[#This Row],[Sunrise Time (POA&gt;20 W/m2)]])*24,"")</f>
        <v>12.233333333333333</v>
      </c>
      <c r="L66" s="108" t="s">
        <v>231</v>
      </c>
      <c r="M66" s="91">
        <f>VLOOKUP(Table1[[#This Row],[Affceted Equipment]],'Basic Data'!$A$2:$C$818,2,0)</f>
        <v>669.6</v>
      </c>
      <c r="N66" s="93">
        <f>IFERROR(VLOOKUP(Table1[[#This Row],[Affceted Equipment]],'Basic Data'!$A$2:$C$818,3,0),"")</f>
        <v>8.348190352703562E-2</v>
      </c>
      <c r="O66" s="118" t="s">
        <v>323</v>
      </c>
      <c r="P66" s="94" t="s">
        <v>1088</v>
      </c>
      <c r="Q66" s="94"/>
      <c r="R66" s="94" t="s">
        <v>1088</v>
      </c>
      <c r="S66" s="92">
        <v>0.69652777777777775</v>
      </c>
      <c r="T66" s="119"/>
      <c r="U66" s="119"/>
      <c r="V66" s="92">
        <v>0.7729166666666667</v>
      </c>
      <c r="W66" s="89">
        <f>IF(Table1[[#This Row],[Acknowledgemnet Time ]]="NA","",(Table1[[#This Row],[Acknowledgemnet Time ]]-Table1[[#This Row],[Fault Time]])*24)</f>
        <v>-16.716666666666665</v>
      </c>
      <c r="X66" s="89">
        <f>IF(Table1[[#This Row],[Work Start time on Fault]]="NA","",(Table1[[#This Row],[Work Start time on Fault]]-Table1[[#This Row],[Fault Time]])*24)</f>
        <v>-16.716666666666665</v>
      </c>
      <c r="Y66" s="52">
        <f>(Table1[[#This Row],[Work Completiuon time on fualt]]-Table1[[#This Row],[Fault Time]])*24</f>
        <v>1.8333333333333348</v>
      </c>
      <c r="Z66" s="52">
        <f>IFERROR((Table1[[#This Row],[Work Completiuon time on fualt]]-Table1[[#This Row],[Fault Time]])*24,"")</f>
        <v>1.8333333333333348</v>
      </c>
      <c r="AA66" s="2" t="s">
        <v>1084</v>
      </c>
      <c r="AB66" s="2" t="s">
        <v>1080</v>
      </c>
      <c r="AC66" s="90">
        <f>IFERROR(Table1[[#This Row],[Breakdown Time]]*Table1[[#This Row],[Plant Equivalent Weightage]],"")</f>
        <v>0.1530501564662321</v>
      </c>
      <c r="AD66" s="2">
        <v>0.17</v>
      </c>
      <c r="AE66" s="89">
        <f>_xlfn.XLOOKUP($F66,'Modelling New'!$D:$D,'Modelling New'!$O:$O)*Table1[[#This Row],[Lost PoA(Wh/m2)]]*Table1[[#This Row],[DC Capacity Affceted (kW)]]</f>
        <v>76.867874356764816</v>
      </c>
      <c r="AF66" s="2"/>
      <c r="AG66" s="2"/>
    </row>
    <row r="67" spans="1:33" x14ac:dyDescent="0.3">
      <c r="A67" s="67">
        <f t="shared" si="0"/>
        <v>64</v>
      </c>
      <c r="B67" s="75">
        <f>YEAR(Table1[[#This Row],[Date]])+IF(MONTH(Table1[[#This Row],[Date]])&gt;=4,1,0)</f>
        <v>2026</v>
      </c>
      <c r="C67" s="74">
        <f>YEAR(Table1[[#This Row],[Date]])</f>
        <v>2025</v>
      </c>
      <c r="D67" s="74" t="s">
        <v>1082</v>
      </c>
      <c r="E67" s="74" t="s">
        <v>1082</v>
      </c>
      <c r="F67" s="181">
        <f>Table1[[#This Row],[Date]]-DAY(Table1[[#This Row],[Date]])+1</f>
        <v>45748</v>
      </c>
      <c r="G67">
        <f>DAY(EOMONTH(Table1[[#This Row],[Month Year]],0))</f>
        <v>30</v>
      </c>
      <c r="H67" s="104">
        <v>45750</v>
      </c>
      <c r="I67" s="76">
        <f>IFERROR(VLOOKUP(Table1[[#This Row],[Date]],Table3[[Date]:[Sunset Time (POA&lt;20 W/m2)]],3,0),"")</f>
        <v>0.26319444444444445</v>
      </c>
      <c r="J67" s="76">
        <f>IFERROR(VLOOKUP(Table1[[#This Row],[Date]],Table3[[Date]:[Sunset Time (POA&lt;20 W/m2)]],4,0),"")</f>
        <v>0.74027777777777781</v>
      </c>
      <c r="K67" s="77">
        <f>IFERROR((Table1[[#This Row],[Sunset Time (POA&lt;20 W/m2)]]-Table1[[#This Row],[Sunrise Time (POA&gt;20 W/m2)]])*24,"")</f>
        <v>11.450000000000001</v>
      </c>
      <c r="L67" s="108" t="s">
        <v>231</v>
      </c>
      <c r="M67" s="91">
        <f>VLOOKUP(Table1[[#This Row],[Affceted Equipment]],'Basic Data'!$A$2:$C$818,2,0)</f>
        <v>669.6</v>
      </c>
      <c r="N67" s="93">
        <f>IFERROR(VLOOKUP(Table1[[#This Row],[Affceted Equipment]],'Basic Data'!$A$2:$C$818,3,0),"")</f>
        <v>8.348190352703562E-2</v>
      </c>
      <c r="O67" s="118" t="s">
        <v>323</v>
      </c>
      <c r="P67" s="94" t="s">
        <v>1088</v>
      </c>
      <c r="Q67" s="94"/>
      <c r="R67" s="94" t="s">
        <v>1088</v>
      </c>
      <c r="S67" s="92">
        <v>0.26319444444444445</v>
      </c>
      <c r="T67" s="119"/>
      <c r="U67" s="119"/>
      <c r="V67" s="92">
        <v>0.44791666666666669</v>
      </c>
      <c r="W67" s="89">
        <f>IF(Table1[[#This Row],[Acknowledgemnet Time ]]="NA","",(Table1[[#This Row],[Acknowledgemnet Time ]]-Table1[[#This Row],[Fault Time]])*24)</f>
        <v>-6.3166666666666664</v>
      </c>
      <c r="X67" s="89">
        <f>IF(Table1[[#This Row],[Work Start time on Fault]]="NA","",(Table1[[#This Row],[Work Start time on Fault]]-Table1[[#This Row],[Fault Time]])*24)</f>
        <v>-6.3166666666666664</v>
      </c>
      <c r="Y67" s="52">
        <f>(Table1[[#This Row],[Work Completiuon time on fualt]]-Table1[[#This Row],[Fault Time]])*24</f>
        <v>4.4333333333333336</v>
      </c>
      <c r="Z67" s="52">
        <f>IFERROR((Table1[[#This Row],[Work Completiuon time on fualt]]-Table1[[#This Row],[Fault Time]])*24,"")</f>
        <v>4.4333333333333336</v>
      </c>
      <c r="AA67" s="2" t="s">
        <v>1084</v>
      </c>
      <c r="AB67" s="2" t="s">
        <v>1080</v>
      </c>
      <c r="AC67" s="90">
        <f>IFERROR(Table1[[#This Row],[Breakdown Time]]*Table1[[#This Row],[Plant Equivalent Weightage]],"")</f>
        <v>0.3701031056365246</v>
      </c>
      <c r="AD67" s="2">
        <v>1.29</v>
      </c>
      <c r="AE67" s="89">
        <f>_xlfn.XLOOKUP($F67,'Modelling New'!$D:$D,'Modelling New'!$O:$O)*Table1[[#This Row],[Lost PoA(Wh/m2)]]*Table1[[#This Row],[DC Capacity Affceted (kW)]]</f>
        <v>583.2915171778036</v>
      </c>
      <c r="AF67" s="2"/>
      <c r="AG67" s="2"/>
    </row>
    <row r="68" spans="1:33" x14ac:dyDescent="0.3">
      <c r="A68" s="67">
        <f t="shared" si="0"/>
        <v>65</v>
      </c>
      <c r="B68" s="75">
        <f>YEAR(Table1[[#This Row],[Date]])+IF(MONTH(Table1[[#This Row],[Date]])&gt;=4,1,0)</f>
        <v>2026</v>
      </c>
      <c r="C68" s="74">
        <f>YEAR(Table1[[#This Row],[Date]])</f>
        <v>2025</v>
      </c>
      <c r="D68" s="74" t="s">
        <v>1082</v>
      </c>
      <c r="E68" s="74" t="s">
        <v>1082</v>
      </c>
      <c r="F68" s="181">
        <f>Table1[[#This Row],[Date]]-DAY(Table1[[#This Row],[Date]])+1</f>
        <v>45748</v>
      </c>
      <c r="G68">
        <f>DAY(EOMONTH(Table1[[#This Row],[Month Year]],0))</f>
        <v>30</v>
      </c>
      <c r="H68" s="104">
        <v>45750</v>
      </c>
      <c r="I68" s="76">
        <f>IFERROR(VLOOKUP(Table1[[#This Row],[Date]],Table3[[Date]:[Sunset Time (POA&lt;20 W/m2)]],3,0),"")</f>
        <v>0.26319444444444445</v>
      </c>
      <c r="J68" s="76">
        <f>IFERROR(VLOOKUP(Table1[[#This Row],[Date]],Table3[[Date]:[Sunset Time (POA&lt;20 W/m2)]],4,0),"")</f>
        <v>0.74027777777777781</v>
      </c>
      <c r="K68" s="77">
        <f>IFERROR((Table1[[#This Row],[Sunset Time (POA&lt;20 W/m2)]]-Table1[[#This Row],[Sunrise Time (POA&gt;20 W/m2)]])*24,"")</f>
        <v>11.450000000000001</v>
      </c>
      <c r="L68" s="108" t="s">
        <v>238</v>
      </c>
      <c r="M68" s="61">
        <f>VLOOKUP(Table1[[#This Row],[Affceted Equipment]],'Basic Data'!$A$2:$C$818,2,0)</f>
        <v>658.8</v>
      </c>
      <c r="N68" s="93">
        <f>IFERROR(VLOOKUP(Table1[[#This Row],[Affceted Equipment]],'Basic Data'!$A$2:$C$818,3,0),"")</f>
        <v>8.2135421212083434E-2</v>
      </c>
      <c r="O68" s="118" t="s">
        <v>303</v>
      </c>
      <c r="P68" s="94" t="s">
        <v>1087</v>
      </c>
      <c r="Q68" s="94"/>
      <c r="R68" s="94" t="s">
        <v>1087</v>
      </c>
      <c r="S68" s="92">
        <v>0.26319444444444445</v>
      </c>
      <c r="T68" s="119"/>
      <c r="U68" s="119"/>
      <c r="V68" s="92">
        <v>0.57152777777777775</v>
      </c>
      <c r="W68" s="89">
        <f>IF(Table1[[#This Row],[Acknowledgemnet Time ]]="NA","",(Table1[[#This Row],[Acknowledgemnet Time ]]-Table1[[#This Row],[Fault Time]])*24)</f>
        <v>-6.3166666666666664</v>
      </c>
      <c r="X68" s="89">
        <f>IF(Table1[[#This Row],[Work Start time on Fault]]="NA","",(Table1[[#This Row],[Work Start time on Fault]]-Table1[[#This Row],[Fault Time]])*24)</f>
        <v>-6.3166666666666664</v>
      </c>
      <c r="Y68" s="52">
        <f>(Table1[[#This Row],[Work Completiuon time on fualt]]-Table1[[#This Row],[Fault Time]])*24</f>
        <v>7.3999999999999986</v>
      </c>
      <c r="Z68" s="52">
        <f>IFERROR((Table1[[#This Row],[Work Completiuon time on fualt]]-Table1[[#This Row],[Fault Time]])*24,"")</f>
        <v>7.3999999999999986</v>
      </c>
      <c r="AA68" s="2" t="s">
        <v>1084</v>
      </c>
      <c r="AB68" s="2" t="s">
        <v>1080</v>
      </c>
      <c r="AC68" s="90">
        <f>IFERROR(Table1[[#This Row],[Breakdown Time]]*Table1[[#This Row],[Plant Equivalent Weightage]],"")</f>
        <v>0.60780211696941733</v>
      </c>
      <c r="AD68" s="2">
        <v>3.1</v>
      </c>
      <c r="AE68" s="89">
        <f>_xlfn.XLOOKUP($F68,'Modelling New'!$D:$D,'Modelling New'!$O:$O)*Table1[[#This Row],[Lost PoA(Wh/m2)]]*Table1[[#This Row],[DC Capacity Affceted (kW)]]</f>
        <v>1379.1000987537213</v>
      </c>
      <c r="AF68" s="2"/>
      <c r="AG68" s="2"/>
    </row>
    <row r="69" spans="1:33" x14ac:dyDescent="0.3">
      <c r="A69" s="67">
        <f t="shared" si="0"/>
        <v>66</v>
      </c>
      <c r="B69" s="75">
        <f>YEAR(Table1[[#This Row],[Date]])+IF(MONTH(Table1[[#This Row],[Date]])&gt;=4,1,0)</f>
        <v>2026</v>
      </c>
      <c r="C69" s="74">
        <f>YEAR(Table1[[#This Row],[Date]])</f>
        <v>2025</v>
      </c>
      <c r="D69" s="74" t="s">
        <v>1082</v>
      </c>
      <c r="E69" s="74" t="s">
        <v>1082</v>
      </c>
      <c r="F69" s="181">
        <f>Table1[[#This Row],[Date]]-DAY(Table1[[#This Row],[Date]])+1</f>
        <v>45748</v>
      </c>
      <c r="G69">
        <f>DAY(EOMONTH(Table1[[#This Row],[Month Year]],0))</f>
        <v>30</v>
      </c>
      <c r="H69" s="104">
        <v>45750</v>
      </c>
      <c r="I69" s="76">
        <f>IFERROR(VLOOKUP(Table1[[#This Row],[Date]],Table3[[Date]:[Sunset Time (POA&lt;20 W/m2)]],3,0),"")</f>
        <v>0.26319444444444445</v>
      </c>
      <c r="J69" s="76">
        <f>IFERROR(VLOOKUP(Table1[[#This Row],[Date]],Table3[[Date]:[Sunset Time (POA&lt;20 W/m2)]],4,0),"")</f>
        <v>0.74027777777777781</v>
      </c>
      <c r="K69" s="77">
        <f>IFERROR((Table1[[#This Row],[Sunset Time (POA&lt;20 W/m2)]]-Table1[[#This Row],[Sunrise Time (POA&gt;20 W/m2)]])*24,"")</f>
        <v>11.450000000000001</v>
      </c>
      <c r="L69" s="108" t="s">
        <v>180</v>
      </c>
      <c r="M69" s="91">
        <f>VLOOKUP(Table1[[#This Row],[Affceted Equipment]],'Basic Data'!$A$2:$C$818,2,0)</f>
        <v>2694.6</v>
      </c>
      <c r="N69" s="93">
        <f>IFERROR(VLOOKUP(Table1[[#This Row],[Affceted Equipment]],'Basic Data'!$A$2:$C$818,3,0),"")</f>
        <v>0.33594733758057077</v>
      </c>
      <c r="O69" s="118" t="s">
        <v>323</v>
      </c>
      <c r="P69" s="94" t="s">
        <v>1089</v>
      </c>
      <c r="Q69" s="94"/>
      <c r="R69" s="94" t="s">
        <v>1089</v>
      </c>
      <c r="S69" s="92">
        <v>0.44791666666666669</v>
      </c>
      <c r="T69" s="119"/>
      <c r="U69" s="119"/>
      <c r="V69" s="92">
        <v>0.45277777777777778</v>
      </c>
      <c r="W69" s="89">
        <f>IF(Table1[[#This Row],[Acknowledgemnet Time ]]="NA","",(Table1[[#This Row],[Acknowledgemnet Time ]]-Table1[[#This Row],[Fault Time]])*24)</f>
        <v>-10.75</v>
      </c>
      <c r="X69" s="89">
        <f>IF(Table1[[#This Row],[Work Start time on Fault]]="NA","",(Table1[[#This Row],[Work Start time on Fault]]-Table1[[#This Row],[Fault Time]])*24)</f>
        <v>-10.75</v>
      </c>
      <c r="Y69" s="52">
        <f>(Table1[[#This Row],[Work Completiuon time on fualt]]-Table1[[#This Row],[Fault Time]])*24</f>
        <v>0.11666666666666625</v>
      </c>
      <c r="Z69" s="52">
        <f>IFERROR((Table1[[#This Row],[Work Completiuon time on fualt]]-Table1[[#This Row],[Fault Time]])*24,"")</f>
        <v>0.11666666666666625</v>
      </c>
      <c r="AA69" s="2" t="s">
        <v>1086</v>
      </c>
      <c r="AB69" s="2" t="s">
        <v>1081</v>
      </c>
      <c r="AC69" s="90">
        <f>IFERROR(Table1[[#This Row],[Breakdown Time]]*Table1[[#This Row],[Plant Equivalent Weightage]],"")</f>
        <v>3.9193856051066449E-2</v>
      </c>
      <c r="AD69" s="2">
        <v>0.14000000000000001</v>
      </c>
      <c r="AE69" s="89">
        <f>_xlfn.XLOOKUP($F69,'Modelling New'!$D:$D,'Modelling New'!$O:$O)*Table1[[#This Row],[Lost PoA(Wh/m2)]]*Table1[[#This Row],[DC Capacity Affceted (kW)]]</f>
        <v>254.74334452388945</v>
      </c>
      <c r="AF69" s="2"/>
      <c r="AG69" s="2"/>
    </row>
    <row r="70" spans="1:33" x14ac:dyDescent="0.3">
      <c r="A70" s="67">
        <f t="shared" ref="A70:A133" si="1">A69+1</f>
        <v>67</v>
      </c>
      <c r="B70" s="75">
        <f>YEAR(Table1[[#This Row],[Date]])+IF(MONTH(Table1[[#This Row],[Date]])&gt;=4,1,0)</f>
        <v>2026</v>
      </c>
      <c r="C70" s="74">
        <f>YEAR(Table1[[#This Row],[Date]])</f>
        <v>2025</v>
      </c>
      <c r="D70" s="74" t="s">
        <v>1082</v>
      </c>
      <c r="E70" s="74" t="s">
        <v>1082</v>
      </c>
      <c r="F70" s="181">
        <f>Table1[[#This Row],[Date]]-DAY(Table1[[#This Row],[Date]])+1</f>
        <v>45748</v>
      </c>
      <c r="G70">
        <f>DAY(EOMONTH(Table1[[#This Row],[Month Year]],0))</f>
        <v>30</v>
      </c>
      <c r="H70" s="104">
        <v>45750</v>
      </c>
      <c r="I70" s="76">
        <f>IFERROR(VLOOKUP(Table1[[#This Row],[Date]],Table3[[Date]:[Sunset Time (POA&lt;20 W/m2)]],3,0),"")</f>
        <v>0.26319444444444445</v>
      </c>
      <c r="J70" s="76">
        <f>IFERROR(VLOOKUP(Table1[[#This Row],[Date]],Table3[[Date]:[Sunset Time (POA&lt;20 W/m2)]],4,0),"")</f>
        <v>0.74027777777777781</v>
      </c>
      <c r="K70" s="77">
        <f>IFERROR((Table1[[#This Row],[Sunset Time (POA&lt;20 W/m2)]]-Table1[[#This Row],[Sunrise Time (POA&gt;20 W/m2)]])*24,"")</f>
        <v>11.450000000000001</v>
      </c>
      <c r="L70" s="108" t="s">
        <v>231</v>
      </c>
      <c r="M70" s="61">
        <f>VLOOKUP(Table1[[#This Row],[Affceted Equipment]],'Basic Data'!$A$2:$C$818,2,0)</f>
        <v>669.6</v>
      </c>
      <c r="N70" s="93">
        <f>IFERROR(VLOOKUP(Table1[[#This Row],[Affceted Equipment]],'Basic Data'!$A$2:$C$818,3,0),"")</f>
        <v>8.348190352703562E-2</v>
      </c>
      <c r="O70" s="118" t="s">
        <v>323</v>
      </c>
      <c r="P70" s="94" t="s">
        <v>1088</v>
      </c>
      <c r="Q70" s="94"/>
      <c r="R70" s="94" t="s">
        <v>1088</v>
      </c>
      <c r="S70" s="92">
        <v>0.45277777777777778</v>
      </c>
      <c r="T70" s="119"/>
      <c r="U70" s="119"/>
      <c r="V70" s="92">
        <v>0.57152777777777775</v>
      </c>
      <c r="W70" s="89">
        <f>IF(Table1[[#This Row],[Acknowledgemnet Time ]]="NA","",(Table1[[#This Row],[Acknowledgemnet Time ]]-Table1[[#This Row],[Fault Time]])*24)</f>
        <v>-10.866666666666667</v>
      </c>
      <c r="X70" s="89">
        <f>IF(Table1[[#This Row],[Work Start time on Fault]]="NA","",(Table1[[#This Row],[Work Start time on Fault]]-Table1[[#This Row],[Fault Time]])*24)</f>
        <v>-10.866666666666667</v>
      </c>
      <c r="Y70" s="52">
        <f>(Table1[[#This Row],[Work Completiuon time on fualt]]-Table1[[#This Row],[Fault Time]])*24</f>
        <v>2.8499999999999992</v>
      </c>
      <c r="Z70" s="52">
        <f>IFERROR((Table1[[#This Row],[Work Completiuon time on fualt]]-Table1[[#This Row],[Fault Time]])*24,"")</f>
        <v>2.8499999999999992</v>
      </c>
      <c r="AA70" s="2" t="s">
        <v>1084</v>
      </c>
      <c r="AB70" s="2" t="s">
        <v>1080</v>
      </c>
      <c r="AC70" s="90">
        <f>IFERROR(Table1[[#This Row],[Breakdown Time]]*Table1[[#This Row],[Plant Equivalent Weightage]],"")</f>
        <v>0.23792342505205144</v>
      </c>
      <c r="AD70" s="2">
        <v>1.72</v>
      </c>
      <c r="AE70" s="89">
        <f>_xlfn.XLOOKUP($F70,'Modelling New'!$D:$D,'Modelling New'!$O:$O)*Table1[[#This Row],[Lost PoA(Wh/m2)]]*Table1[[#This Row],[DC Capacity Affceted (kW)]]</f>
        <v>777.72202290373798</v>
      </c>
      <c r="AF70" s="2"/>
      <c r="AG70" s="2"/>
    </row>
    <row r="71" spans="1:33" x14ac:dyDescent="0.3">
      <c r="A71" s="67">
        <f t="shared" si="1"/>
        <v>68</v>
      </c>
      <c r="B71" s="75">
        <f>YEAR(Table1[[#This Row],[Date]])+IF(MONTH(Table1[[#This Row],[Date]])&gt;=4,1,0)</f>
        <v>2026</v>
      </c>
      <c r="C71" s="74">
        <f>YEAR(Table1[[#This Row],[Date]])</f>
        <v>2025</v>
      </c>
      <c r="D71" s="74" t="s">
        <v>1082</v>
      </c>
      <c r="E71" s="74" t="s">
        <v>1082</v>
      </c>
      <c r="F71" s="181">
        <f>Table1[[#This Row],[Date]]-DAY(Table1[[#This Row],[Date]])+1</f>
        <v>45748</v>
      </c>
      <c r="G71">
        <f>DAY(EOMONTH(Table1[[#This Row],[Month Year]],0))</f>
        <v>30</v>
      </c>
      <c r="H71" s="104">
        <v>45750</v>
      </c>
      <c r="I71" s="76">
        <f>IFERROR(VLOOKUP(Table1[[#This Row],[Date]],Table3[[Date]:[Sunset Time (POA&lt;20 W/m2)]],3,0),"")</f>
        <v>0.26319444444444445</v>
      </c>
      <c r="J71" s="76">
        <f>IFERROR(VLOOKUP(Table1[[#This Row],[Date]],Table3[[Date]:[Sunset Time (POA&lt;20 W/m2)]],4,0),"")</f>
        <v>0.74027777777777781</v>
      </c>
      <c r="K71" s="77">
        <f>IFERROR((Table1[[#This Row],[Sunset Time (POA&lt;20 W/m2)]]-Table1[[#This Row],[Sunrise Time (POA&gt;20 W/m2)]])*24,"")</f>
        <v>11.450000000000001</v>
      </c>
      <c r="L71" s="108" t="s">
        <v>232</v>
      </c>
      <c r="M71" s="91">
        <f>VLOOKUP(Table1[[#This Row],[Affceted Equipment]],'Basic Data'!$A$2:$C$818,2,0)</f>
        <v>669.6</v>
      </c>
      <c r="N71" s="93">
        <f>IFERROR(VLOOKUP(Table1[[#This Row],[Affceted Equipment]],'Basic Data'!$A$2:$C$818,3,0),"")</f>
        <v>8.348190352703562E-2</v>
      </c>
      <c r="O71" s="118" t="s">
        <v>323</v>
      </c>
      <c r="P71" s="94" t="s">
        <v>1090</v>
      </c>
      <c r="Q71" s="94"/>
      <c r="R71" s="94" t="s">
        <v>1090</v>
      </c>
      <c r="S71" s="92">
        <v>0.45277777777777778</v>
      </c>
      <c r="T71" s="119"/>
      <c r="U71" s="119"/>
      <c r="V71" s="92">
        <v>0.57152777777777775</v>
      </c>
      <c r="W71" s="89">
        <f>IF(Table1[[#This Row],[Acknowledgemnet Time ]]="NA","",(Table1[[#This Row],[Acknowledgemnet Time ]]-Table1[[#This Row],[Fault Time]])*24)</f>
        <v>-10.866666666666667</v>
      </c>
      <c r="X71" s="89">
        <f>IF(Table1[[#This Row],[Work Start time on Fault]]="NA","",(Table1[[#This Row],[Work Start time on Fault]]-Table1[[#This Row],[Fault Time]])*24)</f>
        <v>-10.866666666666667</v>
      </c>
      <c r="Y71" s="52">
        <f>(Table1[[#This Row],[Work Completiuon time on fualt]]-Table1[[#This Row],[Fault Time]])*24</f>
        <v>2.8499999999999992</v>
      </c>
      <c r="Z71" s="52">
        <f>IFERROR((Table1[[#This Row],[Work Completiuon time on fualt]]-Table1[[#This Row],[Fault Time]])*24,"")</f>
        <v>2.8499999999999992</v>
      </c>
      <c r="AA71" s="2" t="s">
        <v>1090</v>
      </c>
      <c r="AB71" s="2" t="s">
        <v>1080</v>
      </c>
      <c r="AC71" s="90">
        <f>IFERROR(Table1[[#This Row],[Breakdown Time]]*Table1[[#This Row],[Plant Equivalent Weightage]],"")</f>
        <v>0.23792342505205144</v>
      </c>
      <c r="AD71" s="2">
        <v>1.72</v>
      </c>
      <c r="AE71" s="89">
        <f>_xlfn.XLOOKUP($F71,'Modelling New'!$D:$D,'Modelling New'!$O:$O)*Table1[[#This Row],[Lost PoA(Wh/m2)]]*Table1[[#This Row],[DC Capacity Affceted (kW)]]</f>
        <v>777.72202290373798</v>
      </c>
      <c r="AF71" s="2"/>
      <c r="AG71" s="2"/>
    </row>
    <row r="72" spans="1:33" x14ac:dyDescent="0.3">
      <c r="A72" s="67">
        <f t="shared" si="1"/>
        <v>69</v>
      </c>
      <c r="B72" s="75">
        <f>YEAR(Table1[[#This Row],[Date]])+IF(MONTH(Table1[[#This Row],[Date]])&gt;=4,1,0)</f>
        <v>2026</v>
      </c>
      <c r="C72" s="74">
        <f>YEAR(Table1[[#This Row],[Date]])</f>
        <v>2025</v>
      </c>
      <c r="D72" s="74" t="s">
        <v>1082</v>
      </c>
      <c r="E72" s="74" t="s">
        <v>1082</v>
      </c>
      <c r="F72" s="181">
        <f>Table1[[#This Row],[Date]]-DAY(Table1[[#This Row],[Date]])+1</f>
        <v>45748</v>
      </c>
      <c r="G72">
        <f>DAY(EOMONTH(Table1[[#This Row],[Month Year]],0))</f>
        <v>30</v>
      </c>
      <c r="H72" s="104">
        <v>45750</v>
      </c>
      <c r="I72" s="76">
        <f>IFERROR(VLOOKUP(Table1[[#This Row],[Date]],Table3[[Date]:[Sunset Time (POA&lt;20 W/m2)]],3,0),"")</f>
        <v>0.26319444444444445</v>
      </c>
      <c r="J72" s="76">
        <f>IFERROR(VLOOKUP(Table1[[#This Row],[Date]],Table3[[Date]:[Sunset Time (POA&lt;20 W/m2)]],4,0),"")</f>
        <v>0.74027777777777781</v>
      </c>
      <c r="K72" s="77">
        <f>IFERROR((Table1[[#This Row],[Sunset Time (POA&lt;20 W/m2)]]-Table1[[#This Row],[Sunrise Time (POA&gt;20 W/m2)]])*24,"")</f>
        <v>11.450000000000001</v>
      </c>
      <c r="L72" s="108" t="s">
        <v>231</v>
      </c>
      <c r="M72" s="61">
        <f>VLOOKUP(Table1[[#This Row],[Affceted Equipment]],'Basic Data'!$A$2:$C$818,2,0)</f>
        <v>669.6</v>
      </c>
      <c r="N72" s="93">
        <f>IFERROR(VLOOKUP(Table1[[#This Row],[Affceted Equipment]],'Basic Data'!$A$2:$C$818,3,0),"")</f>
        <v>8.348190352703562E-2</v>
      </c>
      <c r="O72" s="118" t="s">
        <v>323</v>
      </c>
      <c r="P72" s="94" t="s">
        <v>1088</v>
      </c>
      <c r="Q72" s="94"/>
      <c r="R72" s="94" t="s">
        <v>1088</v>
      </c>
      <c r="S72" s="92">
        <v>0.69652777777777775</v>
      </c>
      <c r="T72" s="119"/>
      <c r="U72" s="119"/>
      <c r="V72" s="92">
        <v>0.74027777777777781</v>
      </c>
      <c r="W72" s="89">
        <f>IF(Table1[[#This Row],[Acknowledgemnet Time ]]="NA","",(Table1[[#This Row],[Acknowledgemnet Time ]]-Table1[[#This Row],[Fault Time]])*24)</f>
        <v>-16.716666666666665</v>
      </c>
      <c r="X72" s="89">
        <f>IF(Table1[[#This Row],[Work Start time on Fault]]="NA","",(Table1[[#This Row],[Work Start time on Fault]]-Table1[[#This Row],[Fault Time]])*24)</f>
        <v>-16.716666666666665</v>
      </c>
      <c r="Y72" s="52">
        <f>(Table1[[#This Row],[Work Completiuon time on fualt]]-Table1[[#This Row],[Fault Time]])*24</f>
        <v>1.0500000000000016</v>
      </c>
      <c r="Z72" s="52">
        <f>IFERROR((Table1[[#This Row],[Work Completiuon time on fualt]]-Table1[[#This Row],[Fault Time]])*24,"")</f>
        <v>1.0500000000000016</v>
      </c>
      <c r="AA72" s="2" t="s">
        <v>1084</v>
      </c>
      <c r="AB72" s="2" t="s">
        <v>1080</v>
      </c>
      <c r="AC72" s="90">
        <f>IFERROR(Table1[[#This Row],[Breakdown Time]]*Table1[[#This Row],[Plant Equivalent Weightage]],"")</f>
        <v>8.7655998703387528E-2</v>
      </c>
      <c r="AD72" s="2">
        <v>0.03</v>
      </c>
      <c r="AE72" s="89">
        <f>_xlfn.XLOOKUP($F72,'Modelling New'!$D:$D,'Modelling New'!$O:$O)*Table1[[#This Row],[Lost PoA(Wh/m2)]]*Table1[[#This Row],[DC Capacity Affceted (kW)]]</f>
        <v>13.564919004134966</v>
      </c>
      <c r="AF72" s="2"/>
      <c r="AG72" s="2"/>
    </row>
    <row r="73" spans="1:33" x14ac:dyDescent="0.3">
      <c r="A73" s="67">
        <f t="shared" si="1"/>
        <v>70</v>
      </c>
      <c r="B73" s="75">
        <f>YEAR(Table1[[#This Row],[Date]])+IF(MONTH(Table1[[#This Row],[Date]])&gt;=4,1,0)</f>
        <v>2026</v>
      </c>
      <c r="C73" s="74">
        <f>YEAR(Table1[[#This Row],[Date]])</f>
        <v>2025</v>
      </c>
      <c r="D73" s="74" t="s">
        <v>1082</v>
      </c>
      <c r="E73" s="74" t="s">
        <v>1082</v>
      </c>
      <c r="F73" s="181">
        <f>Table1[[#This Row],[Date]]-DAY(Table1[[#This Row],[Date]])+1</f>
        <v>45748</v>
      </c>
      <c r="G73">
        <f>DAY(EOMONTH(Table1[[#This Row],[Month Year]],0))</f>
        <v>30</v>
      </c>
      <c r="H73" s="104">
        <v>45750</v>
      </c>
      <c r="I73" s="76">
        <f>IFERROR(VLOOKUP(Table1[[#This Row],[Date]],Table3[[Date]:[Sunset Time (POA&lt;20 W/m2)]],3,0),"")</f>
        <v>0.26319444444444445</v>
      </c>
      <c r="J73" s="76">
        <f>IFERROR(VLOOKUP(Table1[[#This Row],[Date]],Table3[[Date]:[Sunset Time (POA&lt;20 W/m2)]],4,0),"")</f>
        <v>0.74027777777777781</v>
      </c>
      <c r="K73" s="77">
        <f>IFERROR((Table1[[#This Row],[Sunset Time (POA&lt;20 W/m2)]]-Table1[[#This Row],[Sunrise Time (POA&gt;20 W/m2)]])*24,"")</f>
        <v>11.450000000000001</v>
      </c>
      <c r="L73" s="108" t="s">
        <v>232</v>
      </c>
      <c r="M73" s="91">
        <f>VLOOKUP(Table1[[#This Row],[Affceted Equipment]],'Basic Data'!$A$2:$C$818,2,0)</f>
        <v>669.6</v>
      </c>
      <c r="N73" s="93">
        <f>IFERROR(VLOOKUP(Table1[[#This Row],[Affceted Equipment]],'Basic Data'!$A$2:$C$818,3,0),"")</f>
        <v>8.348190352703562E-2</v>
      </c>
      <c r="O73" s="118" t="s">
        <v>323</v>
      </c>
      <c r="P73" s="94" t="s">
        <v>1090</v>
      </c>
      <c r="Q73" s="94"/>
      <c r="R73" s="94" t="s">
        <v>1090</v>
      </c>
      <c r="S73" s="92">
        <v>0.69652777777777775</v>
      </c>
      <c r="T73" s="119"/>
      <c r="U73" s="119"/>
      <c r="V73" s="92">
        <v>0.74027777777777781</v>
      </c>
      <c r="W73" s="89">
        <f>IF(Table1[[#This Row],[Acknowledgemnet Time ]]="NA","",(Table1[[#This Row],[Acknowledgemnet Time ]]-Table1[[#This Row],[Fault Time]])*24)</f>
        <v>-16.716666666666665</v>
      </c>
      <c r="X73" s="89">
        <f>IF(Table1[[#This Row],[Work Start time on Fault]]="NA","",(Table1[[#This Row],[Work Start time on Fault]]-Table1[[#This Row],[Fault Time]])*24)</f>
        <v>-16.716666666666665</v>
      </c>
      <c r="Y73" s="52">
        <f>(Table1[[#This Row],[Work Completiuon time on fualt]]-Table1[[#This Row],[Fault Time]])*24</f>
        <v>1.0500000000000016</v>
      </c>
      <c r="Z73" s="52">
        <f>IFERROR((Table1[[#This Row],[Work Completiuon time on fualt]]-Table1[[#This Row],[Fault Time]])*24,"")</f>
        <v>1.0500000000000016</v>
      </c>
      <c r="AA73" s="2" t="s">
        <v>1090</v>
      </c>
      <c r="AC73" s="90">
        <f>IFERROR(Table1[[#This Row],[Breakdown Time]]*Table1[[#This Row],[Plant Equivalent Weightage]],"")</f>
        <v>8.7655998703387528E-2</v>
      </c>
      <c r="AD73" s="2">
        <v>0.03</v>
      </c>
      <c r="AE73" s="89">
        <f>_xlfn.XLOOKUP($F73,'Modelling New'!$D:$D,'Modelling New'!$O:$O)*Table1[[#This Row],[Lost PoA(Wh/m2)]]*Table1[[#This Row],[DC Capacity Affceted (kW)]]</f>
        <v>13.564919004134966</v>
      </c>
      <c r="AF73" s="2"/>
      <c r="AG73" s="2"/>
    </row>
    <row r="74" spans="1:33" x14ac:dyDescent="0.3">
      <c r="A74" s="67">
        <f t="shared" si="1"/>
        <v>71</v>
      </c>
      <c r="B74" s="75">
        <f>YEAR(Table1[[#This Row],[Date]])+IF(MONTH(Table1[[#This Row],[Date]])&gt;=4,1,0)</f>
        <v>2026</v>
      </c>
      <c r="C74" s="74">
        <f>YEAR(Table1[[#This Row],[Date]])</f>
        <v>2025</v>
      </c>
      <c r="D74" s="74" t="s">
        <v>1082</v>
      </c>
      <c r="E74" s="74" t="s">
        <v>1082</v>
      </c>
      <c r="F74" s="181">
        <f>Table1[[#This Row],[Date]]-DAY(Table1[[#This Row],[Date]])+1</f>
        <v>45748</v>
      </c>
      <c r="G74">
        <f>DAY(EOMONTH(Table1[[#This Row],[Month Year]],0))</f>
        <v>30</v>
      </c>
      <c r="H74" s="104">
        <v>45750</v>
      </c>
      <c r="I74" s="76">
        <f>IFERROR(VLOOKUP(Table1[[#This Row],[Date]],Table3[[Date]:[Sunset Time (POA&lt;20 W/m2)]],3,0),"")</f>
        <v>0.26319444444444445</v>
      </c>
      <c r="J74" s="76">
        <f>IFERROR(VLOOKUP(Table1[[#This Row],[Date]],Table3[[Date]:[Sunset Time (POA&lt;20 W/m2)]],4,0),"")</f>
        <v>0.74027777777777781</v>
      </c>
      <c r="K74" s="77">
        <f>IFERROR((Table1[[#This Row],[Sunset Time (POA&lt;20 W/m2)]]-Table1[[#This Row],[Sunrise Time (POA&gt;20 W/m2)]])*24,"")</f>
        <v>11.450000000000001</v>
      </c>
      <c r="L74" s="108" t="s">
        <v>238</v>
      </c>
      <c r="M74" s="91">
        <f>VLOOKUP(Table1[[#This Row],[Affceted Equipment]],'Basic Data'!$A$2:$C$818,2,0)</f>
        <v>658.8</v>
      </c>
      <c r="N74" s="93">
        <f>IFERROR(VLOOKUP(Table1[[#This Row],[Affceted Equipment]],'Basic Data'!$A$2:$C$818,3,0),"")</f>
        <v>8.2135421212083434E-2</v>
      </c>
      <c r="O74" s="118" t="s">
        <v>303</v>
      </c>
      <c r="P74" s="94" t="s">
        <v>1087</v>
      </c>
      <c r="Q74" s="94"/>
      <c r="R74" s="94" t="s">
        <v>1087</v>
      </c>
      <c r="S74" s="92">
        <v>0.69652777777777775</v>
      </c>
      <c r="T74" s="119"/>
      <c r="U74" s="119"/>
      <c r="V74" s="92">
        <v>0.74027777777777781</v>
      </c>
      <c r="W74" s="89">
        <f>IF(Table1[[#This Row],[Acknowledgemnet Time ]]="NA","",(Table1[[#This Row],[Acknowledgemnet Time ]]-Table1[[#This Row],[Fault Time]])*24)</f>
        <v>-16.716666666666665</v>
      </c>
      <c r="X74" s="89">
        <f>IF(Table1[[#This Row],[Work Start time on Fault]]="NA","",(Table1[[#This Row],[Work Start time on Fault]]-Table1[[#This Row],[Fault Time]])*24)</f>
        <v>-16.716666666666665</v>
      </c>
      <c r="Y74" s="52">
        <f>(Table1[[#This Row],[Work Completiuon time on fualt]]-Table1[[#This Row],[Fault Time]])*24</f>
        <v>1.0500000000000016</v>
      </c>
      <c r="Z74" s="52">
        <f>IFERROR((Table1[[#This Row],[Work Completiuon time on fualt]]-Table1[[#This Row],[Fault Time]])*24,"")</f>
        <v>1.0500000000000016</v>
      </c>
      <c r="AA74" s="2" t="s">
        <v>1084</v>
      </c>
      <c r="AB74" s="2" t="s">
        <v>1080</v>
      </c>
      <c r="AC74" s="90">
        <f>IFERROR(Table1[[#This Row],[Breakdown Time]]*Table1[[#This Row],[Plant Equivalent Weightage]],"")</f>
        <v>8.6242192272687743E-2</v>
      </c>
      <c r="AD74" s="2">
        <v>0.03</v>
      </c>
      <c r="AE74" s="89">
        <f>_xlfn.XLOOKUP($F74,'Modelling New'!$D:$D,'Modelling New'!$O:$O)*Table1[[#This Row],[Lost PoA(Wh/m2)]]*Table1[[#This Row],[DC Capacity Affceted (kW)]]</f>
        <v>13.346129987939239</v>
      </c>
      <c r="AF74" s="2"/>
      <c r="AG74" s="2"/>
    </row>
    <row r="75" spans="1:33" x14ac:dyDescent="0.3">
      <c r="A75" s="67">
        <f t="shared" si="1"/>
        <v>72</v>
      </c>
      <c r="B75" s="75">
        <f>YEAR(Table1[[#This Row],[Date]])+IF(MONTH(Table1[[#This Row],[Date]])&gt;=4,1,0)</f>
        <v>2026</v>
      </c>
      <c r="C75" s="74">
        <f>YEAR(Table1[[#This Row],[Date]])</f>
        <v>2025</v>
      </c>
      <c r="D75" s="74" t="s">
        <v>1082</v>
      </c>
      <c r="E75" s="74" t="s">
        <v>1082</v>
      </c>
      <c r="F75" s="181">
        <f>Table1[[#This Row],[Date]]-DAY(Table1[[#This Row],[Date]])+1</f>
        <v>45748</v>
      </c>
      <c r="G75">
        <f>DAY(EOMONTH(Table1[[#This Row],[Month Year]],0))</f>
        <v>30</v>
      </c>
      <c r="H75" s="104">
        <v>45751</v>
      </c>
      <c r="I75" s="76">
        <f>IFERROR(VLOOKUP(Table1[[#This Row],[Date]],Table3[[Date]:[Sunset Time (POA&lt;20 W/m2)]],3,0),"")</f>
        <v>0.25624999999999998</v>
      </c>
      <c r="J75" s="76">
        <f>IFERROR(VLOOKUP(Table1[[#This Row],[Date]],Table3[[Date]:[Sunset Time (POA&lt;20 W/m2)]],4,0),"")</f>
        <v>0.77083333333333337</v>
      </c>
      <c r="K75" s="77">
        <f>IFERROR((Table1[[#This Row],[Sunset Time (POA&lt;20 W/m2)]]-Table1[[#This Row],[Sunrise Time (POA&gt;20 W/m2)]])*24,"")</f>
        <v>12.350000000000001</v>
      </c>
      <c r="L75" s="108" t="s">
        <v>238</v>
      </c>
      <c r="M75" s="61">
        <f>VLOOKUP(Table1[[#This Row],[Affceted Equipment]],'Basic Data'!$A$2:$C$818,2,0)</f>
        <v>658.8</v>
      </c>
      <c r="N75" s="93">
        <f>IFERROR(VLOOKUP(Table1[[#This Row],[Affceted Equipment]],'Basic Data'!$A$2:$C$818,3,0),"")</f>
        <v>8.2135421212083434E-2</v>
      </c>
      <c r="O75" s="118" t="s">
        <v>303</v>
      </c>
      <c r="P75" s="94" t="s">
        <v>1087</v>
      </c>
      <c r="Q75" s="94"/>
      <c r="R75" s="94" t="s">
        <v>1087</v>
      </c>
      <c r="S75" s="92">
        <v>0.25624999999999998</v>
      </c>
      <c r="T75" s="119"/>
      <c r="U75" s="119"/>
      <c r="V75" s="92">
        <v>0.77083333333333337</v>
      </c>
      <c r="W75" s="89">
        <f>IF(Table1[[#This Row],[Acknowledgemnet Time ]]="NA","",(Table1[[#This Row],[Acknowledgemnet Time ]]-Table1[[#This Row],[Fault Time]])*24)</f>
        <v>-6.1499999999999995</v>
      </c>
      <c r="X75" s="89">
        <f>IF(Table1[[#This Row],[Work Start time on Fault]]="NA","",(Table1[[#This Row],[Work Start time on Fault]]-Table1[[#This Row],[Fault Time]])*24)</f>
        <v>-6.1499999999999995</v>
      </c>
      <c r="Y75" s="52">
        <f>(Table1[[#This Row],[Work Completiuon time on fualt]]-Table1[[#This Row],[Fault Time]])*24</f>
        <v>12.350000000000001</v>
      </c>
      <c r="Z75" s="52">
        <f>IFERROR((Table1[[#This Row],[Work Completiuon time on fualt]]-Table1[[#This Row],[Fault Time]])*24,"")</f>
        <v>12.350000000000001</v>
      </c>
      <c r="AA75" s="2" t="s">
        <v>1084</v>
      </c>
      <c r="AB75" s="2" t="s">
        <v>1080</v>
      </c>
      <c r="AC75" s="90">
        <f>IFERROR(Table1[[#This Row],[Breakdown Time]]*Table1[[#This Row],[Plant Equivalent Weightage]],"")</f>
        <v>1.0143724519692305</v>
      </c>
      <c r="AD75" s="2">
        <v>6.83</v>
      </c>
      <c r="AE75" s="89">
        <f>_xlfn.XLOOKUP($F75,'Modelling New'!$D:$D,'Modelling New'!$O:$O)*Table1[[#This Row],[Lost PoA(Wh/m2)]]*Table1[[#This Row],[DC Capacity Affceted (kW)]]</f>
        <v>3038.4689272541668</v>
      </c>
      <c r="AF75" s="2"/>
      <c r="AG75" s="2"/>
    </row>
    <row r="76" spans="1:33" x14ac:dyDescent="0.3">
      <c r="A76" s="67">
        <f t="shared" si="1"/>
        <v>73</v>
      </c>
      <c r="B76" s="75">
        <f>YEAR(Table1[[#This Row],[Date]])+IF(MONTH(Table1[[#This Row],[Date]])&gt;=4,1,0)</f>
        <v>2026</v>
      </c>
      <c r="C76" s="74">
        <f>YEAR(Table1[[#This Row],[Date]])</f>
        <v>2025</v>
      </c>
      <c r="D76" s="74" t="s">
        <v>1082</v>
      </c>
      <c r="E76" s="74" t="s">
        <v>1082</v>
      </c>
      <c r="F76" s="181">
        <f>Table1[[#This Row],[Date]]-DAY(Table1[[#This Row],[Date]])+1</f>
        <v>45748</v>
      </c>
      <c r="G76">
        <f>DAY(EOMONTH(Table1[[#This Row],[Month Year]],0))</f>
        <v>30</v>
      </c>
      <c r="H76" s="104">
        <v>45751</v>
      </c>
      <c r="I76" s="76">
        <f>IFERROR(VLOOKUP(Table1[[#This Row],[Date]],Table3[[Date]:[Sunset Time (POA&lt;20 W/m2)]],3,0),"")</f>
        <v>0.25624999999999998</v>
      </c>
      <c r="J76" s="76">
        <f>IFERROR(VLOOKUP(Table1[[#This Row],[Date]],Table3[[Date]:[Sunset Time (POA&lt;20 W/m2)]],4,0),"")</f>
        <v>0.77083333333333337</v>
      </c>
      <c r="K76" s="77">
        <f>IFERROR((Table1[[#This Row],[Sunset Time (POA&lt;20 W/m2)]]-Table1[[#This Row],[Sunrise Time (POA&gt;20 W/m2)]])*24,"")</f>
        <v>12.350000000000001</v>
      </c>
      <c r="L76" s="108" t="s">
        <v>180</v>
      </c>
      <c r="M76" s="61">
        <f>VLOOKUP(Table1[[#This Row],[Affceted Equipment]],'Basic Data'!$A$2:$C$818,2,0)</f>
        <v>2694.6</v>
      </c>
      <c r="N76" s="93">
        <f>IFERROR(VLOOKUP(Table1[[#This Row],[Affceted Equipment]],'Basic Data'!$A$2:$C$818,3,0),"")</f>
        <v>0.33594733758057077</v>
      </c>
      <c r="O76" s="118" t="s">
        <v>323</v>
      </c>
      <c r="P76" s="94" t="s">
        <v>1089</v>
      </c>
      <c r="Q76" s="94"/>
      <c r="R76" s="94" t="s">
        <v>1089</v>
      </c>
      <c r="S76" s="92">
        <v>0.38124999999999998</v>
      </c>
      <c r="T76" s="119"/>
      <c r="U76" s="119"/>
      <c r="V76" s="92">
        <v>0.3840277777777778</v>
      </c>
      <c r="W76" s="89">
        <f>IF(Table1[[#This Row],[Acknowledgemnet Time ]]="NA","",(Table1[[#This Row],[Acknowledgemnet Time ]]-Table1[[#This Row],[Fault Time]])*24)</f>
        <v>-9.1499999999999986</v>
      </c>
      <c r="X76" s="89">
        <f>IF(Table1[[#This Row],[Work Start time on Fault]]="NA","",(Table1[[#This Row],[Work Start time on Fault]]-Table1[[#This Row],[Fault Time]])*24)</f>
        <v>-9.1499999999999986</v>
      </c>
      <c r="Y76" s="52">
        <f>(Table1[[#This Row],[Work Completiuon time on fualt]]-Table1[[#This Row],[Fault Time]])*24</f>
        <v>6.6666666666667762E-2</v>
      </c>
      <c r="Z76" s="52">
        <f>IFERROR((Table1[[#This Row],[Work Completiuon time on fualt]]-Table1[[#This Row],[Fault Time]])*24,"")</f>
        <v>6.6666666666667762E-2</v>
      </c>
      <c r="AA76" s="2" t="s">
        <v>1086</v>
      </c>
      <c r="AB76" s="2" t="s">
        <v>1081</v>
      </c>
      <c r="AC76" s="90">
        <f>IFERROR(Table1[[#This Row],[Breakdown Time]]*Table1[[#This Row],[Plant Equivalent Weightage]],"")</f>
        <v>2.239648917203842E-2</v>
      </c>
      <c r="AD76" s="2">
        <v>0.04</v>
      </c>
      <c r="AE76" s="89">
        <f>_xlfn.XLOOKUP($F76,'Modelling New'!$D:$D,'Modelling New'!$O:$O)*Table1[[#This Row],[Lost PoA(Wh/m2)]]*Table1[[#This Row],[DC Capacity Affceted (kW)]]</f>
        <v>72.783812721111261</v>
      </c>
      <c r="AF76" s="2"/>
      <c r="AG76" s="2"/>
    </row>
    <row r="77" spans="1:33" x14ac:dyDescent="0.3">
      <c r="A77" s="67">
        <f t="shared" si="1"/>
        <v>74</v>
      </c>
      <c r="B77" s="75">
        <f>YEAR(Table1[[#This Row],[Date]])+IF(MONTH(Table1[[#This Row],[Date]])&gt;=4,1,0)</f>
        <v>2026</v>
      </c>
      <c r="C77" s="74">
        <f>YEAR(Table1[[#This Row],[Date]])</f>
        <v>2025</v>
      </c>
      <c r="D77" s="74" t="s">
        <v>1082</v>
      </c>
      <c r="E77" s="74" t="s">
        <v>1082</v>
      </c>
      <c r="F77" s="181">
        <f>Table1[[#This Row],[Date]]-DAY(Table1[[#This Row],[Date]])+1</f>
        <v>45748</v>
      </c>
      <c r="G77">
        <f>DAY(EOMONTH(Table1[[#This Row],[Month Year]],0))</f>
        <v>30</v>
      </c>
      <c r="H77" s="104">
        <v>45751</v>
      </c>
      <c r="I77" s="76">
        <f>IFERROR(VLOOKUP(Table1[[#This Row],[Date]],Table3[[Date]:[Sunset Time (POA&lt;20 W/m2)]],3,0),"")</f>
        <v>0.25624999999999998</v>
      </c>
      <c r="J77" s="76">
        <f>IFERROR(VLOOKUP(Table1[[#This Row],[Date]],Table3[[Date]:[Sunset Time (POA&lt;20 W/m2)]],4,0),"")</f>
        <v>0.77083333333333337</v>
      </c>
      <c r="K77" s="77">
        <f>IFERROR((Table1[[#This Row],[Sunset Time (POA&lt;20 W/m2)]]-Table1[[#This Row],[Sunrise Time (POA&gt;20 W/m2)]])*24,"")</f>
        <v>12.350000000000001</v>
      </c>
      <c r="L77" s="108" t="s">
        <v>231</v>
      </c>
      <c r="M77" s="61">
        <f>VLOOKUP(Table1[[#This Row],[Affceted Equipment]],'Basic Data'!$A$2:$C$818,2,0)</f>
        <v>669.6</v>
      </c>
      <c r="N77" s="93">
        <f>IFERROR(VLOOKUP(Table1[[#This Row],[Affceted Equipment]],'Basic Data'!$A$2:$C$818,3,0),"")</f>
        <v>8.348190352703562E-2</v>
      </c>
      <c r="O77" s="118" t="s">
        <v>323</v>
      </c>
      <c r="P77" s="94" t="s">
        <v>1088</v>
      </c>
      <c r="Q77" s="94"/>
      <c r="R77" s="94" t="s">
        <v>1088</v>
      </c>
      <c r="S77" s="92">
        <v>0.3840277777777778</v>
      </c>
      <c r="T77" s="119"/>
      <c r="U77" s="119"/>
      <c r="V77" s="92">
        <v>0.41666666666666669</v>
      </c>
      <c r="W77" s="89">
        <f>IF(Table1[[#This Row],[Acknowledgemnet Time ]]="NA","",(Table1[[#This Row],[Acknowledgemnet Time ]]-Table1[[#This Row],[Fault Time]])*24)</f>
        <v>-9.2166666666666668</v>
      </c>
      <c r="X77" s="89">
        <f>IF(Table1[[#This Row],[Work Start time on Fault]]="NA","",(Table1[[#This Row],[Work Start time on Fault]]-Table1[[#This Row],[Fault Time]])*24)</f>
        <v>-9.2166666666666668</v>
      </c>
      <c r="Y77" s="52">
        <f>(Table1[[#This Row],[Work Completiuon time on fualt]]-Table1[[#This Row],[Fault Time]])*24</f>
        <v>0.78333333333333321</v>
      </c>
      <c r="Z77" s="52">
        <f>IFERROR((Table1[[#This Row],[Work Completiuon time on fualt]]-Table1[[#This Row],[Fault Time]])*24,"")</f>
        <v>0.78333333333333321</v>
      </c>
      <c r="AA77" s="2" t="s">
        <v>1084</v>
      </c>
      <c r="AB77" s="2" t="s">
        <v>1080</v>
      </c>
      <c r="AC77" s="90">
        <f>IFERROR(Table1[[#This Row],[Breakdown Time]]*Table1[[#This Row],[Plant Equivalent Weightage]],"")</f>
        <v>6.539415776284456E-2</v>
      </c>
      <c r="AD77" s="2">
        <v>0.55000000000000004</v>
      </c>
      <c r="AE77" s="89">
        <f>_xlfn.XLOOKUP($F77,'Modelling New'!$D:$D,'Modelling New'!$O:$O)*Table1[[#This Row],[Lost PoA(Wh/m2)]]*Table1[[#This Row],[DC Capacity Affceted (kW)]]</f>
        <v>248.69018174247438</v>
      </c>
      <c r="AF77" s="2"/>
      <c r="AG77" s="2"/>
    </row>
    <row r="78" spans="1:33" x14ac:dyDescent="0.3">
      <c r="A78" s="67">
        <f t="shared" si="1"/>
        <v>75</v>
      </c>
      <c r="B78" s="75">
        <f>YEAR(Table1[[#This Row],[Date]])+IF(MONTH(Table1[[#This Row],[Date]])&gt;=4,1,0)</f>
        <v>2026</v>
      </c>
      <c r="C78" s="74">
        <f>YEAR(Table1[[#This Row],[Date]])</f>
        <v>2025</v>
      </c>
      <c r="D78" s="74" t="s">
        <v>1082</v>
      </c>
      <c r="E78" s="74" t="s">
        <v>1082</v>
      </c>
      <c r="F78" s="181">
        <f>Table1[[#This Row],[Date]]-DAY(Table1[[#This Row],[Date]])+1</f>
        <v>45748</v>
      </c>
      <c r="G78">
        <f>DAY(EOMONTH(Table1[[#This Row],[Month Year]],0))</f>
        <v>30</v>
      </c>
      <c r="H78" s="104">
        <v>45751</v>
      </c>
      <c r="I78" s="76">
        <f>IFERROR(VLOOKUP(Table1[[#This Row],[Date]],Table3[[Date]:[Sunset Time (POA&lt;20 W/m2)]],3,0),"")</f>
        <v>0.25624999999999998</v>
      </c>
      <c r="J78" s="76">
        <f>IFERROR(VLOOKUP(Table1[[#This Row],[Date]],Table3[[Date]:[Sunset Time (POA&lt;20 W/m2)]],4,0),"")</f>
        <v>0.77083333333333337</v>
      </c>
      <c r="K78" s="77">
        <f>IFERROR((Table1[[#This Row],[Sunset Time (POA&lt;20 W/m2)]]-Table1[[#This Row],[Sunrise Time (POA&gt;20 W/m2)]])*24,"")</f>
        <v>12.350000000000001</v>
      </c>
      <c r="L78" s="108" t="s">
        <v>180</v>
      </c>
      <c r="M78" s="61">
        <f>VLOOKUP(Table1[[#This Row],[Affceted Equipment]],'Basic Data'!$A$2:$C$818,2,0)</f>
        <v>2694.6</v>
      </c>
      <c r="N78" s="93">
        <f>IFERROR(VLOOKUP(Table1[[#This Row],[Affceted Equipment]],'Basic Data'!$A$2:$C$818,3,0),"")</f>
        <v>0.33594733758057077</v>
      </c>
      <c r="O78" s="118" t="s">
        <v>323</v>
      </c>
      <c r="P78" s="94" t="s">
        <v>1089</v>
      </c>
      <c r="Q78" s="94"/>
      <c r="R78" s="94" t="s">
        <v>1089</v>
      </c>
      <c r="S78" s="92">
        <v>0.41666666666666669</v>
      </c>
      <c r="T78" s="119"/>
      <c r="U78" s="119"/>
      <c r="V78" s="92">
        <v>0.4236111111111111</v>
      </c>
      <c r="W78" s="89">
        <f>IF(Table1[[#This Row],[Acknowledgemnet Time ]]="NA","",(Table1[[#This Row],[Acknowledgemnet Time ]]-Table1[[#This Row],[Fault Time]])*24)</f>
        <v>-10</v>
      </c>
      <c r="X78" s="89">
        <f>IF(Table1[[#This Row],[Work Start time on Fault]]="NA","",(Table1[[#This Row],[Work Start time on Fault]]-Table1[[#This Row],[Fault Time]])*24)</f>
        <v>-10</v>
      </c>
      <c r="Y78" s="52">
        <f>(Table1[[#This Row],[Work Completiuon time on fualt]]-Table1[[#This Row],[Fault Time]])*24</f>
        <v>0.16666666666666607</v>
      </c>
      <c r="Z78" s="52">
        <f>IFERROR((Table1[[#This Row],[Work Completiuon time on fualt]]-Table1[[#This Row],[Fault Time]])*24,"")</f>
        <v>0.16666666666666607</v>
      </c>
      <c r="AA78" s="2" t="s">
        <v>1084</v>
      </c>
      <c r="AB78" s="2" t="s">
        <v>1080</v>
      </c>
      <c r="AC78" s="90">
        <f>IFERROR(Table1[[#This Row],[Breakdown Time]]*Table1[[#This Row],[Plant Equivalent Weightage]],"")</f>
        <v>5.5991222930094932E-2</v>
      </c>
      <c r="AD78" s="2">
        <v>0.14000000000000001</v>
      </c>
      <c r="AE78" s="89">
        <f>_xlfn.XLOOKUP($F78,'Modelling New'!$D:$D,'Modelling New'!$O:$O)*Table1[[#This Row],[Lost PoA(Wh/m2)]]*Table1[[#This Row],[DC Capacity Affceted (kW)]]</f>
        <v>254.74334452388945</v>
      </c>
      <c r="AF78" s="2"/>
      <c r="AG78" s="2"/>
    </row>
    <row r="79" spans="1:33" x14ac:dyDescent="0.3">
      <c r="A79" s="67">
        <f t="shared" si="1"/>
        <v>76</v>
      </c>
      <c r="B79" s="75">
        <f>YEAR(Table1[[#This Row],[Date]])+IF(MONTH(Table1[[#This Row],[Date]])&gt;=4,1,0)</f>
        <v>2026</v>
      </c>
      <c r="C79" s="74">
        <f>YEAR(Table1[[#This Row],[Date]])</f>
        <v>2025</v>
      </c>
      <c r="D79" s="74" t="s">
        <v>1082</v>
      </c>
      <c r="E79" s="74" t="s">
        <v>1082</v>
      </c>
      <c r="F79" s="181">
        <f>Table1[[#This Row],[Date]]-DAY(Table1[[#This Row],[Date]])+1</f>
        <v>45748</v>
      </c>
      <c r="G79">
        <f>DAY(EOMONTH(Table1[[#This Row],[Month Year]],0))</f>
        <v>30</v>
      </c>
      <c r="H79" s="104">
        <v>45751</v>
      </c>
      <c r="I79" s="76">
        <f>IFERROR(VLOOKUP(Table1[[#This Row],[Date]],Table3[[Date]:[Sunset Time (POA&lt;20 W/m2)]],3,0),"")</f>
        <v>0.25624999999999998</v>
      </c>
      <c r="J79" s="76">
        <f>IFERROR(VLOOKUP(Table1[[#This Row],[Date]],Table3[[Date]:[Sunset Time (POA&lt;20 W/m2)]],4,0),"")</f>
        <v>0.77083333333333337</v>
      </c>
      <c r="K79" s="77">
        <f>IFERROR((Table1[[#This Row],[Sunset Time (POA&lt;20 W/m2)]]-Table1[[#This Row],[Sunrise Time (POA&gt;20 W/m2)]])*24,"")</f>
        <v>12.350000000000001</v>
      </c>
      <c r="L79" s="108" t="s">
        <v>231</v>
      </c>
      <c r="M79" s="61">
        <f>VLOOKUP(Table1[[#This Row],[Affceted Equipment]],'Basic Data'!$A$2:$C$818,2,0)</f>
        <v>669.6</v>
      </c>
      <c r="N79" s="93">
        <f>IFERROR(VLOOKUP(Table1[[#This Row],[Affceted Equipment]],'Basic Data'!$A$2:$C$818,3,0),"")</f>
        <v>8.348190352703562E-2</v>
      </c>
      <c r="O79" s="118" t="s">
        <v>323</v>
      </c>
      <c r="P79" s="94" t="s">
        <v>1088</v>
      </c>
      <c r="Q79" s="94"/>
      <c r="R79" s="94" t="s">
        <v>1088</v>
      </c>
      <c r="S79" s="92">
        <v>0.4236111111111111</v>
      </c>
      <c r="T79" s="119"/>
      <c r="U79" s="119"/>
      <c r="V79" s="92">
        <v>0.43402777777777779</v>
      </c>
      <c r="W79" s="89">
        <f>IF(Table1[[#This Row],[Acknowledgemnet Time ]]="NA","",(Table1[[#This Row],[Acknowledgemnet Time ]]-Table1[[#This Row],[Fault Time]])*24)</f>
        <v>-10.166666666666666</v>
      </c>
      <c r="X79" s="89">
        <f>IF(Table1[[#This Row],[Work Start time on Fault]]="NA","",(Table1[[#This Row],[Work Start time on Fault]]-Table1[[#This Row],[Fault Time]])*24)</f>
        <v>-10.166666666666666</v>
      </c>
      <c r="Y79" s="52">
        <f>(Table1[[#This Row],[Work Completiuon time on fualt]]-Table1[[#This Row],[Fault Time]])*24</f>
        <v>0.25000000000000044</v>
      </c>
      <c r="Z79" s="52">
        <f>IFERROR((Table1[[#This Row],[Work Completiuon time on fualt]]-Table1[[#This Row],[Fault Time]])*24,"")</f>
        <v>0.25000000000000044</v>
      </c>
      <c r="AA79" s="2" t="s">
        <v>1084</v>
      </c>
      <c r="AB79" s="2" t="s">
        <v>1080</v>
      </c>
      <c r="AC79" s="90">
        <f>IFERROR(Table1[[#This Row],[Breakdown Time]]*Table1[[#This Row],[Plant Equivalent Weightage]],"")</f>
        <v>2.0870475881758943E-2</v>
      </c>
      <c r="AD79" s="2">
        <v>0.22</v>
      </c>
      <c r="AE79" s="89">
        <f>_xlfn.XLOOKUP($F79,'Modelling New'!$D:$D,'Modelling New'!$O:$O)*Table1[[#This Row],[Lost PoA(Wh/m2)]]*Table1[[#This Row],[DC Capacity Affceted (kW)]]</f>
        <v>99.47607269698976</v>
      </c>
      <c r="AF79" s="2"/>
      <c r="AG79" s="2"/>
    </row>
    <row r="80" spans="1:33" x14ac:dyDescent="0.3">
      <c r="A80" s="67">
        <f t="shared" si="1"/>
        <v>77</v>
      </c>
      <c r="B80" s="75">
        <f>YEAR(Table1[[#This Row],[Date]])+IF(MONTH(Table1[[#This Row],[Date]])&gt;=4,1,0)</f>
        <v>2026</v>
      </c>
      <c r="C80" s="74">
        <f>YEAR(Table1[[#This Row],[Date]])</f>
        <v>2025</v>
      </c>
      <c r="D80" s="74" t="s">
        <v>1082</v>
      </c>
      <c r="E80" s="74" t="s">
        <v>1082</v>
      </c>
      <c r="F80" s="181">
        <f>Table1[[#This Row],[Date]]-DAY(Table1[[#This Row],[Date]])+1</f>
        <v>45748</v>
      </c>
      <c r="G80">
        <f>DAY(EOMONTH(Table1[[#This Row],[Month Year]],0))</f>
        <v>30</v>
      </c>
      <c r="H80" s="104">
        <v>45751</v>
      </c>
      <c r="I80" s="76">
        <f>IFERROR(VLOOKUP(Table1[[#This Row],[Date]],Table3[[Date]:[Sunset Time (POA&lt;20 W/m2)]],3,0),"")</f>
        <v>0.25624999999999998</v>
      </c>
      <c r="J80" s="76">
        <f>IFERROR(VLOOKUP(Table1[[#This Row],[Date]],Table3[[Date]:[Sunset Time (POA&lt;20 W/m2)]],4,0),"")</f>
        <v>0.77083333333333337</v>
      </c>
      <c r="K80" s="77">
        <f>IFERROR((Table1[[#This Row],[Sunset Time (POA&lt;20 W/m2)]]-Table1[[#This Row],[Sunrise Time (POA&gt;20 W/m2)]])*24,"")</f>
        <v>12.350000000000001</v>
      </c>
      <c r="L80" s="108" t="s">
        <v>180</v>
      </c>
      <c r="M80" s="61">
        <f>VLOOKUP(Table1[[#This Row],[Affceted Equipment]],'Basic Data'!$A$2:$C$818,2,0)</f>
        <v>2694.6</v>
      </c>
      <c r="N80" s="93">
        <f>IFERROR(VLOOKUP(Table1[[#This Row],[Affceted Equipment]],'Basic Data'!$A$2:$C$818,3,0),"")</f>
        <v>0.33594733758057077</v>
      </c>
      <c r="O80" s="118" t="s">
        <v>323</v>
      </c>
      <c r="P80" s="94" t="s">
        <v>1089</v>
      </c>
      <c r="Q80" s="94"/>
      <c r="R80" s="94" t="s">
        <v>1089</v>
      </c>
      <c r="S80" s="92">
        <v>0.43402777777777779</v>
      </c>
      <c r="T80" s="119"/>
      <c r="U80" s="119"/>
      <c r="V80" s="92">
        <v>0.4375</v>
      </c>
      <c r="W80" s="89">
        <f>IF(Table1[[#This Row],[Acknowledgemnet Time ]]="NA","",(Table1[[#This Row],[Acknowledgemnet Time ]]-Table1[[#This Row],[Fault Time]])*24)</f>
        <v>-10.416666666666668</v>
      </c>
      <c r="X80" s="89">
        <f>IF(Table1[[#This Row],[Work Start time on Fault]]="NA","",(Table1[[#This Row],[Work Start time on Fault]]-Table1[[#This Row],[Fault Time]])*24)</f>
        <v>-10.416666666666668</v>
      </c>
      <c r="Y80" s="52">
        <f>(Table1[[#This Row],[Work Completiuon time on fualt]]-Table1[[#This Row],[Fault Time]])*24</f>
        <v>8.3333333333333037E-2</v>
      </c>
      <c r="Z80" s="52">
        <f>IFERROR((Table1[[#This Row],[Work Completiuon time on fualt]]-Table1[[#This Row],[Fault Time]])*24,"")</f>
        <v>8.3333333333333037E-2</v>
      </c>
      <c r="AA80" s="2" t="s">
        <v>1086</v>
      </c>
      <c r="AB80" s="2" t="s">
        <v>1081</v>
      </c>
      <c r="AC80" s="90">
        <f>IFERROR(Table1[[#This Row],[Breakdown Time]]*Table1[[#This Row],[Plant Equivalent Weightage]],"")</f>
        <v>2.7995611465047466E-2</v>
      </c>
      <c r="AD80" s="2">
        <v>0.08</v>
      </c>
      <c r="AE80" s="89">
        <f>_xlfn.XLOOKUP($F80,'Modelling New'!$D:$D,'Modelling New'!$O:$O)*Table1[[#This Row],[Lost PoA(Wh/m2)]]*Table1[[#This Row],[DC Capacity Affceted (kW)]]</f>
        <v>145.56762544222252</v>
      </c>
      <c r="AF80" s="2"/>
      <c r="AG80" s="2"/>
    </row>
    <row r="81" spans="1:33" x14ac:dyDescent="0.3">
      <c r="A81" s="67">
        <f t="shared" si="1"/>
        <v>78</v>
      </c>
      <c r="B81" s="75">
        <f>YEAR(Table1[[#This Row],[Date]])+IF(MONTH(Table1[[#This Row],[Date]])&gt;=4,1,0)</f>
        <v>2026</v>
      </c>
      <c r="C81" s="74">
        <f>YEAR(Table1[[#This Row],[Date]])</f>
        <v>2025</v>
      </c>
      <c r="D81" s="74" t="s">
        <v>1082</v>
      </c>
      <c r="E81" s="74" t="s">
        <v>1082</v>
      </c>
      <c r="F81" s="181">
        <f>Table1[[#This Row],[Date]]-DAY(Table1[[#This Row],[Date]])+1</f>
        <v>45748</v>
      </c>
      <c r="G81">
        <f>DAY(EOMONTH(Table1[[#This Row],[Month Year]],0))</f>
        <v>30</v>
      </c>
      <c r="H81" s="104">
        <v>45751</v>
      </c>
      <c r="I81" s="76">
        <f>IFERROR(VLOOKUP(Table1[[#This Row],[Date]],Table3[[Date]:[Sunset Time (POA&lt;20 W/m2)]],3,0),"")</f>
        <v>0.25624999999999998</v>
      </c>
      <c r="J81" s="76">
        <f>IFERROR(VLOOKUP(Table1[[#This Row],[Date]],Table3[[Date]:[Sunset Time (POA&lt;20 W/m2)]],4,0),"")</f>
        <v>0.77083333333333337</v>
      </c>
      <c r="K81" s="77">
        <f>IFERROR((Table1[[#This Row],[Sunset Time (POA&lt;20 W/m2)]]-Table1[[#This Row],[Sunrise Time (POA&gt;20 W/m2)]])*24,"")</f>
        <v>12.350000000000001</v>
      </c>
      <c r="L81" s="108" t="s">
        <v>231</v>
      </c>
      <c r="M81" s="61">
        <f>VLOOKUP(Table1[[#This Row],[Affceted Equipment]],'Basic Data'!$A$2:$C$818,2,0)</f>
        <v>669.6</v>
      </c>
      <c r="N81" s="93">
        <f>IFERROR(VLOOKUP(Table1[[#This Row],[Affceted Equipment]],'Basic Data'!$A$2:$C$818,3,0),"")</f>
        <v>8.348190352703562E-2</v>
      </c>
      <c r="O81" s="118" t="s">
        <v>323</v>
      </c>
      <c r="P81" s="94" t="s">
        <v>1088</v>
      </c>
      <c r="Q81" s="94"/>
      <c r="R81" s="94" t="s">
        <v>1088</v>
      </c>
      <c r="S81" s="92">
        <v>0.4375</v>
      </c>
      <c r="T81" s="119"/>
      <c r="U81" s="119"/>
      <c r="V81" s="92">
        <v>0.44444444444444442</v>
      </c>
      <c r="W81" s="89">
        <f>IF(Table1[[#This Row],[Acknowledgemnet Time ]]="NA","",(Table1[[#This Row],[Acknowledgemnet Time ]]-Table1[[#This Row],[Fault Time]])*24)</f>
        <v>-10.5</v>
      </c>
      <c r="X81" s="89">
        <f>IF(Table1[[#This Row],[Work Start time on Fault]]="NA","",(Table1[[#This Row],[Work Start time on Fault]]-Table1[[#This Row],[Fault Time]])*24)</f>
        <v>-10.5</v>
      </c>
      <c r="Y81" s="52">
        <f>(Table1[[#This Row],[Work Completiuon time on fualt]]-Table1[[#This Row],[Fault Time]])*24</f>
        <v>0.16666666666666607</v>
      </c>
      <c r="Z81" s="52">
        <f>IFERROR((Table1[[#This Row],[Work Completiuon time on fualt]]-Table1[[#This Row],[Fault Time]])*24,"")</f>
        <v>0.16666666666666607</v>
      </c>
      <c r="AA81" s="2" t="s">
        <v>1084</v>
      </c>
      <c r="AB81" s="2" t="s">
        <v>1080</v>
      </c>
      <c r="AC81" s="90">
        <f>IFERROR(Table1[[#This Row],[Breakdown Time]]*Table1[[#This Row],[Plant Equivalent Weightage]],"")</f>
        <v>1.3913650587839221E-2</v>
      </c>
      <c r="AD81" s="2">
        <v>0.14000000000000001</v>
      </c>
      <c r="AE81" s="89">
        <f>_xlfn.XLOOKUP($F81,'Modelling New'!$D:$D,'Modelling New'!$O:$O)*Table1[[#This Row],[Lost PoA(Wh/m2)]]*Table1[[#This Row],[DC Capacity Affceted (kW)]]</f>
        <v>63.302955352629844</v>
      </c>
      <c r="AF81" s="2"/>
      <c r="AG81" s="2"/>
    </row>
    <row r="82" spans="1:33" x14ac:dyDescent="0.3">
      <c r="A82" s="67">
        <f t="shared" si="1"/>
        <v>79</v>
      </c>
      <c r="B82" s="75">
        <f>YEAR(Table1[[#This Row],[Date]])+IF(MONTH(Table1[[#This Row],[Date]])&gt;=4,1,0)</f>
        <v>2026</v>
      </c>
      <c r="C82" s="74">
        <f>YEAR(Table1[[#This Row],[Date]])</f>
        <v>2025</v>
      </c>
      <c r="D82" s="74" t="s">
        <v>1082</v>
      </c>
      <c r="E82" s="74" t="s">
        <v>1082</v>
      </c>
      <c r="F82" s="181">
        <f>Table1[[#This Row],[Date]]-DAY(Table1[[#This Row],[Date]])+1</f>
        <v>45748</v>
      </c>
      <c r="G82">
        <f>DAY(EOMONTH(Table1[[#This Row],[Month Year]],0))</f>
        <v>30</v>
      </c>
      <c r="H82" s="104">
        <v>45751</v>
      </c>
      <c r="I82" s="76">
        <f>IFERROR(VLOOKUP(Table1[[#This Row],[Date]],Table3[[Date]:[Sunset Time (POA&lt;20 W/m2)]],3,0),"")</f>
        <v>0.25624999999999998</v>
      </c>
      <c r="J82" s="76">
        <f>IFERROR(VLOOKUP(Table1[[#This Row],[Date]],Table3[[Date]:[Sunset Time (POA&lt;20 W/m2)]],4,0),"")</f>
        <v>0.77083333333333337</v>
      </c>
      <c r="K82" s="77">
        <f>IFERROR((Table1[[#This Row],[Sunset Time (POA&lt;20 W/m2)]]-Table1[[#This Row],[Sunrise Time (POA&gt;20 W/m2)]])*24,"")</f>
        <v>12.350000000000001</v>
      </c>
      <c r="L82" s="108" t="s">
        <v>180</v>
      </c>
      <c r="M82" s="61">
        <f>VLOOKUP(Table1[[#This Row],[Affceted Equipment]],'Basic Data'!$A$2:$C$818,2,0)</f>
        <v>2694.6</v>
      </c>
      <c r="N82" s="93">
        <f>IFERROR(VLOOKUP(Table1[[#This Row],[Affceted Equipment]],'Basic Data'!$A$2:$C$818,3,0),"")</f>
        <v>0.33594733758057077</v>
      </c>
      <c r="O82" s="118" t="s">
        <v>323</v>
      </c>
      <c r="P82" s="94" t="s">
        <v>1089</v>
      </c>
      <c r="Q82" s="94"/>
      <c r="R82" s="94" t="s">
        <v>1089</v>
      </c>
      <c r="S82" s="92">
        <v>0.44444444444444442</v>
      </c>
      <c r="T82" s="119"/>
      <c r="U82" s="119"/>
      <c r="V82" s="92">
        <v>0.4465277777777778</v>
      </c>
      <c r="W82" s="89">
        <f>IF(Table1[[#This Row],[Acknowledgemnet Time ]]="NA","",(Table1[[#This Row],[Acknowledgemnet Time ]]-Table1[[#This Row],[Fault Time]])*24)</f>
        <v>-10.666666666666666</v>
      </c>
      <c r="X82" s="89">
        <f>IF(Table1[[#This Row],[Work Start time on Fault]]="NA","",(Table1[[#This Row],[Work Start time on Fault]]-Table1[[#This Row],[Fault Time]])*24)</f>
        <v>-10.666666666666666</v>
      </c>
      <c r="Y82" s="52">
        <f>(Table1[[#This Row],[Work Completiuon time on fualt]]-Table1[[#This Row],[Fault Time]])*24</f>
        <v>5.0000000000001155E-2</v>
      </c>
      <c r="Z82" s="52">
        <f>IFERROR((Table1[[#This Row],[Work Completiuon time on fualt]]-Table1[[#This Row],[Fault Time]])*24,"")</f>
        <v>5.0000000000001155E-2</v>
      </c>
      <c r="AA82" s="2" t="s">
        <v>1086</v>
      </c>
      <c r="AB82" s="2" t="s">
        <v>1081</v>
      </c>
      <c r="AC82" s="90">
        <f>IFERROR(Table1[[#This Row],[Breakdown Time]]*Table1[[#This Row],[Plant Equivalent Weightage]],"")</f>
        <v>1.6797366879028927E-2</v>
      </c>
      <c r="AD82" s="2">
        <v>0.05</v>
      </c>
      <c r="AE82" s="89">
        <f>_xlfn.XLOOKUP($F82,'Modelling New'!$D:$D,'Modelling New'!$O:$O)*Table1[[#This Row],[Lost PoA(Wh/m2)]]*Table1[[#This Row],[DC Capacity Affceted (kW)]]</f>
        <v>90.979765901389086</v>
      </c>
      <c r="AF82" s="2"/>
      <c r="AG82" s="2"/>
    </row>
    <row r="83" spans="1:33" x14ac:dyDescent="0.3">
      <c r="A83" s="67">
        <f t="shared" si="1"/>
        <v>80</v>
      </c>
      <c r="B83" s="75">
        <f>YEAR(Table1[[#This Row],[Date]])+IF(MONTH(Table1[[#This Row],[Date]])&gt;=4,1,0)</f>
        <v>2026</v>
      </c>
      <c r="C83" s="74">
        <f>YEAR(Table1[[#This Row],[Date]])</f>
        <v>2025</v>
      </c>
      <c r="D83" s="74" t="s">
        <v>1082</v>
      </c>
      <c r="E83" s="74" t="s">
        <v>1082</v>
      </c>
      <c r="F83" s="181">
        <f>Table1[[#This Row],[Date]]-DAY(Table1[[#This Row],[Date]])+1</f>
        <v>45748</v>
      </c>
      <c r="G83">
        <f>DAY(EOMONTH(Table1[[#This Row],[Month Year]],0))</f>
        <v>30</v>
      </c>
      <c r="H83" s="104">
        <v>45751</v>
      </c>
      <c r="I83" s="76">
        <f>IFERROR(VLOOKUP(Table1[[#This Row],[Date]],Table3[[Date]:[Sunset Time (POA&lt;20 W/m2)]],3,0),"")</f>
        <v>0.25624999999999998</v>
      </c>
      <c r="J83" s="76">
        <f>IFERROR(VLOOKUP(Table1[[#This Row],[Date]],Table3[[Date]:[Sunset Time (POA&lt;20 W/m2)]],4,0),"")</f>
        <v>0.77083333333333337</v>
      </c>
      <c r="K83" s="77">
        <f>IFERROR((Table1[[#This Row],[Sunset Time (POA&lt;20 W/m2)]]-Table1[[#This Row],[Sunrise Time (POA&gt;20 W/m2)]])*24,"")</f>
        <v>12.350000000000001</v>
      </c>
      <c r="L83" s="108" t="s">
        <v>180</v>
      </c>
      <c r="M83" s="61">
        <f>VLOOKUP(Table1[[#This Row],[Affceted Equipment]],'Basic Data'!$A$2:$C$818,2,0)</f>
        <v>2694.6</v>
      </c>
      <c r="N83" s="93">
        <f>IFERROR(VLOOKUP(Table1[[#This Row],[Affceted Equipment]],'Basic Data'!$A$2:$C$818,3,0),"")</f>
        <v>0.33594733758057077</v>
      </c>
      <c r="O83" s="118" t="s">
        <v>323</v>
      </c>
      <c r="P83" s="94" t="s">
        <v>1089</v>
      </c>
      <c r="Q83" s="94"/>
      <c r="R83" s="94" t="s">
        <v>1089</v>
      </c>
      <c r="S83" s="92">
        <v>0.44722222222222224</v>
      </c>
      <c r="T83" s="119"/>
      <c r="U83" s="119"/>
      <c r="V83" s="92">
        <v>0.46527777777777779</v>
      </c>
      <c r="W83" s="89">
        <f>IF(Table1[[#This Row],[Acknowledgemnet Time ]]="NA","",(Table1[[#This Row],[Acknowledgemnet Time ]]-Table1[[#This Row],[Fault Time]])*24)</f>
        <v>-10.733333333333334</v>
      </c>
      <c r="X83" s="89">
        <f>IF(Table1[[#This Row],[Work Start time on Fault]]="NA","",(Table1[[#This Row],[Work Start time on Fault]]-Table1[[#This Row],[Fault Time]])*24)</f>
        <v>-10.733333333333334</v>
      </c>
      <c r="Y83" s="52">
        <f>(Table1[[#This Row],[Work Completiuon time on fualt]]-Table1[[#This Row],[Fault Time]])*24</f>
        <v>0.43333333333333313</v>
      </c>
      <c r="Z83" s="52">
        <f>IFERROR((Table1[[#This Row],[Work Completiuon time on fualt]]-Table1[[#This Row],[Fault Time]])*24,"")</f>
        <v>0.43333333333333313</v>
      </c>
      <c r="AA83" s="2" t="s">
        <v>1086</v>
      </c>
      <c r="AB83" s="2" t="s">
        <v>1081</v>
      </c>
      <c r="AC83" s="90">
        <f>IFERROR(Table1[[#This Row],[Breakdown Time]]*Table1[[#This Row],[Plant Equivalent Weightage]],"")</f>
        <v>0.14557717961824726</v>
      </c>
      <c r="AD83" s="2">
        <v>0.43</v>
      </c>
      <c r="AE83" s="89">
        <f>_xlfn.XLOOKUP($F83,'Modelling New'!$D:$D,'Modelling New'!$O:$O)*Table1[[#This Row],[Lost PoA(Wh/m2)]]*Table1[[#This Row],[DC Capacity Affceted (kW)]]</f>
        <v>782.42598675194608</v>
      </c>
      <c r="AF83" s="2"/>
      <c r="AG83" s="2"/>
    </row>
    <row r="84" spans="1:33" x14ac:dyDescent="0.3">
      <c r="A84" s="67">
        <f t="shared" si="1"/>
        <v>81</v>
      </c>
      <c r="B84" s="75">
        <f>YEAR(Table1[[#This Row],[Date]])+IF(MONTH(Table1[[#This Row],[Date]])&gt;=4,1,0)</f>
        <v>2026</v>
      </c>
      <c r="C84" s="74">
        <f>YEAR(Table1[[#This Row],[Date]])</f>
        <v>2025</v>
      </c>
      <c r="D84" s="74" t="s">
        <v>1082</v>
      </c>
      <c r="E84" s="74" t="s">
        <v>1082</v>
      </c>
      <c r="F84" s="181">
        <f>Table1[[#This Row],[Date]]-DAY(Table1[[#This Row],[Date]])+1</f>
        <v>45748</v>
      </c>
      <c r="G84">
        <f>DAY(EOMONTH(Table1[[#This Row],[Month Year]],0))</f>
        <v>30</v>
      </c>
      <c r="H84" s="104">
        <v>45751</v>
      </c>
      <c r="I84" s="76">
        <f>IFERROR(VLOOKUP(Table1[[#This Row],[Date]],Table3[[Date]:[Sunset Time (POA&lt;20 W/m2)]],3,0),"")</f>
        <v>0.25624999999999998</v>
      </c>
      <c r="J84" s="76">
        <f>IFERROR(VLOOKUP(Table1[[#This Row],[Date]],Table3[[Date]:[Sunset Time (POA&lt;20 W/m2)]],4,0),"")</f>
        <v>0.77083333333333337</v>
      </c>
      <c r="K84" s="77">
        <f>IFERROR((Table1[[#This Row],[Sunset Time (POA&lt;20 W/m2)]]-Table1[[#This Row],[Sunrise Time (POA&gt;20 W/m2)]])*24,"")</f>
        <v>12.350000000000001</v>
      </c>
      <c r="L84" s="108" t="s">
        <v>231</v>
      </c>
      <c r="M84" s="61">
        <f>VLOOKUP(Table1[[#This Row],[Affceted Equipment]],'Basic Data'!$A$2:$C$818,2,0)</f>
        <v>669.6</v>
      </c>
      <c r="N84" s="93">
        <f>IFERROR(VLOOKUP(Table1[[#This Row],[Affceted Equipment]],'Basic Data'!$A$2:$C$818,3,0),"")</f>
        <v>8.348190352703562E-2</v>
      </c>
      <c r="O84" s="118" t="s">
        <v>323</v>
      </c>
      <c r="P84" s="94" t="s">
        <v>1088</v>
      </c>
      <c r="Q84" s="94"/>
      <c r="R84" s="94" t="s">
        <v>1088</v>
      </c>
      <c r="S84" s="92">
        <v>0.46527777777777779</v>
      </c>
      <c r="T84" s="119"/>
      <c r="U84" s="119"/>
      <c r="V84" s="92">
        <v>0.46875</v>
      </c>
      <c r="W84" s="89">
        <f>IF(Table1[[#This Row],[Acknowledgemnet Time ]]="NA","",(Table1[[#This Row],[Acknowledgemnet Time ]]-Table1[[#This Row],[Fault Time]])*24)</f>
        <v>-11.166666666666668</v>
      </c>
      <c r="X84" s="89">
        <f>IF(Table1[[#This Row],[Work Start time on Fault]]="NA","",(Table1[[#This Row],[Work Start time on Fault]]-Table1[[#This Row],[Fault Time]])*24)</f>
        <v>-11.166666666666668</v>
      </c>
      <c r="Y84" s="52">
        <f>(Table1[[#This Row],[Work Completiuon time on fualt]]-Table1[[#This Row],[Fault Time]])*24</f>
        <v>8.3333333333333037E-2</v>
      </c>
      <c r="Z84" s="52">
        <f>IFERROR((Table1[[#This Row],[Work Completiuon time on fualt]]-Table1[[#This Row],[Fault Time]])*24,"")</f>
        <v>8.3333333333333037E-2</v>
      </c>
      <c r="AA84" s="2" t="s">
        <v>1084</v>
      </c>
      <c r="AB84" s="2" t="s">
        <v>1080</v>
      </c>
      <c r="AC84" s="90">
        <f>IFERROR(Table1[[#This Row],[Breakdown Time]]*Table1[[#This Row],[Plant Equivalent Weightage]],"")</f>
        <v>6.9568252939196107E-3</v>
      </c>
      <c r="AD84" s="2">
        <v>0.09</v>
      </c>
      <c r="AE84" s="89">
        <f>_xlfn.XLOOKUP($F84,'Modelling New'!$D:$D,'Modelling New'!$O:$O)*Table1[[#This Row],[Lost PoA(Wh/m2)]]*Table1[[#This Row],[DC Capacity Affceted (kW)]]</f>
        <v>40.694757012404892</v>
      </c>
      <c r="AF84" s="2"/>
      <c r="AG84" s="2"/>
    </row>
    <row r="85" spans="1:33" x14ac:dyDescent="0.3">
      <c r="A85" s="67">
        <f t="shared" si="1"/>
        <v>82</v>
      </c>
      <c r="B85" s="75">
        <f>YEAR(Table1[[#This Row],[Date]])+IF(MONTH(Table1[[#This Row],[Date]])&gt;=4,1,0)</f>
        <v>2026</v>
      </c>
      <c r="C85" s="74">
        <f>YEAR(Table1[[#This Row],[Date]])</f>
        <v>2025</v>
      </c>
      <c r="D85" s="74" t="s">
        <v>1082</v>
      </c>
      <c r="E85" s="74" t="s">
        <v>1082</v>
      </c>
      <c r="F85" s="181">
        <f>Table1[[#This Row],[Date]]-DAY(Table1[[#This Row],[Date]])+1</f>
        <v>45748</v>
      </c>
      <c r="G85">
        <f>DAY(EOMONTH(Table1[[#This Row],[Month Year]],0))</f>
        <v>30</v>
      </c>
      <c r="H85" s="104">
        <v>45751</v>
      </c>
      <c r="I85" s="76">
        <f>IFERROR(VLOOKUP(Table1[[#This Row],[Date]],Table3[[Date]:[Sunset Time (POA&lt;20 W/m2)]],3,0),"")</f>
        <v>0.25624999999999998</v>
      </c>
      <c r="J85" s="76">
        <f>IFERROR(VLOOKUP(Table1[[#This Row],[Date]],Table3[[Date]:[Sunset Time (POA&lt;20 W/m2)]],4,0),"")</f>
        <v>0.77083333333333337</v>
      </c>
      <c r="K85" s="77">
        <f>IFERROR((Table1[[#This Row],[Sunset Time (POA&lt;20 W/m2)]]-Table1[[#This Row],[Sunrise Time (POA&gt;20 W/m2)]])*24,"")</f>
        <v>12.350000000000001</v>
      </c>
      <c r="L85" s="108" t="s">
        <v>180</v>
      </c>
      <c r="M85" s="91">
        <f>VLOOKUP(Table1[[#This Row],[Affceted Equipment]],'Basic Data'!$A$2:$C$818,2,0)</f>
        <v>2694.6</v>
      </c>
      <c r="N85" s="93">
        <f>IFERROR(VLOOKUP(Table1[[#This Row],[Affceted Equipment]],'Basic Data'!$A$2:$C$818,3,0),"")</f>
        <v>0.33594733758057077</v>
      </c>
      <c r="O85" s="118" t="s">
        <v>323</v>
      </c>
      <c r="P85" s="94" t="s">
        <v>1089</v>
      </c>
      <c r="Q85" s="94"/>
      <c r="R85" s="94" t="s">
        <v>1089</v>
      </c>
      <c r="S85" s="92">
        <v>0.46875</v>
      </c>
      <c r="T85" s="119"/>
      <c r="U85" s="119"/>
      <c r="V85" s="92">
        <v>0.5</v>
      </c>
      <c r="W85" s="89">
        <f>IF(Table1[[#This Row],[Acknowledgemnet Time ]]="NA","",(Table1[[#This Row],[Acknowledgemnet Time ]]-Table1[[#This Row],[Fault Time]])*24)</f>
        <v>-11.25</v>
      </c>
      <c r="X85" s="89">
        <f>IF(Table1[[#This Row],[Work Start time on Fault]]="NA","",(Table1[[#This Row],[Work Start time on Fault]]-Table1[[#This Row],[Fault Time]])*24)</f>
        <v>-11.25</v>
      </c>
      <c r="Y85" s="52">
        <f>(Table1[[#This Row],[Work Completiuon time on fualt]]-Table1[[#This Row],[Fault Time]])*24</f>
        <v>0.75</v>
      </c>
      <c r="Z85" s="52">
        <f>IFERROR((Table1[[#This Row],[Work Completiuon time on fualt]]-Table1[[#This Row],[Fault Time]])*24,"")</f>
        <v>0.75</v>
      </c>
      <c r="AA85" s="2" t="s">
        <v>1086</v>
      </c>
      <c r="AB85" s="2" t="s">
        <v>1081</v>
      </c>
      <c r="AC85" s="90">
        <f>IFERROR(Table1[[#This Row],[Breakdown Time]]*Table1[[#This Row],[Plant Equivalent Weightage]],"")</f>
        <v>0.25196050318542806</v>
      </c>
      <c r="AD85" s="2">
        <v>0.73</v>
      </c>
      <c r="AE85" s="89">
        <f>_xlfn.XLOOKUP($F85,'Modelling New'!$D:$D,'Modelling New'!$O:$O)*Table1[[#This Row],[Lost PoA(Wh/m2)]]*Table1[[#This Row],[DC Capacity Affceted (kW)]]</f>
        <v>1328.3045821602805</v>
      </c>
      <c r="AF85" s="2"/>
      <c r="AG85" s="2"/>
    </row>
    <row r="86" spans="1:33" x14ac:dyDescent="0.3">
      <c r="A86" s="67">
        <f t="shared" si="1"/>
        <v>83</v>
      </c>
      <c r="B86" s="75">
        <f>YEAR(Table1[[#This Row],[Date]])+IF(MONTH(Table1[[#This Row],[Date]])&gt;=4,1,0)</f>
        <v>2026</v>
      </c>
      <c r="C86" s="74">
        <f>YEAR(Table1[[#This Row],[Date]])</f>
        <v>2025</v>
      </c>
      <c r="D86" s="74" t="s">
        <v>1082</v>
      </c>
      <c r="E86" s="74" t="s">
        <v>1082</v>
      </c>
      <c r="F86" s="181">
        <f>Table1[[#This Row],[Date]]-DAY(Table1[[#This Row],[Date]])+1</f>
        <v>45748</v>
      </c>
      <c r="G86">
        <f>DAY(EOMONTH(Table1[[#This Row],[Month Year]],0))</f>
        <v>30</v>
      </c>
      <c r="H86" s="104">
        <v>45751</v>
      </c>
      <c r="I86" s="76">
        <f>IFERROR(VLOOKUP(Table1[[#This Row],[Date]],Table3[[Date]:[Sunset Time (POA&lt;20 W/m2)]],3,0),"")</f>
        <v>0.25624999999999998</v>
      </c>
      <c r="J86" s="76">
        <f>IFERROR(VLOOKUP(Table1[[#This Row],[Date]],Table3[[Date]:[Sunset Time (POA&lt;20 W/m2)]],4,0),"")</f>
        <v>0.77083333333333337</v>
      </c>
      <c r="K86" s="77">
        <f>IFERROR((Table1[[#This Row],[Sunset Time (POA&lt;20 W/m2)]]-Table1[[#This Row],[Sunrise Time (POA&gt;20 W/m2)]])*24,"")</f>
        <v>12.350000000000001</v>
      </c>
      <c r="L86" s="108" t="s">
        <v>231</v>
      </c>
      <c r="M86" s="61">
        <f>VLOOKUP(Table1[[#This Row],[Affceted Equipment]],'Basic Data'!$A$2:$C$818,2,0)</f>
        <v>669.6</v>
      </c>
      <c r="N86" s="93">
        <f>IFERROR(VLOOKUP(Table1[[#This Row],[Affceted Equipment]],'Basic Data'!$A$2:$C$818,3,0),"")</f>
        <v>8.348190352703562E-2</v>
      </c>
      <c r="O86" s="118" t="s">
        <v>323</v>
      </c>
      <c r="P86" s="94" t="s">
        <v>1088</v>
      </c>
      <c r="Q86" s="94"/>
      <c r="R86" s="94" t="s">
        <v>1088</v>
      </c>
      <c r="S86" s="92">
        <v>0.5</v>
      </c>
      <c r="T86" s="119"/>
      <c r="U86" s="119"/>
      <c r="V86" s="92">
        <v>0.50277777777777777</v>
      </c>
      <c r="W86" s="89">
        <f>IF(Table1[[#This Row],[Acknowledgemnet Time ]]="NA","",(Table1[[#This Row],[Acknowledgemnet Time ]]-Table1[[#This Row],[Fault Time]])*24)</f>
        <v>-12</v>
      </c>
      <c r="X86" s="89">
        <f>IF(Table1[[#This Row],[Work Start time on Fault]]="NA","",(Table1[[#This Row],[Work Start time on Fault]]-Table1[[#This Row],[Fault Time]])*24)</f>
        <v>-12</v>
      </c>
      <c r="Y86" s="52">
        <f>(Table1[[#This Row],[Work Completiuon time on fualt]]-Table1[[#This Row],[Fault Time]])*24</f>
        <v>6.666666666666643E-2</v>
      </c>
      <c r="Z86" s="52">
        <f>IFERROR((Table1[[#This Row],[Work Completiuon time on fualt]]-Table1[[#This Row],[Fault Time]])*24,"")</f>
        <v>6.666666666666643E-2</v>
      </c>
      <c r="AA86" s="2" t="s">
        <v>1084</v>
      </c>
      <c r="AB86" s="2" t="s">
        <v>1080</v>
      </c>
      <c r="AC86" s="90">
        <f>IFERROR(Table1[[#This Row],[Breakdown Time]]*Table1[[#This Row],[Plant Equivalent Weightage]],"")</f>
        <v>5.5654602351356882E-3</v>
      </c>
      <c r="AD86" s="2">
        <v>0.08</v>
      </c>
      <c r="AE86" s="89">
        <f>_xlfn.XLOOKUP($F86,'Modelling New'!$D:$D,'Modelling New'!$O:$O)*Table1[[#This Row],[Lost PoA(Wh/m2)]]*Table1[[#This Row],[DC Capacity Affceted (kW)]]</f>
        <v>36.173117344359909</v>
      </c>
      <c r="AF86" s="2"/>
      <c r="AG86" s="2"/>
    </row>
    <row r="87" spans="1:33" x14ac:dyDescent="0.3">
      <c r="A87" s="67">
        <f t="shared" si="1"/>
        <v>84</v>
      </c>
      <c r="B87" s="75">
        <f>YEAR(Table1[[#This Row],[Date]])+IF(MONTH(Table1[[#This Row],[Date]])&gt;=4,1,0)</f>
        <v>2026</v>
      </c>
      <c r="C87" s="74">
        <f>YEAR(Table1[[#This Row],[Date]])</f>
        <v>2025</v>
      </c>
      <c r="D87" s="74" t="s">
        <v>1082</v>
      </c>
      <c r="E87" s="74" t="s">
        <v>1082</v>
      </c>
      <c r="F87" s="181">
        <f>Table1[[#This Row],[Date]]-DAY(Table1[[#This Row],[Date]])+1</f>
        <v>45748</v>
      </c>
      <c r="G87">
        <f>DAY(EOMONTH(Table1[[#This Row],[Month Year]],0))</f>
        <v>30</v>
      </c>
      <c r="H87" s="104">
        <v>45751</v>
      </c>
      <c r="I87" s="76">
        <f>IFERROR(VLOOKUP(Table1[[#This Row],[Date]],Table3[[Date]:[Sunset Time (POA&lt;20 W/m2)]],3,0),"")</f>
        <v>0.25624999999999998</v>
      </c>
      <c r="J87" s="76">
        <f>IFERROR(VLOOKUP(Table1[[#This Row],[Date]],Table3[[Date]:[Sunset Time (POA&lt;20 W/m2)]],4,0),"")</f>
        <v>0.77083333333333337</v>
      </c>
      <c r="K87" s="77">
        <f>IFERROR((Table1[[#This Row],[Sunset Time (POA&lt;20 W/m2)]]-Table1[[#This Row],[Sunrise Time (POA&gt;20 W/m2)]])*24,"")</f>
        <v>12.350000000000001</v>
      </c>
      <c r="L87" s="108" t="s">
        <v>180</v>
      </c>
      <c r="M87" s="91">
        <f>VLOOKUP(Table1[[#This Row],[Affceted Equipment]],'Basic Data'!$A$2:$C$818,2,0)</f>
        <v>2694.6</v>
      </c>
      <c r="N87" s="93">
        <f>IFERROR(VLOOKUP(Table1[[#This Row],[Affceted Equipment]],'Basic Data'!$A$2:$C$818,3,0),"")</f>
        <v>0.33594733758057077</v>
      </c>
      <c r="O87" s="118" t="s">
        <v>323</v>
      </c>
      <c r="P87" s="94" t="s">
        <v>1089</v>
      </c>
      <c r="Q87" s="94"/>
      <c r="R87" s="94" t="s">
        <v>1089</v>
      </c>
      <c r="S87" s="92">
        <v>0.50277777777777777</v>
      </c>
      <c r="T87" s="119"/>
      <c r="U87" s="119"/>
      <c r="V87" s="92">
        <v>0.55138888888888893</v>
      </c>
      <c r="W87" s="89">
        <f>IF(Table1[[#This Row],[Acknowledgemnet Time ]]="NA","",(Table1[[#This Row],[Acknowledgemnet Time ]]-Table1[[#This Row],[Fault Time]])*24)</f>
        <v>-12.066666666666666</v>
      </c>
      <c r="X87" s="89">
        <f>IF(Table1[[#This Row],[Work Start time on Fault]]="NA","",(Table1[[#This Row],[Work Start time on Fault]]-Table1[[#This Row],[Fault Time]])*24)</f>
        <v>-12.066666666666666</v>
      </c>
      <c r="Y87" s="52">
        <f>(Table1[[#This Row],[Work Completiuon time on fualt]]-Table1[[#This Row],[Fault Time]])*24</f>
        <v>1.1666666666666679</v>
      </c>
      <c r="Z87" s="52">
        <f>IFERROR((Table1[[#This Row],[Work Completiuon time on fualt]]-Table1[[#This Row],[Fault Time]])*24,"")</f>
        <v>1.1666666666666679</v>
      </c>
      <c r="AA87" s="2" t="s">
        <v>1086</v>
      </c>
      <c r="AB87" s="2" t="s">
        <v>1081</v>
      </c>
      <c r="AC87" s="90">
        <f>IFERROR(Table1[[#This Row],[Breakdown Time]]*Table1[[#This Row],[Plant Equivalent Weightage]],"")</f>
        <v>0.39193856051066628</v>
      </c>
      <c r="AD87" s="2">
        <v>1.1100000000000001</v>
      </c>
      <c r="AE87" s="89">
        <f>_xlfn.XLOOKUP($F87,'Modelling New'!$D:$D,'Modelling New'!$O:$O)*Table1[[#This Row],[Lost PoA(Wh/m2)]]*Table1[[#This Row],[DC Capacity Affceted (kW)]]</f>
        <v>2019.7508030108377</v>
      </c>
      <c r="AF87" s="2"/>
      <c r="AG87" s="2"/>
    </row>
    <row r="88" spans="1:33" x14ac:dyDescent="0.3">
      <c r="A88" s="67">
        <f t="shared" si="1"/>
        <v>85</v>
      </c>
      <c r="B88" s="75">
        <f>YEAR(Table1[[#This Row],[Date]])+IF(MONTH(Table1[[#This Row],[Date]])&gt;=4,1,0)</f>
        <v>2026</v>
      </c>
      <c r="C88" s="74">
        <f>YEAR(Table1[[#This Row],[Date]])</f>
        <v>2025</v>
      </c>
      <c r="D88" s="74" t="s">
        <v>1082</v>
      </c>
      <c r="E88" s="74" t="s">
        <v>1082</v>
      </c>
      <c r="F88" s="181">
        <f>Table1[[#This Row],[Date]]-DAY(Table1[[#This Row],[Date]])+1</f>
        <v>45748</v>
      </c>
      <c r="G88">
        <f>DAY(EOMONTH(Table1[[#This Row],[Month Year]],0))</f>
        <v>30</v>
      </c>
      <c r="H88" s="104">
        <v>45751</v>
      </c>
      <c r="I88" s="76">
        <f>IFERROR(VLOOKUP(Table1[[#This Row],[Date]],Table3[[Date]:[Sunset Time (POA&lt;20 W/m2)]],3,0),"")</f>
        <v>0.25624999999999998</v>
      </c>
      <c r="J88" s="76">
        <f>IFERROR(VLOOKUP(Table1[[#This Row],[Date]],Table3[[Date]:[Sunset Time (POA&lt;20 W/m2)]],4,0),"")</f>
        <v>0.77083333333333337</v>
      </c>
      <c r="K88" s="77">
        <f>IFERROR((Table1[[#This Row],[Sunset Time (POA&lt;20 W/m2)]]-Table1[[#This Row],[Sunrise Time (POA&gt;20 W/m2)]])*24,"")</f>
        <v>12.350000000000001</v>
      </c>
      <c r="L88" s="108" t="s">
        <v>231</v>
      </c>
      <c r="M88" s="61">
        <f>VLOOKUP(Table1[[#This Row],[Affceted Equipment]],'Basic Data'!$A$2:$C$818,2,0)</f>
        <v>669.6</v>
      </c>
      <c r="N88" s="93">
        <f>IFERROR(VLOOKUP(Table1[[#This Row],[Affceted Equipment]],'Basic Data'!$A$2:$C$818,3,0),"")</f>
        <v>8.348190352703562E-2</v>
      </c>
      <c r="O88" s="118" t="s">
        <v>323</v>
      </c>
      <c r="P88" s="94" t="s">
        <v>1088</v>
      </c>
      <c r="Q88" s="94"/>
      <c r="R88" s="94" t="s">
        <v>1088</v>
      </c>
      <c r="S88" s="92">
        <v>0.55138888888888893</v>
      </c>
      <c r="T88" s="119"/>
      <c r="U88" s="119"/>
      <c r="V88" s="92">
        <v>0.57291666666666663</v>
      </c>
      <c r="W88" s="89">
        <f>IF(Table1[[#This Row],[Acknowledgemnet Time ]]="NA","",(Table1[[#This Row],[Acknowledgemnet Time ]]-Table1[[#This Row],[Fault Time]])*24)</f>
        <v>-13.233333333333334</v>
      </c>
      <c r="X88" s="89">
        <f>IF(Table1[[#This Row],[Work Start time on Fault]]="NA","",(Table1[[#This Row],[Work Start time on Fault]]-Table1[[#This Row],[Fault Time]])*24)</f>
        <v>-13.233333333333334</v>
      </c>
      <c r="Y88" s="52">
        <f>(Table1[[#This Row],[Work Completiuon time on fualt]]-Table1[[#This Row],[Fault Time]])*24</f>
        <v>0.51666666666666483</v>
      </c>
      <c r="Z88" s="52">
        <f>IFERROR((Table1[[#This Row],[Work Completiuon time on fualt]]-Table1[[#This Row],[Fault Time]])*24,"")</f>
        <v>0.51666666666666483</v>
      </c>
      <c r="AA88" s="2" t="s">
        <v>1084</v>
      </c>
      <c r="AB88" s="2" t="s">
        <v>1080</v>
      </c>
      <c r="AC88" s="90">
        <f>IFERROR(Table1[[#This Row],[Breakdown Time]]*Table1[[#This Row],[Plant Equivalent Weightage]],"")</f>
        <v>4.3132316822301585E-2</v>
      </c>
      <c r="AD88" s="2">
        <v>0.44</v>
      </c>
      <c r="AE88" s="89">
        <f>_xlfn.XLOOKUP($F88,'Modelling New'!$D:$D,'Modelling New'!$O:$O)*Table1[[#This Row],[Lost PoA(Wh/m2)]]*Table1[[#This Row],[DC Capacity Affceted (kW)]]</f>
        <v>198.95214539397952</v>
      </c>
      <c r="AF88" s="2"/>
      <c r="AG88" s="2"/>
    </row>
    <row r="89" spans="1:33" x14ac:dyDescent="0.3">
      <c r="A89" s="67">
        <f t="shared" si="1"/>
        <v>86</v>
      </c>
      <c r="B89" s="75">
        <f>YEAR(Table1[[#This Row],[Date]])+IF(MONTH(Table1[[#This Row],[Date]])&gt;=4,1,0)</f>
        <v>2026</v>
      </c>
      <c r="C89" s="74">
        <f>YEAR(Table1[[#This Row],[Date]])</f>
        <v>2025</v>
      </c>
      <c r="D89" s="74" t="s">
        <v>1082</v>
      </c>
      <c r="E89" s="74" t="s">
        <v>1082</v>
      </c>
      <c r="F89" s="181">
        <f>Table1[[#This Row],[Date]]-DAY(Table1[[#This Row],[Date]])+1</f>
        <v>45748</v>
      </c>
      <c r="G89">
        <f>DAY(EOMONTH(Table1[[#This Row],[Month Year]],0))</f>
        <v>30</v>
      </c>
      <c r="H89" s="104">
        <v>45751</v>
      </c>
      <c r="I89" s="76">
        <f>IFERROR(VLOOKUP(Table1[[#This Row],[Date]],Table3[[Date]:[Sunset Time (POA&lt;20 W/m2)]],3,0),"")</f>
        <v>0.25624999999999998</v>
      </c>
      <c r="J89" s="76">
        <f>IFERROR(VLOOKUP(Table1[[#This Row],[Date]],Table3[[Date]:[Sunset Time (POA&lt;20 W/m2)]],4,0),"")</f>
        <v>0.77083333333333337</v>
      </c>
      <c r="K89" s="77">
        <f>IFERROR((Table1[[#This Row],[Sunset Time (POA&lt;20 W/m2)]]-Table1[[#This Row],[Sunrise Time (POA&gt;20 W/m2)]])*24,"")</f>
        <v>12.350000000000001</v>
      </c>
      <c r="L89" s="108" t="s">
        <v>232</v>
      </c>
      <c r="M89" s="91">
        <f>VLOOKUP(Table1[[#This Row],[Affceted Equipment]],'Basic Data'!$A$2:$C$818,2,0)</f>
        <v>669.6</v>
      </c>
      <c r="N89" s="93">
        <f>IFERROR(VLOOKUP(Table1[[#This Row],[Affceted Equipment]],'Basic Data'!$A$2:$C$818,3,0),"")</f>
        <v>8.348190352703562E-2</v>
      </c>
      <c r="O89" s="118" t="s">
        <v>323</v>
      </c>
      <c r="P89" s="94" t="s">
        <v>1090</v>
      </c>
      <c r="Q89" s="94"/>
      <c r="R89" s="94" t="s">
        <v>1090</v>
      </c>
      <c r="S89" s="92">
        <v>0.55138888888888893</v>
      </c>
      <c r="T89" s="119"/>
      <c r="U89" s="119"/>
      <c r="V89" s="92">
        <v>0.57291666666666663</v>
      </c>
      <c r="W89" s="89">
        <f>IF(Table1[[#This Row],[Acknowledgemnet Time ]]="NA","",(Table1[[#This Row],[Acknowledgemnet Time ]]-Table1[[#This Row],[Fault Time]])*24)</f>
        <v>-13.233333333333334</v>
      </c>
      <c r="X89" s="89">
        <f>IF(Table1[[#This Row],[Work Start time on Fault]]="NA","",(Table1[[#This Row],[Work Start time on Fault]]-Table1[[#This Row],[Fault Time]])*24)</f>
        <v>-13.233333333333334</v>
      </c>
      <c r="Y89" s="52">
        <f>(Table1[[#This Row],[Work Completiuon time on fualt]]-Table1[[#This Row],[Fault Time]])*24</f>
        <v>0.51666666666666483</v>
      </c>
      <c r="Z89" s="52">
        <f>IFERROR((Table1[[#This Row],[Work Completiuon time on fualt]]-Table1[[#This Row],[Fault Time]])*24,"")</f>
        <v>0.51666666666666483</v>
      </c>
      <c r="AA89" s="2" t="s">
        <v>1084</v>
      </c>
      <c r="AB89" s="2" t="s">
        <v>1080</v>
      </c>
      <c r="AC89" s="90">
        <f>IFERROR(Table1[[#This Row],[Breakdown Time]]*Table1[[#This Row],[Plant Equivalent Weightage]],"")</f>
        <v>4.3132316822301585E-2</v>
      </c>
      <c r="AD89" s="2">
        <v>0.44</v>
      </c>
      <c r="AE89" s="89">
        <f>_xlfn.XLOOKUP($F89,'Modelling New'!$D:$D,'Modelling New'!$O:$O)*Table1[[#This Row],[Lost PoA(Wh/m2)]]*Table1[[#This Row],[DC Capacity Affceted (kW)]]</f>
        <v>198.95214539397952</v>
      </c>
      <c r="AF89" s="2"/>
      <c r="AG89" s="2"/>
    </row>
    <row r="90" spans="1:33" x14ac:dyDescent="0.3">
      <c r="A90" s="67">
        <f t="shared" si="1"/>
        <v>87</v>
      </c>
      <c r="B90" s="75">
        <f>YEAR(Table1[[#This Row],[Date]])+IF(MONTH(Table1[[#This Row],[Date]])&gt;=4,1,0)</f>
        <v>2026</v>
      </c>
      <c r="C90" s="74">
        <f>YEAR(Table1[[#This Row],[Date]])</f>
        <v>2025</v>
      </c>
      <c r="D90" s="74" t="s">
        <v>1082</v>
      </c>
      <c r="E90" s="74" t="s">
        <v>1082</v>
      </c>
      <c r="F90" s="181">
        <f>Table1[[#This Row],[Date]]-DAY(Table1[[#This Row],[Date]])+1</f>
        <v>45748</v>
      </c>
      <c r="G90">
        <f>DAY(EOMONTH(Table1[[#This Row],[Month Year]],0))</f>
        <v>30</v>
      </c>
      <c r="H90" s="104">
        <v>45751</v>
      </c>
      <c r="I90" s="76">
        <f>IFERROR(VLOOKUP(Table1[[#This Row],[Date]],Table3[[Date]:[Sunset Time (POA&lt;20 W/m2)]],3,0),"")</f>
        <v>0.25624999999999998</v>
      </c>
      <c r="J90" s="76">
        <f>IFERROR(VLOOKUP(Table1[[#This Row],[Date]],Table3[[Date]:[Sunset Time (POA&lt;20 W/m2)]],4,0),"")</f>
        <v>0.77083333333333337</v>
      </c>
      <c r="K90" s="77">
        <f>IFERROR((Table1[[#This Row],[Sunset Time (POA&lt;20 W/m2)]]-Table1[[#This Row],[Sunrise Time (POA&gt;20 W/m2)]])*24,"")</f>
        <v>12.350000000000001</v>
      </c>
      <c r="L90" s="108" t="s">
        <v>180</v>
      </c>
      <c r="M90" s="61">
        <f>VLOOKUP(Table1[[#This Row],[Affceted Equipment]],'Basic Data'!$A$2:$C$818,2,0)</f>
        <v>2694.6</v>
      </c>
      <c r="N90" s="93">
        <f>IFERROR(VLOOKUP(Table1[[#This Row],[Affceted Equipment]],'Basic Data'!$A$2:$C$818,3,0),"")</f>
        <v>0.33594733758057077</v>
      </c>
      <c r="O90" s="118" t="s">
        <v>323</v>
      </c>
      <c r="P90" s="94" t="s">
        <v>1089</v>
      </c>
      <c r="Q90" s="94"/>
      <c r="R90" s="94" t="s">
        <v>1089</v>
      </c>
      <c r="S90" s="92">
        <v>0.57291666666666663</v>
      </c>
      <c r="T90" s="119"/>
      <c r="U90" s="119"/>
      <c r="V90" s="92">
        <v>0.57708333333333328</v>
      </c>
      <c r="W90" s="89">
        <f>IF(Table1[[#This Row],[Acknowledgemnet Time ]]="NA","",(Table1[[#This Row],[Acknowledgemnet Time ]]-Table1[[#This Row],[Fault Time]])*24)</f>
        <v>-13.75</v>
      </c>
      <c r="X90" s="89">
        <f>IF(Table1[[#This Row],[Work Start time on Fault]]="NA","",(Table1[[#This Row],[Work Start time on Fault]]-Table1[[#This Row],[Fault Time]])*24)</f>
        <v>-13.75</v>
      </c>
      <c r="Y90" s="52">
        <f>(Table1[[#This Row],[Work Completiuon time on fualt]]-Table1[[#This Row],[Fault Time]])*24</f>
        <v>9.9999999999999645E-2</v>
      </c>
      <c r="Z90" s="52">
        <f>IFERROR((Table1[[#This Row],[Work Completiuon time on fualt]]-Table1[[#This Row],[Fault Time]])*24,"")</f>
        <v>9.9999999999999645E-2</v>
      </c>
      <c r="AA90" s="2" t="s">
        <v>1086</v>
      </c>
      <c r="AB90" s="2" t="s">
        <v>1081</v>
      </c>
      <c r="AC90" s="90">
        <f>IFERROR(Table1[[#This Row],[Breakdown Time]]*Table1[[#This Row],[Plant Equivalent Weightage]],"")</f>
        <v>3.3594733758056959E-2</v>
      </c>
      <c r="AD90" s="2">
        <v>0.12</v>
      </c>
      <c r="AE90" s="89">
        <f>_xlfn.XLOOKUP($F90,'Modelling New'!$D:$D,'Modelling New'!$O:$O)*Table1[[#This Row],[Lost PoA(Wh/m2)]]*Table1[[#This Row],[DC Capacity Affceted (kW)]]</f>
        <v>218.3514381633338</v>
      </c>
      <c r="AF90" s="2"/>
      <c r="AG90" s="2"/>
    </row>
    <row r="91" spans="1:33" x14ac:dyDescent="0.3">
      <c r="A91" s="67">
        <f t="shared" si="1"/>
        <v>88</v>
      </c>
      <c r="B91" s="75">
        <f>YEAR(Table1[[#This Row],[Date]])+IF(MONTH(Table1[[#This Row],[Date]])&gt;=4,1,0)</f>
        <v>2026</v>
      </c>
      <c r="C91" s="74">
        <f>YEAR(Table1[[#This Row],[Date]])</f>
        <v>2025</v>
      </c>
      <c r="D91" s="74" t="s">
        <v>1082</v>
      </c>
      <c r="E91" s="74" t="s">
        <v>1082</v>
      </c>
      <c r="F91" s="181">
        <f>Table1[[#This Row],[Date]]-DAY(Table1[[#This Row],[Date]])+1</f>
        <v>45748</v>
      </c>
      <c r="G91">
        <f>DAY(EOMONTH(Table1[[#This Row],[Month Year]],0))</f>
        <v>30</v>
      </c>
      <c r="H91" s="104">
        <v>45751</v>
      </c>
      <c r="I91" s="76">
        <f>IFERROR(VLOOKUP(Table1[[#This Row],[Date]],Table3[[Date]:[Sunset Time (POA&lt;20 W/m2)]],3,0),"")</f>
        <v>0.25624999999999998</v>
      </c>
      <c r="J91" s="76">
        <f>IFERROR(VLOOKUP(Table1[[#This Row],[Date]],Table3[[Date]:[Sunset Time (POA&lt;20 W/m2)]],4,0),"")</f>
        <v>0.77083333333333337</v>
      </c>
      <c r="K91" s="77">
        <f>IFERROR((Table1[[#This Row],[Sunset Time (POA&lt;20 W/m2)]]-Table1[[#This Row],[Sunrise Time (POA&gt;20 W/m2)]])*24,"")</f>
        <v>12.350000000000001</v>
      </c>
      <c r="L91" s="108" t="s">
        <v>231</v>
      </c>
      <c r="M91" s="61">
        <f>VLOOKUP(Table1[[#This Row],[Affceted Equipment]],'Basic Data'!$A$2:$C$818,2,0)</f>
        <v>669.6</v>
      </c>
      <c r="N91" s="93">
        <f>IFERROR(VLOOKUP(Table1[[#This Row],[Affceted Equipment]],'Basic Data'!$A$2:$C$818,3,0),"")</f>
        <v>8.348190352703562E-2</v>
      </c>
      <c r="O91" s="118" t="s">
        <v>323</v>
      </c>
      <c r="P91" s="94" t="s">
        <v>1088</v>
      </c>
      <c r="Q91" s="94"/>
      <c r="R91" s="94" t="s">
        <v>1088</v>
      </c>
      <c r="S91" s="92">
        <v>0.57708333333333328</v>
      </c>
      <c r="T91" s="119"/>
      <c r="U91" s="119"/>
      <c r="V91" s="92">
        <v>0.60277777777777775</v>
      </c>
      <c r="W91" s="89">
        <f>IF(Table1[[#This Row],[Acknowledgemnet Time ]]="NA","",(Table1[[#This Row],[Acknowledgemnet Time ]]-Table1[[#This Row],[Fault Time]])*24)</f>
        <v>-13.849999999999998</v>
      </c>
      <c r="X91" s="89">
        <f>IF(Table1[[#This Row],[Work Start time on Fault]]="NA","",(Table1[[#This Row],[Work Start time on Fault]]-Table1[[#This Row],[Fault Time]])*24)</f>
        <v>-13.849999999999998</v>
      </c>
      <c r="Y91" s="52">
        <f>(Table1[[#This Row],[Work Completiuon time on fualt]]-Table1[[#This Row],[Fault Time]])*24</f>
        <v>0.61666666666666714</v>
      </c>
      <c r="Z91" s="52">
        <f>IFERROR((Table1[[#This Row],[Work Completiuon time on fualt]]-Table1[[#This Row],[Fault Time]])*24,"")</f>
        <v>0.61666666666666714</v>
      </c>
      <c r="AA91" s="2" t="s">
        <v>1084</v>
      </c>
      <c r="AB91" s="2" t="s">
        <v>1080</v>
      </c>
      <c r="AC91" s="90">
        <f>IFERROR(Table1[[#This Row],[Breakdown Time]]*Table1[[#This Row],[Plant Equivalent Weightage]],"")</f>
        <v>5.1480507175005338E-2</v>
      </c>
      <c r="AD91" s="2">
        <v>0.53</v>
      </c>
      <c r="AE91" s="89">
        <f>_xlfn.XLOOKUP($F91,'Modelling New'!$D:$D,'Modelling New'!$O:$O)*Table1[[#This Row],[Lost PoA(Wh/m2)]]*Table1[[#This Row],[DC Capacity Affceted (kW)]]</f>
        <v>239.64690240638441</v>
      </c>
      <c r="AF91" s="2"/>
      <c r="AG91" s="2"/>
    </row>
    <row r="92" spans="1:33" x14ac:dyDescent="0.3">
      <c r="A92" s="67">
        <f t="shared" si="1"/>
        <v>89</v>
      </c>
      <c r="B92" s="75">
        <f>YEAR(Table1[[#This Row],[Date]])+IF(MONTH(Table1[[#This Row],[Date]])&gt;=4,1,0)</f>
        <v>2026</v>
      </c>
      <c r="C92" s="74">
        <f>YEAR(Table1[[#This Row],[Date]])</f>
        <v>2025</v>
      </c>
      <c r="D92" s="74" t="s">
        <v>1082</v>
      </c>
      <c r="E92" s="74" t="s">
        <v>1082</v>
      </c>
      <c r="F92" s="181">
        <f>Table1[[#This Row],[Date]]-DAY(Table1[[#This Row],[Date]])+1</f>
        <v>45748</v>
      </c>
      <c r="G92">
        <f>DAY(EOMONTH(Table1[[#This Row],[Month Year]],0))</f>
        <v>30</v>
      </c>
      <c r="H92" s="104">
        <v>45751</v>
      </c>
      <c r="I92" s="76">
        <f>IFERROR(VLOOKUP(Table1[[#This Row],[Date]],Table3[[Date]:[Sunset Time (POA&lt;20 W/m2)]],3,0),"")</f>
        <v>0.25624999999999998</v>
      </c>
      <c r="J92" s="76">
        <f>IFERROR(VLOOKUP(Table1[[#This Row],[Date]],Table3[[Date]:[Sunset Time (POA&lt;20 W/m2)]],4,0),"")</f>
        <v>0.77083333333333337</v>
      </c>
      <c r="K92" s="77">
        <f>IFERROR((Table1[[#This Row],[Sunset Time (POA&lt;20 W/m2)]]-Table1[[#This Row],[Sunrise Time (POA&gt;20 W/m2)]])*24,"")</f>
        <v>12.350000000000001</v>
      </c>
      <c r="L92" s="108" t="s">
        <v>232</v>
      </c>
      <c r="M92" s="91">
        <f>VLOOKUP(Table1[[#This Row],[Affceted Equipment]],'Basic Data'!$A$2:$C$818,2,0)</f>
        <v>669.6</v>
      </c>
      <c r="N92" s="93">
        <f>IFERROR(VLOOKUP(Table1[[#This Row],[Affceted Equipment]],'Basic Data'!$A$2:$C$818,3,0),"")</f>
        <v>8.348190352703562E-2</v>
      </c>
      <c r="O92" s="118" t="s">
        <v>323</v>
      </c>
      <c r="P92" s="94" t="s">
        <v>1090</v>
      </c>
      <c r="Q92" s="94"/>
      <c r="R92" s="94" t="s">
        <v>1090</v>
      </c>
      <c r="S92" s="92">
        <v>0.57708333333333328</v>
      </c>
      <c r="T92" s="119"/>
      <c r="U92" s="119"/>
      <c r="V92" s="92">
        <v>0.60277777777777775</v>
      </c>
      <c r="W92" s="89">
        <f>IF(Table1[[#This Row],[Acknowledgemnet Time ]]="NA","",(Table1[[#This Row],[Acknowledgemnet Time ]]-Table1[[#This Row],[Fault Time]])*24)</f>
        <v>-13.849999999999998</v>
      </c>
      <c r="X92" s="89">
        <f>IF(Table1[[#This Row],[Work Start time on Fault]]="NA","",(Table1[[#This Row],[Work Start time on Fault]]-Table1[[#This Row],[Fault Time]])*24)</f>
        <v>-13.849999999999998</v>
      </c>
      <c r="Y92" s="52">
        <f>(Table1[[#This Row],[Work Completiuon time on fualt]]-Table1[[#This Row],[Fault Time]])*24</f>
        <v>0.61666666666666714</v>
      </c>
      <c r="Z92" s="52">
        <f>IFERROR((Table1[[#This Row],[Work Completiuon time on fualt]]-Table1[[#This Row],[Fault Time]])*24,"")</f>
        <v>0.61666666666666714</v>
      </c>
      <c r="AA92" s="2" t="s">
        <v>1084</v>
      </c>
      <c r="AB92" s="2" t="s">
        <v>1080</v>
      </c>
      <c r="AC92" s="90">
        <f>IFERROR(Table1[[#This Row],[Breakdown Time]]*Table1[[#This Row],[Plant Equivalent Weightage]],"")</f>
        <v>5.1480507175005338E-2</v>
      </c>
      <c r="AD92" s="2">
        <v>0.53</v>
      </c>
      <c r="AE92" s="89">
        <f>_xlfn.XLOOKUP($F92,'Modelling New'!$D:$D,'Modelling New'!$O:$O)*Table1[[#This Row],[Lost PoA(Wh/m2)]]*Table1[[#This Row],[DC Capacity Affceted (kW)]]</f>
        <v>239.64690240638441</v>
      </c>
      <c r="AF92" s="2"/>
      <c r="AG92" s="2"/>
    </row>
    <row r="93" spans="1:33" x14ac:dyDescent="0.3">
      <c r="A93" s="67">
        <f t="shared" si="1"/>
        <v>90</v>
      </c>
      <c r="B93" s="75">
        <f>YEAR(Table1[[#This Row],[Date]])+IF(MONTH(Table1[[#This Row],[Date]])&gt;=4,1,0)</f>
        <v>2026</v>
      </c>
      <c r="C93" s="74">
        <f>YEAR(Table1[[#This Row],[Date]])</f>
        <v>2025</v>
      </c>
      <c r="D93" s="74" t="s">
        <v>1082</v>
      </c>
      <c r="E93" s="74" t="s">
        <v>1082</v>
      </c>
      <c r="F93" s="181">
        <f>Table1[[#This Row],[Date]]-DAY(Table1[[#This Row],[Date]])+1</f>
        <v>45748</v>
      </c>
      <c r="G93">
        <f>DAY(EOMONTH(Table1[[#This Row],[Month Year]],0))</f>
        <v>30</v>
      </c>
      <c r="H93" s="104">
        <v>45751</v>
      </c>
      <c r="I93" s="76">
        <f>IFERROR(VLOOKUP(Table1[[#This Row],[Date]],Table3[[Date]:[Sunset Time (POA&lt;20 W/m2)]],3,0),"")</f>
        <v>0.25624999999999998</v>
      </c>
      <c r="J93" s="76">
        <f>IFERROR(VLOOKUP(Table1[[#This Row],[Date]],Table3[[Date]:[Sunset Time (POA&lt;20 W/m2)]],4,0),"")</f>
        <v>0.77083333333333337</v>
      </c>
      <c r="K93" s="77">
        <f>IFERROR((Table1[[#This Row],[Sunset Time (POA&lt;20 W/m2)]]-Table1[[#This Row],[Sunrise Time (POA&gt;20 W/m2)]])*24,"")</f>
        <v>12.350000000000001</v>
      </c>
      <c r="L93" s="108" t="s">
        <v>180</v>
      </c>
      <c r="M93" s="61">
        <f>VLOOKUP(Table1[[#This Row],[Affceted Equipment]],'Basic Data'!$A$2:$C$818,2,0)</f>
        <v>2694.6</v>
      </c>
      <c r="N93" s="93">
        <f>IFERROR(VLOOKUP(Table1[[#This Row],[Affceted Equipment]],'Basic Data'!$A$2:$C$818,3,0),"")</f>
        <v>0.33594733758057077</v>
      </c>
      <c r="O93" s="118" t="s">
        <v>323</v>
      </c>
      <c r="P93" s="94" t="s">
        <v>1089</v>
      </c>
      <c r="Q93" s="94"/>
      <c r="R93" s="94" t="s">
        <v>1089</v>
      </c>
      <c r="S93" s="92">
        <v>0.60277777777777775</v>
      </c>
      <c r="T93" s="119"/>
      <c r="U93" s="119"/>
      <c r="V93" s="92">
        <v>0.60624999999999996</v>
      </c>
      <c r="W93" s="89">
        <f>IF(Table1[[#This Row],[Acknowledgemnet Time ]]="NA","",(Table1[[#This Row],[Acknowledgemnet Time ]]-Table1[[#This Row],[Fault Time]])*24)</f>
        <v>-14.466666666666665</v>
      </c>
      <c r="X93" s="89">
        <f>IF(Table1[[#This Row],[Work Start time on Fault]]="NA","",(Table1[[#This Row],[Work Start time on Fault]]-Table1[[#This Row],[Fault Time]])*24)</f>
        <v>-14.466666666666665</v>
      </c>
      <c r="Y93" s="52">
        <f>(Table1[[#This Row],[Work Completiuon time on fualt]]-Table1[[#This Row],[Fault Time]])*24</f>
        <v>8.3333333333333037E-2</v>
      </c>
      <c r="Z93" s="52">
        <f>IFERROR((Table1[[#This Row],[Work Completiuon time on fualt]]-Table1[[#This Row],[Fault Time]])*24,"")</f>
        <v>8.3333333333333037E-2</v>
      </c>
      <c r="AA93" s="2" t="s">
        <v>1086</v>
      </c>
      <c r="AB93" s="2" t="s">
        <v>1081</v>
      </c>
      <c r="AC93" s="90">
        <f>IFERROR(Table1[[#This Row],[Breakdown Time]]*Table1[[#This Row],[Plant Equivalent Weightage]],"")</f>
        <v>2.7995611465047466E-2</v>
      </c>
      <c r="AD93" s="2">
        <v>0.09</v>
      </c>
      <c r="AE93" s="89">
        <f>_xlfn.XLOOKUP($F93,'Modelling New'!$D:$D,'Modelling New'!$O:$O)*Table1[[#This Row],[Lost PoA(Wh/m2)]]*Table1[[#This Row],[DC Capacity Affceted (kW)]]</f>
        <v>163.76357862250035</v>
      </c>
      <c r="AF93" s="2"/>
      <c r="AG93" s="2"/>
    </row>
    <row r="94" spans="1:33" x14ac:dyDescent="0.3">
      <c r="A94" s="67">
        <f t="shared" si="1"/>
        <v>91</v>
      </c>
      <c r="B94" s="75">
        <f>YEAR(Table1[[#This Row],[Date]])+IF(MONTH(Table1[[#This Row],[Date]])&gt;=4,1,0)</f>
        <v>2026</v>
      </c>
      <c r="C94" s="74">
        <f>YEAR(Table1[[#This Row],[Date]])</f>
        <v>2025</v>
      </c>
      <c r="D94" s="74" t="s">
        <v>1082</v>
      </c>
      <c r="E94" s="74" t="s">
        <v>1082</v>
      </c>
      <c r="F94" s="181">
        <f>Table1[[#This Row],[Date]]-DAY(Table1[[#This Row],[Date]])+1</f>
        <v>45748</v>
      </c>
      <c r="G94">
        <f>DAY(EOMONTH(Table1[[#This Row],[Month Year]],0))</f>
        <v>30</v>
      </c>
      <c r="H94" s="104">
        <v>45751</v>
      </c>
      <c r="I94" s="76">
        <f>IFERROR(VLOOKUP(Table1[[#This Row],[Date]],Table3[[Date]:[Sunset Time (POA&lt;20 W/m2)]],3,0),"")</f>
        <v>0.25624999999999998</v>
      </c>
      <c r="J94" s="76">
        <f>IFERROR(VLOOKUP(Table1[[#This Row],[Date]],Table3[[Date]:[Sunset Time (POA&lt;20 W/m2)]],4,0),"")</f>
        <v>0.77083333333333337</v>
      </c>
      <c r="K94" s="77">
        <f>IFERROR((Table1[[#This Row],[Sunset Time (POA&lt;20 W/m2)]]-Table1[[#This Row],[Sunrise Time (POA&gt;20 W/m2)]])*24,"")</f>
        <v>12.350000000000001</v>
      </c>
      <c r="L94" s="108" t="s">
        <v>231</v>
      </c>
      <c r="M94" s="61">
        <f>VLOOKUP(Table1[[#This Row],[Affceted Equipment]],'Basic Data'!$A$2:$C$818,2,0)</f>
        <v>669.6</v>
      </c>
      <c r="N94" s="93">
        <f>IFERROR(VLOOKUP(Table1[[#This Row],[Affceted Equipment]],'Basic Data'!$A$2:$C$818,3,0),"")</f>
        <v>8.348190352703562E-2</v>
      </c>
      <c r="O94" s="118" t="s">
        <v>323</v>
      </c>
      <c r="P94" s="94" t="s">
        <v>1088</v>
      </c>
      <c r="Q94" s="94"/>
      <c r="R94" s="94" t="s">
        <v>1088</v>
      </c>
      <c r="S94" s="92">
        <v>0.60624999999999996</v>
      </c>
      <c r="T94" s="119"/>
      <c r="U94" s="119"/>
      <c r="V94" s="92">
        <v>0.68125000000000002</v>
      </c>
      <c r="W94" s="89">
        <f>IF(Table1[[#This Row],[Acknowledgemnet Time ]]="NA","",(Table1[[#This Row],[Acknowledgemnet Time ]]-Table1[[#This Row],[Fault Time]])*24)</f>
        <v>-14.549999999999999</v>
      </c>
      <c r="X94" s="89">
        <f>IF(Table1[[#This Row],[Work Start time on Fault]]="NA","",(Table1[[#This Row],[Work Start time on Fault]]-Table1[[#This Row],[Fault Time]])*24)</f>
        <v>-14.549999999999999</v>
      </c>
      <c r="Y94" s="52">
        <f>(Table1[[#This Row],[Work Completiuon time on fualt]]-Table1[[#This Row],[Fault Time]])*24</f>
        <v>1.8000000000000016</v>
      </c>
      <c r="Z94" s="52">
        <f>IFERROR((Table1[[#This Row],[Work Completiuon time on fualt]]-Table1[[#This Row],[Fault Time]])*24,"")</f>
        <v>1.8000000000000016</v>
      </c>
      <c r="AA94" s="2" t="s">
        <v>1084</v>
      </c>
      <c r="AB94" s="2" t="s">
        <v>1080</v>
      </c>
      <c r="AC94" s="90">
        <f>IFERROR(Table1[[#This Row],[Breakdown Time]]*Table1[[#This Row],[Plant Equivalent Weightage]],"")</f>
        <v>0.15026742634866425</v>
      </c>
      <c r="AD94" s="2">
        <v>1.02</v>
      </c>
      <c r="AE94" s="89">
        <f>_xlfn.XLOOKUP($F94,'Modelling New'!$D:$D,'Modelling New'!$O:$O)*Table1[[#This Row],[Lost PoA(Wh/m2)]]*Table1[[#This Row],[DC Capacity Affceted (kW)]]</f>
        <v>461.20724614058889</v>
      </c>
      <c r="AF94" s="2"/>
      <c r="AG94" s="2"/>
    </row>
    <row r="95" spans="1:33" x14ac:dyDescent="0.3">
      <c r="A95" s="67">
        <f t="shared" si="1"/>
        <v>92</v>
      </c>
      <c r="B95" s="75">
        <f>YEAR(Table1[[#This Row],[Date]])+IF(MONTH(Table1[[#This Row],[Date]])&gt;=4,1,0)</f>
        <v>2026</v>
      </c>
      <c r="C95" s="74">
        <f>YEAR(Table1[[#This Row],[Date]])</f>
        <v>2025</v>
      </c>
      <c r="D95" s="74" t="s">
        <v>1082</v>
      </c>
      <c r="E95" s="74" t="s">
        <v>1082</v>
      </c>
      <c r="F95" s="181">
        <f>Table1[[#This Row],[Date]]-DAY(Table1[[#This Row],[Date]])+1</f>
        <v>45748</v>
      </c>
      <c r="G95">
        <f>DAY(EOMONTH(Table1[[#This Row],[Month Year]],0))</f>
        <v>30</v>
      </c>
      <c r="H95" s="104">
        <v>45751</v>
      </c>
      <c r="I95" s="76">
        <f>IFERROR(VLOOKUP(Table1[[#This Row],[Date]],Table3[[Date]:[Sunset Time (POA&lt;20 W/m2)]],3,0),"")</f>
        <v>0.25624999999999998</v>
      </c>
      <c r="J95" s="76">
        <f>IFERROR(VLOOKUP(Table1[[#This Row],[Date]],Table3[[Date]:[Sunset Time (POA&lt;20 W/m2)]],4,0),"")</f>
        <v>0.77083333333333337</v>
      </c>
      <c r="K95" s="77">
        <f>IFERROR((Table1[[#This Row],[Sunset Time (POA&lt;20 W/m2)]]-Table1[[#This Row],[Sunrise Time (POA&gt;20 W/m2)]])*24,"")</f>
        <v>12.350000000000001</v>
      </c>
      <c r="L95" s="108" t="s">
        <v>232</v>
      </c>
      <c r="M95" s="91">
        <f>VLOOKUP(Table1[[#This Row],[Affceted Equipment]],'Basic Data'!$A$2:$C$818,2,0)</f>
        <v>669.6</v>
      </c>
      <c r="N95" s="93">
        <f>IFERROR(VLOOKUP(Table1[[#This Row],[Affceted Equipment]],'Basic Data'!$A$2:$C$818,3,0),"")</f>
        <v>8.348190352703562E-2</v>
      </c>
      <c r="O95" s="118" t="s">
        <v>323</v>
      </c>
      <c r="P95" s="94" t="s">
        <v>1090</v>
      </c>
      <c r="Q95" s="94"/>
      <c r="R95" s="94" t="s">
        <v>1090</v>
      </c>
      <c r="S95" s="92">
        <v>0.60624999999999996</v>
      </c>
      <c r="T95" s="119"/>
      <c r="U95" s="119"/>
      <c r="V95" s="92">
        <v>0.68125000000000002</v>
      </c>
      <c r="W95" s="89">
        <f>IF(Table1[[#This Row],[Acknowledgemnet Time ]]="NA","",(Table1[[#This Row],[Acknowledgemnet Time ]]-Table1[[#This Row],[Fault Time]])*24)</f>
        <v>-14.549999999999999</v>
      </c>
      <c r="X95" s="89">
        <f>IF(Table1[[#This Row],[Work Start time on Fault]]="NA","",(Table1[[#This Row],[Work Start time on Fault]]-Table1[[#This Row],[Fault Time]])*24)</f>
        <v>-14.549999999999999</v>
      </c>
      <c r="Y95" s="52">
        <f>(Table1[[#This Row],[Work Completiuon time on fualt]]-Table1[[#This Row],[Fault Time]])*24</f>
        <v>1.8000000000000016</v>
      </c>
      <c r="Z95" s="52">
        <f>IFERROR((Table1[[#This Row],[Work Completiuon time on fualt]]-Table1[[#This Row],[Fault Time]])*24,"")</f>
        <v>1.8000000000000016</v>
      </c>
      <c r="AA95" s="2" t="s">
        <v>1084</v>
      </c>
      <c r="AB95" s="2" t="s">
        <v>1080</v>
      </c>
      <c r="AC95" s="90">
        <f>IFERROR(Table1[[#This Row],[Breakdown Time]]*Table1[[#This Row],[Plant Equivalent Weightage]],"")</f>
        <v>0.15026742634866425</v>
      </c>
      <c r="AD95" s="2">
        <v>1.02</v>
      </c>
      <c r="AE95" s="89">
        <f>_xlfn.XLOOKUP($F95,'Modelling New'!$D:$D,'Modelling New'!$O:$O)*Table1[[#This Row],[Lost PoA(Wh/m2)]]*Table1[[#This Row],[DC Capacity Affceted (kW)]]</f>
        <v>461.20724614058889</v>
      </c>
      <c r="AF95" s="2"/>
      <c r="AG95" s="2"/>
    </row>
    <row r="96" spans="1:33" x14ac:dyDescent="0.3">
      <c r="A96" s="67">
        <f t="shared" si="1"/>
        <v>93</v>
      </c>
      <c r="B96" s="75">
        <f>YEAR(Table1[[#This Row],[Date]])+IF(MONTH(Table1[[#This Row],[Date]])&gt;=4,1,0)</f>
        <v>2026</v>
      </c>
      <c r="C96" s="74">
        <f>YEAR(Table1[[#This Row],[Date]])</f>
        <v>2025</v>
      </c>
      <c r="D96" s="74" t="s">
        <v>1082</v>
      </c>
      <c r="E96" s="74" t="s">
        <v>1082</v>
      </c>
      <c r="F96" s="181">
        <f>Table1[[#This Row],[Date]]-DAY(Table1[[#This Row],[Date]])+1</f>
        <v>45748</v>
      </c>
      <c r="G96">
        <f>DAY(EOMONTH(Table1[[#This Row],[Month Year]],0))</f>
        <v>30</v>
      </c>
      <c r="H96" s="104">
        <v>45751</v>
      </c>
      <c r="I96" s="76">
        <f>IFERROR(VLOOKUP(Table1[[#This Row],[Date]],Table3[[Date]:[Sunset Time (POA&lt;20 W/m2)]],3,0),"")</f>
        <v>0.25624999999999998</v>
      </c>
      <c r="J96" s="76">
        <f>IFERROR(VLOOKUP(Table1[[#This Row],[Date]],Table3[[Date]:[Sunset Time (POA&lt;20 W/m2)]],4,0),"")</f>
        <v>0.77083333333333337</v>
      </c>
      <c r="K96" s="77">
        <f>IFERROR((Table1[[#This Row],[Sunset Time (POA&lt;20 W/m2)]]-Table1[[#This Row],[Sunrise Time (POA&gt;20 W/m2)]])*24,"")</f>
        <v>12.350000000000001</v>
      </c>
      <c r="L96" s="108" t="s">
        <v>180</v>
      </c>
      <c r="M96" s="91">
        <f>VLOOKUP(Table1[[#This Row],[Affceted Equipment]],'Basic Data'!$A$2:$C$818,2,0)</f>
        <v>2694.6</v>
      </c>
      <c r="N96" s="93">
        <f>IFERROR(VLOOKUP(Table1[[#This Row],[Affceted Equipment]],'Basic Data'!$A$2:$C$818,3,0),"")</f>
        <v>0.33594733758057077</v>
      </c>
      <c r="O96" s="118" t="s">
        <v>323</v>
      </c>
      <c r="P96" s="94" t="s">
        <v>1091</v>
      </c>
      <c r="Q96" s="94"/>
      <c r="R96" s="94" t="s">
        <v>1091</v>
      </c>
      <c r="S96" s="92">
        <v>0.68125000000000002</v>
      </c>
      <c r="T96" s="119"/>
      <c r="U96" s="119"/>
      <c r="V96" s="92">
        <v>0.68263888888888891</v>
      </c>
      <c r="W96" s="89">
        <f>IF(Table1[[#This Row],[Acknowledgemnet Time ]]="NA","",(Table1[[#This Row],[Acknowledgemnet Time ]]-Table1[[#This Row],[Fault Time]])*24)</f>
        <v>-16.350000000000001</v>
      </c>
      <c r="X96" s="89">
        <f>IF(Table1[[#This Row],[Work Start time on Fault]]="NA","",(Table1[[#This Row],[Work Start time on Fault]]-Table1[[#This Row],[Fault Time]])*24)</f>
        <v>-16.350000000000001</v>
      </c>
      <c r="Y96" s="52">
        <f>(Table1[[#This Row],[Work Completiuon time on fualt]]-Table1[[#This Row],[Fault Time]])*24</f>
        <v>3.3333333333333215E-2</v>
      </c>
      <c r="Z96" s="52">
        <f>IFERROR((Table1[[#This Row],[Work Completiuon time on fualt]]-Table1[[#This Row],[Fault Time]])*24,"")</f>
        <v>3.3333333333333215E-2</v>
      </c>
      <c r="AA96" s="2" t="s">
        <v>1086</v>
      </c>
      <c r="AB96" s="2" t="s">
        <v>1081</v>
      </c>
      <c r="AC96" s="90">
        <f>IFERROR(Table1[[#This Row],[Breakdown Time]]*Table1[[#This Row],[Plant Equivalent Weightage]],"")</f>
        <v>1.1198244586018986E-2</v>
      </c>
      <c r="AD96" s="2">
        <v>0.02</v>
      </c>
      <c r="AE96" s="89">
        <f>_xlfn.XLOOKUP($F96,'Modelling New'!$D:$D,'Modelling New'!$O:$O)*Table1[[#This Row],[Lost PoA(Wh/m2)]]*Table1[[#This Row],[DC Capacity Affceted (kW)]]</f>
        <v>36.39190636055563</v>
      </c>
      <c r="AF96" s="2"/>
      <c r="AG96" s="2"/>
    </row>
    <row r="97" spans="1:33" x14ac:dyDescent="0.3">
      <c r="A97" s="67">
        <f t="shared" si="1"/>
        <v>94</v>
      </c>
      <c r="B97" s="75">
        <f>YEAR(Table1[[#This Row],[Date]])+IF(MONTH(Table1[[#This Row],[Date]])&gt;=4,1,0)</f>
        <v>2026</v>
      </c>
      <c r="C97" s="74">
        <f>YEAR(Table1[[#This Row],[Date]])</f>
        <v>2025</v>
      </c>
      <c r="D97" s="74" t="s">
        <v>1082</v>
      </c>
      <c r="E97" s="74" t="s">
        <v>1082</v>
      </c>
      <c r="F97" s="181">
        <f>Table1[[#This Row],[Date]]-DAY(Table1[[#This Row],[Date]])+1</f>
        <v>45748</v>
      </c>
      <c r="G97">
        <f>DAY(EOMONTH(Table1[[#This Row],[Month Year]],0))</f>
        <v>30</v>
      </c>
      <c r="H97" s="104">
        <v>45751</v>
      </c>
      <c r="I97" s="76">
        <f>IFERROR(VLOOKUP(Table1[[#This Row],[Date]],Table3[[Date]:[Sunset Time (POA&lt;20 W/m2)]],3,0),"")</f>
        <v>0.25624999999999998</v>
      </c>
      <c r="J97" s="76">
        <f>IFERROR(VLOOKUP(Table1[[#This Row],[Date]],Table3[[Date]:[Sunset Time (POA&lt;20 W/m2)]],4,0),"")</f>
        <v>0.77083333333333337</v>
      </c>
      <c r="K97" s="77">
        <f>IFERROR((Table1[[#This Row],[Sunset Time (POA&lt;20 W/m2)]]-Table1[[#This Row],[Sunrise Time (POA&gt;20 W/m2)]])*24,"")</f>
        <v>12.350000000000001</v>
      </c>
      <c r="L97" s="108" t="s">
        <v>231</v>
      </c>
      <c r="M97" s="91">
        <f>VLOOKUP(Table1[[#This Row],[Affceted Equipment]],'Basic Data'!$A$2:$C$818,2,0)</f>
        <v>669.6</v>
      </c>
      <c r="N97" s="93">
        <f>IFERROR(VLOOKUP(Table1[[#This Row],[Affceted Equipment]],'Basic Data'!$A$2:$C$818,3,0),"")</f>
        <v>8.348190352703562E-2</v>
      </c>
      <c r="O97" s="118" t="s">
        <v>323</v>
      </c>
      <c r="P97" s="94" t="s">
        <v>1088</v>
      </c>
      <c r="Q97" s="94"/>
      <c r="R97" s="94" t="s">
        <v>1088</v>
      </c>
      <c r="S97" s="92">
        <v>0.68263888888888891</v>
      </c>
      <c r="T97" s="119"/>
      <c r="U97" s="119"/>
      <c r="V97" s="92">
        <v>0.77083333333333337</v>
      </c>
      <c r="W97" s="89">
        <f>IF(Table1[[#This Row],[Acknowledgemnet Time ]]="NA","",(Table1[[#This Row],[Acknowledgemnet Time ]]-Table1[[#This Row],[Fault Time]])*24)</f>
        <v>-16.383333333333333</v>
      </c>
      <c r="X97" s="89">
        <f>IF(Table1[[#This Row],[Work Start time on Fault]]="NA","",(Table1[[#This Row],[Work Start time on Fault]]-Table1[[#This Row],[Fault Time]])*24)</f>
        <v>-16.383333333333333</v>
      </c>
      <c r="Y97" s="52">
        <f>(Table1[[#This Row],[Work Completiuon time on fualt]]-Table1[[#This Row],[Fault Time]])*24</f>
        <v>2.1166666666666671</v>
      </c>
      <c r="Z97" s="52">
        <f>IFERROR((Table1[[#This Row],[Work Completiuon time on fualt]]-Table1[[#This Row],[Fault Time]])*24,"")</f>
        <v>2.1166666666666671</v>
      </c>
      <c r="AA97" s="2" t="s">
        <v>1084</v>
      </c>
      <c r="AB97" s="2" t="s">
        <v>1080</v>
      </c>
      <c r="AC97" s="90">
        <f>IFERROR(Table1[[#This Row],[Breakdown Time]]*Table1[[#This Row],[Plant Equivalent Weightage]],"")</f>
        <v>0.17670336246555876</v>
      </c>
      <c r="AD97" s="2">
        <v>0.45</v>
      </c>
      <c r="AE97" s="89">
        <f>_xlfn.XLOOKUP($F97,'Modelling New'!$D:$D,'Modelling New'!$O:$O)*Table1[[#This Row],[Lost PoA(Wh/m2)]]*Table1[[#This Row],[DC Capacity Affceted (kW)]]</f>
        <v>203.47378506202449</v>
      </c>
      <c r="AF97" s="2"/>
      <c r="AG97" s="2"/>
    </row>
    <row r="98" spans="1:33" x14ac:dyDescent="0.3">
      <c r="A98" s="67">
        <f t="shared" si="1"/>
        <v>95</v>
      </c>
      <c r="B98" s="75">
        <f>YEAR(Table1[[#This Row],[Date]])+IF(MONTH(Table1[[#This Row],[Date]])&gt;=4,1,0)</f>
        <v>2026</v>
      </c>
      <c r="C98" s="74">
        <f>YEAR(Table1[[#This Row],[Date]])</f>
        <v>2025</v>
      </c>
      <c r="D98" s="74" t="s">
        <v>1082</v>
      </c>
      <c r="E98" s="74" t="s">
        <v>1082</v>
      </c>
      <c r="F98" s="181">
        <f>Table1[[#This Row],[Date]]-DAY(Table1[[#This Row],[Date]])+1</f>
        <v>45748</v>
      </c>
      <c r="G98">
        <f>DAY(EOMONTH(Table1[[#This Row],[Month Year]],0))</f>
        <v>30</v>
      </c>
      <c r="H98" s="104">
        <v>45752</v>
      </c>
      <c r="I98" s="76">
        <f>IFERROR(VLOOKUP(Table1[[#This Row],[Date]],Table3[[Date]:[Sunset Time (POA&lt;20 W/m2)]],3,0),"")</f>
        <v>0.25833333333333336</v>
      </c>
      <c r="J98" s="76">
        <f>IFERROR(VLOOKUP(Table1[[#This Row],[Date]],Table3[[Date]:[Sunset Time (POA&lt;20 W/m2)]],4,0),"")</f>
        <v>0.76875000000000004</v>
      </c>
      <c r="K98" s="77">
        <f>IFERROR((Table1[[#This Row],[Sunset Time (POA&lt;20 W/m2)]]-Table1[[#This Row],[Sunrise Time (POA&gt;20 W/m2)]])*24,"")</f>
        <v>12.250000000000002</v>
      </c>
      <c r="L98" s="108" t="s">
        <v>231</v>
      </c>
      <c r="M98" s="61">
        <f>VLOOKUP(Table1[[#This Row],[Affceted Equipment]],'Basic Data'!$A$2:$C$818,2,0)</f>
        <v>669.6</v>
      </c>
      <c r="N98" s="93">
        <f>IFERROR(VLOOKUP(Table1[[#This Row],[Affceted Equipment]],'Basic Data'!$A$2:$C$818,3,0),"")</f>
        <v>8.348190352703562E-2</v>
      </c>
      <c r="O98" s="118" t="s">
        <v>323</v>
      </c>
      <c r="P98" s="94" t="s">
        <v>1088</v>
      </c>
      <c r="Q98" s="94"/>
      <c r="R98" s="94" t="s">
        <v>1088</v>
      </c>
      <c r="S98" s="92">
        <v>0.25833333333333336</v>
      </c>
      <c r="T98" s="119"/>
      <c r="U98" s="119"/>
      <c r="V98" s="92">
        <v>0.40208333333333335</v>
      </c>
      <c r="W98" s="89">
        <f>IF(Table1[[#This Row],[Acknowledgemnet Time ]]="NA","",(Table1[[#This Row],[Acknowledgemnet Time ]]-Table1[[#This Row],[Fault Time]])*24)</f>
        <v>-6.2000000000000011</v>
      </c>
      <c r="X98" s="89">
        <f>IF(Table1[[#This Row],[Work Start time on Fault]]="NA","",(Table1[[#This Row],[Work Start time on Fault]]-Table1[[#This Row],[Fault Time]])*24)</f>
        <v>-6.2000000000000011</v>
      </c>
      <c r="Y98" s="52">
        <f>(Table1[[#This Row],[Work Completiuon time on fualt]]-Table1[[#This Row],[Fault Time]])*24</f>
        <v>3.4499999999999997</v>
      </c>
      <c r="Z98" s="52">
        <f>IFERROR((Table1[[#This Row],[Work Completiuon time on fualt]]-Table1[[#This Row],[Fault Time]])*24,"")</f>
        <v>3.4499999999999997</v>
      </c>
      <c r="AA98" s="2" t="s">
        <v>1084</v>
      </c>
      <c r="AB98" s="2" t="s">
        <v>1080</v>
      </c>
      <c r="AC98" s="90">
        <f>IFERROR(Table1[[#This Row],[Breakdown Time]]*Table1[[#This Row],[Plant Equivalent Weightage]],"")</f>
        <v>0.28801256716827289</v>
      </c>
      <c r="AD98" s="2">
        <v>0.97</v>
      </c>
      <c r="AE98" s="89">
        <f>_xlfn.XLOOKUP($F98,'Modelling New'!$D:$D,'Modelling New'!$O:$O)*Table1[[#This Row],[Lost PoA(Wh/m2)]]*Table1[[#This Row],[DC Capacity Affceted (kW)]]</f>
        <v>438.59904780036385</v>
      </c>
      <c r="AF98" s="2"/>
      <c r="AG98" s="2"/>
    </row>
    <row r="99" spans="1:33" x14ac:dyDescent="0.3">
      <c r="A99" s="67">
        <f t="shared" si="1"/>
        <v>96</v>
      </c>
      <c r="B99" s="75">
        <f>YEAR(Table1[[#This Row],[Date]])+IF(MONTH(Table1[[#This Row],[Date]])&gt;=4,1,0)</f>
        <v>2026</v>
      </c>
      <c r="C99" s="74">
        <f>YEAR(Table1[[#This Row],[Date]])</f>
        <v>2025</v>
      </c>
      <c r="D99" s="74" t="s">
        <v>1082</v>
      </c>
      <c r="E99" s="74" t="s">
        <v>1082</v>
      </c>
      <c r="F99" s="181">
        <f>Table1[[#This Row],[Date]]-DAY(Table1[[#This Row],[Date]])+1</f>
        <v>45748</v>
      </c>
      <c r="G99">
        <f>DAY(EOMONTH(Table1[[#This Row],[Month Year]],0))</f>
        <v>30</v>
      </c>
      <c r="H99" s="104">
        <v>45752</v>
      </c>
      <c r="I99" s="76">
        <f>IFERROR(VLOOKUP(Table1[[#This Row],[Date]],Table3[[Date]:[Sunset Time (POA&lt;20 W/m2)]],3,0),"")</f>
        <v>0.25833333333333336</v>
      </c>
      <c r="J99" s="76">
        <f>IFERROR(VLOOKUP(Table1[[#This Row],[Date]],Table3[[Date]:[Sunset Time (POA&lt;20 W/m2)]],4,0),"")</f>
        <v>0.76875000000000004</v>
      </c>
      <c r="K99" s="77">
        <f>IFERROR((Table1[[#This Row],[Sunset Time (POA&lt;20 W/m2)]]-Table1[[#This Row],[Sunrise Time (POA&gt;20 W/m2)]])*24,"")</f>
        <v>12.250000000000002</v>
      </c>
      <c r="L99" s="108" t="s">
        <v>238</v>
      </c>
      <c r="M99" s="61">
        <f>VLOOKUP(Table1[[#This Row],[Affceted Equipment]],'Basic Data'!$A$2:$C$818,2,0)</f>
        <v>658.8</v>
      </c>
      <c r="N99" s="93">
        <f>IFERROR(VLOOKUP(Table1[[#This Row],[Affceted Equipment]],'Basic Data'!$A$2:$C$818,3,0),"")</f>
        <v>8.2135421212083434E-2</v>
      </c>
      <c r="O99" s="118" t="s">
        <v>303</v>
      </c>
      <c r="P99" s="94" t="s">
        <v>1087</v>
      </c>
      <c r="Q99" s="94"/>
      <c r="R99" s="94" t="s">
        <v>1087</v>
      </c>
      <c r="S99" s="92">
        <v>0.25833333333333336</v>
      </c>
      <c r="T99" s="119"/>
      <c r="U99" s="119"/>
      <c r="V99" s="92">
        <v>0.55069444444444449</v>
      </c>
      <c r="W99" s="89">
        <f>IF(Table1[[#This Row],[Acknowledgemnet Time ]]="NA","",(Table1[[#This Row],[Acknowledgemnet Time ]]-Table1[[#This Row],[Fault Time]])*24)</f>
        <v>-6.2000000000000011</v>
      </c>
      <c r="X99" s="89">
        <f>IF(Table1[[#This Row],[Work Start time on Fault]]="NA","",(Table1[[#This Row],[Work Start time on Fault]]-Table1[[#This Row],[Fault Time]])*24)</f>
        <v>-6.2000000000000011</v>
      </c>
      <c r="Y99" s="52">
        <f>(Table1[[#This Row],[Work Completiuon time on fualt]]-Table1[[#This Row],[Fault Time]])*24</f>
        <v>7.0166666666666675</v>
      </c>
      <c r="Z99" s="52">
        <f>IFERROR((Table1[[#This Row],[Work Completiuon time on fualt]]-Table1[[#This Row],[Fault Time]])*24,"")</f>
        <v>7.0166666666666675</v>
      </c>
      <c r="AA99" s="2" t="s">
        <v>1084</v>
      </c>
      <c r="AB99" s="2" t="s">
        <v>1080</v>
      </c>
      <c r="AC99" s="90">
        <f>IFERROR(Table1[[#This Row],[Breakdown Time]]*Table1[[#This Row],[Plant Equivalent Weightage]],"")</f>
        <v>0.57631687217145211</v>
      </c>
      <c r="AD99" s="2">
        <v>4.13</v>
      </c>
      <c r="AE99" s="89">
        <f>_xlfn.XLOOKUP($F99,'Modelling New'!$D:$D,'Modelling New'!$O:$O)*Table1[[#This Row],[Lost PoA(Wh/m2)]]*Table1[[#This Row],[DC Capacity Affceted (kW)]]</f>
        <v>1837.3172283396352</v>
      </c>
      <c r="AF99" s="2"/>
      <c r="AG99" s="2"/>
    </row>
    <row r="100" spans="1:33" x14ac:dyDescent="0.3">
      <c r="A100" s="67">
        <f t="shared" si="1"/>
        <v>97</v>
      </c>
      <c r="B100" s="75">
        <f>YEAR(Table1[[#This Row],[Date]])+IF(MONTH(Table1[[#This Row],[Date]])&gt;=4,1,0)</f>
        <v>2026</v>
      </c>
      <c r="C100" s="74">
        <f>YEAR(Table1[[#This Row],[Date]])</f>
        <v>2025</v>
      </c>
      <c r="D100" s="74" t="s">
        <v>1082</v>
      </c>
      <c r="E100" s="74" t="s">
        <v>1082</v>
      </c>
      <c r="F100" s="181">
        <f>Table1[[#This Row],[Date]]-DAY(Table1[[#This Row],[Date]])+1</f>
        <v>45748</v>
      </c>
      <c r="G100">
        <f>DAY(EOMONTH(Table1[[#This Row],[Month Year]],0))</f>
        <v>30</v>
      </c>
      <c r="H100" s="104">
        <v>45752</v>
      </c>
      <c r="I100" s="76">
        <f>IFERROR(VLOOKUP(Table1[[#This Row],[Date]],Table3[[Date]:[Sunset Time (POA&lt;20 W/m2)]],3,0),"")</f>
        <v>0.25833333333333336</v>
      </c>
      <c r="J100" s="76">
        <f>IFERROR(VLOOKUP(Table1[[#This Row],[Date]],Table3[[Date]:[Sunset Time (POA&lt;20 W/m2)]],4,0),"")</f>
        <v>0.76875000000000004</v>
      </c>
      <c r="K100" s="77">
        <f>IFERROR((Table1[[#This Row],[Sunset Time (POA&lt;20 W/m2)]]-Table1[[#This Row],[Sunrise Time (POA&gt;20 W/m2)]])*24,"")</f>
        <v>12.250000000000002</v>
      </c>
      <c r="L100" s="108" t="s">
        <v>180</v>
      </c>
      <c r="M100" s="61">
        <f>VLOOKUP(Table1[[#This Row],[Affceted Equipment]],'Basic Data'!$A$2:$C$818,2,0)</f>
        <v>2694.6</v>
      </c>
      <c r="N100" s="93">
        <f>IFERROR(VLOOKUP(Table1[[#This Row],[Affceted Equipment]],'Basic Data'!$A$2:$C$818,3,0),"")</f>
        <v>0.33594733758057077</v>
      </c>
      <c r="O100" s="118" t="s">
        <v>323</v>
      </c>
      <c r="P100" s="94" t="s">
        <v>1089</v>
      </c>
      <c r="Q100" s="94"/>
      <c r="R100" s="94" t="s">
        <v>1089</v>
      </c>
      <c r="S100" s="92">
        <v>0.40208333333333335</v>
      </c>
      <c r="T100" s="119"/>
      <c r="U100" s="119"/>
      <c r="V100" s="92">
        <v>0.40763888888888888</v>
      </c>
      <c r="W100" s="89">
        <f>IF(Table1[[#This Row],[Acknowledgemnet Time ]]="NA","",(Table1[[#This Row],[Acknowledgemnet Time ]]-Table1[[#This Row],[Fault Time]])*24)</f>
        <v>-9.65</v>
      </c>
      <c r="X100" s="89">
        <f>IF(Table1[[#This Row],[Work Start time on Fault]]="NA","",(Table1[[#This Row],[Work Start time on Fault]]-Table1[[#This Row],[Fault Time]])*24)</f>
        <v>-9.65</v>
      </c>
      <c r="Y100" s="52">
        <f>(Table1[[#This Row],[Work Completiuon time on fualt]]-Table1[[#This Row],[Fault Time]])*24</f>
        <v>0.13333333333333286</v>
      </c>
      <c r="Z100" s="52">
        <f>IFERROR((Table1[[#This Row],[Work Completiuon time on fualt]]-Table1[[#This Row],[Fault Time]])*24,"")</f>
        <v>0.13333333333333286</v>
      </c>
      <c r="AA100" s="2" t="s">
        <v>1086</v>
      </c>
      <c r="AB100" s="2" t="s">
        <v>1081</v>
      </c>
      <c r="AC100" s="90">
        <f>IFERROR(Table1[[#This Row],[Breakdown Time]]*Table1[[#This Row],[Plant Equivalent Weightage]],"")</f>
        <v>4.4792978344075945E-2</v>
      </c>
      <c r="AD100" s="2">
        <v>0.1</v>
      </c>
      <c r="AE100" s="89">
        <f>_xlfn.XLOOKUP($F100,'Modelling New'!$D:$D,'Modelling New'!$O:$O)*Table1[[#This Row],[Lost PoA(Wh/m2)]]*Table1[[#This Row],[DC Capacity Affceted (kW)]]</f>
        <v>181.95953180277817</v>
      </c>
      <c r="AF100" s="2"/>
      <c r="AG100" s="2"/>
    </row>
    <row r="101" spans="1:33" x14ac:dyDescent="0.3">
      <c r="A101" s="67">
        <f t="shared" si="1"/>
        <v>98</v>
      </c>
      <c r="B101" s="75">
        <f>YEAR(Table1[[#This Row],[Date]])+IF(MONTH(Table1[[#This Row],[Date]])&gt;=4,1,0)</f>
        <v>2026</v>
      </c>
      <c r="C101" s="74">
        <f>YEAR(Table1[[#This Row],[Date]])</f>
        <v>2025</v>
      </c>
      <c r="D101" s="74" t="s">
        <v>1082</v>
      </c>
      <c r="E101" s="74" t="s">
        <v>1082</v>
      </c>
      <c r="F101" s="181">
        <f>Table1[[#This Row],[Date]]-DAY(Table1[[#This Row],[Date]])+1</f>
        <v>45748</v>
      </c>
      <c r="G101">
        <f>DAY(EOMONTH(Table1[[#This Row],[Month Year]],0))</f>
        <v>30</v>
      </c>
      <c r="H101" s="104">
        <v>45752</v>
      </c>
      <c r="I101" s="76">
        <f>IFERROR(VLOOKUP(Table1[[#This Row],[Date]],Table3[[Date]:[Sunset Time (POA&lt;20 W/m2)]],3,0),"")</f>
        <v>0.25833333333333336</v>
      </c>
      <c r="J101" s="76">
        <f>IFERROR(VLOOKUP(Table1[[#This Row],[Date]],Table3[[Date]:[Sunset Time (POA&lt;20 W/m2)]],4,0),"")</f>
        <v>0.76875000000000004</v>
      </c>
      <c r="K101" s="77">
        <f>IFERROR((Table1[[#This Row],[Sunset Time (POA&lt;20 W/m2)]]-Table1[[#This Row],[Sunrise Time (POA&gt;20 W/m2)]])*24,"")</f>
        <v>12.250000000000002</v>
      </c>
      <c r="L101" s="108" t="s">
        <v>231</v>
      </c>
      <c r="M101" s="61">
        <f>VLOOKUP(Table1[[#This Row],[Affceted Equipment]],'Basic Data'!$A$2:$C$818,2,0)</f>
        <v>669.6</v>
      </c>
      <c r="N101" s="93">
        <f>IFERROR(VLOOKUP(Table1[[#This Row],[Affceted Equipment]],'Basic Data'!$A$2:$C$818,3,0),"")</f>
        <v>8.348190352703562E-2</v>
      </c>
      <c r="O101" s="118" t="s">
        <v>323</v>
      </c>
      <c r="P101" s="94" t="s">
        <v>1088</v>
      </c>
      <c r="Q101" s="94"/>
      <c r="R101" s="94" t="s">
        <v>1088</v>
      </c>
      <c r="S101" s="92">
        <v>0.40763888888888888</v>
      </c>
      <c r="T101" s="119"/>
      <c r="U101" s="119"/>
      <c r="V101" s="92">
        <v>0.41249999999999998</v>
      </c>
      <c r="W101" s="89">
        <f>IF(Table1[[#This Row],[Acknowledgemnet Time ]]="NA","",(Table1[[#This Row],[Acknowledgemnet Time ]]-Table1[[#This Row],[Fault Time]])*24)</f>
        <v>-9.7833333333333332</v>
      </c>
      <c r="X101" s="89">
        <f>IF(Table1[[#This Row],[Work Start time on Fault]]="NA","",(Table1[[#This Row],[Work Start time on Fault]]-Table1[[#This Row],[Fault Time]])*24)</f>
        <v>-9.7833333333333332</v>
      </c>
      <c r="Y101" s="52">
        <f>(Table1[[#This Row],[Work Completiuon time on fualt]]-Table1[[#This Row],[Fault Time]])*24</f>
        <v>0.11666666666666625</v>
      </c>
      <c r="Z101" s="52">
        <f>IFERROR((Table1[[#This Row],[Work Completiuon time on fualt]]-Table1[[#This Row],[Fault Time]])*24,"")</f>
        <v>0.11666666666666625</v>
      </c>
      <c r="AA101" s="2" t="s">
        <v>1084</v>
      </c>
      <c r="AB101" s="2" t="s">
        <v>1080</v>
      </c>
      <c r="AC101" s="90">
        <f>IFERROR(Table1[[#This Row],[Breakdown Time]]*Table1[[#This Row],[Plant Equivalent Weightage]],"")</f>
        <v>9.7395554114874539E-3</v>
      </c>
      <c r="AD101" s="2">
        <v>0.09</v>
      </c>
      <c r="AE101" s="89">
        <f>_xlfn.XLOOKUP($F101,'Modelling New'!$D:$D,'Modelling New'!$O:$O)*Table1[[#This Row],[Lost PoA(Wh/m2)]]*Table1[[#This Row],[DC Capacity Affceted (kW)]]</f>
        <v>40.694757012404892</v>
      </c>
      <c r="AF101" s="2"/>
      <c r="AG101" s="2"/>
    </row>
    <row r="102" spans="1:33" x14ac:dyDescent="0.3">
      <c r="A102" s="67">
        <f t="shared" si="1"/>
        <v>99</v>
      </c>
      <c r="B102" s="75">
        <f>YEAR(Table1[[#This Row],[Date]])+IF(MONTH(Table1[[#This Row],[Date]])&gt;=4,1,0)</f>
        <v>2026</v>
      </c>
      <c r="C102" s="74">
        <f>YEAR(Table1[[#This Row],[Date]])</f>
        <v>2025</v>
      </c>
      <c r="D102" s="74" t="s">
        <v>1082</v>
      </c>
      <c r="E102" s="74" t="s">
        <v>1082</v>
      </c>
      <c r="F102" s="181">
        <f>Table1[[#This Row],[Date]]-DAY(Table1[[#This Row],[Date]])+1</f>
        <v>45748</v>
      </c>
      <c r="G102">
        <f>DAY(EOMONTH(Table1[[#This Row],[Month Year]],0))</f>
        <v>30</v>
      </c>
      <c r="H102" s="104">
        <v>45752</v>
      </c>
      <c r="I102" s="76">
        <f>IFERROR(VLOOKUP(Table1[[#This Row],[Date]],Table3[[Date]:[Sunset Time (POA&lt;20 W/m2)]],3,0),"")</f>
        <v>0.25833333333333336</v>
      </c>
      <c r="J102" s="76">
        <f>IFERROR(VLOOKUP(Table1[[#This Row],[Date]],Table3[[Date]:[Sunset Time (POA&lt;20 W/m2)]],4,0),"")</f>
        <v>0.76875000000000004</v>
      </c>
      <c r="K102" s="77">
        <f>IFERROR((Table1[[#This Row],[Sunset Time (POA&lt;20 W/m2)]]-Table1[[#This Row],[Sunrise Time (POA&gt;20 W/m2)]])*24,"")</f>
        <v>12.250000000000002</v>
      </c>
      <c r="L102" s="108" t="s">
        <v>180</v>
      </c>
      <c r="M102" s="61">
        <f>VLOOKUP(Table1[[#This Row],[Affceted Equipment]],'Basic Data'!$A$2:$C$818,2,0)</f>
        <v>2694.6</v>
      </c>
      <c r="N102" s="93">
        <f>IFERROR(VLOOKUP(Table1[[#This Row],[Affceted Equipment]],'Basic Data'!$A$2:$C$818,3,0),"")</f>
        <v>0.33594733758057077</v>
      </c>
      <c r="O102" s="118" t="s">
        <v>323</v>
      </c>
      <c r="P102" s="94" t="s">
        <v>1089</v>
      </c>
      <c r="Q102" s="94"/>
      <c r="R102" s="94" t="s">
        <v>1089</v>
      </c>
      <c r="S102" s="92">
        <v>0.41249999999999998</v>
      </c>
      <c r="T102" s="119"/>
      <c r="U102" s="119"/>
      <c r="V102" s="92">
        <v>0.41805555555555557</v>
      </c>
      <c r="W102" s="89">
        <f>IF(Table1[[#This Row],[Acknowledgemnet Time ]]="NA","",(Table1[[#This Row],[Acknowledgemnet Time ]]-Table1[[#This Row],[Fault Time]])*24)</f>
        <v>-9.8999999999999986</v>
      </c>
      <c r="X102" s="89">
        <f>IF(Table1[[#This Row],[Work Start time on Fault]]="NA","",(Table1[[#This Row],[Work Start time on Fault]]-Table1[[#This Row],[Fault Time]])*24)</f>
        <v>-9.8999999999999986</v>
      </c>
      <c r="Y102" s="52">
        <f>(Table1[[#This Row],[Work Completiuon time on fualt]]-Table1[[#This Row],[Fault Time]])*24</f>
        <v>0.13333333333333419</v>
      </c>
      <c r="Z102" s="52">
        <f>IFERROR((Table1[[#This Row],[Work Completiuon time on fualt]]-Table1[[#This Row],[Fault Time]])*24,"")</f>
        <v>0.13333333333333419</v>
      </c>
      <c r="AA102" s="2" t="s">
        <v>1086</v>
      </c>
      <c r="AB102" s="2" t="s">
        <v>1081</v>
      </c>
      <c r="AC102" s="90">
        <f>IFERROR(Table1[[#This Row],[Breakdown Time]]*Table1[[#This Row],[Plant Equivalent Weightage]],"")</f>
        <v>4.479297834407639E-2</v>
      </c>
      <c r="AD102" s="2">
        <v>0.1</v>
      </c>
      <c r="AE102" s="89">
        <f>_xlfn.XLOOKUP($F102,'Modelling New'!$D:$D,'Modelling New'!$O:$O)*Table1[[#This Row],[Lost PoA(Wh/m2)]]*Table1[[#This Row],[DC Capacity Affceted (kW)]]</f>
        <v>181.95953180277817</v>
      </c>
      <c r="AF102" s="2"/>
      <c r="AG102" s="2"/>
    </row>
    <row r="103" spans="1:33" x14ac:dyDescent="0.3">
      <c r="A103" s="67">
        <f t="shared" si="1"/>
        <v>100</v>
      </c>
      <c r="B103" s="75">
        <f>YEAR(Table1[[#This Row],[Date]])+IF(MONTH(Table1[[#This Row],[Date]])&gt;=4,1,0)</f>
        <v>2026</v>
      </c>
      <c r="C103" s="74">
        <f>YEAR(Table1[[#This Row],[Date]])</f>
        <v>2025</v>
      </c>
      <c r="D103" s="74" t="s">
        <v>1082</v>
      </c>
      <c r="E103" s="74" t="s">
        <v>1082</v>
      </c>
      <c r="F103" s="181">
        <f>Table1[[#This Row],[Date]]-DAY(Table1[[#This Row],[Date]])+1</f>
        <v>45748</v>
      </c>
      <c r="G103">
        <f>DAY(EOMONTH(Table1[[#This Row],[Month Year]],0))</f>
        <v>30</v>
      </c>
      <c r="H103" s="104">
        <v>45752</v>
      </c>
      <c r="I103" s="76">
        <f>IFERROR(VLOOKUP(Table1[[#This Row],[Date]],Table3[[Date]:[Sunset Time (POA&lt;20 W/m2)]],3,0),"")</f>
        <v>0.25833333333333336</v>
      </c>
      <c r="J103" s="76">
        <f>IFERROR(VLOOKUP(Table1[[#This Row],[Date]],Table3[[Date]:[Sunset Time (POA&lt;20 W/m2)]],4,0),"")</f>
        <v>0.76875000000000004</v>
      </c>
      <c r="K103" s="77">
        <f>IFERROR((Table1[[#This Row],[Sunset Time (POA&lt;20 W/m2)]]-Table1[[#This Row],[Sunrise Time (POA&gt;20 W/m2)]])*24,"")</f>
        <v>12.250000000000002</v>
      </c>
      <c r="L103" s="108" t="s">
        <v>231</v>
      </c>
      <c r="M103" s="61">
        <f>VLOOKUP(Table1[[#This Row],[Affceted Equipment]],'Basic Data'!$A$2:$C$818,2,0)</f>
        <v>669.6</v>
      </c>
      <c r="N103" s="93">
        <f>IFERROR(VLOOKUP(Table1[[#This Row],[Affceted Equipment]],'Basic Data'!$A$2:$C$818,3,0),"")</f>
        <v>8.348190352703562E-2</v>
      </c>
      <c r="O103" s="118" t="s">
        <v>323</v>
      </c>
      <c r="P103" s="94" t="s">
        <v>1088</v>
      </c>
      <c r="Q103" s="94"/>
      <c r="R103" s="94" t="s">
        <v>1088</v>
      </c>
      <c r="S103" s="92">
        <v>0.41805555555555557</v>
      </c>
      <c r="T103" s="119"/>
      <c r="U103" s="119"/>
      <c r="V103" s="92">
        <v>0.42291666666666666</v>
      </c>
      <c r="W103" s="89">
        <f>IF(Table1[[#This Row],[Acknowledgemnet Time ]]="NA","",(Table1[[#This Row],[Acknowledgemnet Time ]]-Table1[[#This Row],[Fault Time]])*24)</f>
        <v>-10.033333333333333</v>
      </c>
      <c r="X103" s="89">
        <f>IF(Table1[[#This Row],[Work Start time on Fault]]="NA","",(Table1[[#This Row],[Work Start time on Fault]]-Table1[[#This Row],[Fault Time]])*24)</f>
        <v>-10.033333333333333</v>
      </c>
      <c r="Y103" s="52">
        <f>(Table1[[#This Row],[Work Completiuon time on fualt]]-Table1[[#This Row],[Fault Time]])*24</f>
        <v>0.11666666666666625</v>
      </c>
      <c r="Z103" s="52">
        <f>IFERROR((Table1[[#This Row],[Work Completiuon time on fualt]]-Table1[[#This Row],[Fault Time]])*24,"")</f>
        <v>0.11666666666666625</v>
      </c>
      <c r="AA103" s="2" t="s">
        <v>1084</v>
      </c>
      <c r="AB103" s="2" t="s">
        <v>1080</v>
      </c>
      <c r="AC103" s="90">
        <f>IFERROR(Table1[[#This Row],[Breakdown Time]]*Table1[[#This Row],[Plant Equivalent Weightage]],"")</f>
        <v>9.7395554114874539E-3</v>
      </c>
      <c r="AD103" s="2">
        <v>0.09</v>
      </c>
      <c r="AE103" s="89">
        <f>_xlfn.XLOOKUP($F103,'Modelling New'!$D:$D,'Modelling New'!$O:$O)*Table1[[#This Row],[Lost PoA(Wh/m2)]]*Table1[[#This Row],[DC Capacity Affceted (kW)]]</f>
        <v>40.694757012404892</v>
      </c>
      <c r="AF103" s="2"/>
      <c r="AG103" s="2"/>
    </row>
    <row r="104" spans="1:33" x14ac:dyDescent="0.3">
      <c r="A104" s="67">
        <f t="shared" si="1"/>
        <v>101</v>
      </c>
      <c r="B104" s="75">
        <f>YEAR(Table1[[#This Row],[Date]])+IF(MONTH(Table1[[#This Row],[Date]])&gt;=4,1,0)</f>
        <v>2026</v>
      </c>
      <c r="C104" s="74">
        <f>YEAR(Table1[[#This Row],[Date]])</f>
        <v>2025</v>
      </c>
      <c r="D104" s="74" t="s">
        <v>1082</v>
      </c>
      <c r="E104" s="74" t="s">
        <v>1082</v>
      </c>
      <c r="F104" s="181">
        <f>Table1[[#This Row],[Date]]-DAY(Table1[[#This Row],[Date]])+1</f>
        <v>45748</v>
      </c>
      <c r="G104">
        <f>DAY(EOMONTH(Table1[[#This Row],[Month Year]],0))</f>
        <v>30</v>
      </c>
      <c r="H104" s="104">
        <v>45752</v>
      </c>
      <c r="I104" s="76">
        <f>IFERROR(VLOOKUP(Table1[[#This Row],[Date]],Table3[[Date]:[Sunset Time (POA&lt;20 W/m2)]],3,0),"")</f>
        <v>0.25833333333333336</v>
      </c>
      <c r="J104" s="76">
        <f>IFERROR(VLOOKUP(Table1[[#This Row],[Date]],Table3[[Date]:[Sunset Time (POA&lt;20 W/m2)]],4,0),"")</f>
        <v>0.76875000000000004</v>
      </c>
      <c r="K104" s="77">
        <f>IFERROR((Table1[[#This Row],[Sunset Time (POA&lt;20 W/m2)]]-Table1[[#This Row],[Sunrise Time (POA&gt;20 W/m2)]])*24,"")</f>
        <v>12.250000000000002</v>
      </c>
      <c r="L104" s="108" t="s">
        <v>180</v>
      </c>
      <c r="M104" s="61">
        <f>VLOOKUP(Table1[[#This Row],[Affceted Equipment]],'Basic Data'!$A$2:$C$818,2,0)</f>
        <v>2694.6</v>
      </c>
      <c r="N104" s="93">
        <f>IFERROR(VLOOKUP(Table1[[#This Row],[Affceted Equipment]],'Basic Data'!$A$2:$C$818,3,0),"")</f>
        <v>0.33594733758057077</v>
      </c>
      <c r="O104" s="118" t="s">
        <v>323</v>
      </c>
      <c r="P104" s="94" t="s">
        <v>1089</v>
      </c>
      <c r="Q104" s="94"/>
      <c r="R104" s="94" t="s">
        <v>1089</v>
      </c>
      <c r="S104" s="92">
        <v>0.42291666666666666</v>
      </c>
      <c r="T104" s="119"/>
      <c r="U104" s="119"/>
      <c r="V104" s="92">
        <v>0.42916666666666664</v>
      </c>
      <c r="W104" s="89">
        <f>IF(Table1[[#This Row],[Acknowledgemnet Time ]]="NA","",(Table1[[#This Row],[Acknowledgemnet Time ]]-Table1[[#This Row],[Fault Time]])*24)</f>
        <v>-10.15</v>
      </c>
      <c r="X104" s="89">
        <f>IF(Table1[[#This Row],[Work Start time on Fault]]="NA","",(Table1[[#This Row],[Work Start time on Fault]]-Table1[[#This Row],[Fault Time]])*24)</f>
        <v>-10.15</v>
      </c>
      <c r="Y104" s="52">
        <f>(Table1[[#This Row],[Work Completiuon time on fualt]]-Table1[[#This Row],[Fault Time]])*24</f>
        <v>0.14999999999999947</v>
      </c>
      <c r="Z104" s="52">
        <f>IFERROR((Table1[[#This Row],[Work Completiuon time on fualt]]-Table1[[#This Row],[Fault Time]])*24,"")</f>
        <v>0.14999999999999947</v>
      </c>
      <c r="AA104" s="2" t="s">
        <v>1086</v>
      </c>
      <c r="AB104" s="2" t="s">
        <v>1081</v>
      </c>
      <c r="AC104" s="90">
        <f>IFERROR(Table1[[#This Row],[Breakdown Time]]*Table1[[#This Row],[Plant Equivalent Weightage]],"")</f>
        <v>5.0392100637085435E-2</v>
      </c>
      <c r="AD104" s="2">
        <v>0.12</v>
      </c>
      <c r="AE104" s="89">
        <f>_xlfn.XLOOKUP($F104,'Modelling New'!$D:$D,'Modelling New'!$O:$O)*Table1[[#This Row],[Lost PoA(Wh/m2)]]*Table1[[#This Row],[DC Capacity Affceted (kW)]]</f>
        <v>218.3514381633338</v>
      </c>
      <c r="AF104" s="2"/>
      <c r="AG104" s="2"/>
    </row>
    <row r="105" spans="1:33" x14ac:dyDescent="0.3">
      <c r="A105" s="67">
        <f t="shared" si="1"/>
        <v>102</v>
      </c>
      <c r="B105" s="75">
        <f>YEAR(Table1[[#This Row],[Date]])+IF(MONTH(Table1[[#This Row],[Date]])&gt;=4,1,0)</f>
        <v>2026</v>
      </c>
      <c r="C105" s="74">
        <f>YEAR(Table1[[#This Row],[Date]])</f>
        <v>2025</v>
      </c>
      <c r="D105" s="74" t="s">
        <v>1082</v>
      </c>
      <c r="E105" s="74" t="s">
        <v>1082</v>
      </c>
      <c r="F105" s="181">
        <f>Table1[[#This Row],[Date]]-DAY(Table1[[#This Row],[Date]])+1</f>
        <v>45748</v>
      </c>
      <c r="G105">
        <f>DAY(EOMONTH(Table1[[#This Row],[Month Year]],0))</f>
        <v>30</v>
      </c>
      <c r="H105" s="104">
        <v>45752</v>
      </c>
      <c r="I105" s="76">
        <f>IFERROR(VLOOKUP(Table1[[#This Row],[Date]],Table3[[Date]:[Sunset Time (POA&lt;20 W/m2)]],3,0),"")</f>
        <v>0.25833333333333336</v>
      </c>
      <c r="J105" s="76">
        <f>IFERROR(VLOOKUP(Table1[[#This Row],[Date]],Table3[[Date]:[Sunset Time (POA&lt;20 W/m2)]],4,0),"")</f>
        <v>0.76875000000000004</v>
      </c>
      <c r="K105" s="77">
        <f>IFERROR((Table1[[#This Row],[Sunset Time (POA&lt;20 W/m2)]]-Table1[[#This Row],[Sunrise Time (POA&gt;20 W/m2)]])*24,"")</f>
        <v>12.250000000000002</v>
      </c>
      <c r="L105" s="108" t="s">
        <v>231</v>
      </c>
      <c r="M105" s="61">
        <f>VLOOKUP(Table1[[#This Row],[Affceted Equipment]],'Basic Data'!$A$2:$C$818,2,0)</f>
        <v>669.6</v>
      </c>
      <c r="N105" s="93">
        <f>IFERROR(VLOOKUP(Table1[[#This Row],[Affceted Equipment]],'Basic Data'!$A$2:$C$818,3,0),"")</f>
        <v>8.348190352703562E-2</v>
      </c>
      <c r="O105" s="118" t="s">
        <v>323</v>
      </c>
      <c r="P105" s="94" t="s">
        <v>1088</v>
      </c>
      <c r="Q105" s="94"/>
      <c r="R105" s="94" t="s">
        <v>1088</v>
      </c>
      <c r="S105" s="92">
        <v>0.42916666666666664</v>
      </c>
      <c r="T105" s="119"/>
      <c r="U105" s="119"/>
      <c r="V105" s="92">
        <v>0.46250000000000002</v>
      </c>
      <c r="W105" s="89">
        <f>IF(Table1[[#This Row],[Acknowledgemnet Time ]]="NA","",(Table1[[#This Row],[Acknowledgemnet Time ]]-Table1[[#This Row],[Fault Time]])*24)</f>
        <v>-10.299999999999999</v>
      </c>
      <c r="X105" s="89">
        <f>IF(Table1[[#This Row],[Work Start time on Fault]]="NA","",(Table1[[#This Row],[Work Start time on Fault]]-Table1[[#This Row],[Fault Time]])*24)</f>
        <v>-10.299999999999999</v>
      </c>
      <c r="Y105" s="52">
        <f>(Table1[[#This Row],[Work Completiuon time on fualt]]-Table1[[#This Row],[Fault Time]])*24</f>
        <v>0.80000000000000115</v>
      </c>
      <c r="Z105" s="52">
        <f>IFERROR((Table1[[#This Row],[Work Completiuon time on fualt]]-Table1[[#This Row],[Fault Time]])*24,"")</f>
        <v>0.80000000000000115</v>
      </c>
      <c r="AA105" s="2" t="s">
        <v>1084</v>
      </c>
      <c r="AB105" s="2" t="s">
        <v>1080</v>
      </c>
      <c r="AC105" s="90">
        <f>IFERROR(Table1[[#This Row],[Breakdown Time]]*Table1[[#This Row],[Plant Equivalent Weightage]],"")</f>
        <v>6.6785522821628598E-2</v>
      </c>
      <c r="AD105" s="2">
        <v>0.68</v>
      </c>
      <c r="AE105" s="89">
        <f>_xlfn.XLOOKUP($F105,'Modelling New'!$D:$D,'Modelling New'!$O:$O)*Table1[[#This Row],[Lost PoA(Wh/m2)]]*Table1[[#This Row],[DC Capacity Affceted (kW)]]</f>
        <v>307.47149742705926</v>
      </c>
      <c r="AF105" s="2"/>
      <c r="AG105" s="2"/>
    </row>
    <row r="106" spans="1:33" x14ac:dyDescent="0.3">
      <c r="A106" s="67">
        <f t="shared" si="1"/>
        <v>103</v>
      </c>
      <c r="B106" s="75">
        <f>YEAR(Table1[[#This Row],[Date]])+IF(MONTH(Table1[[#This Row],[Date]])&gt;=4,1,0)</f>
        <v>2026</v>
      </c>
      <c r="C106" s="74">
        <f>YEAR(Table1[[#This Row],[Date]])</f>
        <v>2025</v>
      </c>
      <c r="D106" s="74" t="s">
        <v>1082</v>
      </c>
      <c r="E106" s="74" t="s">
        <v>1082</v>
      </c>
      <c r="F106" s="181">
        <f>Table1[[#This Row],[Date]]-DAY(Table1[[#This Row],[Date]])+1</f>
        <v>45748</v>
      </c>
      <c r="G106">
        <f>DAY(EOMONTH(Table1[[#This Row],[Month Year]],0))</f>
        <v>30</v>
      </c>
      <c r="H106" s="104">
        <v>45752</v>
      </c>
      <c r="I106" s="76">
        <f>IFERROR(VLOOKUP(Table1[[#This Row],[Date]],Table3[[Date]:[Sunset Time (POA&lt;20 W/m2)]],3,0),"")</f>
        <v>0.25833333333333336</v>
      </c>
      <c r="J106" s="76">
        <f>IFERROR(VLOOKUP(Table1[[#This Row],[Date]],Table3[[Date]:[Sunset Time (POA&lt;20 W/m2)]],4,0),"")</f>
        <v>0.76875000000000004</v>
      </c>
      <c r="K106" s="77">
        <f>IFERROR((Table1[[#This Row],[Sunset Time (POA&lt;20 W/m2)]]-Table1[[#This Row],[Sunrise Time (POA&gt;20 W/m2)]])*24,"")</f>
        <v>12.250000000000002</v>
      </c>
      <c r="L106" s="108" t="s">
        <v>232</v>
      </c>
      <c r="M106" s="61">
        <f>VLOOKUP(Table1[[#This Row],[Affceted Equipment]],'Basic Data'!$A$2:$C$818,2,0)</f>
        <v>669.6</v>
      </c>
      <c r="N106" s="93">
        <f>IFERROR(VLOOKUP(Table1[[#This Row],[Affceted Equipment]],'Basic Data'!$A$2:$C$818,3,0),"")</f>
        <v>8.348190352703562E-2</v>
      </c>
      <c r="O106" s="118" t="s">
        <v>323</v>
      </c>
      <c r="P106" s="94" t="s">
        <v>1090</v>
      </c>
      <c r="Q106" s="94"/>
      <c r="R106" s="94" t="s">
        <v>1090</v>
      </c>
      <c r="S106" s="92">
        <v>0.42916666666666664</v>
      </c>
      <c r="T106" s="119"/>
      <c r="U106" s="119"/>
      <c r="V106" s="92">
        <v>0.46250000000000002</v>
      </c>
      <c r="W106" s="89">
        <f>IF(Table1[[#This Row],[Acknowledgemnet Time ]]="NA","",(Table1[[#This Row],[Acknowledgemnet Time ]]-Table1[[#This Row],[Fault Time]])*24)</f>
        <v>-10.299999999999999</v>
      </c>
      <c r="X106" s="89">
        <f>IF(Table1[[#This Row],[Work Start time on Fault]]="NA","",(Table1[[#This Row],[Work Start time on Fault]]-Table1[[#This Row],[Fault Time]])*24)</f>
        <v>-10.299999999999999</v>
      </c>
      <c r="Y106" s="52">
        <f>(Table1[[#This Row],[Work Completiuon time on fualt]]-Table1[[#This Row],[Fault Time]])*24</f>
        <v>0.80000000000000115</v>
      </c>
      <c r="Z106" s="52">
        <f>IFERROR((Table1[[#This Row],[Work Completiuon time on fualt]]-Table1[[#This Row],[Fault Time]])*24,"")</f>
        <v>0.80000000000000115</v>
      </c>
      <c r="AA106" s="2" t="s">
        <v>1084</v>
      </c>
      <c r="AB106" s="2" t="s">
        <v>1080</v>
      </c>
      <c r="AC106" s="90">
        <f>IFERROR(Table1[[#This Row],[Breakdown Time]]*Table1[[#This Row],[Plant Equivalent Weightage]],"")</f>
        <v>6.6785522821628598E-2</v>
      </c>
      <c r="AD106" s="2">
        <v>0.68</v>
      </c>
      <c r="AE106" s="89">
        <f>_xlfn.XLOOKUP($F106,'Modelling New'!$D:$D,'Modelling New'!$O:$O)*Table1[[#This Row],[Lost PoA(Wh/m2)]]*Table1[[#This Row],[DC Capacity Affceted (kW)]]</f>
        <v>307.47149742705926</v>
      </c>
      <c r="AF106" s="2"/>
      <c r="AG106" s="2"/>
    </row>
    <row r="107" spans="1:33" x14ac:dyDescent="0.3">
      <c r="A107" s="67">
        <f t="shared" si="1"/>
        <v>104</v>
      </c>
      <c r="B107" s="75">
        <f>YEAR(Table1[[#This Row],[Date]])+IF(MONTH(Table1[[#This Row],[Date]])&gt;=4,1,0)</f>
        <v>2026</v>
      </c>
      <c r="C107" s="74">
        <f>YEAR(Table1[[#This Row],[Date]])</f>
        <v>2025</v>
      </c>
      <c r="D107" s="74" t="s">
        <v>1082</v>
      </c>
      <c r="E107" s="74" t="s">
        <v>1082</v>
      </c>
      <c r="F107" s="181">
        <f>Table1[[#This Row],[Date]]-DAY(Table1[[#This Row],[Date]])+1</f>
        <v>45748</v>
      </c>
      <c r="G107">
        <f>DAY(EOMONTH(Table1[[#This Row],[Month Year]],0))</f>
        <v>30</v>
      </c>
      <c r="H107" s="104">
        <v>45752</v>
      </c>
      <c r="I107" s="76">
        <f>IFERROR(VLOOKUP(Table1[[#This Row],[Date]],Table3[[Date]:[Sunset Time (POA&lt;20 W/m2)]],3,0),"")</f>
        <v>0.25833333333333336</v>
      </c>
      <c r="J107" s="76">
        <f>IFERROR(VLOOKUP(Table1[[#This Row],[Date]],Table3[[Date]:[Sunset Time (POA&lt;20 W/m2)]],4,0),"")</f>
        <v>0.76875000000000004</v>
      </c>
      <c r="K107" s="77">
        <f>IFERROR((Table1[[#This Row],[Sunset Time (POA&lt;20 W/m2)]]-Table1[[#This Row],[Sunrise Time (POA&gt;20 W/m2)]])*24,"")</f>
        <v>12.250000000000002</v>
      </c>
      <c r="L107" s="108" t="s">
        <v>180</v>
      </c>
      <c r="M107" s="61">
        <f>VLOOKUP(Table1[[#This Row],[Affceted Equipment]],'Basic Data'!$A$2:$C$818,2,0)</f>
        <v>2694.6</v>
      </c>
      <c r="N107" s="93">
        <f>IFERROR(VLOOKUP(Table1[[#This Row],[Affceted Equipment]],'Basic Data'!$A$2:$C$818,3,0),"")</f>
        <v>0.33594733758057077</v>
      </c>
      <c r="O107" s="118" t="s">
        <v>323</v>
      </c>
      <c r="P107" s="94" t="s">
        <v>1089</v>
      </c>
      <c r="Q107" s="94"/>
      <c r="R107" s="94" t="s">
        <v>1089</v>
      </c>
      <c r="S107" s="92">
        <v>0.46250000000000002</v>
      </c>
      <c r="T107" s="119"/>
      <c r="U107" s="119"/>
      <c r="V107" s="92">
        <v>0.46875</v>
      </c>
      <c r="W107" s="89">
        <f>IF(Table1[[#This Row],[Acknowledgemnet Time ]]="NA","",(Table1[[#This Row],[Acknowledgemnet Time ]]-Table1[[#This Row],[Fault Time]])*24)</f>
        <v>-11.100000000000001</v>
      </c>
      <c r="X107" s="89">
        <f>IF(Table1[[#This Row],[Work Start time on Fault]]="NA","",(Table1[[#This Row],[Work Start time on Fault]]-Table1[[#This Row],[Fault Time]])*24)</f>
        <v>-11.100000000000001</v>
      </c>
      <c r="Y107" s="52">
        <f>(Table1[[#This Row],[Work Completiuon time on fualt]]-Table1[[#This Row],[Fault Time]])*24</f>
        <v>0.14999999999999947</v>
      </c>
      <c r="Z107" s="52">
        <f>IFERROR((Table1[[#This Row],[Work Completiuon time on fualt]]-Table1[[#This Row],[Fault Time]])*24,"")</f>
        <v>0.14999999999999947</v>
      </c>
      <c r="AA107" s="2" t="s">
        <v>1086</v>
      </c>
      <c r="AB107" s="2" t="s">
        <v>1081</v>
      </c>
      <c r="AC107" s="90">
        <f>IFERROR(Table1[[#This Row],[Breakdown Time]]*Table1[[#This Row],[Plant Equivalent Weightage]],"")</f>
        <v>5.0392100637085435E-2</v>
      </c>
      <c r="AD107" s="2">
        <v>0.13</v>
      </c>
      <c r="AE107" s="89">
        <f>_xlfn.XLOOKUP($F107,'Modelling New'!$D:$D,'Modelling New'!$O:$O)*Table1[[#This Row],[Lost PoA(Wh/m2)]]*Table1[[#This Row],[DC Capacity Affceted (kW)]]</f>
        <v>236.54739134361159</v>
      </c>
      <c r="AF107" s="2"/>
      <c r="AG107" s="2"/>
    </row>
    <row r="108" spans="1:33" x14ac:dyDescent="0.3">
      <c r="A108" s="67">
        <f t="shared" si="1"/>
        <v>105</v>
      </c>
      <c r="B108" s="75">
        <f>YEAR(Table1[[#This Row],[Date]])+IF(MONTH(Table1[[#This Row],[Date]])&gt;=4,1,0)</f>
        <v>2026</v>
      </c>
      <c r="C108" s="74">
        <f>YEAR(Table1[[#This Row],[Date]])</f>
        <v>2025</v>
      </c>
      <c r="D108" s="74" t="s">
        <v>1082</v>
      </c>
      <c r="E108" s="74" t="s">
        <v>1082</v>
      </c>
      <c r="F108" s="181">
        <f>Table1[[#This Row],[Date]]-DAY(Table1[[#This Row],[Date]])+1</f>
        <v>45748</v>
      </c>
      <c r="G108">
        <f>DAY(EOMONTH(Table1[[#This Row],[Month Year]],0))</f>
        <v>30</v>
      </c>
      <c r="H108" s="104">
        <v>45752</v>
      </c>
      <c r="I108" s="76">
        <f>IFERROR(VLOOKUP(Table1[[#This Row],[Date]],Table3[[Date]:[Sunset Time (POA&lt;20 W/m2)]],3,0),"")</f>
        <v>0.25833333333333336</v>
      </c>
      <c r="J108" s="76">
        <f>IFERROR(VLOOKUP(Table1[[#This Row],[Date]],Table3[[Date]:[Sunset Time (POA&lt;20 W/m2)]],4,0),"")</f>
        <v>0.76875000000000004</v>
      </c>
      <c r="K108" s="77">
        <f>IFERROR((Table1[[#This Row],[Sunset Time (POA&lt;20 W/m2)]]-Table1[[#This Row],[Sunrise Time (POA&gt;20 W/m2)]])*24,"")</f>
        <v>12.250000000000002</v>
      </c>
      <c r="L108" s="108" t="s">
        <v>231</v>
      </c>
      <c r="M108" s="61">
        <f>VLOOKUP(Table1[[#This Row],[Affceted Equipment]],'Basic Data'!$A$2:$C$818,2,0)</f>
        <v>669.6</v>
      </c>
      <c r="N108" s="93">
        <f>IFERROR(VLOOKUP(Table1[[#This Row],[Affceted Equipment]],'Basic Data'!$A$2:$C$818,3,0),"")</f>
        <v>8.348190352703562E-2</v>
      </c>
      <c r="O108" s="118" t="s">
        <v>323</v>
      </c>
      <c r="P108" s="94" t="s">
        <v>1088</v>
      </c>
      <c r="Q108" s="94"/>
      <c r="R108" s="94" t="s">
        <v>1088</v>
      </c>
      <c r="S108" s="92">
        <v>0.46875</v>
      </c>
      <c r="T108" s="119"/>
      <c r="U108" s="119"/>
      <c r="V108" s="92">
        <v>0.48819444444444443</v>
      </c>
      <c r="W108" s="89">
        <f>IF(Table1[[#This Row],[Acknowledgemnet Time ]]="NA","",(Table1[[#This Row],[Acknowledgemnet Time ]]-Table1[[#This Row],[Fault Time]])*24)</f>
        <v>-11.25</v>
      </c>
      <c r="X108" s="89">
        <f>IF(Table1[[#This Row],[Work Start time on Fault]]="NA","",(Table1[[#This Row],[Work Start time on Fault]]-Table1[[#This Row],[Fault Time]])*24)</f>
        <v>-11.25</v>
      </c>
      <c r="Y108" s="52">
        <f>(Table1[[#This Row],[Work Completiuon time on fualt]]-Table1[[#This Row],[Fault Time]])*24</f>
        <v>0.46666666666666634</v>
      </c>
      <c r="Z108" s="52">
        <f>IFERROR((Table1[[#This Row],[Work Completiuon time on fualt]]-Table1[[#This Row],[Fault Time]])*24,"")</f>
        <v>0.46666666666666634</v>
      </c>
      <c r="AA108" s="2" t="s">
        <v>1084</v>
      </c>
      <c r="AB108" s="2" t="s">
        <v>1080</v>
      </c>
      <c r="AC108" s="90">
        <f>IFERROR(Table1[[#This Row],[Breakdown Time]]*Table1[[#This Row],[Plant Equivalent Weightage]],"")</f>
        <v>3.8958221645949927E-2</v>
      </c>
      <c r="AD108" s="2">
        <v>0.44</v>
      </c>
      <c r="AE108" s="89">
        <f>_xlfn.XLOOKUP($F108,'Modelling New'!$D:$D,'Modelling New'!$O:$O)*Table1[[#This Row],[Lost PoA(Wh/m2)]]*Table1[[#This Row],[DC Capacity Affceted (kW)]]</f>
        <v>198.95214539397952</v>
      </c>
      <c r="AF108" s="2"/>
      <c r="AG108" s="2"/>
    </row>
    <row r="109" spans="1:33" x14ac:dyDescent="0.3">
      <c r="A109" s="67">
        <f t="shared" si="1"/>
        <v>106</v>
      </c>
      <c r="B109" s="75">
        <f>YEAR(Table1[[#This Row],[Date]])+IF(MONTH(Table1[[#This Row],[Date]])&gt;=4,1,0)</f>
        <v>2026</v>
      </c>
      <c r="C109" s="74">
        <f>YEAR(Table1[[#This Row],[Date]])</f>
        <v>2025</v>
      </c>
      <c r="D109" s="74" t="s">
        <v>1082</v>
      </c>
      <c r="E109" s="74" t="s">
        <v>1082</v>
      </c>
      <c r="F109" s="181">
        <f>Table1[[#This Row],[Date]]-DAY(Table1[[#This Row],[Date]])+1</f>
        <v>45748</v>
      </c>
      <c r="G109">
        <f>DAY(EOMONTH(Table1[[#This Row],[Month Year]],0))</f>
        <v>30</v>
      </c>
      <c r="H109" s="104">
        <v>45752</v>
      </c>
      <c r="I109" s="76">
        <f>IFERROR(VLOOKUP(Table1[[#This Row],[Date]],Table3[[Date]:[Sunset Time (POA&lt;20 W/m2)]],3,0),"")</f>
        <v>0.25833333333333336</v>
      </c>
      <c r="J109" s="76">
        <f>IFERROR(VLOOKUP(Table1[[#This Row],[Date]],Table3[[Date]:[Sunset Time (POA&lt;20 W/m2)]],4,0),"")</f>
        <v>0.76875000000000004</v>
      </c>
      <c r="K109" s="77">
        <f>IFERROR((Table1[[#This Row],[Sunset Time (POA&lt;20 W/m2)]]-Table1[[#This Row],[Sunrise Time (POA&gt;20 W/m2)]])*24,"")</f>
        <v>12.250000000000002</v>
      </c>
      <c r="L109" s="108" t="s">
        <v>232</v>
      </c>
      <c r="M109" s="61">
        <f>VLOOKUP(Table1[[#This Row],[Affceted Equipment]],'Basic Data'!$A$2:$C$818,2,0)</f>
        <v>669.6</v>
      </c>
      <c r="N109" s="93">
        <f>IFERROR(VLOOKUP(Table1[[#This Row],[Affceted Equipment]],'Basic Data'!$A$2:$C$818,3,0),"")</f>
        <v>8.348190352703562E-2</v>
      </c>
      <c r="O109" s="118" t="s">
        <v>323</v>
      </c>
      <c r="P109" s="94" t="s">
        <v>1090</v>
      </c>
      <c r="Q109" s="94"/>
      <c r="R109" s="94" t="s">
        <v>1090</v>
      </c>
      <c r="S109" s="92">
        <v>0.46875</v>
      </c>
      <c r="T109" s="119"/>
      <c r="U109" s="119"/>
      <c r="V109" s="92">
        <v>0.48819444444444443</v>
      </c>
      <c r="W109" s="89">
        <f>IF(Table1[[#This Row],[Acknowledgemnet Time ]]="NA","",(Table1[[#This Row],[Acknowledgemnet Time ]]-Table1[[#This Row],[Fault Time]])*24)</f>
        <v>-11.25</v>
      </c>
      <c r="X109" s="89">
        <f>IF(Table1[[#This Row],[Work Start time on Fault]]="NA","",(Table1[[#This Row],[Work Start time on Fault]]-Table1[[#This Row],[Fault Time]])*24)</f>
        <v>-11.25</v>
      </c>
      <c r="Y109" s="52">
        <f>(Table1[[#This Row],[Work Completiuon time on fualt]]-Table1[[#This Row],[Fault Time]])*24</f>
        <v>0.46666666666666634</v>
      </c>
      <c r="Z109" s="52">
        <f>IFERROR((Table1[[#This Row],[Work Completiuon time on fualt]]-Table1[[#This Row],[Fault Time]])*24,"")</f>
        <v>0.46666666666666634</v>
      </c>
      <c r="AA109" s="2" t="s">
        <v>1084</v>
      </c>
      <c r="AB109" s="2" t="s">
        <v>1080</v>
      </c>
      <c r="AC109" s="90">
        <f>IFERROR(Table1[[#This Row],[Breakdown Time]]*Table1[[#This Row],[Plant Equivalent Weightage]],"")</f>
        <v>3.8958221645949927E-2</v>
      </c>
      <c r="AD109" s="2">
        <v>0.44</v>
      </c>
      <c r="AE109" s="89">
        <f>_xlfn.XLOOKUP($F109,'Modelling New'!$D:$D,'Modelling New'!$O:$O)*Table1[[#This Row],[Lost PoA(Wh/m2)]]*Table1[[#This Row],[DC Capacity Affceted (kW)]]</f>
        <v>198.95214539397952</v>
      </c>
      <c r="AF109" s="2"/>
      <c r="AG109" s="2"/>
    </row>
    <row r="110" spans="1:33" x14ac:dyDescent="0.3">
      <c r="A110" s="67">
        <f t="shared" si="1"/>
        <v>107</v>
      </c>
      <c r="B110" s="75">
        <f>YEAR(Table1[[#This Row],[Date]])+IF(MONTH(Table1[[#This Row],[Date]])&gt;=4,1,0)</f>
        <v>2026</v>
      </c>
      <c r="C110" s="74">
        <f>YEAR(Table1[[#This Row],[Date]])</f>
        <v>2025</v>
      </c>
      <c r="D110" s="74" t="s">
        <v>1082</v>
      </c>
      <c r="E110" s="74" t="s">
        <v>1082</v>
      </c>
      <c r="F110" s="181">
        <f>Table1[[#This Row],[Date]]-DAY(Table1[[#This Row],[Date]])+1</f>
        <v>45748</v>
      </c>
      <c r="G110">
        <f>DAY(EOMONTH(Table1[[#This Row],[Month Year]],0))</f>
        <v>30</v>
      </c>
      <c r="H110" s="104">
        <v>45752</v>
      </c>
      <c r="I110" s="76">
        <f>IFERROR(VLOOKUP(Table1[[#This Row],[Date]],Table3[[Date]:[Sunset Time (POA&lt;20 W/m2)]],3,0),"")</f>
        <v>0.25833333333333336</v>
      </c>
      <c r="J110" s="76">
        <f>IFERROR(VLOOKUP(Table1[[#This Row],[Date]],Table3[[Date]:[Sunset Time (POA&lt;20 W/m2)]],4,0),"")</f>
        <v>0.76875000000000004</v>
      </c>
      <c r="K110" s="77">
        <f>IFERROR((Table1[[#This Row],[Sunset Time (POA&lt;20 W/m2)]]-Table1[[#This Row],[Sunrise Time (POA&gt;20 W/m2)]])*24,"")</f>
        <v>12.250000000000002</v>
      </c>
      <c r="L110" s="108" t="s">
        <v>180</v>
      </c>
      <c r="M110" s="61">
        <f>VLOOKUP(Table1[[#This Row],[Affceted Equipment]],'Basic Data'!$A$2:$C$818,2,0)</f>
        <v>2694.6</v>
      </c>
      <c r="N110" s="93">
        <f>IFERROR(VLOOKUP(Table1[[#This Row],[Affceted Equipment]],'Basic Data'!$A$2:$C$818,3,0),"")</f>
        <v>0.33594733758057077</v>
      </c>
      <c r="O110" s="118" t="s">
        <v>323</v>
      </c>
      <c r="P110" s="94" t="s">
        <v>1089</v>
      </c>
      <c r="Q110" s="94"/>
      <c r="R110" s="94" t="s">
        <v>1089</v>
      </c>
      <c r="S110" s="92">
        <v>0.48819444444444443</v>
      </c>
      <c r="T110" s="119"/>
      <c r="U110" s="119"/>
      <c r="V110" s="92">
        <v>0.50902777777777775</v>
      </c>
      <c r="W110" s="89">
        <f>IF(Table1[[#This Row],[Acknowledgemnet Time ]]="NA","",(Table1[[#This Row],[Acknowledgemnet Time ]]-Table1[[#This Row],[Fault Time]])*24)</f>
        <v>-11.716666666666667</v>
      </c>
      <c r="X110" s="89">
        <f>IF(Table1[[#This Row],[Work Start time on Fault]]="NA","",(Table1[[#This Row],[Work Start time on Fault]]-Table1[[#This Row],[Fault Time]])*24)</f>
        <v>-11.716666666666667</v>
      </c>
      <c r="Y110" s="52">
        <f>(Table1[[#This Row],[Work Completiuon time on fualt]]-Table1[[#This Row],[Fault Time]])*24</f>
        <v>0.49999999999999956</v>
      </c>
      <c r="Z110" s="52">
        <f>IFERROR((Table1[[#This Row],[Work Completiuon time on fualt]]-Table1[[#This Row],[Fault Time]])*24,"")</f>
        <v>0.49999999999999956</v>
      </c>
      <c r="AA110" s="2" t="s">
        <v>1086</v>
      </c>
      <c r="AB110" s="2" t="s">
        <v>1081</v>
      </c>
      <c r="AC110" s="90">
        <f>IFERROR(Table1[[#This Row],[Breakdown Time]]*Table1[[#This Row],[Plant Equivalent Weightage]],"")</f>
        <v>0.16797366879028525</v>
      </c>
      <c r="AD110" s="2">
        <v>0.49</v>
      </c>
      <c r="AE110" s="89">
        <f>_xlfn.XLOOKUP($F110,'Modelling New'!$D:$D,'Modelling New'!$O:$O)*Table1[[#This Row],[Lost PoA(Wh/m2)]]*Table1[[#This Row],[DC Capacity Affceted (kW)]]</f>
        <v>891.60170583361287</v>
      </c>
      <c r="AF110" s="2"/>
      <c r="AG110" s="2"/>
    </row>
    <row r="111" spans="1:33" x14ac:dyDescent="0.3">
      <c r="A111" s="67">
        <f t="shared" si="1"/>
        <v>108</v>
      </c>
      <c r="B111" s="75">
        <f>YEAR(Table1[[#This Row],[Date]])+IF(MONTH(Table1[[#This Row],[Date]])&gt;=4,1,0)</f>
        <v>2026</v>
      </c>
      <c r="C111" s="74">
        <f>YEAR(Table1[[#This Row],[Date]])</f>
        <v>2025</v>
      </c>
      <c r="D111" s="74" t="s">
        <v>1082</v>
      </c>
      <c r="E111" s="74" t="s">
        <v>1082</v>
      </c>
      <c r="F111" s="181">
        <f>Table1[[#This Row],[Date]]-DAY(Table1[[#This Row],[Date]])+1</f>
        <v>45748</v>
      </c>
      <c r="G111">
        <f>DAY(EOMONTH(Table1[[#This Row],[Month Year]],0))</f>
        <v>30</v>
      </c>
      <c r="H111" s="104">
        <v>45752</v>
      </c>
      <c r="I111" s="76">
        <f>IFERROR(VLOOKUP(Table1[[#This Row],[Date]],Table3[[Date]:[Sunset Time (POA&lt;20 W/m2)]],3,0),"")</f>
        <v>0.25833333333333336</v>
      </c>
      <c r="J111" s="76">
        <f>IFERROR(VLOOKUP(Table1[[#This Row],[Date]],Table3[[Date]:[Sunset Time (POA&lt;20 W/m2)]],4,0),"")</f>
        <v>0.76875000000000004</v>
      </c>
      <c r="K111" s="77">
        <f>IFERROR((Table1[[#This Row],[Sunset Time (POA&lt;20 W/m2)]]-Table1[[#This Row],[Sunrise Time (POA&gt;20 W/m2)]])*24,"")</f>
        <v>12.250000000000002</v>
      </c>
      <c r="L111" s="108" t="s">
        <v>231</v>
      </c>
      <c r="M111" s="61">
        <f>VLOOKUP(Table1[[#This Row],[Affceted Equipment]],'Basic Data'!$A$2:$C$818,2,0)</f>
        <v>669.6</v>
      </c>
      <c r="N111" s="93">
        <f>IFERROR(VLOOKUP(Table1[[#This Row],[Affceted Equipment]],'Basic Data'!$A$2:$C$818,3,0),"")</f>
        <v>8.348190352703562E-2</v>
      </c>
      <c r="O111" s="118" t="s">
        <v>323</v>
      </c>
      <c r="P111" s="94" t="s">
        <v>1088</v>
      </c>
      <c r="Q111" s="94"/>
      <c r="R111" s="94" t="s">
        <v>1088</v>
      </c>
      <c r="S111" s="92">
        <v>0.50902777777777775</v>
      </c>
      <c r="T111" s="119"/>
      <c r="U111" s="119"/>
      <c r="V111" s="92">
        <v>0.51597222222222228</v>
      </c>
      <c r="W111" s="89">
        <f>IF(Table1[[#This Row],[Acknowledgemnet Time ]]="NA","",(Table1[[#This Row],[Acknowledgemnet Time ]]-Table1[[#This Row],[Fault Time]])*24)</f>
        <v>-12.216666666666665</v>
      </c>
      <c r="X111" s="89">
        <f>IF(Table1[[#This Row],[Work Start time on Fault]]="NA","",(Table1[[#This Row],[Work Start time on Fault]]-Table1[[#This Row],[Fault Time]])*24)</f>
        <v>-12.216666666666665</v>
      </c>
      <c r="Y111" s="52">
        <f>(Table1[[#This Row],[Work Completiuon time on fualt]]-Table1[[#This Row],[Fault Time]])*24</f>
        <v>0.16666666666666874</v>
      </c>
      <c r="Z111" s="52">
        <f>IFERROR((Table1[[#This Row],[Work Completiuon time on fualt]]-Table1[[#This Row],[Fault Time]])*24,"")</f>
        <v>0.16666666666666874</v>
      </c>
      <c r="AA111" s="2" t="s">
        <v>1084</v>
      </c>
      <c r="AB111" s="2" t="s">
        <v>1080</v>
      </c>
      <c r="AC111" s="90">
        <f>IFERROR(Table1[[#This Row],[Breakdown Time]]*Table1[[#This Row],[Plant Equivalent Weightage]],"")</f>
        <v>1.3913650587839443E-2</v>
      </c>
      <c r="AD111" s="2">
        <v>0.17</v>
      </c>
      <c r="AE111" s="89">
        <f>_xlfn.XLOOKUP($F111,'Modelling New'!$D:$D,'Modelling New'!$O:$O)*Table1[[#This Row],[Lost PoA(Wh/m2)]]*Table1[[#This Row],[DC Capacity Affceted (kW)]]</f>
        <v>76.867874356764816</v>
      </c>
      <c r="AF111" s="2"/>
      <c r="AG111" s="2"/>
    </row>
    <row r="112" spans="1:33" x14ac:dyDescent="0.3">
      <c r="A112" s="67">
        <f t="shared" si="1"/>
        <v>109</v>
      </c>
      <c r="B112" s="75">
        <f>YEAR(Table1[[#This Row],[Date]])+IF(MONTH(Table1[[#This Row],[Date]])&gt;=4,1,0)</f>
        <v>2026</v>
      </c>
      <c r="C112" s="74">
        <f>YEAR(Table1[[#This Row],[Date]])</f>
        <v>2025</v>
      </c>
      <c r="D112" s="74" t="s">
        <v>1082</v>
      </c>
      <c r="E112" s="74" t="s">
        <v>1082</v>
      </c>
      <c r="F112" s="181">
        <f>Table1[[#This Row],[Date]]-DAY(Table1[[#This Row],[Date]])+1</f>
        <v>45748</v>
      </c>
      <c r="G112">
        <f>DAY(EOMONTH(Table1[[#This Row],[Month Year]],0))</f>
        <v>30</v>
      </c>
      <c r="H112" s="104">
        <v>45752</v>
      </c>
      <c r="I112" s="76">
        <f>IFERROR(VLOOKUP(Table1[[#This Row],[Date]],Table3[[Date]:[Sunset Time (POA&lt;20 W/m2)]],3,0),"")</f>
        <v>0.25833333333333336</v>
      </c>
      <c r="J112" s="76">
        <f>IFERROR(VLOOKUP(Table1[[#This Row],[Date]],Table3[[Date]:[Sunset Time (POA&lt;20 W/m2)]],4,0),"")</f>
        <v>0.76875000000000004</v>
      </c>
      <c r="K112" s="77">
        <f>IFERROR((Table1[[#This Row],[Sunset Time (POA&lt;20 W/m2)]]-Table1[[#This Row],[Sunrise Time (POA&gt;20 W/m2)]])*24,"")</f>
        <v>12.250000000000002</v>
      </c>
      <c r="L112" s="108" t="s">
        <v>232</v>
      </c>
      <c r="M112" s="61">
        <f>VLOOKUP(Table1[[#This Row],[Affceted Equipment]],'Basic Data'!$A$2:$C$818,2,0)</f>
        <v>669.6</v>
      </c>
      <c r="N112" s="93">
        <f>IFERROR(VLOOKUP(Table1[[#This Row],[Affceted Equipment]],'Basic Data'!$A$2:$C$818,3,0),"")</f>
        <v>8.348190352703562E-2</v>
      </c>
      <c r="O112" s="118" t="s">
        <v>323</v>
      </c>
      <c r="P112" s="94" t="s">
        <v>1090</v>
      </c>
      <c r="Q112" s="94"/>
      <c r="R112" s="94" t="s">
        <v>1090</v>
      </c>
      <c r="S112" s="92">
        <v>0.50902777777777775</v>
      </c>
      <c r="T112" s="119"/>
      <c r="U112" s="119"/>
      <c r="V112" s="92">
        <v>0.51597222222222228</v>
      </c>
      <c r="W112" s="89">
        <f>IF(Table1[[#This Row],[Acknowledgemnet Time ]]="NA","",(Table1[[#This Row],[Acknowledgemnet Time ]]-Table1[[#This Row],[Fault Time]])*24)</f>
        <v>-12.216666666666665</v>
      </c>
      <c r="X112" s="89">
        <f>IF(Table1[[#This Row],[Work Start time on Fault]]="NA","",(Table1[[#This Row],[Work Start time on Fault]]-Table1[[#This Row],[Fault Time]])*24)</f>
        <v>-12.216666666666665</v>
      </c>
      <c r="Y112" s="52">
        <f>(Table1[[#This Row],[Work Completiuon time on fualt]]-Table1[[#This Row],[Fault Time]])*24</f>
        <v>0.16666666666666874</v>
      </c>
      <c r="Z112" s="52">
        <f>IFERROR((Table1[[#This Row],[Work Completiuon time on fualt]]-Table1[[#This Row],[Fault Time]])*24,"")</f>
        <v>0.16666666666666874</v>
      </c>
      <c r="AA112" s="2" t="s">
        <v>1084</v>
      </c>
      <c r="AB112" s="2" t="s">
        <v>1080</v>
      </c>
      <c r="AC112" s="90">
        <f>IFERROR(Table1[[#This Row],[Breakdown Time]]*Table1[[#This Row],[Plant Equivalent Weightage]],"")</f>
        <v>1.3913650587839443E-2</v>
      </c>
      <c r="AD112" s="2">
        <v>0.17</v>
      </c>
      <c r="AE112" s="89">
        <f>_xlfn.XLOOKUP($F112,'Modelling New'!$D:$D,'Modelling New'!$O:$O)*Table1[[#This Row],[Lost PoA(Wh/m2)]]*Table1[[#This Row],[DC Capacity Affceted (kW)]]</f>
        <v>76.867874356764816</v>
      </c>
      <c r="AF112" s="2"/>
      <c r="AG112" s="2"/>
    </row>
    <row r="113" spans="1:33" x14ac:dyDescent="0.3">
      <c r="A113" s="67">
        <f t="shared" si="1"/>
        <v>110</v>
      </c>
      <c r="B113" s="75">
        <f>YEAR(Table1[[#This Row],[Date]])+IF(MONTH(Table1[[#This Row],[Date]])&gt;=4,1,0)</f>
        <v>2026</v>
      </c>
      <c r="C113" s="74">
        <f>YEAR(Table1[[#This Row],[Date]])</f>
        <v>2025</v>
      </c>
      <c r="D113" s="74" t="s">
        <v>1082</v>
      </c>
      <c r="E113" s="74" t="s">
        <v>1082</v>
      </c>
      <c r="F113" s="181">
        <f>Table1[[#This Row],[Date]]-DAY(Table1[[#This Row],[Date]])+1</f>
        <v>45748</v>
      </c>
      <c r="G113">
        <f>DAY(EOMONTH(Table1[[#This Row],[Month Year]],0))</f>
        <v>30</v>
      </c>
      <c r="H113" s="104">
        <v>45752</v>
      </c>
      <c r="I113" s="76">
        <f>IFERROR(VLOOKUP(Table1[[#This Row],[Date]],Table3[[Date]:[Sunset Time (POA&lt;20 W/m2)]],3,0),"")</f>
        <v>0.25833333333333336</v>
      </c>
      <c r="J113" s="76">
        <f>IFERROR(VLOOKUP(Table1[[#This Row],[Date]],Table3[[Date]:[Sunset Time (POA&lt;20 W/m2)]],4,0),"")</f>
        <v>0.76875000000000004</v>
      </c>
      <c r="K113" s="77">
        <f>IFERROR((Table1[[#This Row],[Sunset Time (POA&lt;20 W/m2)]]-Table1[[#This Row],[Sunrise Time (POA&gt;20 W/m2)]])*24,"")</f>
        <v>12.250000000000002</v>
      </c>
      <c r="L113" s="108" t="s">
        <v>180</v>
      </c>
      <c r="M113" s="91">
        <f>VLOOKUP(Table1[[#This Row],[Affceted Equipment]],'Basic Data'!$A$2:$C$818,2,0)</f>
        <v>2694.6</v>
      </c>
      <c r="N113" s="93">
        <f>IFERROR(VLOOKUP(Table1[[#This Row],[Affceted Equipment]],'Basic Data'!$A$2:$C$818,3,0),"")</f>
        <v>0.33594733758057077</v>
      </c>
      <c r="O113" s="118" t="s">
        <v>323</v>
      </c>
      <c r="P113" s="94" t="s">
        <v>1089</v>
      </c>
      <c r="Q113" s="94"/>
      <c r="R113" s="94" t="s">
        <v>1089</v>
      </c>
      <c r="S113" s="92">
        <v>0.51597222222222228</v>
      </c>
      <c r="T113" s="119"/>
      <c r="U113" s="119"/>
      <c r="V113" s="92">
        <v>0.52430555555555558</v>
      </c>
      <c r="W113" s="89">
        <f>IF(Table1[[#This Row],[Acknowledgemnet Time ]]="NA","",(Table1[[#This Row],[Acknowledgemnet Time ]]-Table1[[#This Row],[Fault Time]])*24)</f>
        <v>-12.383333333333335</v>
      </c>
      <c r="X113" s="89">
        <f>IF(Table1[[#This Row],[Work Start time on Fault]]="NA","",(Table1[[#This Row],[Work Start time on Fault]]-Table1[[#This Row],[Fault Time]])*24)</f>
        <v>-12.383333333333335</v>
      </c>
      <c r="Y113" s="52">
        <f>(Table1[[#This Row],[Work Completiuon time on fualt]]-Table1[[#This Row],[Fault Time]])*24</f>
        <v>0.19999999999999929</v>
      </c>
      <c r="Z113" s="52">
        <f>IFERROR((Table1[[#This Row],[Work Completiuon time on fualt]]-Table1[[#This Row],[Fault Time]])*24,"")</f>
        <v>0.19999999999999929</v>
      </c>
      <c r="AA113" s="2" t="s">
        <v>1086</v>
      </c>
      <c r="AB113" s="2" t="s">
        <v>1081</v>
      </c>
      <c r="AC113" s="90">
        <f>IFERROR(Table1[[#This Row],[Breakdown Time]]*Table1[[#This Row],[Plant Equivalent Weightage]],"")</f>
        <v>6.7189467516113918E-2</v>
      </c>
      <c r="AD113" s="2">
        <v>0.21</v>
      </c>
      <c r="AE113" s="89">
        <f>_xlfn.XLOOKUP($F113,'Modelling New'!$D:$D,'Modelling New'!$O:$O)*Table1[[#This Row],[Lost PoA(Wh/m2)]]*Table1[[#This Row],[DC Capacity Affceted (kW)]]</f>
        <v>382.11501678583409</v>
      </c>
      <c r="AF113" s="2"/>
      <c r="AG113" s="2"/>
    </row>
    <row r="114" spans="1:33" x14ac:dyDescent="0.3">
      <c r="A114" s="67">
        <f t="shared" si="1"/>
        <v>111</v>
      </c>
      <c r="B114" s="75">
        <f>YEAR(Table1[[#This Row],[Date]])+IF(MONTH(Table1[[#This Row],[Date]])&gt;=4,1,0)</f>
        <v>2026</v>
      </c>
      <c r="C114" s="74">
        <f>YEAR(Table1[[#This Row],[Date]])</f>
        <v>2025</v>
      </c>
      <c r="D114" s="74" t="s">
        <v>1082</v>
      </c>
      <c r="E114" s="74" t="s">
        <v>1082</v>
      </c>
      <c r="F114" s="181">
        <f>Table1[[#This Row],[Date]]-DAY(Table1[[#This Row],[Date]])+1</f>
        <v>45748</v>
      </c>
      <c r="G114">
        <f>DAY(EOMONTH(Table1[[#This Row],[Month Year]],0))</f>
        <v>30</v>
      </c>
      <c r="H114" s="104">
        <v>45752</v>
      </c>
      <c r="I114" s="76">
        <f>IFERROR(VLOOKUP(Table1[[#This Row],[Date]],Table3[[Date]:[Sunset Time (POA&lt;20 W/m2)]],3,0),"")</f>
        <v>0.25833333333333336</v>
      </c>
      <c r="J114" s="76">
        <f>IFERROR(VLOOKUP(Table1[[#This Row],[Date]],Table3[[Date]:[Sunset Time (POA&lt;20 W/m2)]],4,0),"")</f>
        <v>0.76875000000000004</v>
      </c>
      <c r="K114" s="77">
        <f>IFERROR((Table1[[#This Row],[Sunset Time (POA&lt;20 W/m2)]]-Table1[[#This Row],[Sunrise Time (POA&gt;20 W/m2)]])*24,"")</f>
        <v>12.250000000000002</v>
      </c>
      <c r="L114" s="108" t="s">
        <v>231</v>
      </c>
      <c r="M114" s="61">
        <f>VLOOKUP(Table1[[#This Row],[Affceted Equipment]],'Basic Data'!$A$2:$C$818,2,0)</f>
        <v>669.6</v>
      </c>
      <c r="N114" s="93">
        <f>IFERROR(VLOOKUP(Table1[[#This Row],[Affceted Equipment]],'Basic Data'!$A$2:$C$818,3,0),"")</f>
        <v>8.348190352703562E-2</v>
      </c>
      <c r="O114" s="118" t="s">
        <v>323</v>
      </c>
      <c r="P114" s="94" t="s">
        <v>1088</v>
      </c>
      <c r="Q114" s="94"/>
      <c r="R114" s="94" t="s">
        <v>1088</v>
      </c>
      <c r="S114" s="92">
        <v>0.52430555555555558</v>
      </c>
      <c r="T114" s="119"/>
      <c r="U114" s="119"/>
      <c r="V114" s="92">
        <v>0.52916666666666667</v>
      </c>
      <c r="W114" s="89">
        <f>IF(Table1[[#This Row],[Acknowledgemnet Time ]]="NA","",(Table1[[#This Row],[Acknowledgemnet Time ]]-Table1[[#This Row],[Fault Time]])*24)</f>
        <v>-12.583333333333334</v>
      </c>
      <c r="X114" s="89">
        <f>IF(Table1[[#This Row],[Work Start time on Fault]]="NA","",(Table1[[#This Row],[Work Start time on Fault]]-Table1[[#This Row],[Fault Time]])*24)</f>
        <v>-12.583333333333334</v>
      </c>
      <c r="Y114" s="52">
        <f>(Table1[[#This Row],[Work Completiuon time on fualt]]-Table1[[#This Row],[Fault Time]])*24</f>
        <v>0.11666666666666625</v>
      </c>
      <c r="Z114" s="52">
        <f>IFERROR((Table1[[#This Row],[Work Completiuon time on fualt]]-Table1[[#This Row],[Fault Time]])*24,"")</f>
        <v>0.11666666666666625</v>
      </c>
      <c r="AA114" s="2" t="s">
        <v>1084</v>
      </c>
      <c r="AB114" s="2" t="s">
        <v>1080</v>
      </c>
      <c r="AC114" s="90">
        <f>IFERROR(Table1[[#This Row],[Breakdown Time]]*Table1[[#This Row],[Plant Equivalent Weightage]],"")</f>
        <v>9.7395554114874539E-3</v>
      </c>
      <c r="AD114" s="2">
        <v>0.13</v>
      </c>
      <c r="AE114" s="89">
        <f>_xlfn.XLOOKUP($F114,'Modelling New'!$D:$D,'Modelling New'!$O:$O)*Table1[[#This Row],[Lost PoA(Wh/m2)]]*Table1[[#This Row],[DC Capacity Affceted (kW)]]</f>
        <v>58.781315684584854</v>
      </c>
      <c r="AF114" s="2"/>
      <c r="AG114" s="2"/>
    </row>
    <row r="115" spans="1:33" x14ac:dyDescent="0.3">
      <c r="A115" s="67">
        <f t="shared" si="1"/>
        <v>112</v>
      </c>
      <c r="B115" s="75">
        <f>YEAR(Table1[[#This Row],[Date]])+IF(MONTH(Table1[[#This Row],[Date]])&gt;=4,1,0)</f>
        <v>2026</v>
      </c>
      <c r="C115" s="74">
        <f>YEAR(Table1[[#This Row],[Date]])</f>
        <v>2025</v>
      </c>
      <c r="D115" s="74" t="s">
        <v>1082</v>
      </c>
      <c r="E115" s="74" t="s">
        <v>1082</v>
      </c>
      <c r="F115" s="181">
        <f>Table1[[#This Row],[Date]]-DAY(Table1[[#This Row],[Date]])+1</f>
        <v>45748</v>
      </c>
      <c r="G115">
        <f>DAY(EOMONTH(Table1[[#This Row],[Month Year]],0))</f>
        <v>30</v>
      </c>
      <c r="H115" s="104">
        <v>45752</v>
      </c>
      <c r="I115" s="76">
        <f>IFERROR(VLOOKUP(Table1[[#This Row],[Date]],Table3[[Date]:[Sunset Time (POA&lt;20 W/m2)]],3,0),"")</f>
        <v>0.25833333333333336</v>
      </c>
      <c r="J115" s="76">
        <f>IFERROR(VLOOKUP(Table1[[#This Row],[Date]],Table3[[Date]:[Sunset Time (POA&lt;20 W/m2)]],4,0),"")</f>
        <v>0.76875000000000004</v>
      </c>
      <c r="K115" s="77">
        <f>IFERROR((Table1[[#This Row],[Sunset Time (POA&lt;20 W/m2)]]-Table1[[#This Row],[Sunrise Time (POA&gt;20 W/m2)]])*24,"")</f>
        <v>12.250000000000002</v>
      </c>
      <c r="L115" s="108" t="s">
        <v>232</v>
      </c>
      <c r="M115" s="91">
        <f>VLOOKUP(Table1[[#This Row],[Affceted Equipment]],'Basic Data'!$A$2:$C$818,2,0)</f>
        <v>669.6</v>
      </c>
      <c r="N115" s="93">
        <f>IFERROR(VLOOKUP(Table1[[#This Row],[Affceted Equipment]],'Basic Data'!$A$2:$C$818,3,0),"")</f>
        <v>8.348190352703562E-2</v>
      </c>
      <c r="O115" s="118" t="s">
        <v>323</v>
      </c>
      <c r="P115" s="94" t="s">
        <v>1090</v>
      </c>
      <c r="Q115" s="94"/>
      <c r="R115" s="94" t="s">
        <v>1090</v>
      </c>
      <c r="S115" s="92">
        <v>0.52430555555555558</v>
      </c>
      <c r="T115" s="119"/>
      <c r="U115" s="119"/>
      <c r="V115" s="92">
        <v>0.52916666666666667</v>
      </c>
      <c r="W115" s="89">
        <f>IF(Table1[[#This Row],[Acknowledgemnet Time ]]="NA","",(Table1[[#This Row],[Acknowledgemnet Time ]]-Table1[[#This Row],[Fault Time]])*24)</f>
        <v>-12.583333333333334</v>
      </c>
      <c r="X115" s="89">
        <f>IF(Table1[[#This Row],[Work Start time on Fault]]="NA","",(Table1[[#This Row],[Work Start time on Fault]]-Table1[[#This Row],[Fault Time]])*24)</f>
        <v>-12.583333333333334</v>
      </c>
      <c r="Y115" s="52">
        <f>(Table1[[#This Row],[Work Completiuon time on fualt]]-Table1[[#This Row],[Fault Time]])*24</f>
        <v>0.11666666666666625</v>
      </c>
      <c r="Z115" s="52">
        <f>IFERROR((Table1[[#This Row],[Work Completiuon time on fualt]]-Table1[[#This Row],[Fault Time]])*24,"")</f>
        <v>0.11666666666666625</v>
      </c>
      <c r="AA115" s="2" t="s">
        <v>1084</v>
      </c>
      <c r="AB115" s="2" t="s">
        <v>1080</v>
      </c>
      <c r="AC115" s="90">
        <f>IFERROR(Table1[[#This Row],[Breakdown Time]]*Table1[[#This Row],[Plant Equivalent Weightage]],"")</f>
        <v>9.7395554114874539E-3</v>
      </c>
      <c r="AD115" s="2">
        <v>0.13</v>
      </c>
      <c r="AE115" s="89">
        <f>_xlfn.XLOOKUP($F115,'Modelling New'!$D:$D,'Modelling New'!$O:$O)*Table1[[#This Row],[Lost PoA(Wh/m2)]]*Table1[[#This Row],[DC Capacity Affceted (kW)]]</f>
        <v>58.781315684584854</v>
      </c>
      <c r="AF115" s="2"/>
      <c r="AG115" s="2"/>
    </row>
    <row r="116" spans="1:33" x14ac:dyDescent="0.3">
      <c r="A116" s="67">
        <f t="shared" si="1"/>
        <v>113</v>
      </c>
      <c r="B116" s="75">
        <f>YEAR(Table1[[#This Row],[Date]])+IF(MONTH(Table1[[#This Row],[Date]])&gt;=4,1,0)</f>
        <v>2026</v>
      </c>
      <c r="C116" s="74">
        <f>YEAR(Table1[[#This Row],[Date]])</f>
        <v>2025</v>
      </c>
      <c r="D116" s="74" t="s">
        <v>1082</v>
      </c>
      <c r="E116" s="74" t="s">
        <v>1082</v>
      </c>
      <c r="F116" s="181">
        <f>Table1[[#This Row],[Date]]-DAY(Table1[[#This Row],[Date]])+1</f>
        <v>45748</v>
      </c>
      <c r="G116">
        <f>DAY(EOMONTH(Table1[[#This Row],[Month Year]],0))</f>
        <v>30</v>
      </c>
      <c r="H116" s="104">
        <v>45752</v>
      </c>
      <c r="I116" s="76">
        <f>IFERROR(VLOOKUP(Table1[[#This Row],[Date]],Table3[[Date]:[Sunset Time (POA&lt;20 W/m2)]],3,0),"")</f>
        <v>0.25833333333333336</v>
      </c>
      <c r="J116" s="76">
        <f>IFERROR(VLOOKUP(Table1[[#This Row],[Date]],Table3[[Date]:[Sunset Time (POA&lt;20 W/m2)]],4,0),"")</f>
        <v>0.76875000000000004</v>
      </c>
      <c r="K116" s="77">
        <f>IFERROR((Table1[[#This Row],[Sunset Time (POA&lt;20 W/m2)]]-Table1[[#This Row],[Sunrise Time (POA&gt;20 W/m2)]])*24,"")</f>
        <v>12.250000000000002</v>
      </c>
      <c r="L116" s="108" t="s">
        <v>180</v>
      </c>
      <c r="M116" s="91">
        <f>VLOOKUP(Table1[[#This Row],[Affceted Equipment]],'Basic Data'!$A$2:$C$818,2,0)</f>
        <v>2694.6</v>
      </c>
      <c r="N116" s="93">
        <f>IFERROR(VLOOKUP(Table1[[#This Row],[Affceted Equipment]],'Basic Data'!$A$2:$C$818,3,0),"")</f>
        <v>0.33594733758057077</v>
      </c>
      <c r="O116" s="118" t="s">
        <v>323</v>
      </c>
      <c r="P116" s="94" t="s">
        <v>1089</v>
      </c>
      <c r="Q116" s="94"/>
      <c r="R116" s="94" t="s">
        <v>1089</v>
      </c>
      <c r="S116" s="92">
        <v>0.52916666666666667</v>
      </c>
      <c r="T116" s="119"/>
      <c r="U116" s="119"/>
      <c r="V116" s="92">
        <v>0.53472222222222221</v>
      </c>
      <c r="W116" s="89">
        <f>IF(Table1[[#This Row],[Acknowledgemnet Time ]]="NA","",(Table1[[#This Row],[Acknowledgemnet Time ]]-Table1[[#This Row],[Fault Time]])*24)</f>
        <v>-12.7</v>
      </c>
      <c r="X116" s="89">
        <f>IF(Table1[[#This Row],[Work Start time on Fault]]="NA","",(Table1[[#This Row],[Work Start time on Fault]]-Table1[[#This Row],[Fault Time]])*24)</f>
        <v>-12.7</v>
      </c>
      <c r="Y116" s="52">
        <f>(Table1[[#This Row],[Work Completiuon time on fualt]]-Table1[[#This Row],[Fault Time]])*24</f>
        <v>0.13333333333333286</v>
      </c>
      <c r="Z116" s="52">
        <f>IFERROR((Table1[[#This Row],[Work Completiuon time on fualt]]-Table1[[#This Row],[Fault Time]])*24,"")</f>
        <v>0.13333333333333286</v>
      </c>
      <c r="AA116" s="2" t="s">
        <v>1086</v>
      </c>
      <c r="AB116" s="2" t="s">
        <v>1081</v>
      </c>
      <c r="AC116" s="90">
        <f>IFERROR(Table1[[#This Row],[Breakdown Time]]*Table1[[#This Row],[Plant Equivalent Weightage]],"")</f>
        <v>4.4792978344075945E-2</v>
      </c>
      <c r="AD116" s="2">
        <v>0.14000000000000001</v>
      </c>
      <c r="AE116" s="89">
        <f>_xlfn.XLOOKUP($F116,'Modelling New'!$D:$D,'Modelling New'!$O:$O)*Table1[[#This Row],[Lost PoA(Wh/m2)]]*Table1[[#This Row],[DC Capacity Affceted (kW)]]</f>
        <v>254.74334452388945</v>
      </c>
      <c r="AF116" s="2"/>
      <c r="AG116" s="2"/>
    </row>
    <row r="117" spans="1:33" x14ac:dyDescent="0.3">
      <c r="A117" s="67">
        <f t="shared" si="1"/>
        <v>114</v>
      </c>
      <c r="B117" s="75">
        <f>YEAR(Table1[[#This Row],[Date]])+IF(MONTH(Table1[[#This Row],[Date]])&gt;=4,1,0)</f>
        <v>2026</v>
      </c>
      <c r="C117" s="74">
        <f>YEAR(Table1[[#This Row],[Date]])</f>
        <v>2025</v>
      </c>
      <c r="D117" s="74" t="s">
        <v>1082</v>
      </c>
      <c r="E117" s="74" t="s">
        <v>1082</v>
      </c>
      <c r="F117" s="181">
        <f>Table1[[#This Row],[Date]]-DAY(Table1[[#This Row],[Date]])+1</f>
        <v>45748</v>
      </c>
      <c r="G117">
        <f>DAY(EOMONTH(Table1[[#This Row],[Month Year]],0))</f>
        <v>30</v>
      </c>
      <c r="H117" s="104">
        <v>45752</v>
      </c>
      <c r="I117" s="76">
        <f>IFERROR(VLOOKUP(Table1[[#This Row],[Date]],Table3[[Date]:[Sunset Time (POA&lt;20 W/m2)]],3,0),"")</f>
        <v>0.25833333333333336</v>
      </c>
      <c r="J117" s="76">
        <f>IFERROR(VLOOKUP(Table1[[#This Row],[Date]],Table3[[Date]:[Sunset Time (POA&lt;20 W/m2)]],4,0),"")</f>
        <v>0.76875000000000004</v>
      </c>
      <c r="K117" s="77">
        <f>IFERROR((Table1[[#This Row],[Sunset Time (POA&lt;20 W/m2)]]-Table1[[#This Row],[Sunrise Time (POA&gt;20 W/m2)]])*24,"")</f>
        <v>12.250000000000002</v>
      </c>
      <c r="L117" s="108" t="s">
        <v>231</v>
      </c>
      <c r="M117" s="61">
        <f>VLOOKUP(Table1[[#This Row],[Affceted Equipment]],'Basic Data'!$A$2:$C$818,2,0)</f>
        <v>669.6</v>
      </c>
      <c r="N117" s="93">
        <f>IFERROR(VLOOKUP(Table1[[#This Row],[Affceted Equipment]],'Basic Data'!$A$2:$C$818,3,0),"")</f>
        <v>8.348190352703562E-2</v>
      </c>
      <c r="O117" s="118" t="s">
        <v>323</v>
      </c>
      <c r="P117" s="94" t="s">
        <v>1088</v>
      </c>
      <c r="Q117" s="94"/>
      <c r="R117" s="94" t="s">
        <v>1088</v>
      </c>
      <c r="S117" s="92">
        <v>0.53472222222222221</v>
      </c>
      <c r="T117" s="119"/>
      <c r="U117" s="119"/>
      <c r="V117" s="92">
        <v>0.53819444444444442</v>
      </c>
      <c r="W117" s="89">
        <f>IF(Table1[[#This Row],[Acknowledgemnet Time ]]="NA","",(Table1[[#This Row],[Acknowledgemnet Time ]]-Table1[[#This Row],[Fault Time]])*24)</f>
        <v>-12.833333333333332</v>
      </c>
      <c r="X117" s="89">
        <f>IF(Table1[[#This Row],[Work Start time on Fault]]="NA","",(Table1[[#This Row],[Work Start time on Fault]]-Table1[[#This Row],[Fault Time]])*24)</f>
        <v>-12.833333333333332</v>
      </c>
      <c r="Y117" s="52">
        <f>(Table1[[#This Row],[Work Completiuon time on fualt]]-Table1[[#This Row],[Fault Time]])*24</f>
        <v>8.3333333333333037E-2</v>
      </c>
      <c r="Z117" s="52">
        <f>IFERROR((Table1[[#This Row],[Work Completiuon time on fualt]]-Table1[[#This Row],[Fault Time]])*24,"")</f>
        <v>8.3333333333333037E-2</v>
      </c>
      <c r="AA117" s="2" t="s">
        <v>1084</v>
      </c>
      <c r="AB117" s="2" t="s">
        <v>1080</v>
      </c>
      <c r="AC117" s="90">
        <f>IFERROR(Table1[[#This Row],[Breakdown Time]]*Table1[[#This Row],[Plant Equivalent Weightage]],"")</f>
        <v>6.9568252939196107E-3</v>
      </c>
      <c r="AD117" s="2">
        <v>0.09</v>
      </c>
      <c r="AE117" s="89">
        <f>_xlfn.XLOOKUP($F117,'Modelling New'!$D:$D,'Modelling New'!$O:$O)*Table1[[#This Row],[Lost PoA(Wh/m2)]]*Table1[[#This Row],[DC Capacity Affceted (kW)]]</f>
        <v>40.694757012404892</v>
      </c>
      <c r="AF117" s="2"/>
      <c r="AG117" s="2"/>
    </row>
    <row r="118" spans="1:33" x14ac:dyDescent="0.3">
      <c r="A118" s="67">
        <f t="shared" si="1"/>
        <v>115</v>
      </c>
      <c r="B118" s="75">
        <f>YEAR(Table1[[#This Row],[Date]])+IF(MONTH(Table1[[#This Row],[Date]])&gt;=4,1,0)</f>
        <v>2026</v>
      </c>
      <c r="C118" s="74">
        <f>YEAR(Table1[[#This Row],[Date]])</f>
        <v>2025</v>
      </c>
      <c r="D118" s="74" t="s">
        <v>1082</v>
      </c>
      <c r="E118" s="74" t="s">
        <v>1082</v>
      </c>
      <c r="F118" s="181">
        <f>Table1[[#This Row],[Date]]-DAY(Table1[[#This Row],[Date]])+1</f>
        <v>45748</v>
      </c>
      <c r="G118">
        <f>DAY(EOMONTH(Table1[[#This Row],[Month Year]],0))</f>
        <v>30</v>
      </c>
      <c r="H118" s="104">
        <v>45752</v>
      </c>
      <c r="I118" s="76">
        <f>IFERROR(VLOOKUP(Table1[[#This Row],[Date]],Table3[[Date]:[Sunset Time (POA&lt;20 W/m2)]],3,0),"")</f>
        <v>0.25833333333333336</v>
      </c>
      <c r="J118" s="76">
        <f>IFERROR(VLOOKUP(Table1[[#This Row],[Date]],Table3[[Date]:[Sunset Time (POA&lt;20 W/m2)]],4,0),"")</f>
        <v>0.76875000000000004</v>
      </c>
      <c r="K118" s="77">
        <f>IFERROR((Table1[[#This Row],[Sunset Time (POA&lt;20 W/m2)]]-Table1[[#This Row],[Sunrise Time (POA&gt;20 W/m2)]])*24,"")</f>
        <v>12.250000000000002</v>
      </c>
      <c r="L118" s="108" t="s">
        <v>232</v>
      </c>
      <c r="M118" s="91">
        <f>VLOOKUP(Table1[[#This Row],[Affceted Equipment]],'Basic Data'!$A$2:$C$818,2,0)</f>
        <v>669.6</v>
      </c>
      <c r="N118" s="93">
        <f>IFERROR(VLOOKUP(Table1[[#This Row],[Affceted Equipment]],'Basic Data'!$A$2:$C$818,3,0),"")</f>
        <v>8.348190352703562E-2</v>
      </c>
      <c r="O118" s="118" t="s">
        <v>323</v>
      </c>
      <c r="P118" s="94" t="s">
        <v>1090</v>
      </c>
      <c r="Q118" s="94"/>
      <c r="R118" s="94" t="s">
        <v>1090</v>
      </c>
      <c r="S118" s="92">
        <v>0.53472222222222221</v>
      </c>
      <c r="T118" s="119"/>
      <c r="U118" s="119"/>
      <c r="V118" s="92">
        <v>0.53819444444444442</v>
      </c>
      <c r="W118" s="89">
        <f>IF(Table1[[#This Row],[Acknowledgemnet Time ]]="NA","",(Table1[[#This Row],[Acknowledgemnet Time ]]-Table1[[#This Row],[Fault Time]])*24)</f>
        <v>-12.833333333333332</v>
      </c>
      <c r="X118" s="89">
        <f>IF(Table1[[#This Row],[Work Start time on Fault]]="NA","",(Table1[[#This Row],[Work Start time on Fault]]-Table1[[#This Row],[Fault Time]])*24)</f>
        <v>-12.833333333333332</v>
      </c>
      <c r="Y118" s="52">
        <f>(Table1[[#This Row],[Work Completiuon time on fualt]]-Table1[[#This Row],[Fault Time]])*24</f>
        <v>8.3333333333333037E-2</v>
      </c>
      <c r="Z118" s="52">
        <f>IFERROR((Table1[[#This Row],[Work Completiuon time on fualt]]-Table1[[#This Row],[Fault Time]])*24,"")</f>
        <v>8.3333333333333037E-2</v>
      </c>
      <c r="AA118" s="2" t="s">
        <v>1084</v>
      </c>
      <c r="AB118" s="2" t="s">
        <v>1080</v>
      </c>
      <c r="AC118" s="90">
        <f>IFERROR(Table1[[#This Row],[Breakdown Time]]*Table1[[#This Row],[Plant Equivalent Weightage]],"")</f>
        <v>6.9568252939196107E-3</v>
      </c>
      <c r="AD118" s="2">
        <v>0.09</v>
      </c>
      <c r="AE118" s="89">
        <f>_xlfn.XLOOKUP($F118,'Modelling New'!$D:$D,'Modelling New'!$O:$O)*Table1[[#This Row],[Lost PoA(Wh/m2)]]*Table1[[#This Row],[DC Capacity Affceted (kW)]]</f>
        <v>40.694757012404892</v>
      </c>
      <c r="AF118" s="2"/>
      <c r="AG118" s="2"/>
    </row>
    <row r="119" spans="1:33" x14ac:dyDescent="0.3">
      <c r="A119" s="67">
        <f t="shared" si="1"/>
        <v>116</v>
      </c>
      <c r="B119" s="75">
        <f>YEAR(Table1[[#This Row],[Date]])+IF(MONTH(Table1[[#This Row],[Date]])&gt;=4,1,0)</f>
        <v>2026</v>
      </c>
      <c r="C119" s="74">
        <f>YEAR(Table1[[#This Row],[Date]])</f>
        <v>2025</v>
      </c>
      <c r="D119" s="74" t="s">
        <v>1082</v>
      </c>
      <c r="E119" s="74" t="s">
        <v>1082</v>
      </c>
      <c r="F119" s="181">
        <f>Table1[[#This Row],[Date]]-DAY(Table1[[#This Row],[Date]])+1</f>
        <v>45748</v>
      </c>
      <c r="G119">
        <f>DAY(EOMONTH(Table1[[#This Row],[Month Year]],0))</f>
        <v>30</v>
      </c>
      <c r="H119" s="104">
        <v>45752</v>
      </c>
      <c r="I119" s="76">
        <f>IFERROR(VLOOKUP(Table1[[#This Row],[Date]],Table3[[Date]:[Sunset Time (POA&lt;20 W/m2)]],3,0),"")</f>
        <v>0.25833333333333336</v>
      </c>
      <c r="J119" s="76">
        <f>IFERROR(VLOOKUP(Table1[[#This Row],[Date]],Table3[[Date]:[Sunset Time (POA&lt;20 W/m2)]],4,0),"")</f>
        <v>0.76875000000000004</v>
      </c>
      <c r="K119" s="77">
        <f>IFERROR((Table1[[#This Row],[Sunset Time (POA&lt;20 W/m2)]]-Table1[[#This Row],[Sunrise Time (POA&gt;20 W/m2)]])*24,"")</f>
        <v>12.250000000000002</v>
      </c>
      <c r="L119" s="108" t="s">
        <v>180</v>
      </c>
      <c r="M119" s="91">
        <f>VLOOKUP(Table1[[#This Row],[Affceted Equipment]],'Basic Data'!$A$2:$C$818,2,0)</f>
        <v>2694.6</v>
      </c>
      <c r="N119" s="93">
        <f>IFERROR(VLOOKUP(Table1[[#This Row],[Affceted Equipment]],'Basic Data'!$A$2:$C$818,3,0),"")</f>
        <v>0.33594733758057077</v>
      </c>
      <c r="O119" s="118" t="s">
        <v>323</v>
      </c>
      <c r="P119" s="94" t="s">
        <v>1089</v>
      </c>
      <c r="Q119" s="94"/>
      <c r="R119" s="94" t="s">
        <v>1089</v>
      </c>
      <c r="S119" s="92">
        <v>0.53819444444444442</v>
      </c>
      <c r="T119" s="119"/>
      <c r="U119" s="119"/>
      <c r="V119" s="92">
        <v>0.54583333333333328</v>
      </c>
      <c r="W119" s="89">
        <f>IF(Table1[[#This Row],[Acknowledgemnet Time ]]="NA","",(Table1[[#This Row],[Acknowledgemnet Time ]]-Table1[[#This Row],[Fault Time]])*24)</f>
        <v>-12.916666666666666</v>
      </c>
      <c r="X119" s="89">
        <f>IF(Table1[[#This Row],[Work Start time on Fault]]="NA","",(Table1[[#This Row],[Work Start time on Fault]]-Table1[[#This Row],[Fault Time]])*24)</f>
        <v>-12.916666666666666</v>
      </c>
      <c r="Y119" s="52">
        <f>(Table1[[#This Row],[Work Completiuon time on fualt]]-Table1[[#This Row],[Fault Time]])*24</f>
        <v>0.18333333333333268</v>
      </c>
      <c r="Z119" s="52">
        <f>IFERROR((Table1[[#This Row],[Work Completiuon time on fualt]]-Table1[[#This Row],[Fault Time]])*24,"")</f>
        <v>0.18333333333333268</v>
      </c>
      <c r="AA119" s="2" t="s">
        <v>1086</v>
      </c>
      <c r="AB119" s="2" t="s">
        <v>1081</v>
      </c>
      <c r="AC119" s="90">
        <f>IFERROR(Table1[[#This Row],[Breakdown Time]]*Table1[[#This Row],[Plant Equivalent Weightage]],"")</f>
        <v>6.1590345223104422E-2</v>
      </c>
      <c r="AD119" s="2">
        <v>0.19</v>
      </c>
      <c r="AE119" s="89">
        <f>_xlfn.XLOOKUP($F119,'Modelling New'!$D:$D,'Modelling New'!$O:$O)*Table1[[#This Row],[Lost PoA(Wh/m2)]]*Table1[[#This Row],[DC Capacity Affceted (kW)]]</f>
        <v>345.72311042527849</v>
      </c>
      <c r="AF119" s="2"/>
      <c r="AG119" s="2"/>
    </row>
    <row r="120" spans="1:33" x14ac:dyDescent="0.3">
      <c r="A120" s="67">
        <f t="shared" si="1"/>
        <v>117</v>
      </c>
      <c r="B120" s="75">
        <f>YEAR(Table1[[#This Row],[Date]])+IF(MONTH(Table1[[#This Row],[Date]])&gt;=4,1,0)</f>
        <v>2026</v>
      </c>
      <c r="C120" s="74">
        <f>YEAR(Table1[[#This Row],[Date]])</f>
        <v>2025</v>
      </c>
      <c r="D120" s="74" t="s">
        <v>1082</v>
      </c>
      <c r="E120" s="74" t="s">
        <v>1082</v>
      </c>
      <c r="F120" s="181">
        <f>Table1[[#This Row],[Date]]-DAY(Table1[[#This Row],[Date]])+1</f>
        <v>45748</v>
      </c>
      <c r="G120">
        <f>DAY(EOMONTH(Table1[[#This Row],[Month Year]],0))</f>
        <v>30</v>
      </c>
      <c r="H120" s="104">
        <v>45752</v>
      </c>
      <c r="I120" s="76">
        <f>IFERROR(VLOOKUP(Table1[[#This Row],[Date]],Table3[[Date]:[Sunset Time (POA&lt;20 W/m2)]],3,0),"")</f>
        <v>0.25833333333333336</v>
      </c>
      <c r="J120" s="76">
        <f>IFERROR(VLOOKUP(Table1[[#This Row],[Date]],Table3[[Date]:[Sunset Time (POA&lt;20 W/m2)]],4,0),"")</f>
        <v>0.76875000000000004</v>
      </c>
      <c r="K120" s="77">
        <f>IFERROR((Table1[[#This Row],[Sunset Time (POA&lt;20 W/m2)]]-Table1[[#This Row],[Sunrise Time (POA&gt;20 W/m2)]])*24,"")</f>
        <v>12.250000000000002</v>
      </c>
      <c r="L120" s="108" t="s">
        <v>231</v>
      </c>
      <c r="M120" s="61">
        <f>VLOOKUP(Table1[[#This Row],[Affceted Equipment]],'Basic Data'!$A$2:$C$818,2,0)</f>
        <v>669.6</v>
      </c>
      <c r="N120" s="93">
        <f>IFERROR(VLOOKUP(Table1[[#This Row],[Affceted Equipment]],'Basic Data'!$A$2:$C$818,3,0),"")</f>
        <v>8.348190352703562E-2</v>
      </c>
      <c r="O120" s="118" t="s">
        <v>323</v>
      </c>
      <c r="P120" s="94" t="s">
        <v>1088</v>
      </c>
      <c r="Q120" s="94"/>
      <c r="R120" s="94" t="s">
        <v>1088</v>
      </c>
      <c r="S120" s="92">
        <v>0.54583333333333328</v>
      </c>
      <c r="T120" s="119"/>
      <c r="U120" s="119"/>
      <c r="V120" s="92">
        <v>0.55138888888888893</v>
      </c>
      <c r="W120" s="89">
        <f>IF(Table1[[#This Row],[Acknowledgemnet Time ]]="NA","",(Table1[[#This Row],[Acknowledgemnet Time ]]-Table1[[#This Row],[Fault Time]])*24)</f>
        <v>-13.099999999999998</v>
      </c>
      <c r="X120" s="89">
        <f>IF(Table1[[#This Row],[Work Start time on Fault]]="NA","",(Table1[[#This Row],[Work Start time on Fault]]-Table1[[#This Row],[Fault Time]])*24)</f>
        <v>-13.099999999999998</v>
      </c>
      <c r="Y120" s="52">
        <f>(Table1[[#This Row],[Work Completiuon time on fualt]]-Table1[[#This Row],[Fault Time]])*24</f>
        <v>0.13333333333333552</v>
      </c>
      <c r="Z120" s="52">
        <f>IFERROR((Table1[[#This Row],[Work Completiuon time on fualt]]-Table1[[#This Row],[Fault Time]])*24,"")</f>
        <v>0.13333333333333552</v>
      </c>
      <c r="AA120" s="2" t="s">
        <v>1084</v>
      </c>
      <c r="AB120" s="2" t="s">
        <v>1080</v>
      </c>
      <c r="AC120" s="90">
        <f>IFERROR(Table1[[#This Row],[Breakdown Time]]*Table1[[#This Row],[Plant Equivalent Weightage]],"")</f>
        <v>1.1130920470271598E-2</v>
      </c>
      <c r="AD120" s="2">
        <v>0.14000000000000001</v>
      </c>
      <c r="AE120" s="89">
        <f>_xlfn.XLOOKUP($F120,'Modelling New'!$D:$D,'Modelling New'!$O:$O)*Table1[[#This Row],[Lost PoA(Wh/m2)]]*Table1[[#This Row],[DC Capacity Affceted (kW)]]</f>
        <v>63.302955352629844</v>
      </c>
      <c r="AF120" s="2"/>
      <c r="AG120" s="2"/>
    </row>
    <row r="121" spans="1:33" x14ac:dyDescent="0.3">
      <c r="A121" s="67">
        <f t="shared" si="1"/>
        <v>118</v>
      </c>
      <c r="B121" s="75">
        <f>YEAR(Table1[[#This Row],[Date]])+IF(MONTH(Table1[[#This Row],[Date]])&gt;=4,1,0)</f>
        <v>2026</v>
      </c>
      <c r="C121" s="74">
        <f>YEAR(Table1[[#This Row],[Date]])</f>
        <v>2025</v>
      </c>
      <c r="D121" s="74" t="s">
        <v>1082</v>
      </c>
      <c r="E121" s="74" t="s">
        <v>1082</v>
      </c>
      <c r="F121" s="181">
        <f>Table1[[#This Row],[Date]]-DAY(Table1[[#This Row],[Date]])+1</f>
        <v>45748</v>
      </c>
      <c r="G121">
        <f>DAY(EOMONTH(Table1[[#This Row],[Month Year]],0))</f>
        <v>30</v>
      </c>
      <c r="H121" s="104">
        <v>45752</v>
      </c>
      <c r="I121" s="76">
        <f>IFERROR(VLOOKUP(Table1[[#This Row],[Date]],Table3[[Date]:[Sunset Time (POA&lt;20 W/m2)]],3,0),"")</f>
        <v>0.25833333333333336</v>
      </c>
      <c r="J121" s="76">
        <f>IFERROR(VLOOKUP(Table1[[#This Row],[Date]],Table3[[Date]:[Sunset Time (POA&lt;20 W/m2)]],4,0),"")</f>
        <v>0.76875000000000004</v>
      </c>
      <c r="K121" s="77">
        <f>IFERROR((Table1[[#This Row],[Sunset Time (POA&lt;20 W/m2)]]-Table1[[#This Row],[Sunrise Time (POA&gt;20 W/m2)]])*24,"")</f>
        <v>12.250000000000002</v>
      </c>
      <c r="L121" s="108" t="s">
        <v>232</v>
      </c>
      <c r="M121" s="91">
        <f>VLOOKUP(Table1[[#This Row],[Affceted Equipment]],'Basic Data'!$A$2:$C$818,2,0)</f>
        <v>669.6</v>
      </c>
      <c r="N121" s="93">
        <f>IFERROR(VLOOKUP(Table1[[#This Row],[Affceted Equipment]],'Basic Data'!$A$2:$C$818,3,0),"")</f>
        <v>8.348190352703562E-2</v>
      </c>
      <c r="O121" s="118" t="s">
        <v>323</v>
      </c>
      <c r="P121" s="94" t="s">
        <v>1090</v>
      </c>
      <c r="Q121" s="94"/>
      <c r="R121" s="94" t="s">
        <v>1090</v>
      </c>
      <c r="S121" s="92">
        <v>0.54583333333333328</v>
      </c>
      <c r="T121" s="119"/>
      <c r="U121" s="119"/>
      <c r="V121" s="92">
        <v>0.55138888888888893</v>
      </c>
      <c r="W121" s="89">
        <f>IF(Table1[[#This Row],[Acknowledgemnet Time ]]="NA","",(Table1[[#This Row],[Acknowledgemnet Time ]]-Table1[[#This Row],[Fault Time]])*24)</f>
        <v>-13.099999999999998</v>
      </c>
      <c r="X121" s="89">
        <f>IF(Table1[[#This Row],[Work Start time on Fault]]="NA","",(Table1[[#This Row],[Work Start time on Fault]]-Table1[[#This Row],[Fault Time]])*24)</f>
        <v>-13.099999999999998</v>
      </c>
      <c r="Y121" s="52">
        <f>(Table1[[#This Row],[Work Completiuon time on fualt]]-Table1[[#This Row],[Fault Time]])*24</f>
        <v>0.13333333333333552</v>
      </c>
      <c r="Z121" s="52">
        <f>IFERROR((Table1[[#This Row],[Work Completiuon time on fualt]]-Table1[[#This Row],[Fault Time]])*24,"")</f>
        <v>0.13333333333333552</v>
      </c>
      <c r="AA121" s="2" t="s">
        <v>1084</v>
      </c>
      <c r="AB121" s="2" t="s">
        <v>1080</v>
      </c>
      <c r="AC121" s="90">
        <f>IFERROR(Table1[[#This Row],[Breakdown Time]]*Table1[[#This Row],[Plant Equivalent Weightage]],"")</f>
        <v>1.1130920470271598E-2</v>
      </c>
      <c r="AD121" s="2">
        <v>0.14000000000000001</v>
      </c>
      <c r="AE121" s="89">
        <f>_xlfn.XLOOKUP($F121,'Modelling New'!$D:$D,'Modelling New'!$O:$O)*Table1[[#This Row],[Lost PoA(Wh/m2)]]*Table1[[#This Row],[DC Capacity Affceted (kW)]]</f>
        <v>63.302955352629844</v>
      </c>
      <c r="AF121" s="2"/>
      <c r="AG121" s="2"/>
    </row>
    <row r="122" spans="1:33" x14ac:dyDescent="0.3">
      <c r="A122" s="67">
        <f t="shared" si="1"/>
        <v>119</v>
      </c>
      <c r="B122" s="75">
        <f>YEAR(Table1[[#This Row],[Date]])+IF(MONTH(Table1[[#This Row],[Date]])&gt;=4,1,0)</f>
        <v>2026</v>
      </c>
      <c r="C122" s="74">
        <f>YEAR(Table1[[#This Row],[Date]])</f>
        <v>2025</v>
      </c>
      <c r="D122" s="74" t="s">
        <v>1082</v>
      </c>
      <c r="E122" s="74" t="s">
        <v>1082</v>
      </c>
      <c r="F122" s="181">
        <f>Table1[[#This Row],[Date]]-DAY(Table1[[#This Row],[Date]])+1</f>
        <v>45748</v>
      </c>
      <c r="G122">
        <f>DAY(EOMONTH(Table1[[#This Row],[Month Year]],0))</f>
        <v>30</v>
      </c>
      <c r="H122" s="104">
        <v>45752</v>
      </c>
      <c r="I122" s="76">
        <f>IFERROR(VLOOKUP(Table1[[#This Row],[Date]],Table3[[Date]:[Sunset Time (POA&lt;20 W/m2)]],3,0),"")</f>
        <v>0.25833333333333336</v>
      </c>
      <c r="J122" s="76">
        <f>IFERROR(VLOOKUP(Table1[[#This Row],[Date]],Table3[[Date]:[Sunset Time (POA&lt;20 W/m2)]],4,0),"")</f>
        <v>0.76875000000000004</v>
      </c>
      <c r="K122" s="77">
        <f>IFERROR((Table1[[#This Row],[Sunset Time (POA&lt;20 W/m2)]]-Table1[[#This Row],[Sunrise Time (POA&gt;20 W/m2)]])*24,"")</f>
        <v>12.250000000000002</v>
      </c>
      <c r="L122" s="108" t="s">
        <v>180</v>
      </c>
      <c r="M122" s="91">
        <f>VLOOKUP(Table1[[#This Row],[Affceted Equipment]],'Basic Data'!$A$2:$C$818,2,0)</f>
        <v>2694.6</v>
      </c>
      <c r="N122" s="93">
        <f>IFERROR(VLOOKUP(Table1[[#This Row],[Affceted Equipment]],'Basic Data'!$A$2:$C$818,3,0),"")</f>
        <v>0.33594733758057077</v>
      </c>
      <c r="O122" s="118" t="s">
        <v>323</v>
      </c>
      <c r="P122" s="94" t="s">
        <v>1089</v>
      </c>
      <c r="Q122" s="94"/>
      <c r="R122" s="94" t="s">
        <v>1089</v>
      </c>
      <c r="S122" s="92">
        <v>0.55138888888888893</v>
      </c>
      <c r="T122" s="119"/>
      <c r="U122" s="119"/>
      <c r="V122" s="92">
        <v>0.55694444444444446</v>
      </c>
      <c r="W122" s="89">
        <f>IF(Table1[[#This Row],[Acknowledgemnet Time ]]="NA","",(Table1[[#This Row],[Acknowledgemnet Time ]]-Table1[[#This Row],[Fault Time]])*24)</f>
        <v>-13.233333333333334</v>
      </c>
      <c r="X122" s="89">
        <f>IF(Table1[[#This Row],[Work Start time on Fault]]="NA","",(Table1[[#This Row],[Work Start time on Fault]]-Table1[[#This Row],[Fault Time]])*24)</f>
        <v>-13.233333333333334</v>
      </c>
      <c r="Y122" s="52">
        <f>(Table1[[#This Row],[Work Completiuon time on fualt]]-Table1[[#This Row],[Fault Time]])*24</f>
        <v>0.13333333333333286</v>
      </c>
      <c r="Z122" s="52">
        <f>IFERROR((Table1[[#This Row],[Work Completiuon time on fualt]]-Table1[[#This Row],[Fault Time]])*24,"")</f>
        <v>0.13333333333333286</v>
      </c>
      <c r="AA122" s="2" t="s">
        <v>1086</v>
      </c>
      <c r="AB122" s="2" t="s">
        <v>1081</v>
      </c>
      <c r="AC122" s="90">
        <f>IFERROR(Table1[[#This Row],[Breakdown Time]]*Table1[[#This Row],[Plant Equivalent Weightage]],"")</f>
        <v>4.4792978344075945E-2</v>
      </c>
      <c r="AD122" s="2">
        <v>0.14000000000000001</v>
      </c>
      <c r="AE122" s="89">
        <f>_xlfn.XLOOKUP($F122,'Modelling New'!$D:$D,'Modelling New'!$O:$O)*Table1[[#This Row],[Lost PoA(Wh/m2)]]*Table1[[#This Row],[DC Capacity Affceted (kW)]]</f>
        <v>254.74334452388945</v>
      </c>
      <c r="AF122" s="2"/>
      <c r="AG122" s="2"/>
    </row>
    <row r="123" spans="1:33" x14ac:dyDescent="0.3">
      <c r="A123" s="67">
        <f t="shared" si="1"/>
        <v>120</v>
      </c>
      <c r="B123" s="75">
        <f>YEAR(Table1[[#This Row],[Date]])+IF(MONTH(Table1[[#This Row],[Date]])&gt;=4,1,0)</f>
        <v>2026</v>
      </c>
      <c r="C123" s="74">
        <f>YEAR(Table1[[#This Row],[Date]])</f>
        <v>2025</v>
      </c>
      <c r="D123" s="74" t="s">
        <v>1082</v>
      </c>
      <c r="E123" s="74" t="s">
        <v>1082</v>
      </c>
      <c r="F123" s="181">
        <f>Table1[[#This Row],[Date]]-DAY(Table1[[#This Row],[Date]])+1</f>
        <v>45748</v>
      </c>
      <c r="G123">
        <f>DAY(EOMONTH(Table1[[#This Row],[Month Year]],0))</f>
        <v>30</v>
      </c>
      <c r="H123" s="104">
        <v>45752</v>
      </c>
      <c r="I123" s="76">
        <f>IFERROR(VLOOKUP(Table1[[#This Row],[Date]],Table3[[Date]:[Sunset Time (POA&lt;20 W/m2)]],3,0),"")</f>
        <v>0.25833333333333336</v>
      </c>
      <c r="J123" s="76">
        <f>IFERROR(VLOOKUP(Table1[[#This Row],[Date]],Table3[[Date]:[Sunset Time (POA&lt;20 W/m2)]],4,0),"")</f>
        <v>0.76875000000000004</v>
      </c>
      <c r="K123" s="77">
        <f>IFERROR((Table1[[#This Row],[Sunset Time (POA&lt;20 W/m2)]]-Table1[[#This Row],[Sunrise Time (POA&gt;20 W/m2)]])*24,"")</f>
        <v>12.250000000000002</v>
      </c>
      <c r="L123" s="108" t="s">
        <v>181</v>
      </c>
      <c r="M123" s="61">
        <f>VLOOKUP(Table1[[#This Row],[Affceted Equipment]],'Basic Data'!$A$2:$C$818,2,0)</f>
        <v>2630.8</v>
      </c>
      <c r="N123" s="93">
        <f>IFERROR(VLOOKUP(Table1[[#This Row],[Affceted Equipment]],'Basic Data'!$A$2:$C$818,3,0),"")</f>
        <v>0.32799311797927916</v>
      </c>
      <c r="O123" s="118" t="s">
        <v>303</v>
      </c>
      <c r="P123" s="94" t="s">
        <v>1185</v>
      </c>
      <c r="Q123" s="94"/>
      <c r="R123" s="94" t="s">
        <v>1185</v>
      </c>
      <c r="S123" s="92">
        <v>0.55208333333333337</v>
      </c>
      <c r="T123" s="119"/>
      <c r="U123" s="119"/>
      <c r="V123" s="92">
        <v>0.57708333333333328</v>
      </c>
      <c r="W123" s="89">
        <f>IF(Table1[[#This Row],[Acknowledgemnet Time ]]="NA","",(Table1[[#This Row],[Acknowledgemnet Time ]]-Table1[[#This Row],[Fault Time]])*24)</f>
        <v>-13.25</v>
      </c>
      <c r="X123" s="89">
        <f>IF(Table1[[#This Row],[Work Start time on Fault]]="NA","",(Table1[[#This Row],[Work Start time on Fault]]-Table1[[#This Row],[Fault Time]])*24)</f>
        <v>-13.25</v>
      </c>
      <c r="Y123" s="52">
        <f>(Table1[[#This Row],[Work Completiuon time on fualt]]-Table1[[#This Row],[Fault Time]])*24</f>
        <v>0.59999999999999787</v>
      </c>
      <c r="Z123" s="52">
        <f>IFERROR((Table1[[#This Row],[Work Completiuon time on fualt]]-Table1[[#This Row],[Fault Time]])*24,"")</f>
        <v>0.59999999999999787</v>
      </c>
      <c r="AA123" s="2" t="s">
        <v>1086</v>
      </c>
      <c r="AB123" s="2" t="s">
        <v>1081</v>
      </c>
      <c r="AC123" s="90">
        <f>IFERROR(Table1[[#This Row],[Breakdown Time]]*Table1[[#This Row],[Plant Equivalent Weightage]],"")</f>
        <v>0.1967958707875668</v>
      </c>
      <c r="AD123" s="2">
        <v>0.59</v>
      </c>
      <c r="AE123" s="89">
        <f>_xlfn.XLOOKUP($F123,'Modelling New'!$D:$D,'Modelling New'!$O:$O)*Table1[[#This Row],[Lost PoA(Wh/m2)]]*Table1[[#This Row],[DC Capacity Affceted (kW)]]</f>
        <v>1048.142545822689</v>
      </c>
      <c r="AF123" s="2"/>
      <c r="AG123" s="2"/>
    </row>
    <row r="124" spans="1:33" x14ac:dyDescent="0.3">
      <c r="A124" s="67">
        <f t="shared" si="1"/>
        <v>121</v>
      </c>
      <c r="B124" s="75">
        <f>YEAR(Table1[[#This Row],[Date]])+IF(MONTH(Table1[[#This Row],[Date]])&gt;=4,1,0)</f>
        <v>2026</v>
      </c>
      <c r="C124" s="74">
        <f>YEAR(Table1[[#This Row],[Date]])</f>
        <v>2025</v>
      </c>
      <c r="D124" s="74" t="s">
        <v>1082</v>
      </c>
      <c r="E124" s="74" t="s">
        <v>1082</v>
      </c>
      <c r="F124" s="181">
        <f>Table1[[#This Row],[Date]]-DAY(Table1[[#This Row],[Date]])+1</f>
        <v>45748</v>
      </c>
      <c r="G124">
        <f>DAY(EOMONTH(Table1[[#This Row],[Month Year]],0))</f>
        <v>30</v>
      </c>
      <c r="H124" s="104">
        <v>45752</v>
      </c>
      <c r="I124" s="76">
        <f>IFERROR(VLOOKUP(Table1[[#This Row],[Date]],Table3[[Date]:[Sunset Time (POA&lt;20 W/m2)]],3,0),"")</f>
        <v>0.25833333333333336</v>
      </c>
      <c r="J124" s="76">
        <f>IFERROR(VLOOKUP(Table1[[#This Row],[Date]],Table3[[Date]:[Sunset Time (POA&lt;20 W/m2)]],4,0),"")</f>
        <v>0.76875000000000004</v>
      </c>
      <c r="K124" s="77">
        <f>IFERROR((Table1[[#This Row],[Sunset Time (POA&lt;20 W/m2)]]-Table1[[#This Row],[Sunrise Time (POA&gt;20 W/m2)]])*24,"")</f>
        <v>12.250000000000002</v>
      </c>
      <c r="L124" s="108" t="s">
        <v>238</v>
      </c>
      <c r="M124" s="61">
        <f>VLOOKUP(Table1[[#This Row],[Affceted Equipment]],'Basic Data'!$A$2:$C$818,2,0)</f>
        <v>658.8</v>
      </c>
      <c r="N124" s="93">
        <f>IFERROR(VLOOKUP(Table1[[#This Row],[Affceted Equipment]],'Basic Data'!$A$2:$C$818,3,0),"")</f>
        <v>8.2135421212083434E-2</v>
      </c>
      <c r="O124" s="118" t="s">
        <v>303</v>
      </c>
      <c r="P124" s="94" t="s">
        <v>1087</v>
      </c>
      <c r="Q124" s="94"/>
      <c r="R124" s="94" t="s">
        <v>1087</v>
      </c>
      <c r="S124" s="172">
        <v>0.57708333333333328</v>
      </c>
      <c r="T124" s="119"/>
      <c r="U124" s="119"/>
      <c r="V124" s="172">
        <v>0.76875000000000004</v>
      </c>
      <c r="W124" s="89">
        <f>IF(Table1[[#This Row],[Acknowledgemnet Time ]]="NA","",(Table1[[#This Row],[Acknowledgemnet Time ]]-Table1[[#This Row],[Fault Time]])*24)</f>
        <v>-13.849999999999998</v>
      </c>
      <c r="X124" s="89">
        <f>IF(Table1[[#This Row],[Work Start time on Fault]]="NA","",(Table1[[#This Row],[Work Start time on Fault]]-Table1[[#This Row],[Fault Time]])*24)</f>
        <v>-13.849999999999998</v>
      </c>
      <c r="Y124" s="52">
        <f>(Table1[[#This Row],[Work Completiuon time on fualt]]-Table1[[#This Row],[Fault Time]])*24</f>
        <v>4.6000000000000023</v>
      </c>
      <c r="Z124" s="52">
        <f>IFERROR((Table1[[#This Row],[Work Completiuon time on fualt]]-Table1[[#This Row],[Fault Time]])*24,"")</f>
        <v>4.6000000000000023</v>
      </c>
      <c r="AA124" s="2" t="s">
        <v>1084</v>
      </c>
      <c r="AB124" s="2" t="s">
        <v>1080</v>
      </c>
      <c r="AC124" s="90">
        <f>IFERROR(Table1[[#This Row],[Breakdown Time]]*Table1[[#This Row],[Plant Equivalent Weightage]],"")</f>
        <v>0.37782293757558399</v>
      </c>
      <c r="AD124" s="2">
        <v>2.23</v>
      </c>
      <c r="AE124" s="89">
        <f>_xlfn.XLOOKUP($F124,'Modelling New'!$D:$D,'Modelling New'!$O:$O)*Table1[[#This Row],[Lost PoA(Wh/m2)]]*Table1[[#This Row],[DC Capacity Affceted (kW)]]</f>
        <v>992.06232910348342</v>
      </c>
      <c r="AF124" s="2"/>
      <c r="AG124" s="2"/>
    </row>
    <row r="125" spans="1:33" x14ac:dyDescent="0.3">
      <c r="A125" s="67">
        <f t="shared" si="1"/>
        <v>122</v>
      </c>
      <c r="B125" s="75">
        <f>YEAR(Table1[[#This Row],[Date]])+IF(MONTH(Table1[[#This Row],[Date]])&gt;=4,1,0)</f>
        <v>2026</v>
      </c>
      <c r="C125" s="74">
        <f>YEAR(Table1[[#This Row],[Date]])</f>
        <v>2025</v>
      </c>
      <c r="D125" s="74" t="s">
        <v>1082</v>
      </c>
      <c r="E125" s="74" t="s">
        <v>1082</v>
      </c>
      <c r="F125" s="181">
        <f>Table1[[#This Row],[Date]]-DAY(Table1[[#This Row],[Date]])+1</f>
        <v>45748</v>
      </c>
      <c r="G125">
        <f>DAY(EOMONTH(Table1[[#This Row],[Month Year]],0))</f>
        <v>30</v>
      </c>
      <c r="H125" s="104">
        <v>45752</v>
      </c>
      <c r="I125" s="76">
        <f>IFERROR(VLOOKUP(Table1[[#This Row],[Date]],Table3[[Date]:[Sunset Time (POA&lt;20 W/m2)]],3,0),"")</f>
        <v>0.25833333333333336</v>
      </c>
      <c r="J125" s="76">
        <f>IFERROR(VLOOKUP(Table1[[#This Row],[Date]],Table3[[Date]:[Sunset Time (POA&lt;20 W/m2)]],4,0),"")</f>
        <v>0.76875000000000004</v>
      </c>
      <c r="K125" s="77">
        <f>IFERROR((Table1[[#This Row],[Sunset Time (POA&lt;20 W/m2)]]-Table1[[#This Row],[Sunrise Time (POA&gt;20 W/m2)]])*24,"")</f>
        <v>12.250000000000002</v>
      </c>
      <c r="L125" s="108" t="s">
        <v>231</v>
      </c>
      <c r="M125" s="61">
        <f>VLOOKUP(Table1[[#This Row],[Affceted Equipment]],'Basic Data'!$A$2:$C$818,2,0)</f>
        <v>669.6</v>
      </c>
      <c r="N125" s="93">
        <f>IFERROR(VLOOKUP(Table1[[#This Row],[Affceted Equipment]],'Basic Data'!$A$2:$C$818,3,0),"")</f>
        <v>8.348190352703562E-2</v>
      </c>
      <c r="O125" s="118" t="s">
        <v>323</v>
      </c>
      <c r="P125" s="94" t="s">
        <v>1088</v>
      </c>
      <c r="Q125" s="94"/>
      <c r="R125" s="94" t="s">
        <v>1088</v>
      </c>
      <c r="S125" s="92">
        <v>0.55694444444444446</v>
      </c>
      <c r="T125" s="119"/>
      <c r="U125" s="119"/>
      <c r="V125" s="92">
        <v>0.56041666666666667</v>
      </c>
      <c r="W125" s="89">
        <f>IF(Table1[[#This Row],[Acknowledgemnet Time ]]="NA","",(Table1[[#This Row],[Acknowledgemnet Time ]]-Table1[[#This Row],[Fault Time]])*24)</f>
        <v>-13.366666666666667</v>
      </c>
      <c r="X125" s="89">
        <f>IF(Table1[[#This Row],[Work Start time on Fault]]="NA","",(Table1[[#This Row],[Work Start time on Fault]]-Table1[[#This Row],[Fault Time]])*24)</f>
        <v>-13.366666666666667</v>
      </c>
      <c r="Y125" s="52">
        <f>(Table1[[#This Row],[Work Completiuon time on fualt]]-Table1[[#This Row],[Fault Time]])*24</f>
        <v>8.3333333333333037E-2</v>
      </c>
      <c r="Z125" s="52">
        <f>IFERROR((Table1[[#This Row],[Work Completiuon time on fualt]]-Table1[[#This Row],[Fault Time]])*24,"")</f>
        <v>8.3333333333333037E-2</v>
      </c>
      <c r="AA125" s="2" t="s">
        <v>1084</v>
      </c>
      <c r="AB125" s="2" t="s">
        <v>1080</v>
      </c>
      <c r="AC125" s="90">
        <f>IFERROR(Table1[[#This Row],[Breakdown Time]]*Table1[[#This Row],[Plant Equivalent Weightage]],"")</f>
        <v>6.9568252939196107E-3</v>
      </c>
      <c r="AD125" s="2">
        <v>0.09</v>
      </c>
      <c r="AE125" s="89">
        <f>_xlfn.XLOOKUP($F125,'Modelling New'!$D:$D,'Modelling New'!$O:$O)*Table1[[#This Row],[Lost PoA(Wh/m2)]]*Table1[[#This Row],[DC Capacity Affceted (kW)]]</f>
        <v>40.694757012404892</v>
      </c>
      <c r="AF125" s="2"/>
      <c r="AG125" s="2"/>
    </row>
    <row r="126" spans="1:33" x14ac:dyDescent="0.3">
      <c r="A126" s="67">
        <f t="shared" si="1"/>
        <v>123</v>
      </c>
      <c r="B126" s="75">
        <f>YEAR(Table1[[#This Row],[Date]])+IF(MONTH(Table1[[#This Row],[Date]])&gt;=4,1,0)</f>
        <v>2026</v>
      </c>
      <c r="C126" s="74">
        <f>YEAR(Table1[[#This Row],[Date]])</f>
        <v>2025</v>
      </c>
      <c r="D126" s="74" t="s">
        <v>1082</v>
      </c>
      <c r="E126" s="74" t="s">
        <v>1082</v>
      </c>
      <c r="F126" s="181">
        <f>Table1[[#This Row],[Date]]-DAY(Table1[[#This Row],[Date]])+1</f>
        <v>45748</v>
      </c>
      <c r="G126">
        <f>DAY(EOMONTH(Table1[[#This Row],[Month Year]],0))</f>
        <v>30</v>
      </c>
      <c r="H126" s="104">
        <v>45752</v>
      </c>
      <c r="I126" s="76">
        <f>IFERROR(VLOOKUP(Table1[[#This Row],[Date]],Table3[[Date]:[Sunset Time (POA&lt;20 W/m2)]],3,0),"")</f>
        <v>0.25833333333333336</v>
      </c>
      <c r="J126" s="76">
        <f>IFERROR(VLOOKUP(Table1[[#This Row],[Date]],Table3[[Date]:[Sunset Time (POA&lt;20 W/m2)]],4,0),"")</f>
        <v>0.76875000000000004</v>
      </c>
      <c r="K126" s="77">
        <f>IFERROR((Table1[[#This Row],[Sunset Time (POA&lt;20 W/m2)]]-Table1[[#This Row],[Sunrise Time (POA&gt;20 W/m2)]])*24,"")</f>
        <v>12.250000000000002</v>
      </c>
      <c r="L126" s="108" t="s">
        <v>232</v>
      </c>
      <c r="M126" s="61">
        <f>VLOOKUP(Table1[[#This Row],[Affceted Equipment]],'Basic Data'!$A$2:$C$818,2,0)</f>
        <v>669.6</v>
      </c>
      <c r="N126" s="93">
        <f>IFERROR(VLOOKUP(Table1[[#This Row],[Affceted Equipment]],'Basic Data'!$A$2:$C$818,3,0),"")</f>
        <v>8.348190352703562E-2</v>
      </c>
      <c r="O126" s="118" t="s">
        <v>323</v>
      </c>
      <c r="P126" s="94" t="s">
        <v>1090</v>
      </c>
      <c r="Q126" s="94"/>
      <c r="R126" s="94" t="s">
        <v>1090</v>
      </c>
      <c r="S126" s="92">
        <v>0.55694444444444446</v>
      </c>
      <c r="T126" s="119"/>
      <c r="U126" s="119"/>
      <c r="V126" s="92">
        <v>0.56041666666666667</v>
      </c>
      <c r="W126" s="89">
        <f>IF(Table1[[#This Row],[Acknowledgemnet Time ]]="NA","",(Table1[[#This Row],[Acknowledgemnet Time ]]-Table1[[#This Row],[Fault Time]])*24)</f>
        <v>-13.366666666666667</v>
      </c>
      <c r="X126" s="89">
        <f>IF(Table1[[#This Row],[Work Start time on Fault]]="NA","",(Table1[[#This Row],[Work Start time on Fault]]-Table1[[#This Row],[Fault Time]])*24)</f>
        <v>-13.366666666666667</v>
      </c>
      <c r="Y126" s="52">
        <f>(Table1[[#This Row],[Work Completiuon time on fualt]]-Table1[[#This Row],[Fault Time]])*24</f>
        <v>8.3333333333333037E-2</v>
      </c>
      <c r="Z126" s="52">
        <f>IFERROR((Table1[[#This Row],[Work Completiuon time on fualt]]-Table1[[#This Row],[Fault Time]])*24,"")</f>
        <v>8.3333333333333037E-2</v>
      </c>
      <c r="AA126" s="2" t="s">
        <v>1084</v>
      </c>
      <c r="AB126" s="2" t="s">
        <v>1080</v>
      </c>
      <c r="AC126" s="90">
        <f>IFERROR(Table1[[#This Row],[Breakdown Time]]*Table1[[#This Row],[Plant Equivalent Weightage]],"")</f>
        <v>6.9568252939196107E-3</v>
      </c>
      <c r="AD126" s="2">
        <v>0.09</v>
      </c>
      <c r="AE126" s="89">
        <f>_xlfn.XLOOKUP($F126,'Modelling New'!$D:$D,'Modelling New'!$O:$O)*Table1[[#This Row],[Lost PoA(Wh/m2)]]*Table1[[#This Row],[DC Capacity Affceted (kW)]]</f>
        <v>40.694757012404892</v>
      </c>
      <c r="AF126" s="2"/>
      <c r="AG126" s="2"/>
    </row>
    <row r="127" spans="1:33" x14ac:dyDescent="0.3">
      <c r="A127" s="67">
        <f t="shared" si="1"/>
        <v>124</v>
      </c>
      <c r="B127" s="75">
        <f>YEAR(Table1[[#This Row],[Date]])+IF(MONTH(Table1[[#This Row],[Date]])&gt;=4,1,0)</f>
        <v>2026</v>
      </c>
      <c r="C127" s="74">
        <f>YEAR(Table1[[#This Row],[Date]])</f>
        <v>2025</v>
      </c>
      <c r="D127" s="74" t="s">
        <v>1082</v>
      </c>
      <c r="E127" s="74" t="s">
        <v>1082</v>
      </c>
      <c r="F127" s="181">
        <f>Table1[[#This Row],[Date]]-DAY(Table1[[#This Row],[Date]])+1</f>
        <v>45748</v>
      </c>
      <c r="G127">
        <f>DAY(EOMONTH(Table1[[#This Row],[Month Year]],0))</f>
        <v>30</v>
      </c>
      <c r="H127" s="104">
        <v>45752</v>
      </c>
      <c r="I127" s="76">
        <f>IFERROR(VLOOKUP(Table1[[#This Row],[Date]],Table3[[Date]:[Sunset Time (POA&lt;20 W/m2)]],3,0),"")</f>
        <v>0.25833333333333336</v>
      </c>
      <c r="J127" s="76">
        <f>IFERROR(VLOOKUP(Table1[[#This Row],[Date]],Table3[[Date]:[Sunset Time (POA&lt;20 W/m2)]],4,0),"")</f>
        <v>0.76875000000000004</v>
      </c>
      <c r="K127" s="77">
        <f>IFERROR((Table1[[#This Row],[Sunset Time (POA&lt;20 W/m2)]]-Table1[[#This Row],[Sunrise Time (POA&gt;20 W/m2)]])*24,"")</f>
        <v>12.250000000000002</v>
      </c>
      <c r="L127" s="108" t="s">
        <v>180</v>
      </c>
      <c r="M127" s="61">
        <f>VLOOKUP(Table1[[#This Row],[Affceted Equipment]],'Basic Data'!$A$2:$C$818,2,0)</f>
        <v>2694.6</v>
      </c>
      <c r="N127" s="93">
        <f>IFERROR(VLOOKUP(Table1[[#This Row],[Affceted Equipment]],'Basic Data'!$A$2:$C$818,3,0),"")</f>
        <v>0.33594733758057077</v>
      </c>
      <c r="O127" s="118" t="s">
        <v>323</v>
      </c>
      <c r="P127" s="94" t="s">
        <v>1089</v>
      </c>
      <c r="Q127" s="94"/>
      <c r="R127" s="94" t="s">
        <v>1089</v>
      </c>
      <c r="S127" s="92">
        <v>0.56041666666666667</v>
      </c>
      <c r="T127" s="119"/>
      <c r="U127" s="119"/>
      <c r="V127" s="92">
        <v>0.58263888888888893</v>
      </c>
      <c r="W127" s="89">
        <f>IF(Table1[[#This Row],[Acknowledgemnet Time ]]="NA","",(Table1[[#This Row],[Acknowledgemnet Time ]]-Table1[[#This Row],[Fault Time]])*24)</f>
        <v>-13.45</v>
      </c>
      <c r="X127" s="89">
        <f>IF(Table1[[#This Row],[Work Start time on Fault]]="NA","",(Table1[[#This Row],[Work Start time on Fault]]-Table1[[#This Row],[Fault Time]])*24)</f>
        <v>-13.45</v>
      </c>
      <c r="Y127" s="52">
        <f>(Table1[[#This Row],[Work Completiuon time on fualt]]-Table1[[#This Row],[Fault Time]])*24</f>
        <v>0.5333333333333341</v>
      </c>
      <c r="Z127" s="52">
        <f>IFERROR((Table1[[#This Row],[Work Completiuon time on fualt]]-Table1[[#This Row],[Fault Time]])*24,"")</f>
        <v>0.5333333333333341</v>
      </c>
      <c r="AA127" s="2" t="s">
        <v>1086</v>
      </c>
      <c r="AB127" s="2" t="s">
        <v>1081</v>
      </c>
      <c r="AC127" s="90">
        <f>IFERROR(Table1[[#This Row],[Breakdown Time]]*Table1[[#This Row],[Plant Equivalent Weightage]],"")</f>
        <v>0.17917191337630467</v>
      </c>
      <c r="AD127" s="2">
        <v>0.51</v>
      </c>
      <c r="AE127" s="89">
        <f>_xlfn.XLOOKUP($F127,'Modelling New'!$D:$D,'Modelling New'!$O:$O)*Table1[[#This Row],[Lost PoA(Wh/m2)]]*Table1[[#This Row],[DC Capacity Affceted (kW)]]</f>
        <v>927.99361219416869</v>
      </c>
      <c r="AF127" s="2"/>
      <c r="AG127" s="2"/>
    </row>
    <row r="128" spans="1:33" x14ac:dyDescent="0.3">
      <c r="A128" s="67">
        <f t="shared" si="1"/>
        <v>125</v>
      </c>
      <c r="B128" s="75">
        <f>YEAR(Table1[[#This Row],[Date]])+IF(MONTH(Table1[[#This Row],[Date]])&gt;=4,1,0)</f>
        <v>2026</v>
      </c>
      <c r="C128" s="74">
        <f>YEAR(Table1[[#This Row],[Date]])</f>
        <v>2025</v>
      </c>
      <c r="D128" s="74" t="s">
        <v>1082</v>
      </c>
      <c r="E128" s="74" t="s">
        <v>1082</v>
      </c>
      <c r="F128" s="181">
        <f>Table1[[#This Row],[Date]]-DAY(Table1[[#This Row],[Date]])+1</f>
        <v>45748</v>
      </c>
      <c r="G128">
        <f>DAY(EOMONTH(Table1[[#This Row],[Month Year]],0))</f>
        <v>30</v>
      </c>
      <c r="H128" s="104">
        <v>45752</v>
      </c>
      <c r="I128" s="76">
        <f>IFERROR(VLOOKUP(Table1[[#This Row],[Date]],Table3[[Date]:[Sunset Time (POA&lt;20 W/m2)]],3,0),"")</f>
        <v>0.25833333333333336</v>
      </c>
      <c r="J128" s="76">
        <f>IFERROR(VLOOKUP(Table1[[#This Row],[Date]],Table3[[Date]:[Sunset Time (POA&lt;20 W/m2)]],4,0),"")</f>
        <v>0.76875000000000004</v>
      </c>
      <c r="K128" s="77">
        <f>IFERROR((Table1[[#This Row],[Sunset Time (POA&lt;20 W/m2)]]-Table1[[#This Row],[Sunrise Time (POA&gt;20 W/m2)]])*24,"")</f>
        <v>12.250000000000002</v>
      </c>
      <c r="L128" s="108" t="s">
        <v>231</v>
      </c>
      <c r="M128" s="61">
        <f>VLOOKUP(Table1[[#This Row],[Affceted Equipment]],'Basic Data'!$A$2:$C$818,2,0)</f>
        <v>669.6</v>
      </c>
      <c r="N128" s="93">
        <f>IFERROR(VLOOKUP(Table1[[#This Row],[Affceted Equipment]],'Basic Data'!$A$2:$C$818,3,0),"")</f>
        <v>8.348190352703562E-2</v>
      </c>
      <c r="O128" s="118" t="s">
        <v>323</v>
      </c>
      <c r="P128" s="94" t="s">
        <v>1088</v>
      </c>
      <c r="Q128" s="94"/>
      <c r="R128" s="94" t="s">
        <v>1088</v>
      </c>
      <c r="S128" s="92">
        <v>0.58263888888888893</v>
      </c>
      <c r="T128" s="119"/>
      <c r="U128" s="119"/>
      <c r="V128" s="92">
        <v>0.59097222222222223</v>
      </c>
      <c r="W128" s="89">
        <f>IF(Table1[[#This Row],[Acknowledgemnet Time ]]="NA","",(Table1[[#This Row],[Acknowledgemnet Time ]]-Table1[[#This Row],[Fault Time]])*24)</f>
        <v>-13.983333333333334</v>
      </c>
      <c r="X128" s="89">
        <f>IF(Table1[[#This Row],[Work Start time on Fault]]="NA","",(Table1[[#This Row],[Work Start time on Fault]]-Table1[[#This Row],[Fault Time]])*24)</f>
        <v>-13.983333333333334</v>
      </c>
      <c r="Y128" s="52">
        <f>(Table1[[#This Row],[Work Completiuon time on fualt]]-Table1[[#This Row],[Fault Time]])*24</f>
        <v>0.19999999999999929</v>
      </c>
      <c r="Z128" s="52">
        <f>IFERROR((Table1[[#This Row],[Work Completiuon time on fualt]]-Table1[[#This Row],[Fault Time]])*24,"")</f>
        <v>0.19999999999999929</v>
      </c>
      <c r="AA128" s="2" t="s">
        <v>1084</v>
      </c>
      <c r="AB128" s="2" t="s">
        <v>1080</v>
      </c>
      <c r="AC128" s="90">
        <f>IFERROR(Table1[[#This Row],[Breakdown Time]]*Table1[[#This Row],[Plant Equivalent Weightage]],"")</f>
        <v>1.6696380705407066E-2</v>
      </c>
      <c r="AD128" s="2">
        <v>0.19</v>
      </c>
      <c r="AE128" s="89">
        <f>_xlfn.XLOOKUP($F128,'Modelling New'!$D:$D,'Modelling New'!$O:$O)*Table1[[#This Row],[Lost PoA(Wh/m2)]]*Table1[[#This Row],[DC Capacity Affceted (kW)]]</f>
        <v>85.911153692854782</v>
      </c>
      <c r="AF128" s="2"/>
      <c r="AG128" s="2"/>
    </row>
    <row r="129" spans="1:33" x14ac:dyDescent="0.3">
      <c r="A129" s="67">
        <f t="shared" si="1"/>
        <v>126</v>
      </c>
      <c r="B129" s="75">
        <f>YEAR(Table1[[#This Row],[Date]])+IF(MONTH(Table1[[#This Row],[Date]])&gt;=4,1,0)</f>
        <v>2026</v>
      </c>
      <c r="C129" s="74">
        <f>YEAR(Table1[[#This Row],[Date]])</f>
        <v>2025</v>
      </c>
      <c r="D129" s="74" t="s">
        <v>1082</v>
      </c>
      <c r="E129" s="74" t="s">
        <v>1082</v>
      </c>
      <c r="F129" s="181">
        <f>Table1[[#This Row],[Date]]-DAY(Table1[[#This Row],[Date]])+1</f>
        <v>45748</v>
      </c>
      <c r="G129">
        <f>DAY(EOMONTH(Table1[[#This Row],[Month Year]],0))</f>
        <v>30</v>
      </c>
      <c r="H129" s="104">
        <v>45752</v>
      </c>
      <c r="I129" s="76">
        <f>IFERROR(VLOOKUP(Table1[[#This Row],[Date]],Table3[[Date]:[Sunset Time (POA&lt;20 W/m2)]],3,0),"")</f>
        <v>0.25833333333333336</v>
      </c>
      <c r="J129" s="76">
        <f>IFERROR(VLOOKUP(Table1[[#This Row],[Date]],Table3[[Date]:[Sunset Time (POA&lt;20 W/m2)]],4,0),"")</f>
        <v>0.76875000000000004</v>
      </c>
      <c r="K129" s="77">
        <f>IFERROR((Table1[[#This Row],[Sunset Time (POA&lt;20 W/m2)]]-Table1[[#This Row],[Sunrise Time (POA&gt;20 W/m2)]])*24,"")</f>
        <v>12.250000000000002</v>
      </c>
      <c r="L129" s="108" t="s">
        <v>232</v>
      </c>
      <c r="M129" s="61">
        <f>VLOOKUP(Table1[[#This Row],[Affceted Equipment]],'Basic Data'!$A$2:$C$818,2,0)</f>
        <v>669.6</v>
      </c>
      <c r="N129" s="93">
        <f>IFERROR(VLOOKUP(Table1[[#This Row],[Affceted Equipment]],'Basic Data'!$A$2:$C$818,3,0),"")</f>
        <v>8.348190352703562E-2</v>
      </c>
      <c r="O129" s="118" t="s">
        <v>323</v>
      </c>
      <c r="P129" s="94" t="s">
        <v>1090</v>
      </c>
      <c r="Q129" s="94"/>
      <c r="R129" s="94" t="s">
        <v>1090</v>
      </c>
      <c r="S129" s="92">
        <v>0.58263888888888893</v>
      </c>
      <c r="T129" s="119"/>
      <c r="U129" s="119"/>
      <c r="V129" s="92">
        <v>0.59097222222222223</v>
      </c>
      <c r="W129" s="89">
        <f>IF(Table1[[#This Row],[Acknowledgemnet Time ]]="NA","",(Table1[[#This Row],[Acknowledgemnet Time ]]-Table1[[#This Row],[Fault Time]])*24)</f>
        <v>-13.983333333333334</v>
      </c>
      <c r="X129" s="89">
        <f>IF(Table1[[#This Row],[Work Start time on Fault]]="NA","",(Table1[[#This Row],[Work Start time on Fault]]-Table1[[#This Row],[Fault Time]])*24)</f>
        <v>-13.983333333333334</v>
      </c>
      <c r="Y129" s="52">
        <f>(Table1[[#This Row],[Work Completiuon time on fualt]]-Table1[[#This Row],[Fault Time]])*24</f>
        <v>0.19999999999999929</v>
      </c>
      <c r="Z129" s="52">
        <f>IFERROR((Table1[[#This Row],[Work Completiuon time on fualt]]-Table1[[#This Row],[Fault Time]])*24,"")</f>
        <v>0.19999999999999929</v>
      </c>
      <c r="AA129" s="2" t="s">
        <v>1084</v>
      </c>
      <c r="AB129" s="2" t="s">
        <v>1080</v>
      </c>
      <c r="AC129" s="90">
        <f>IFERROR(Table1[[#This Row],[Breakdown Time]]*Table1[[#This Row],[Plant Equivalent Weightage]],"")</f>
        <v>1.6696380705407066E-2</v>
      </c>
      <c r="AD129" s="2">
        <v>0.19</v>
      </c>
      <c r="AE129" s="89">
        <f>_xlfn.XLOOKUP($F129,'Modelling New'!$D:$D,'Modelling New'!$O:$O)*Table1[[#This Row],[Lost PoA(Wh/m2)]]*Table1[[#This Row],[DC Capacity Affceted (kW)]]</f>
        <v>85.911153692854782</v>
      </c>
      <c r="AF129" s="2"/>
      <c r="AG129" s="2"/>
    </row>
    <row r="130" spans="1:33" x14ac:dyDescent="0.3">
      <c r="A130" s="67">
        <f t="shared" si="1"/>
        <v>127</v>
      </c>
      <c r="B130" s="75">
        <f>YEAR(Table1[[#This Row],[Date]])+IF(MONTH(Table1[[#This Row],[Date]])&gt;=4,1,0)</f>
        <v>2026</v>
      </c>
      <c r="C130" s="74">
        <f>YEAR(Table1[[#This Row],[Date]])</f>
        <v>2025</v>
      </c>
      <c r="D130" s="74" t="s">
        <v>1082</v>
      </c>
      <c r="E130" s="74" t="s">
        <v>1082</v>
      </c>
      <c r="F130" s="181">
        <f>Table1[[#This Row],[Date]]-DAY(Table1[[#This Row],[Date]])+1</f>
        <v>45748</v>
      </c>
      <c r="G130">
        <f>DAY(EOMONTH(Table1[[#This Row],[Month Year]],0))</f>
        <v>30</v>
      </c>
      <c r="H130" s="104">
        <v>45752</v>
      </c>
      <c r="I130" s="76">
        <f>IFERROR(VLOOKUP(Table1[[#This Row],[Date]],Table3[[Date]:[Sunset Time (POA&lt;20 W/m2)]],3,0),"")</f>
        <v>0.25833333333333336</v>
      </c>
      <c r="J130" s="76">
        <f>IFERROR(VLOOKUP(Table1[[#This Row],[Date]],Table3[[Date]:[Sunset Time (POA&lt;20 W/m2)]],4,0),"")</f>
        <v>0.76875000000000004</v>
      </c>
      <c r="K130" s="77">
        <f>IFERROR((Table1[[#This Row],[Sunset Time (POA&lt;20 W/m2)]]-Table1[[#This Row],[Sunrise Time (POA&gt;20 W/m2)]])*24,"")</f>
        <v>12.250000000000002</v>
      </c>
      <c r="L130" s="108" t="s">
        <v>180</v>
      </c>
      <c r="M130" s="61">
        <f>VLOOKUP(Table1[[#This Row],[Affceted Equipment]],'Basic Data'!$A$2:$C$818,2,0)</f>
        <v>2694.6</v>
      </c>
      <c r="N130" s="93">
        <f>IFERROR(VLOOKUP(Table1[[#This Row],[Affceted Equipment]],'Basic Data'!$A$2:$C$818,3,0),"")</f>
        <v>0.33594733758057077</v>
      </c>
      <c r="O130" s="118" t="s">
        <v>323</v>
      </c>
      <c r="P130" s="94" t="s">
        <v>1089</v>
      </c>
      <c r="Q130" s="94"/>
      <c r="R130" s="94" t="s">
        <v>1089</v>
      </c>
      <c r="S130" s="92">
        <v>0.59097222222222223</v>
      </c>
      <c r="T130" s="119"/>
      <c r="U130" s="119"/>
      <c r="V130" s="92">
        <v>0.59861111111111109</v>
      </c>
      <c r="W130" s="89">
        <f>IF(Table1[[#This Row],[Acknowledgemnet Time ]]="NA","",(Table1[[#This Row],[Acknowledgemnet Time ]]-Table1[[#This Row],[Fault Time]])*24)</f>
        <v>-14.183333333333334</v>
      </c>
      <c r="X130" s="89">
        <f>IF(Table1[[#This Row],[Work Start time on Fault]]="NA","",(Table1[[#This Row],[Work Start time on Fault]]-Table1[[#This Row],[Fault Time]])*24)</f>
        <v>-14.183333333333334</v>
      </c>
      <c r="Y130" s="52">
        <f>(Table1[[#This Row],[Work Completiuon time on fualt]]-Table1[[#This Row],[Fault Time]])*24</f>
        <v>0.18333333333333268</v>
      </c>
      <c r="Z130" s="52">
        <f>IFERROR((Table1[[#This Row],[Work Completiuon time on fualt]]-Table1[[#This Row],[Fault Time]])*24,"")</f>
        <v>0.18333333333333268</v>
      </c>
      <c r="AA130" s="2" t="s">
        <v>1086</v>
      </c>
      <c r="AB130" s="2" t="s">
        <v>1081</v>
      </c>
      <c r="AC130" s="90">
        <f>IFERROR(Table1[[#This Row],[Breakdown Time]]*Table1[[#This Row],[Plant Equivalent Weightage]],"")</f>
        <v>6.1590345223104422E-2</v>
      </c>
      <c r="AD130" s="2">
        <v>0.17</v>
      </c>
      <c r="AE130" s="89">
        <f>_xlfn.XLOOKUP($F130,'Modelling New'!$D:$D,'Modelling New'!$O:$O)*Table1[[#This Row],[Lost PoA(Wh/m2)]]*Table1[[#This Row],[DC Capacity Affceted (kW)]]</f>
        <v>309.3312040647229</v>
      </c>
      <c r="AF130" s="2"/>
      <c r="AG130" s="2"/>
    </row>
    <row r="131" spans="1:33" x14ac:dyDescent="0.3">
      <c r="A131" s="67">
        <f t="shared" si="1"/>
        <v>128</v>
      </c>
      <c r="B131" s="75">
        <f>YEAR(Table1[[#This Row],[Date]])+IF(MONTH(Table1[[#This Row],[Date]])&gt;=4,1,0)</f>
        <v>2026</v>
      </c>
      <c r="C131" s="74">
        <f>YEAR(Table1[[#This Row],[Date]])</f>
        <v>2025</v>
      </c>
      <c r="D131" s="74" t="s">
        <v>1082</v>
      </c>
      <c r="E131" s="74" t="s">
        <v>1082</v>
      </c>
      <c r="F131" s="181">
        <f>Table1[[#This Row],[Date]]-DAY(Table1[[#This Row],[Date]])+1</f>
        <v>45748</v>
      </c>
      <c r="G131">
        <f>DAY(EOMONTH(Table1[[#This Row],[Month Year]],0))</f>
        <v>30</v>
      </c>
      <c r="H131" s="104">
        <v>45752</v>
      </c>
      <c r="I131" s="76">
        <f>IFERROR(VLOOKUP(Table1[[#This Row],[Date]],Table3[[Date]:[Sunset Time (POA&lt;20 W/m2)]],3,0),"")</f>
        <v>0.25833333333333336</v>
      </c>
      <c r="J131" s="76">
        <f>IFERROR(VLOOKUP(Table1[[#This Row],[Date]],Table3[[Date]:[Sunset Time (POA&lt;20 W/m2)]],4,0),"")</f>
        <v>0.76875000000000004</v>
      </c>
      <c r="K131" s="77">
        <f>IFERROR((Table1[[#This Row],[Sunset Time (POA&lt;20 W/m2)]]-Table1[[#This Row],[Sunrise Time (POA&gt;20 W/m2)]])*24,"")</f>
        <v>12.250000000000002</v>
      </c>
      <c r="L131" s="108" t="s">
        <v>231</v>
      </c>
      <c r="M131" s="91">
        <f>VLOOKUP(Table1[[#This Row],[Affceted Equipment]],'Basic Data'!$A$2:$C$818,2,0)</f>
        <v>669.6</v>
      </c>
      <c r="N131" s="93">
        <f>IFERROR(VLOOKUP(Table1[[#This Row],[Affceted Equipment]],'Basic Data'!$A$2:$C$818,3,0),"")</f>
        <v>8.348190352703562E-2</v>
      </c>
      <c r="O131" s="118" t="s">
        <v>323</v>
      </c>
      <c r="P131" s="94" t="s">
        <v>1088</v>
      </c>
      <c r="Q131" s="94"/>
      <c r="R131" s="94" t="s">
        <v>1088</v>
      </c>
      <c r="S131" s="92">
        <v>0.59861111111111109</v>
      </c>
      <c r="T131" s="119"/>
      <c r="U131" s="119"/>
      <c r="V131" s="92">
        <v>0.60277777777777775</v>
      </c>
      <c r="W131" s="89">
        <f>IF(Table1[[#This Row],[Acknowledgemnet Time ]]="NA","",(Table1[[#This Row],[Acknowledgemnet Time ]]-Table1[[#This Row],[Fault Time]])*24)</f>
        <v>-14.366666666666667</v>
      </c>
      <c r="X131" s="89">
        <f>IF(Table1[[#This Row],[Work Start time on Fault]]="NA","",(Table1[[#This Row],[Work Start time on Fault]]-Table1[[#This Row],[Fault Time]])*24)</f>
        <v>-14.366666666666667</v>
      </c>
      <c r="Y131" s="52">
        <f>(Table1[[#This Row],[Work Completiuon time on fualt]]-Table1[[#This Row],[Fault Time]])*24</f>
        <v>9.9999999999999645E-2</v>
      </c>
      <c r="Z131" s="52">
        <f>IFERROR((Table1[[#This Row],[Work Completiuon time on fualt]]-Table1[[#This Row],[Fault Time]])*24,"")</f>
        <v>9.9999999999999645E-2</v>
      </c>
      <c r="AA131" s="2" t="s">
        <v>1084</v>
      </c>
      <c r="AB131" s="2" t="s">
        <v>1080</v>
      </c>
      <c r="AC131" s="90">
        <f>IFERROR(Table1[[#This Row],[Breakdown Time]]*Table1[[#This Row],[Plant Equivalent Weightage]],"")</f>
        <v>8.3481903527035332E-3</v>
      </c>
      <c r="AD131" s="2">
        <v>0.1</v>
      </c>
      <c r="AE131" s="89">
        <f>_xlfn.XLOOKUP($F131,'Modelling New'!$D:$D,'Modelling New'!$O:$O)*Table1[[#This Row],[Lost PoA(Wh/m2)]]*Table1[[#This Row],[DC Capacity Affceted (kW)]]</f>
        <v>45.21639668044989</v>
      </c>
      <c r="AF131" s="2"/>
      <c r="AG131" s="2"/>
    </row>
    <row r="132" spans="1:33" x14ac:dyDescent="0.3">
      <c r="A132" s="67">
        <f t="shared" si="1"/>
        <v>129</v>
      </c>
      <c r="B132" s="75">
        <f>YEAR(Table1[[#This Row],[Date]])+IF(MONTH(Table1[[#This Row],[Date]])&gt;=4,1,0)</f>
        <v>2026</v>
      </c>
      <c r="C132" s="74">
        <f>YEAR(Table1[[#This Row],[Date]])</f>
        <v>2025</v>
      </c>
      <c r="D132" s="74" t="s">
        <v>1082</v>
      </c>
      <c r="E132" s="74" t="s">
        <v>1082</v>
      </c>
      <c r="F132" s="181">
        <f>Table1[[#This Row],[Date]]-DAY(Table1[[#This Row],[Date]])+1</f>
        <v>45748</v>
      </c>
      <c r="G132">
        <f>DAY(EOMONTH(Table1[[#This Row],[Month Year]],0))</f>
        <v>30</v>
      </c>
      <c r="H132" s="104">
        <v>45752</v>
      </c>
      <c r="I132" s="76">
        <f>IFERROR(VLOOKUP(Table1[[#This Row],[Date]],Table3[[Date]:[Sunset Time (POA&lt;20 W/m2)]],3,0),"")</f>
        <v>0.25833333333333336</v>
      </c>
      <c r="J132" s="76">
        <f>IFERROR(VLOOKUP(Table1[[#This Row],[Date]],Table3[[Date]:[Sunset Time (POA&lt;20 W/m2)]],4,0),"")</f>
        <v>0.76875000000000004</v>
      </c>
      <c r="K132" s="77">
        <f>IFERROR((Table1[[#This Row],[Sunset Time (POA&lt;20 W/m2)]]-Table1[[#This Row],[Sunrise Time (POA&gt;20 W/m2)]])*24,"")</f>
        <v>12.250000000000002</v>
      </c>
      <c r="L132" s="108" t="s">
        <v>232</v>
      </c>
      <c r="M132" s="61">
        <f>VLOOKUP(Table1[[#This Row],[Affceted Equipment]],'Basic Data'!$A$2:$C$818,2,0)</f>
        <v>669.6</v>
      </c>
      <c r="N132" s="93">
        <f>IFERROR(VLOOKUP(Table1[[#This Row],[Affceted Equipment]],'Basic Data'!$A$2:$C$818,3,0),"")</f>
        <v>8.348190352703562E-2</v>
      </c>
      <c r="O132" s="118" t="s">
        <v>323</v>
      </c>
      <c r="P132" s="94" t="s">
        <v>1090</v>
      </c>
      <c r="Q132" s="94"/>
      <c r="R132" s="94" t="s">
        <v>1090</v>
      </c>
      <c r="S132" s="92">
        <v>0.59861111111111109</v>
      </c>
      <c r="T132" s="119"/>
      <c r="U132" s="119"/>
      <c r="V132" s="92">
        <v>0.60277777777777775</v>
      </c>
      <c r="W132" s="89">
        <f>IF(Table1[[#This Row],[Acknowledgemnet Time ]]="NA","",(Table1[[#This Row],[Acknowledgemnet Time ]]-Table1[[#This Row],[Fault Time]])*24)</f>
        <v>-14.366666666666667</v>
      </c>
      <c r="X132" s="89">
        <f>IF(Table1[[#This Row],[Work Start time on Fault]]="NA","",(Table1[[#This Row],[Work Start time on Fault]]-Table1[[#This Row],[Fault Time]])*24)</f>
        <v>-14.366666666666667</v>
      </c>
      <c r="Y132" s="52">
        <f>(Table1[[#This Row],[Work Completiuon time on fualt]]-Table1[[#This Row],[Fault Time]])*24</f>
        <v>9.9999999999999645E-2</v>
      </c>
      <c r="Z132" s="52">
        <f>IFERROR((Table1[[#This Row],[Work Completiuon time on fualt]]-Table1[[#This Row],[Fault Time]])*24,"")</f>
        <v>9.9999999999999645E-2</v>
      </c>
      <c r="AA132" s="2" t="s">
        <v>1084</v>
      </c>
      <c r="AB132" s="2" t="s">
        <v>1080</v>
      </c>
      <c r="AC132" s="90">
        <f>IFERROR(Table1[[#This Row],[Breakdown Time]]*Table1[[#This Row],[Plant Equivalent Weightage]],"")</f>
        <v>8.3481903527035332E-3</v>
      </c>
      <c r="AD132" s="2">
        <v>0.1</v>
      </c>
      <c r="AE132" s="89">
        <f>_xlfn.XLOOKUP($F132,'Modelling New'!$D:$D,'Modelling New'!$O:$O)*Table1[[#This Row],[Lost PoA(Wh/m2)]]*Table1[[#This Row],[DC Capacity Affceted (kW)]]</f>
        <v>45.21639668044989</v>
      </c>
      <c r="AF132" s="2"/>
      <c r="AG132" s="2"/>
    </row>
    <row r="133" spans="1:33" x14ac:dyDescent="0.3">
      <c r="A133" s="67">
        <f t="shared" si="1"/>
        <v>130</v>
      </c>
      <c r="B133" s="75">
        <f>YEAR(Table1[[#This Row],[Date]])+IF(MONTH(Table1[[#This Row],[Date]])&gt;=4,1,0)</f>
        <v>2026</v>
      </c>
      <c r="C133" s="74">
        <f>YEAR(Table1[[#This Row],[Date]])</f>
        <v>2025</v>
      </c>
      <c r="D133" s="74" t="s">
        <v>1082</v>
      </c>
      <c r="E133" s="74" t="s">
        <v>1082</v>
      </c>
      <c r="F133" s="181">
        <f>Table1[[#This Row],[Date]]-DAY(Table1[[#This Row],[Date]])+1</f>
        <v>45748</v>
      </c>
      <c r="G133">
        <f>DAY(EOMONTH(Table1[[#This Row],[Month Year]],0))</f>
        <v>30</v>
      </c>
      <c r="H133" s="104">
        <v>45752</v>
      </c>
      <c r="I133" s="76">
        <f>IFERROR(VLOOKUP(Table1[[#This Row],[Date]],Table3[[Date]:[Sunset Time (POA&lt;20 W/m2)]],3,0),"")</f>
        <v>0.25833333333333336</v>
      </c>
      <c r="J133" s="76">
        <f>IFERROR(VLOOKUP(Table1[[#This Row],[Date]],Table3[[Date]:[Sunset Time (POA&lt;20 W/m2)]],4,0),"")</f>
        <v>0.76875000000000004</v>
      </c>
      <c r="K133" s="77">
        <f>IFERROR((Table1[[#This Row],[Sunset Time (POA&lt;20 W/m2)]]-Table1[[#This Row],[Sunrise Time (POA&gt;20 W/m2)]])*24,"")</f>
        <v>12.250000000000002</v>
      </c>
      <c r="L133" s="108" t="s">
        <v>180</v>
      </c>
      <c r="M133" s="91">
        <f>VLOOKUP(Table1[[#This Row],[Affceted Equipment]],'Basic Data'!$A$2:$C$818,2,0)</f>
        <v>2694.6</v>
      </c>
      <c r="N133" s="93">
        <f>IFERROR(VLOOKUP(Table1[[#This Row],[Affceted Equipment]],'Basic Data'!$A$2:$C$818,3,0),"")</f>
        <v>0.33594733758057077</v>
      </c>
      <c r="O133" s="118" t="s">
        <v>323</v>
      </c>
      <c r="P133" s="94" t="s">
        <v>1089</v>
      </c>
      <c r="Q133" s="94"/>
      <c r="R133" s="94" t="s">
        <v>1089</v>
      </c>
      <c r="S133" s="92">
        <v>0.60277777777777775</v>
      </c>
      <c r="T133" s="119"/>
      <c r="U133" s="119"/>
      <c r="V133" s="92">
        <v>0.60833333333333328</v>
      </c>
      <c r="W133" s="89">
        <f>IF(Table1[[#This Row],[Acknowledgemnet Time ]]="NA","",(Table1[[#This Row],[Acknowledgemnet Time ]]-Table1[[#This Row],[Fault Time]])*24)</f>
        <v>-14.466666666666665</v>
      </c>
      <c r="X133" s="89">
        <f>IF(Table1[[#This Row],[Work Start time on Fault]]="NA","",(Table1[[#This Row],[Work Start time on Fault]]-Table1[[#This Row],[Fault Time]])*24)</f>
        <v>-14.466666666666665</v>
      </c>
      <c r="Y133" s="52">
        <f>(Table1[[#This Row],[Work Completiuon time on fualt]]-Table1[[#This Row],[Fault Time]])*24</f>
        <v>0.13333333333333286</v>
      </c>
      <c r="Z133" s="52">
        <f>IFERROR((Table1[[#This Row],[Work Completiuon time on fualt]]-Table1[[#This Row],[Fault Time]])*24,"")</f>
        <v>0.13333333333333286</v>
      </c>
      <c r="AA133" s="2" t="s">
        <v>1086</v>
      </c>
      <c r="AB133" s="2" t="s">
        <v>1081</v>
      </c>
      <c r="AC133" s="90">
        <f>IFERROR(Table1[[#This Row],[Breakdown Time]]*Table1[[#This Row],[Plant Equivalent Weightage]],"")</f>
        <v>4.4792978344075945E-2</v>
      </c>
      <c r="AD133" s="2">
        <v>0.12</v>
      </c>
      <c r="AE133" s="89">
        <f>_xlfn.XLOOKUP($F133,'Modelling New'!$D:$D,'Modelling New'!$O:$O)*Table1[[#This Row],[Lost PoA(Wh/m2)]]*Table1[[#This Row],[DC Capacity Affceted (kW)]]</f>
        <v>218.3514381633338</v>
      </c>
      <c r="AF133" s="2"/>
      <c r="AG133" s="2"/>
    </row>
    <row r="134" spans="1:33" x14ac:dyDescent="0.3">
      <c r="A134" s="67">
        <f t="shared" ref="A134:A197" si="2">A133+1</f>
        <v>131</v>
      </c>
      <c r="B134" s="75">
        <f>YEAR(Table1[[#This Row],[Date]])+IF(MONTH(Table1[[#This Row],[Date]])&gt;=4,1,0)</f>
        <v>2026</v>
      </c>
      <c r="C134" s="74">
        <f>YEAR(Table1[[#This Row],[Date]])</f>
        <v>2025</v>
      </c>
      <c r="D134" s="74" t="s">
        <v>1082</v>
      </c>
      <c r="E134" s="74" t="s">
        <v>1082</v>
      </c>
      <c r="F134" s="181">
        <f>Table1[[#This Row],[Date]]-DAY(Table1[[#This Row],[Date]])+1</f>
        <v>45748</v>
      </c>
      <c r="G134">
        <f>DAY(EOMONTH(Table1[[#This Row],[Month Year]],0))</f>
        <v>30</v>
      </c>
      <c r="H134" s="104">
        <v>45752</v>
      </c>
      <c r="I134" s="76">
        <f>IFERROR(VLOOKUP(Table1[[#This Row],[Date]],Table3[[Date]:[Sunset Time (POA&lt;20 W/m2)]],3,0),"")</f>
        <v>0.25833333333333336</v>
      </c>
      <c r="J134" s="76">
        <f>IFERROR(VLOOKUP(Table1[[#This Row],[Date]],Table3[[Date]:[Sunset Time (POA&lt;20 W/m2)]],4,0),"")</f>
        <v>0.76875000000000004</v>
      </c>
      <c r="K134" s="77">
        <f>IFERROR((Table1[[#This Row],[Sunset Time (POA&lt;20 W/m2)]]-Table1[[#This Row],[Sunrise Time (POA&gt;20 W/m2)]])*24,"")</f>
        <v>12.250000000000002</v>
      </c>
      <c r="L134" s="108" t="s">
        <v>231</v>
      </c>
      <c r="M134" s="61">
        <f>VLOOKUP(Table1[[#This Row],[Affceted Equipment]],'Basic Data'!$A$2:$C$818,2,0)</f>
        <v>669.6</v>
      </c>
      <c r="N134" s="93">
        <f>IFERROR(VLOOKUP(Table1[[#This Row],[Affceted Equipment]],'Basic Data'!$A$2:$C$818,3,0),"")</f>
        <v>8.348190352703562E-2</v>
      </c>
      <c r="O134" s="118" t="s">
        <v>323</v>
      </c>
      <c r="P134" s="94" t="s">
        <v>1088</v>
      </c>
      <c r="Q134" s="94"/>
      <c r="R134" s="94" t="s">
        <v>1088</v>
      </c>
      <c r="S134" s="92">
        <v>0.60833333333333328</v>
      </c>
      <c r="T134" s="119"/>
      <c r="U134" s="119"/>
      <c r="V134" s="92">
        <v>0.61458333333333337</v>
      </c>
      <c r="W134" s="89">
        <f>IF(Table1[[#This Row],[Acknowledgemnet Time ]]="NA","",(Table1[[#This Row],[Acknowledgemnet Time ]]-Table1[[#This Row],[Fault Time]])*24)</f>
        <v>-14.599999999999998</v>
      </c>
      <c r="X134" s="89">
        <f>IF(Table1[[#This Row],[Work Start time on Fault]]="NA","",(Table1[[#This Row],[Work Start time on Fault]]-Table1[[#This Row],[Fault Time]])*24)</f>
        <v>-14.599999999999998</v>
      </c>
      <c r="Y134" s="52">
        <f>(Table1[[#This Row],[Work Completiuon time on fualt]]-Table1[[#This Row],[Fault Time]])*24</f>
        <v>0.15000000000000213</v>
      </c>
      <c r="Z134" s="52">
        <f>IFERROR((Table1[[#This Row],[Work Completiuon time on fualt]]-Table1[[#This Row],[Fault Time]])*24,"")</f>
        <v>0.15000000000000213</v>
      </c>
      <c r="AA134" s="2" t="s">
        <v>1084</v>
      </c>
      <c r="AB134" s="2" t="s">
        <v>1080</v>
      </c>
      <c r="AC134" s="90">
        <f>IFERROR(Table1[[#This Row],[Breakdown Time]]*Table1[[#This Row],[Plant Equivalent Weightage]],"")</f>
        <v>1.2522285529055521E-2</v>
      </c>
      <c r="AD134" s="2">
        <v>0.13</v>
      </c>
      <c r="AE134" s="89">
        <f>_xlfn.XLOOKUP($F134,'Modelling New'!$D:$D,'Modelling New'!$O:$O)*Table1[[#This Row],[Lost PoA(Wh/m2)]]*Table1[[#This Row],[DC Capacity Affceted (kW)]]</f>
        <v>58.781315684584854</v>
      </c>
      <c r="AF134" s="2"/>
      <c r="AG134" s="2"/>
    </row>
    <row r="135" spans="1:33" x14ac:dyDescent="0.3">
      <c r="A135" s="67">
        <f t="shared" si="2"/>
        <v>132</v>
      </c>
      <c r="B135" s="75">
        <f>YEAR(Table1[[#This Row],[Date]])+IF(MONTH(Table1[[#This Row],[Date]])&gt;=4,1,0)</f>
        <v>2026</v>
      </c>
      <c r="C135" s="74">
        <f>YEAR(Table1[[#This Row],[Date]])</f>
        <v>2025</v>
      </c>
      <c r="D135" s="74" t="s">
        <v>1082</v>
      </c>
      <c r="E135" s="74" t="s">
        <v>1082</v>
      </c>
      <c r="F135" s="181">
        <f>Table1[[#This Row],[Date]]-DAY(Table1[[#This Row],[Date]])+1</f>
        <v>45748</v>
      </c>
      <c r="G135">
        <f>DAY(EOMONTH(Table1[[#This Row],[Month Year]],0))</f>
        <v>30</v>
      </c>
      <c r="H135" s="104">
        <v>45752</v>
      </c>
      <c r="I135" s="76">
        <f>IFERROR(VLOOKUP(Table1[[#This Row],[Date]],Table3[[Date]:[Sunset Time (POA&lt;20 W/m2)]],3,0),"")</f>
        <v>0.25833333333333336</v>
      </c>
      <c r="J135" s="76">
        <f>IFERROR(VLOOKUP(Table1[[#This Row],[Date]],Table3[[Date]:[Sunset Time (POA&lt;20 W/m2)]],4,0),"")</f>
        <v>0.76875000000000004</v>
      </c>
      <c r="K135" s="77">
        <f>IFERROR((Table1[[#This Row],[Sunset Time (POA&lt;20 W/m2)]]-Table1[[#This Row],[Sunrise Time (POA&gt;20 W/m2)]])*24,"")</f>
        <v>12.250000000000002</v>
      </c>
      <c r="L135" s="108" t="s">
        <v>232</v>
      </c>
      <c r="M135" s="91">
        <f>VLOOKUP(Table1[[#This Row],[Affceted Equipment]],'Basic Data'!$A$2:$C$818,2,0)</f>
        <v>669.6</v>
      </c>
      <c r="N135" s="93">
        <f>IFERROR(VLOOKUP(Table1[[#This Row],[Affceted Equipment]],'Basic Data'!$A$2:$C$818,3,0),"")</f>
        <v>8.348190352703562E-2</v>
      </c>
      <c r="O135" s="118" t="s">
        <v>323</v>
      </c>
      <c r="P135" s="94" t="s">
        <v>1090</v>
      </c>
      <c r="Q135" s="94"/>
      <c r="R135" s="94" t="s">
        <v>1090</v>
      </c>
      <c r="S135" s="92">
        <v>0.60833333333333328</v>
      </c>
      <c r="T135" s="119"/>
      <c r="U135" s="119"/>
      <c r="V135" s="92">
        <v>0.61458333333333337</v>
      </c>
      <c r="W135" s="89">
        <f>IF(Table1[[#This Row],[Acknowledgemnet Time ]]="NA","",(Table1[[#This Row],[Acknowledgemnet Time ]]-Table1[[#This Row],[Fault Time]])*24)</f>
        <v>-14.599999999999998</v>
      </c>
      <c r="X135" s="89">
        <f>IF(Table1[[#This Row],[Work Start time on Fault]]="NA","",(Table1[[#This Row],[Work Start time on Fault]]-Table1[[#This Row],[Fault Time]])*24)</f>
        <v>-14.599999999999998</v>
      </c>
      <c r="Y135" s="52">
        <f>(Table1[[#This Row],[Work Completiuon time on fualt]]-Table1[[#This Row],[Fault Time]])*24</f>
        <v>0.15000000000000213</v>
      </c>
      <c r="Z135" s="52">
        <f>IFERROR((Table1[[#This Row],[Work Completiuon time on fualt]]-Table1[[#This Row],[Fault Time]])*24,"")</f>
        <v>0.15000000000000213</v>
      </c>
      <c r="AA135" s="2" t="s">
        <v>1084</v>
      </c>
      <c r="AB135" s="2" t="s">
        <v>1080</v>
      </c>
      <c r="AC135" s="90">
        <f>IFERROR(Table1[[#This Row],[Breakdown Time]]*Table1[[#This Row],[Plant Equivalent Weightage]],"")</f>
        <v>1.2522285529055521E-2</v>
      </c>
      <c r="AD135" s="2">
        <v>0.13</v>
      </c>
      <c r="AE135" s="89">
        <f>_xlfn.XLOOKUP($F135,'Modelling New'!$D:$D,'Modelling New'!$O:$O)*Table1[[#This Row],[Lost PoA(Wh/m2)]]*Table1[[#This Row],[DC Capacity Affceted (kW)]]</f>
        <v>58.781315684584854</v>
      </c>
      <c r="AF135" s="2"/>
      <c r="AG135" s="2"/>
    </row>
    <row r="136" spans="1:33" x14ac:dyDescent="0.3">
      <c r="A136" s="67">
        <f t="shared" si="2"/>
        <v>133</v>
      </c>
      <c r="B136" s="75">
        <f>YEAR(Table1[[#This Row],[Date]])+IF(MONTH(Table1[[#This Row],[Date]])&gt;=4,1,0)</f>
        <v>2026</v>
      </c>
      <c r="C136" s="74">
        <f>YEAR(Table1[[#This Row],[Date]])</f>
        <v>2025</v>
      </c>
      <c r="D136" s="74" t="s">
        <v>1082</v>
      </c>
      <c r="E136" s="74" t="s">
        <v>1082</v>
      </c>
      <c r="F136" s="181">
        <f>Table1[[#This Row],[Date]]-DAY(Table1[[#This Row],[Date]])+1</f>
        <v>45748</v>
      </c>
      <c r="G136">
        <f>DAY(EOMONTH(Table1[[#This Row],[Month Year]],0))</f>
        <v>30</v>
      </c>
      <c r="H136" s="104">
        <v>45752</v>
      </c>
      <c r="I136" s="76">
        <f>IFERROR(VLOOKUP(Table1[[#This Row],[Date]],Table3[[Date]:[Sunset Time (POA&lt;20 W/m2)]],3,0),"")</f>
        <v>0.25833333333333336</v>
      </c>
      <c r="J136" s="76">
        <f>IFERROR(VLOOKUP(Table1[[#This Row],[Date]],Table3[[Date]:[Sunset Time (POA&lt;20 W/m2)]],4,0),"")</f>
        <v>0.76875000000000004</v>
      </c>
      <c r="K136" s="77">
        <f>IFERROR((Table1[[#This Row],[Sunset Time (POA&lt;20 W/m2)]]-Table1[[#This Row],[Sunrise Time (POA&gt;20 W/m2)]])*24,"")</f>
        <v>12.250000000000002</v>
      </c>
      <c r="L136" s="108" t="s">
        <v>180</v>
      </c>
      <c r="M136" s="91">
        <f>VLOOKUP(Table1[[#This Row],[Affceted Equipment]],'Basic Data'!$A$2:$C$818,2,0)</f>
        <v>2694.6</v>
      </c>
      <c r="N136" s="93">
        <f>IFERROR(VLOOKUP(Table1[[#This Row],[Affceted Equipment]],'Basic Data'!$A$2:$C$818,3,0),"")</f>
        <v>0.33594733758057077</v>
      </c>
      <c r="O136" s="118" t="s">
        <v>323</v>
      </c>
      <c r="P136" s="94" t="s">
        <v>1089</v>
      </c>
      <c r="Q136" s="94"/>
      <c r="R136" s="94" t="s">
        <v>1089</v>
      </c>
      <c r="S136" s="92">
        <v>0.61458333333333337</v>
      </c>
      <c r="T136" s="119"/>
      <c r="U136" s="119"/>
      <c r="V136" s="92">
        <v>0.62222222222222223</v>
      </c>
      <c r="W136" s="89">
        <f>IF(Table1[[#This Row],[Acknowledgemnet Time ]]="NA","",(Table1[[#This Row],[Acknowledgemnet Time ]]-Table1[[#This Row],[Fault Time]])*24)</f>
        <v>-14.75</v>
      </c>
      <c r="X136" s="89">
        <f>IF(Table1[[#This Row],[Work Start time on Fault]]="NA","",(Table1[[#This Row],[Work Start time on Fault]]-Table1[[#This Row],[Fault Time]])*24)</f>
        <v>-14.75</v>
      </c>
      <c r="Y136" s="52">
        <f>(Table1[[#This Row],[Work Completiuon time on fualt]]-Table1[[#This Row],[Fault Time]])*24</f>
        <v>0.18333333333333268</v>
      </c>
      <c r="Z136" s="52">
        <f>IFERROR((Table1[[#This Row],[Work Completiuon time on fualt]]-Table1[[#This Row],[Fault Time]])*24,"")</f>
        <v>0.18333333333333268</v>
      </c>
      <c r="AA136" s="2" t="s">
        <v>1086</v>
      </c>
      <c r="AB136" s="2" t="s">
        <v>1081</v>
      </c>
      <c r="AC136" s="90">
        <f>IFERROR(Table1[[#This Row],[Breakdown Time]]*Table1[[#This Row],[Plant Equivalent Weightage]],"")</f>
        <v>6.1590345223104422E-2</v>
      </c>
      <c r="AD136" s="2">
        <v>0.16</v>
      </c>
      <c r="AE136" s="89">
        <f>_xlfn.XLOOKUP($F136,'Modelling New'!$D:$D,'Modelling New'!$O:$O)*Table1[[#This Row],[Lost PoA(Wh/m2)]]*Table1[[#This Row],[DC Capacity Affceted (kW)]]</f>
        <v>291.13525088444504</v>
      </c>
      <c r="AF136" s="2"/>
      <c r="AG136" s="2"/>
    </row>
    <row r="137" spans="1:33" x14ac:dyDescent="0.3">
      <c r="A137" s="67">
        <f t="shared" si="2"/>
        <v>134</v>
      </c>
      <c r="B137" s="75">
        <f>YEAR(Table1[[#This Row],[Date]])+IF(MONTH(Table1[[#This Row],[Date]])&gt;=4,1,0)</f>
        <v>2026</v>
      </c>
      <c r="C137" s="74">
        <f>YEAR(Table1[[#This Row],[Date]])</f>
        <v>2025</v>
      </c>
      <c r="D137" s="74" t="s">
        <v>1082</v>
      </c>
      <c r="E137" s="74" t="s">
        <v>1082</v>
      </c>
      <c r="F137" s="181">
        <f>Table1[[#This Row],[Date]]-DAY(Table1[[#This Row],[Date]])+1</f>
        <v>45748</v>
      </c>
      <c r="G137">
        <f>DAY(EOMONTH(Table1[[#This Row],[Month Year]],0))</f>
        <v>30</v>
      </c>
      <c r="H137" s="104">
        <v>45752</v>
      </c>
      <c r="I137" s="76">
        <f>IFERROR(VLOOKUP(Table1[[#This Row],[Date]],Table3[[Date]:[Sunset Time (POA&lt;20 W/m2)]],3,0),"")</f>
        <v>0.25833333333333336</v>
      </c>
      <c r="J137" s="76">
        <f>IFERROR(VLOOKUP(Table1[[#This Row],[Date]],Table3[[Date]:[Sunset Time (POA&lt;20 W/m2)]],4,0),"")</f>
        <v>0.76875000000000004</v>
      </c>
      <c r="K137" s="77">
        <f>IFERROR((Table1[[#This Row],[Sunset Time (POA&lt;20 W/m2)]]-Table1[[#This Row],[Sunrise Time (POA&gt;20 W/m2)]])*24,"")</f>
        <v>12.250000000000002</v>
      </c>
      <c r="L137" s="108" t="s">
        <v>231</v>
      </c>
      <c r="M137" s="91">
        <f>VLOOKUP(Table1[[#This Row],[Affceted Equipment]],'Basic Data'!$A$2:$C$818,2,0)</f>
        <v>669.6</v>
      </c>
      <c r="N137" s="93">
        <f>IFERROR(VLOOKUP(Table1[[#This Row],[Affceted Equipment]],'Basic Data'!$A$2:$C$818,3,0),"")</f>
        <v>8.348190352703562E-2</v>
      </c>
      <c r="O137" s="118" t="s">
        <v>323</v>
      </c>
      <c r="P137" s="94" t="s">
        <v>1088</v>
      </c>
      <c r="Q137" s="94"/>
      <c r="R137" s="94" t="s">
        <v>1088</v>
      </c>
      <c r="S137" s="92">
        <v>0.62222222222222223</v>
      </c>
      <c r="T137" s="119"/>
      <c r="U137" s="119"/>
      <c r="V137" s="92">
        <v>0.62986111111111109</v>
      </c>
      <c r="W137" s="89">
        <f>IF(Table1[[#This Row],[Acknowledgemnet Time ]]="NA","",(Table1[[#This Row],[Acknowledgemnet Time ]]-Table1[[#This Row],[Fault Time]])*24)</f>
        <v>-14.933333333333334</v>
      </c>
      <c r="X137" s="89">
        <f>IF(Table1[[#This Row],[Work Start time on Fault]]="NA","",(Table1[[#This Row],[Work Start time on Fault]]-Table1[[#This Row],[Fault Time]])*24)</f>
        <v>-14.933333333333334</v>
      </c>
      <c r="Y137" s="52">
        <f>(Table1[[#This Row],[Work Completiuon time on fualt]]-Table1[[#This Row],[Fault Time]])*24</f>
        <v>0.18333333333333268</v>
      </c>
      <c r="Z137" s="52">
        <f>IFERROR((Table1[[#This Row],[Work Completiuon time on fualt]]-Table1[[#This Row],[Fault Time]])*24,"")</f>
        <v>0.18333333333333268</v>
      </c>
      <c r="AA137" s="2" t="s">
        <v>1084</v>
      </c>
      <c r="AB137" s="2" t="s">
        <v>1080</v>
      </c>
      <c r="AC137" s="90">
        <f>IFERROR(Table1[[#This Row],[Breakdown Time]]*Table1[[#This Row],[Plant Equivalent Weightage]],"")</f>
        <v>1.5305015646623142E-2</v>
      </c>
      <c r="AD137" s="2">
        <v>0.15</v>
      </c>
      <c r="AE137" s="89">
        <f>_xlfn.XLOOKUP($F137,'Modelling New'!$D:$D,'Modelling New'!$O:$O)*Table1[[#This Row],[Lost PoA(Wh/m2)]]*Table1[[#This Row],[DC Capacity Affceted (kW)]]</f>
        <v>67.82459502067482</v>
      </c>
      <c r="AF137" s="2"/>
      <c r="AG137" s="2"/>
    </row>
    <row r="138" spans="1:33" x14ac:dyDescent="0.3">
      <c r="A138" s="67">
        <f t="shared" si="2"/>
        <v>135</v>
      </c>
      <c r="B138" s="75">
        <f>YEAR(Table1[[#This Row],[Date]])+IF(MONTH(Table1[[#This Row],[Date]])&gt;=4,1,0)</f>
        <v>2026</v>
      </c>
      <c r="C138" s="74">
        <f>YEAR(Table1[[#This Row],[Date]])</f>
        <v>2025</v>
      </c>
      <c r="D138" s="74" t="s">
        <v>1082</v>
      </c>
      <c r="E138" s="74" t="s">
        <v>1082</v>
      </c>
      <c r="F138" s="181">
        <f>Table1[[#This Row],[Date]]-DAY(Table1[[#This Row],[Date]])+1</f>
        <v>45748</v>
      </c>
      <c r="G138">
        <f>DAY(EOMONTH(Table1[[#This Row],[Month Year]],0))</f>
        <v>30</v>
      </c>
      <c r="H138" s="104">
        <v>45752</v>
      </c>
      <c r="I138" s="76">
        <f>IFERROR(VLOOKUP(Table1[[#This Row],[Date]],Table3[[Date]:[Sunset Time (POA&lt;20 W/m2)]],3,0),"")</f>
        <v>0.25833333333333336</v>
      </c>
      <c r="J138" s="76">
        <f>IFERROR(VLOOKUP(Table1[[#This Row],[Date]],Table3[[Date]:[Sunset Time (POA&lt;20 W/m2)]],4,0),"")</f>
        <v>0.76875000000000004</v>
      </c>
      <c r="K138" s="77">
        <f>IFERROR((Table1[[#This Row],[Sunset Time (POA&lt;20 W/m2)]]-Table1[[#This Row],[Sunrise Time (POA&gt;20 W/m2)]])*24,"")</f>
        <v>12.250000000000002</v>
      </c>
      <c r="L138" s="108" t="s">
        <v>232</v>
      </c>
      <c r="M138" s="91">
        <f>VLOOKUP(Table1[[#This Row],[Affceted Equipment]],'Basic Data'!$A$2:$C$818,2,0)</f>
        <v>669.6</v>
      </c>
      <c r="N138" s="93">
        <f>IFERROR(VLOOKUP(Table1[[#This Row],[Affceted Equipment]],'Basic Data'!$A$2:$C$818,3,0),"")</f>
        <v>8.348190352703562E-2</v>
      </c>
      <c r="O138" s="118" t="s">
        <v>323</v>
      </c>
      <c r="P138" s="94" t="s">
        <v>1090</v>
      </c>
      <c r="Q138" s="94"/>
      <c r="R138" s="94" t="s">
        <v>1090</v>
      </c>
      <c r="S138" s="92">
        <v>0.62222222222222223</v>
      </c>
      <c r="T138" s="119"/>
      <c r="U138" s="119"/>
      <c r="V138" s="92">
        <v>0.62986111111111109</v>
      </c>
      <c r="W138" s="89">
        <f>IF(Table1[[#This Row],[Acknowledgemnet Time ]]="NA","",(Table1[[#This Row],[Acknowledgemnet Time ]]-Table1[[#This Row],[Fault Time]])*24)</f>
        <v>-14.933333333333334</v>
      </c>
      <c r="X138" s="89">
        <f>IF(Table1[[#This Row],[Work Start time on Fault]]="NA","",(Table1[[#This Row],[Work Start time on Fault]]-Table1[[#This Row],[Fault Time]])*24)</f>
        <v>-14.933333333333334</v>
      </c>
      <c r="Y138" s="52">
        <f>(Table1[[#This Row],[Work Completiuon time on fualt]]-Table1[[#This Row],[Fault Time]])*24</f>
        <v>0.18333333333333268</v>
      </c>
      <c r="Z138" s="52">
        <f>IFERROR((Table1[[#This Row],[Work Completiuon time on fualt]]-Table1[[#This Row],[Fault Time]])*24,"")</f>
        <v>0.18333333333333268</v>
      </c>
      <c r="AA138" s="2" t="s">
        <v>1084</v>
      </c>
      <c r="AB138" s="2" t="s">
        <v>1080</v>
      </c>
      <c r="AC138" s="90">
        <f>IFERROR(Table1[[#This Row],[Breakdown Time]]*Table1[[#This Row],[Plant Equivalent Weightage]],"")</f>
        <v>1.5305015646623142E-2</v>
      </c>
      <c r="AD138" s="2">
        <v>0.15</v>
      </c>
      <c r="AE138" s="89">
        <f>_xlfn.XLOOKUP($F138,'Modelling New'!$D:$D,'Modelling New'!$O:$O)*Table1[[#This Row],[Lost PoA(Wh/m2)]]*Table1[[#This Row],[DC Capacity Affceted (kW)]]</f>
        <v>67.82459502067482</v>
      </c>
      <c r="AF138" s="2"/>
      <c r="AG138" s="2"/>
    </row>
    <row r="139" spans="1:33" x14ac:dyDescent="0.3">
      <c r="A139" s="67">
        <f t="shared" si="2"/>
        <v>136</v>
      </c>
      <c r="B139" s="75">
        <f>YEAR(Table1[[#This Row],[Date]])+IF(MONTH(Table1[[#This Row],[Date]])&gt;=4,1,0)</f>
        <v>2026</v>
      </c>
      <c r="C139" s="74">
        <f>YEAR(Table1[[#This Row],[Date]])</f>
        <v>2025</v>
      </c>
      <c r="D139" s="74" t="s">
        <v>1082</v>
      </c>
      <c r="E139" s="74" t="s">
        <v>1082</v>
      </c>
      <c r="F139" s="181">
        <f>Table1[[#This Row],[Date]]-DAY(Table1[[#This Row],[Date]])+1</f>
        <v>45748</v>
      </c>
      <c r="G139">
        <f>DAY(EOMONTH(Table1[[#This Row],[Month Year]],0))</f>
        <v>30</v>
      </c>
      <c r="H139" s="104">
        <v>45752</v>
      </c>
      <c r="I139" s="76">
        <f>IFERROR(VLOOKUP(Table1[[#This Row],[Date]],Table3[[Date]:[Sunset Time (POA&lt;20 W/m2)]],3,0),"")</f>
        <v>0.25833333333333336</v>
      </c>
      <c r="J139" s="76">
        <f>IFERROR(VLOOKUP(Table1[[#This Row],[Date]],Table3[[Date]:[Sunset Time (POA&lt;20 W/m2)]],4,0),"")</f>
        <v>0.76875000000000004</v>
      </c>
      <c r="K139" s="77">
        <f>IFERROR((Table1[[#This Row],[Sunset Time (POA&lt;20 W/m2)]]-Table1[[#This Row],[Sunrise Time (POA&gt;20 W/m2)]])*24,"")</f>
        <v>12.250000000000002</v>
      </c>
      <c r="L139" s="108" t="s">
        <v>180</v>
      </c>
      <c r="M139" s="91">
        <f>VLOOKUP(Table1[[#This Row],[Affceted Equipment]],'Basic Data'!$A$2:$C$818,2,0)</f>
        <v>2694.6</v>
      </c>
      <c r="N139" s="93">
        <f>IFERROR(VLOOKUP(Table1[[#This Row],[Affceted Equipment]],'Basic Data'!$A$2:$C$818,3,0),"")</f>
        <v>0.33594733758057077</v>
      </c>
      <c r="O139" s="118" t="s">
        <v>323</v>
      </c>
      <c r="P139" s="94" t="s">
        <v>1089</v>
      </c>
      <c r="Q139" s="94"/>
      <c r="R139" s="94" t="s">
        <v>1089</v>
      </c>
      <c r="S139" s="92">
        <v>0.62986111111111109</v>
      </c>
      <c r="T139" s="119"/>
      <c r="U139" s="119"/>
      <c r="V139" s="92">
        <v>0.63541666666666663</v>
      </c>
      <c r="W139" s="89">
        <f>IF(Table1[[#This Row],[Acknowledgemnet Time ]]="NA","",(Table1[[#This Row],[Acknowledgemnet Time ]]-Table1[[#This Row],[Fault Time]])*24)</f>
        <v>-15.116666666666667</v>
      </c>
      <c r="X139" s="89">
        <f>IF(Table1[[#This Row],[Work Start time on Fault]]="NA","",(Table1[[#This Row],[Work Start time on Fault]]-Table1[[#This Row],[Fault Time]])*24)</f>
        <v>-15.116666666666667</v>
      </c>
      <c r="Y139" s="52">
        <f>(Table1[[#This Row],[Work Completiuon time on fualt]]-Table1[[#This Row],[Fault Time]])*24</f>
        <v>0.13333333333333286</v>
      </c>
      <c r="Z139" s="52">
        <f>IFERROR((Table1[[#This Row],[Work Completiuon time on fualt]]-Table1[[#This Row],[Fault Time]])*24,"")</f>
        <v>0.13333333333333286</v>
      </c>
      <c r="AA139" s="2" t="s">
        <v>1086</v>
      </c>
      <c r="AB139" s="2" t="s">
        <v>1081</v>
      </c>
      <c r="AC139" s="90">
        <f>IFERROR(Table1[[#This Row],[Breakdown Time]]*Table1[[#This Row],[Plant Equivalent Weightage]],"")</f>
        <v>4.4792978344075945E-2</v>
      </c>
      <c r="AD139" s="2">
        <v>0.11</v>
      </c>
      <c r="AE139" s="89">
        <f>_xlfn.XLOOKUP($F139,'Modelling New'!$D:$D,'Modelling New'!$O:$O)*Table1[[#This Row],[Lost PoA(Wh/m2)]]*Table1[[#This Row],[DC Capacity Affceted (kW)]]</f>
        <v>200.155484983056</v>
      </c>
      <c r="AF139" s="2"/>
      <c r="AG139" s="2"/>
    </row>
    <row r="140" spans="1:33" x14ac:dyDescent="0.3">
      <c r="A140" s="67">
        <f t="shared" si="2"/>
        <v>137</v>
      </c>
      <c r="B140" s="75">
        <f>YEAR(Table1[[#This Row],[Date]])+IF(MONTH(Table1[[#This Row],[Date]])&gt;=4,1,0)</f>
        <v>2026</v>
      </c>
      <c r="C140" s="74">
        <f>YEAR(Table1[[#This Row],[Date]])</f>
        <v>2025</v>
      </c>
      <c r="D140" s="74" t="s">
        <v>1082</v>
      </c>
      <c r="E140" s="74" t="s">
        <v>1082</v>
      </c>
      <c r="F140" s="181">
        <f>Table1[[#This Row],[Date]]-DAY(Table1[[#This Row],[Date]])+1</f>
        <v>45748</v>
      </c>
      <c r="G140">
        <f>DAY(EOMONTH(Table1[[#This Row],[Month Year]],0))</f>
        <v>30</v>
      </c>
      <c r="H140" s="104">
        <v>45752</v>
      </c>
      <c r="I140" s="76">
        <f>IFERROR(VLOOKUP(Table1[[#This Row],[Date]],Table3[[Date]:[Sunset Time (POA&lt;20 W/m2)]],3,0),"")</f>
        <v>0.25833333333333336</v>
      </c>
      <c r="J140" s="76">
        <f>IFERROR(VLOOKUP(Table1[[#This Row],[Date]],Table3[[Date]:[Sunset Time (POA&lt;20 W/m2)]],4,0),"")</f>
        <v>0.76875000000000004</v>
      </c>
      <c r="K140" s="77">
        <f>IFERROR((Table1[[#This Row],[Sunset Time (POA&lt;20 W/m2)]]-Table1[[#This Row],[Sunrise Time (POA&gt;20 W/m2)]])*24,"")</f>
        <v>12.250000000000002</v>
      </c>
      <c r="L140" s="108" t="s">
        <v>231</v>
      </c>
      <c r="M140" s="91">
        <f>VLOOKUP(Table1[[#This Row],[Affceted Equipment]],'Basic Data'!$A$2:$C$818,2,0)</f>
        <v>669.6</v>
      </c>
      <c r="N140" s="93">
        <f>IFERROR(VLOOKUP(Table1[[#This Row],[Affceted Equipment]],'Basic Data'!$A$2:$C$818,3,0),"")</f>
        <v>8.348190352703562E-2</v>
      </c>
      <c r="O140" s="118" t="s">
        <v>323</v>
      </c>
      <c r="P140" s="94" t="s">
        <v>1088</v>
      </c>
      <c r="Q140" s="94"/>
      <c r="R140" s="94" t="s">
        <v>1088</v>
      </c>
      <c r="S140" s="92">
        <v>0.63541666666666663</v>
      </c>
      <c r="T140" s="119"/>
      <c r="U140" s="119"/>
      <c r="V140" s="92">
        <v>0.64444444444444449</v>
      </c>
      <c r="W140" s="89">
        <f>IF(Table1[[#This Row],[Acknowledgemnet Time ]]="NA","",(Table1[[#This Row],[Acknowledgemnet Time ]]-Table1[[#This Row],[Fault Time]])*24)</f>
        <v>-15.25</v>
      </c>
      <c r="X140" s="89">
        <f>IF(Table1[[#This Row],[Work Start time on Fault]]="NA","",(Table1[[#This Row],[Work Start time on Fault]]-Table1[[#This Row],[Fault Time]])*24)</f>
        <v>-15.25</v>
      </c>
      <c r="Y140" s="52">
        <f>(Table1[[#This Row],[Work Completiuon time on fualt]]-Table1[[#This Row],[Fault Time]])*24</f>
        <v>0.21666666666666856</v>
      </c>
      <c r="Z140" s="52">
        <f>IFERROR((Table1[[#This Row],[Work Completiuon time on fualt]]-Table1[[#This Row],[Fault Time]])*24,"")</f>
        <v>0.21666666666666856</v>
      </c>
      <c r="AA140" s="2" t="s">
        <v>1084</v>
      </c>
      <c r="AB140" s="2" t="s">
        <v>1080</v>
      </c>
      <c r="AC140" s="90">
        <f>IFERROR(Table1[[#This Row],[Breakdown Time]]*Table1[[#This Row],[Plant Equivalent Weightage]],"")</f>
        <v>1.8087745764191209E-2</v>
      </c>
      <c r="AD140" s="2">
        <v>0.16</v>
      </c>
      <c r="AE140" s="89">
        <f>_xlfn.XLOOKUP($F140,'Modelling New'!$D:$D,'Modelling New'!$O:$O)*Table1[[#This Row],[Lost PoA(Wh/m2)]]*Table1[[#This Row],[DC Capacity Affceted (kW)]]</f>
        <v>72.346234688719818</v>
      </c>
      <c r="AF140" s="2"/>
      <c r="AG140" s="2"/>
    </row>
    <row r="141" spans="1:33" x14ac:dyDescent="0.3">
      <c r="A141" s="67">
        <f t="shared" si="2"/>
        <v>138</v>
      </c>
      <c r="B141" s="75">
        <f>YEAR(Table1[[#This Row],[Date]])+IF(MONTH(Table1[[#This Row],[Date]])&gt;=4,1,0)</f>
        <v>2026</v>
      </c>
      <c r="C141" s="74">
        <f>YEAR(Table1[[#This Row],[Date]])</f>
        <v>2025</v>
      </c>
      <c r="D141" s="74" t="s">
        <v>1082</v>
      </c>
      <c r="E141" s="74" t="s">
        <v>1082</v>
      </c>
      <c r="F141" s="181">
        <f>Table1[[#This Row],[Date]]-DAY(Table1[[#This Row],[Date]])+1</f>
        <v>45748</v>
      </c>
      <c r="G141">
        <f>DAY(EOMONTH(Table1[[#This Row],[Month Year]],0))</f>
        <v>30</v>
      </c>
      <c r="H141" s="104">
        <v>45752</v>
      </c>
      <c r="I141" s="76">
        <f>IFERROR(VLOOKUP(Table1[[#This Row],[Date]],Table3[[Date]:[Sunset Time (POA&lt;20 W/m2)]],3,0),"")</f>
        <v>0.25833333333333336</v>
      </c>
      <c r="J141" s="76">
        <f>IFERROR(VLOOKUP(Table1[[#This Row],[Date]],Table3[[Date]:[Sunset Time (POA&lt;20 W/m2)]],4,0),"")</f>
        <v>0.76875000000000004</v>
      </c>
      <c r="K141" s="77">
        <f>IFERROR((Table1[[#This Row],[Sunset Time (POA&lt;20 W/m2)]]-Table1[[#This Row],[Sunrise Time (POA&gt;20 W/m2)]])*24,"")</f>
        <v>12.250000000000002</v>
      </c>
      <c r="L141" s="108" t="s">
        <v>232</v>
      </c>
      <c r="M141" s="91">
        <f>VLOOKUP(Table1[[#This Row],[Affceted Equipment]],'Basic Data'!$A$2:$C$818,2,0)</f>
        <v>669.6</v>
      </c>
      <c r="N141" s="93">
        <f>IFERROR(VLOOKUP(Table1[[#This Row],[Affceted Equipment]],'Basic Data'!$A$2:$C$818,3,0),"")</f>
        <v>8.348190352703562E-2</v>
      </c>
      <c r="O141" s="118" t="s">
        <v>323</v>
      </c>
      <c r="P141" s="94" t="s">
        <v>1090</v>
      </c>
      <c r="Q141" s="94"/>
      <c r="R141" s="94" t="s">
        <v>1090</v>
      </c>
      <c r="S141" s="92">
        <v>0.63541666666666663</v>
      </c>
      <c r="T141" s="119"/>
      <c r="U141" s="119"/>
      <c r="V141" s="92">
        <v>0.64444444444444449</v>
      </c>
      <c r="W141" s="89">
        <f>IF(Table1[[#This Row],[Acknowledgemnet Time ]]="NA","",(Table1[[#This Row],[Acknowledgemnet Time ]]-Table1[[#This Row],[Fault Time]])*24)</f>
        <v>-15.25</v>
      </c>
      <c r="X141" s="89">
        <f>IF(Table1[[#This Row],[Work Start time on Fault]]="NA","",(Table1[[#This Row],[Work Start time on Fault]]-Table1[[#This Row],[Fault Time]])*24)</f>
        <v>-15.25</v>
      </c>
      <c r="Y141" s="52">
        <f>(Table1[[#This Row],[Work Completiuon time on fualt]]-Table1[[#This Row],[Fault Time]])*24</f>
        <v>0.21666666666666856</v>
      </c>
      <c r="Z141" s="52">
        <f>IFERROR((Table1[[#This Row],[Work Completiuon time on fualt]]-Table1[[#This Row],[Fault Time]])*24,"")</f>
        <v>0.21666666666666856</v>
      </c>
      <c r="AA141" s="2" t="s">
        <v>1084</v>
      </c>
      <c r="AB141" s="2" t="s">
        <v>1080</v>
      </c>
      <c r="AC141" s="90">
        <f>IFERROR(Table1[[#This Row],[Breakdown Time]]*Table1[[#This Row],[Plant Equivalent Weightage]],"")</f>
        <v>1.8087745764191209E-2</v>
      </c>
      <c r="AD141" s="2">
        <v>0.16</v>
      </c>
      <c r="AE141" s="89">
        <f>_xlfn.XLOOKUP($F141,'Modelling New'!$D:$D,'Modelling New'!$O:$O)*Table1[[#This Row],[Lost PoA(Wh/m2)]]*Table1[[#This Row],[DC Capacity Affceted (kW)]]</f>
        <v>72.346234688719818</v>
      </c>
      <c r="AF141" s="2"/>
      <c r="AG141" s="2"/>
    </row>
    <row r="142" spans="1:33" x14ac:dyDescent="0.3">
      <c r="A142" s="67">
        <f t="shared" si="2"/>
        <v>139</v>
      </c>
      <c r="B142" s="75">
        <f>YEAR(Table1[[#This Row],[Date]])+IF(MONTH(Table1[[#This Row],[Date]])&gt;=4,1,0)</f>
        <v>2026</v>
      </c>
      <c r="C142" s="74">
        <f>YEAR(Table1[[#This Row],[Date]])</f>
        <v>2025</v>
      </c>
      <c r="D142" s="74" t="s">
        <v>1082</v>
      </c>
      <c r="E142" s="74" t="s">
        <v>1082</v>
      </c>
      <c r="F142" s="181">
        <f>Table1[[#This Row],[Date]]-DAY(Table1[[#This Row],[Date]])+1</f>
        <v>45748</v>
      </c>
      <c r="G142">
        <f>DAY(EOMONTH(Table1[[#This Row],[Month Year]],0))</f>
        <v>30</v>
      </c>
      <c r="H142" s="104">
        <v>45752</v>
      </c>
      <c r="I142" s="76">
        <f>IFERROR(VLOOKUP(Table1[[#This Row],[Date]],Table3[[Date]:[Sunset Time (POA&lt;20 W/m2)]],3,0),"")</f>
        <v>0.25833333333333336</v>
      </c>
      <c r="J142" s="76">
        <f>IFERROR(VLOOKUP(Table1[[#This Row],[Date]],Table3[[Date]:[Sunset Time (POA&lt;20 W/m2)]],4,0),"")</f>
        <v>0.76875000000000004</v>
      </c>
      <c r="K142" s="77">
        <f>IFERROR((Table1[[#This Row],[Sunset Time (POA&lt;20 W/m2)]]-Table1[[#This Row],[Sunrise Time (POA&gt;20 W/m2)]])*24,"")</f>
        <v>12.250000000000002</v>
      </c>
      <c r="L142" s="108" t="s">
        <v>180</v>
      </c>
      <c r="M142" s="91">
        <f>VLOOKUP(Table1[[#This Row],[Affceted Equipment]],'Basic Data'!$A$2:$C$818,2,0)</f>
        <v>2694.6</v>
      </c>
      <c r="N142" s="93">
        <f>IFERROR(VLOOKUP(Table1[[#This Row],[Affceted Equipment]],'Basic Data'!$A$2:$C$818,3,0),"")</f>
        <v>0.33594733758057077</v>
      </c>
      <c r="O142" s="118" t="s">
        <v>323</v>
      </c>
      <c r="P142" s="94" t="s">
        <v>1089</v>
      </c>
      <c r="Q142" s="94"/>
      <c r="R142" s="94" t="s">
        <v>1089</v>
      </c>
      <c r="S142" s="92">
        <v>0.64444444444444449</v>
      </c>
      <c r="T142" s="119"/>
      <c r="U142" s="119"/>
      <c r="V142" s="92">
        <v>0.66041666666666665</v>
      </c>
      <c r="W142" s="89">
        <f>IF(Table1[[#This Row],[Acknowledgemnet Time ]]="NA","",(Table1[[#This Row],[Acknowledgemnet Time ]]-Table1[[#This Row],[Fault Time]])*24)</f>
        <v>-15.466666666666669</v>
      </c>
      <c r="X142" s="89">
        <f>IF(Table1[[#This Row],[Work Start time on Fault]]="NA","",(Table1[[#This Row],[Work Start time on Fault]]-Table1[[#This Row],[Fault Time]])*24)</f>
        <v>-15.466666666666669</v>
      </c>
      <c r="Y142" s="52">
        <f>(Table1[[#This Row],[Work Completiuon time on fualt]]-Table1[[#This Row],[Fault Time]])*24</f>
        <v>0.38333333333333197</v>
      </c>
      <c r="Z142" s="52">
        <f>IFERROR((Table1[[#This Row],[Work Completiuon time on fualt]]-Table1[[#This Row],[Fault Time]])*24,"")</f>
        <v>0.38333333333333197</v>
      </c>
      <c r="AA142" s="2" t="s">
        <v>1086</v>
      </c>
      <c r="AB142" s="2" t="s">
        <v>1081</v>
      </c>
      <c r="AC142" s="90">
        <f>IFERROR(Table1[[#This Row],[Breakdown Time]]*Table1[[#This Row],[Plant Equivalent Weightage]],"")</f>
        <v>0.12877981273921835</v>
      </c>
      <c r="AD142" s="2">
        <v>0.24399999999999999</v>
      </c>
      <c r="AE142" s="89">
        <f>_xlfn.XLOOKUP($F142,'Modelling New'!$D:$D,'Modelling New'!$O:$O)*Table1[[#This Row],[Lost PoA(Wh/m2)]]*Table1[[#This Row],[DC Capacity Affceted (kW)]]</f>
        <v>443.98125759877871</v>
      </c>
      <c r="AF142" s="2"/>
      <c r="AG142" s="2"/>
    </row>
    <row r="143" spans="1:33" x14ac:dyDescent="0.3">
      <c r="A143" s="67">
        <f t="shared" si="2"/>
        <v>140</v>
      </c>
      <c r="B143" s="75">
        <f>YEAR(Table1[[#This Row],[Date]])+IF(MONTH(Table1[[#This Row],[Date]])&gt;=4,1,0)</f>
        <v>2026</v>
      </c>
      <c r="C143" s="74">
        <f>YEAR(Table1[[#This Row],[Date]])</f>
        <v>2025</v>
      </c>
      <c r="D143" s="74" t="s">
        <v>1082</v>
      </c>
      <c r="E143" s="74" t="s">
        <v>1082</v>
      </c>
      <c r="F143" s="181">
        <f>Table1[[#This Row],[Date]]-DAY(Table1[[#This Row],[Date]])+1</f>
        <v>45748</v>
      </c>
      <c r="G143">
        <f>DAY(EOMONTH(Table1[[#This Row],[Month Year]],0))</f>
        <v>30</v>
      </c>
      <c r="H143" s="104">
        <v>45752</v>
      </c>
      <c r="I143" s="76">
        <f>IFERROR(VLOOKUP(Table1[[#This Row],[Date]],Table3[[Date]:[Sunset Time (POA&lt;20 W/m2)]],3,0),"")</f>
        <v>0.25833333333333336</v>
      </c>
      <c r="J143" s="76">
        <f>IFERROR(VLOOKUP(Table1[[#This Row],[Date]],Table3[[Date]:[Sunset Time (POA&lt;20 W/m2)]],4,0),"")</f>
        <v>0.76875000000000004</v>
      </c>
      <c r="K143" s="77">
        <f>IFERROR((Table1[[#This Row],[Sunset Time (POA&lt;20 W/m2)]]-Table1[[#This Row],[Sunrise Time (POA&gt;20 W/m2)]])*24,"")</f>
        <v>12.250000000000002</v>
      </c>
      <c r="L143" s="108" t="s">
        <v>231</v>
      </c>
      <c r="M143" s="91">
        <f>VLOOKUP(Table1[[#This Row],[Affceted Equipment]],'Basic Data'!$A$2:$C$818,2,0)</f>
        <v>669.6</v>
      </c>
      <c r="N143" s="93">
        <f>IFERROR(VLOOKUP(Table1[[#This Row],[Affceted Equipment]],'Basic Data'!$A$2:$C$818,3,0),"")</f>
        <v>8.348190352703562E-2</v>
      </c>
      <c r="O143" s="118" t="s">
        <v>323</v>
      </c>
      <c r="P143" s="94" t="s">
        <v>1088</v>
      </c>
      <c r="Q143" s="94"/>
      <c r="R143" s="94" t="s">
        <v>1088</v>
      </c>
      <c r="S143" s="92">
        <v>0.66041666666666665</v>
      </c>
      <c r="T143" s="119"/>
      <c r="U143" s="119"/>
      <c r="V143" s="92">
        <v>0.70277777777777772</v>
      </c>
      <c r="W143" s="89">
        <f>IF(Table1[[#This Row],[Acknowledgemnet Time ]]="NA","",(Table1[[#This Row],[Acknowledgemnet Time ]]-Table1[[#This Row],[Fault Time]])*24)</f>
        <v>-15.85</v>
      </c>
      <c r="X143" s="89">
        <f>IF(Table1[[#This Row],[Work Start time on Fault]]="NA","",(Table1[[#This Row],[Work Start time on Fault]]-Table1[[#This Row],[Fault Time]])*24)</f>
        <v>-15.85</v>
      </c>
      <c r="Y143" s="52">
        <f>(Table1[[#This Row],[Work Completiuon time on fualt]]-Table1[[#This Row],[Fault Time]])*24</f>
        <v>1.0166666666666657</v>
      </c>
      <c r="Z143" s="52">
        <f>IFERROR((Table1[[#This Row],[Work Completiuon time on fualt]]-Table1[[#This Row],[Fault Time]])*24,"")</f>
        <v>1.0166666666666657</v>
      </c>
      <c r="AA143" s="2" t="s">
        <v>1084</v>
      </c>
      <c r="AB143" s="2" t="s">
        <v>1080</v>
      </c>
      <c r="AC143" s="90">
        <f>IFERROR(Table1[[#This Row],[Breakdown Time]]*Table1[[#This Row],[Plant Equivalent Weightage]],"")</f>
        <v>8.4873268585819464E-2</v>
      </c>
      <c r="AD143" s="2">
        <v>0.46</v>
      </c>
      <c r="AE143" s="89">
        <f>_xlfn.XLOOKUP($F143,'Modelling New'!$D:$D,'Modelling New'!$O:$O)*Table1[[#This Row],[Lost PoA(Wh/m2)]]*Table1[[#This Row],[DC Capacity Affceted (kW)]]</f>
        <v>207.99542473006949</v>
      </c>
      <c r="AF143" s="2"/>
      <c r="AG143" s="2"/>
    </row>
    <row r="144" spans="1:33" x14ac:dyDescent="0.3">
      <c r="A144" s="67">
        <f t="shared" si="2"/>
        <v>141</v>
      </c>
      <c r="B144" s="75">
        <f>YEAR(Table1[[#This Row],[Date]])+IF(MONTH(Table1[[#This Row],[Date]])&gt;=4,1,0)</f>
        <v>2026</v>
      </c>
      <c r="C144" s="74">
        <f>YEAR(Table1[[#This Row],[Date]])</f>
        <v>2025</v>
      </c>
      <c r="D144" s="74" t="s">
        <v>1082</v>
      </c>
      <c r="E144" s="74" t="s">
        <v>1082</v>
      </c>
      <c r="F144" s="181">
        <f>Table1[[#This Row],[Date]]-DAY(Table1[[#This Row],[Date]])+1</f>
        <v>45748</v>
      </c>
      <c r="G144">
        <f>DAY(EOMONTH(Table1[[#This Row],[Month Year]],0))</f>
        <v>30</v>
      </c>
      <c r="H144" s="104">
        <v>45752</v>
      </c>
      <c r="I144" s="76">
        <f>IFERROR(VLOOKUP(Table1[[#This Row],[Date]],Table3[[Date]:[Sunset Time (POA&lt;20 W/m2)]],3,0),"")</f>
        <v>0.25833333333333336</v>
      </c>
      <c r="J144" s="76">
        <f>IFERROR(VLOOKUP(Table1[[#This Row],[Date]],Table3[[Date]:[Sunset Time (POA&lt;20 W/m2)]],4,0),"")</f>
        <v>0.76875000000000004</v>
      </c>
      <c r="K144" s="77">
        <f>IFERROR((Table1[[#This Row],[Sunset Time (POA&lt;20 W/m2)]]-Table1[[#This Row],[Sunrise Time (POA&gt;20 W/m2)]])*24,"")</f>
        <v>12.250000000000002</v>
      </c>
      <c r="L144" s="108" t="s">
        <v>232</v>
      </c>
      <c r="M144" s="91">
        <f>VLOOKUP(Table1[[#This Row],[Affceted Equipment]],'Basic Data'!$A$2:$C$818,2,0)</f>
        <v>669.6</v>
      </c>
      <c r="N144" s="93">
        <f>IFERROR(VLOOKUP(Table1[[#This Row],[Affceted Equipment]],'Basic Data'!$A$2:$C$818,3,0),"")</f>
        <v>8.348190352703562E-2</v>
      </c>
      <c r="O144" s="118" t="s">
        <v>323</v>
      </c>
      <c r="P144" s="94" t="s">
        <v>1090</v>
      </c>
      <c r="Q144" s="94"/>
      <c r="R144" s="94" t="s">
        <v>1090</v>
      </c>
      <c r="S144" s="92">
        <v>0.66041666666666665</v>
      </c>
      <c r="T144" s="119"/>
      <c r="U144" s="119"/>
      <c r="V144" s="92">
        <v>0.70277777777777772</v>
      </c>
      <c r="W144" s="89">
        <f>IF(Table1[[#This Row],[Acknowledgemnet Time ]]="NA","",(Table1[[#This Row],[Acknowledgemnet Time ]]-Table1[[#This Row],[Fault Time]])*24)</f>
        <v>-15.85</v>
      </c>
      <c r="X144" s="89">
        <f>IF(Table1[[#This Row],[Work Start time on Fault]]="NA","",(Table1[[#This Row],[Work Start time on Fault]]-Table1[[#This Row],[Fault Time]])*24)</f>
        <v>-15.85</v>
      </c>
      <c r="Y144" s="52">
        <f>(Table1[[#This Row],[Work Completiuon time on fualt]]-Table1[[#This Row],[Fault Time]])*24</f>
        <v>1.0166666666666657</v>
      </c>
      <c r="Z144" s="52">
        <f>IFERROR((Table1[[#This Row],[Work Completiuon time on fualt]]-Table1[[#This Row],[Fault Time]])*24,"")</f>
        <v>1.0166666666666657</v>
      </c>
      <c r="AA144" s="2" t="s">
        <v>1084</v>
      </c>
      <c r="AB144" s="2" t="s">
        <v>1080</v>
      </c>
      <c r="AC144" s="90">
        <f>IFERROR(Table1[[#This Row],[Breakdown Time]]*Table1[[#This Row],[Plant Equivalent Weightage]],"")</f>
        <v>8.4873268585819464E-2</v>
      </c>
      <c r="AD144" s="2">
        <v>0.46</v>
      </c>
      <c r="AE144" s="89">
        <f>_xlfn.XLOOKUP($F144,'Modelling New'!$D:$D,'Modelling New'!$O:$O)*Table1[[#This Row],[Lost PoA(Wh/m2)]]*Table1[[#This Row],[DC Capacity Affceted (kW)]]</f>
        <v>207.99542473006949</v>
      </c>
      <c r="AF144" s="2"/>
      <c r="AG144" s="2"/>
    </row>
    <row r="145" spans="1:33" x14ac:dyDescent="0.3">
      <c r="A145" s="67">
        <f t="shared" si="2"/>
        <v>142</v>
      </c>
      <c r="B145" s="75">
        <f>YEAR(Table1[[#This Row],[Date]])+IF(MONTH(Table1[[#This Row],[Date]])&gt;=4,1,0)</f>
        <v>2026</v>
      </c>
      <c r="C145" s="74">
        <f>YEAR(Table1[[#This Row],[Date]])</f>
        <v>2025</v>
      </c>
      <c r="D145" s="74" t="s">
        <v>1082</v>
      </c>
      <c r="E145" s="74" t="s">
        <v>1082</v>
      </c>
      <c r="F145" s="181">
        <f>Table1[[#This Row],[Date]]-DAY(Table1[[#This Row],[Date]])+1</f>
        <v>45748</v>
      </c>
      <c r="G145">
        <f>DAY(EOMONTH(Table1[[#This Row],[Month Year]],0))</f>
        <v>30</v>
      </c>
      <c r="H145" s="104">
        <v>45752</v>
      </c>
      <c r="I145" s="76">
        <f>IFERROR(VLOOKUP(Table1[[#This Row],[Date]],Table3[[Date]:[Sunset Time (POA&lt;20 W/m2)]],3,0),"")</f>
        <v>0.25833333333333336</v>
      </c>
      <c r="J145" s="76">
        <f>IFERROR(VLOOKUP(Table1[[#This Row],[Date]],Table3[[Date]:[Sunset Time (POA&lt;20 W/m2)]],4,0),"")</f>
        <v>0.76875000000000004</v>
      </c>
      <c r="K145" s="77">
        <f>IFERROR((Table1[[#This Row],[Sunset Time (POA&lt;20 W/m2)]]-Table1[[#This Row],[Sunrise Time (POA&gt;20 W/m2)]])*24,"")</f>
        <v>12.250000000000002</v>
      </c>
      <c r="L145" s="108" t="s">
        <v>180</v>
      </c>
      <c r="M145" s="91">
        <f>VLOOKUP(Table1[[#This Row],[Affceted Equipment]],'Basic Data'!$A$2:$C$818,2,0)</f>
        <v>2694.6</v>
      </c>
      <c r="N145" s="93">
        <f>IFERROR(VLOOKUP(Table1[[#This Row],[Affceted Equipment]],'Basic Data'!$A$2:$C$818,3,0),"")</f>
        <v>0.33594733758057077</v>
      </c>
      <c r="O145" s="118" t="s">
        <v>323</v>
      </c>
      <c r="P145" s="94" t="s">
        <v>1091</v>
      </c>
      <c r="Q145" s="94"/>
      <c r="R145" s="94" t="s">
        <v>1091</v>
      </c>
      <c r="S145" s="92">
        <v>0.70277777777777772</v>
      </c>
      <c r="T145" s="119"/>
      <c r="U145" s="119"/>
      <c r="V145" s="92">
        <v>0.70416666666666672</v>
      </c>
      <c r="W145" s="89">
        <f>IF(Table1[[#This Row],[Acknowledgemnet Time ]]="NA","",(Table1[[#This Row],[Acknowledgemnet Time ]]-Table1[[#This Row],[Fault Time]])*24)</f>
        <v>-16.866666666666667</v>
      </c>
      <c r="X145" s="89">
        <f>IF(Table1[[#This Row],[Work Start time on Fault]]="NA","",(Table1[[#This Row],[Work Start time on Fault]]-Table1[[#This Row],[Fault Time]])*24)</f>
        <v>-16.866666666666667</v>
      </c>
      <c r="Y145" s="52">
        <f>(Table1[[#This Row],[Work Completiuon time on fualt]]-Table1[[#This Row],[Fault Time]])*24</f>
        <v>3.3333333333335879E-2</v>
      </c>
      <c r="Z145" s="52">
        <f>IFERROR((Table1[[#This Row],[Work Completiuon time on fualt]]-Table1[[#This Row],[Fault Time]])*24,"")</f>
        <v>3.3333333333335879E-2</v>
      </c>
      <c r="AA145" s="2" t="s">
        <v>1086</v>
      </c>
      <c r="AB145" s="2" t="s">
        <v>1081</v>
      </c>
      <c r="AC145" s="90">
        <f>IFERROR(Table1[[#This Row],[Breakdown Time]]*Table1[[#This Row],[Plant Equivalent Weightage]],"")</f>
        <v>1.1198244586019881E-2</v>
      </c>
      <c r="AD145" s="2">
        <v>0.01</v>
      </c>
      <c r="AE145" s="89">
        <f>_xlfn.XLOOKUP($F145,'Modelling New'!$D:$D,'Modelling New'!$O:$O)*Table1[[#This Row],[Lost PoA(Wh/m2)]]*Table1[[#This Row],[DC Capacity Affceted (kW)]]</f>
        <v>18.195953180277815</v>
      </c>
      <c r="AF145" s="2"/>
      <c r="AG145" s="2"/>
    </row>
    <row r="146" spans="1:33" x14ac:dyDescent="0.3">
      <c r="A146" s="67">
        <f t="shared" si="2"/>
        <v>143</v>
      </c>
      <c r="B146" s="75">
        <f>YEAR(Table1[[#This Row],[Date]])+IF(MONTH(Table1[[#This Row],[Date]])&gt;=4,1,0)</f>
        <v>2026</v>
      </c>
      <c r="C146" s="74">
        <f>YEAR(Table1[[#This Row],[Date]])</f>
        <v>2025</v>
      </c>
      <c r="D146" s="74" t="s">
        <v>1082</v>
      </c>
      <c r="E146" s="74" t="s">
        <v>1082</v>
      </c>
      <c r="F146" s="181">
        <f>Table1[[#This Row],[Date]]-DAY(Table1[[#This Row],[Date]])+1</f>
        <v>45748</v>
      </c>
      <c r="G146">
        <f>DAY(EOMONTH(Table1[[#This Row],[Month Year]],0))</f>
        <v>30</v>
      </c>
      <c r="H146" s="104">
        <v>45752</v>
      </c>
      <c r="I146" s="76">
        <f>IFERROR(VLOOKUP(Table1[[#This Row],[Date]],Table3[[Date]:[Sunset Time (POA&lt;20 W/m2)]],3,0),"")</f>
        <v>0.25833333333333336</v>
      </c>
      <c r="J146" s="76">
        <f>IFERROR(VLOOKUP(Table1[[#This Row],[Date]],Table3[[Date]:[Sunset Time (POA&lt;20 W/m2)]],4,0),"")</f>
        <v>0.76875000000000004</v>
      </c>
      <c r="K146" s="77">
        <f>IFERROR((Table1[[#This Row],[Sunset Time (POA&lt;20 W/m2)]]-Table1[[#This Row],[Sunrise Time (POA&gt;20 W/m2)]])*24,"")</f>
        <v>12.250000000000002</v>
      </c>
      <c r="L146" s="108" t="s">
        <v>231</v>
      </c>
      <c r="M146" s="91">
        <f>VLOOKUP(Table1[[#This Row],[Affceted Equipment]],'Basic Data'!$A$2:$C$818,2,0)</f>
        <v>669.6</v>
      </c>
      <c r="N146" s="93">
        <f>IFERROR(VLOOKUP(Table1[[#This Row],[Affceted Equipment]],'Basic Data'!$A$2:$C$818,3,0),"")</f>
        <v>8.348190352703562E-2</v>
      </c>
      <c r="O146" s="118" t="s">
        <v>323</v>
      </c>
      <c r="P146" s="94" t="s">
        <v>1088</v>
      </c>
      <c r="Q146" s="94"/>
      <c r="R146" s="94" t="s">
        <v>1088</v>
      </c>
      <c r="S146" s="92">
        <v>0.70416666666666672</v>
      </c>
      <c r="T146" s="119"/>
      <c r="U146" s="119"/>
      <c r="V146" s="92">
        <v>0.72916666666666663</v>
      </c>
      <c r="W146" s="89">
        <f>IF(Table1[[#This Row],[Acknowledgemnet Time ]]="NA","",(Table1[[#This Row],[Acknowledgemnet Time ]]-Table1[[#This Row],[Fault Time]])*24)</f>
        <v>-16.900000000000002</v>
      </c>
      <c r="X146" s="89">
        <f>IF(Table1[[#This Row],[Work Start time on Fault]]="NA","",(Table1[[#This Row],[Work Start time on Fault]]-Table1[[#This Row],[Fault Time]])*24)</f>
        <v>-16.900000000000002</v>
      </c>
      <c r="Y146" s="52">
        <f>(Table1[[#This Row],[Work Completiuon time on fualt]]-Table1[[#This Row],[Fault Time]])*24</f>
        <v>0.59999999999999787</v>
      </c>
      <c r="Z146" s="52">
        <f>IFERROR((Table1[[#This Row],[Work Completiuon time on fualt]]-Table1[[#This Row],[Fault Time]])*24,"")</f>
        <v>0.59999999999999787</v>
      </c>
      <c r="AA146" s="2" t="s">
        <v>1084</v>
      </c>
      <c r="AB146" s="2" t="s">
        <v>1080</v>
      </c>
      <c r="AC146" s="90">
        <f>IFERROR(Table1[[#This Row],[Breakdown Time]]*Table1[[#This Row],[Plant Equivalent Weightage]],"")</f>
        <v>5.0089142116221196E-2</v>
      </c>
      <c r="AD146" s="2">
        <v>0.14000000000000001</v>
      </c>
      <c r="AE146" s="89">
        <f>_xlfn.XLOOKUP($F146,'Modelling New'!$D:$D,'Modelling New'!$O:$O)*Table1[[#This Row],[Lost PoA(Wh/m2)]]*Table1[[#This Row],[DC Capacity Affceted (kW)]]</f>
        <v>63.302955352629844</v>
      </c>
      <c r="AF146" s="2"/>
      <c r="AG146" s="2"/>
    </row>
    <row r="147" spans="1:33" x14ac:dyDescent="0.3">
      <c r="A147" s="67">
        <f t="shared" si="2"/>
        <v>144</v>
      </c>
      <c r="B147" s="75">
        <f>YEAR(Table1[[#This Row],[Date]])+IF(MONTH(Table1[[#This Row],[Date]])&gt;=4,1,0)</f>
        <v>2026</v>
      </c>
      <c r="C147" s="74">
        <f>YEAR(Table1[[#This Row],[Date]])</f>
        <v>2025</v>
      </c>
      <c r="D147" s="74" t="s">
        <v>1082</v>
      </c>
      <c r="E147" s="74" t="s">
        <v>1082</v>
      </c>
      <c r="F147" s="181">
        <f>Table1[[#This Row],[Date]]-DAY(Table1[[#This Row],[Date]])+1</f>
        <v>45748</v>
      </c>
      <c r="G147">
        <f>DAY(EOMONTH(Table1[[#This Row],[Month Year]],0))</f>
        <v>30</v>
      </c>
      <c r="H147" s="104">
        <v>45752</v>
      </c>
      <c r="I147" s="76">
        <f>IFERROR(VLOOKUP(Table1[[#This Row],[Date]],Table3[[Date]:[Sunset Time (POA&lt;20 W/m2)]],3,0),"")</f>
        <v>0.25833333333333336</v>
      </c>
      <c r="J147" s="76">
        <f>IFERROR(VLOOKUP(Table1[[#This Row],[Date]],Table3[[Date]:[Sunset Time (POA&lt;20 W/m2)]],4,0),"")</f>
        <v>0.76875000000000004</v>
      </c>
      <c r="K147" s="77">
        <f>IFERROR((Table1[[#This Row],[Sunset Time (POA&lt;20 W/m2)]]-Table1[[#This Row],[Sunrise Time (POA&gt;20 W/m2)]])*24,"")</f>
        <v>12.250000000000002</v>
      </c>
      <c r="L147" s="108" t="s">
        <v>180</v>
      </c>
      <c r="M147" s="91">
        <f>VLOOKUP(Table1[[#This Row],[Affceted Equipment]],'Basic Data'!$A$2:$C$818,2,0)</f>
        <v>2694.6</v>
      </c>
      <c r="N147" s="93">
        <f>IFERROR(VLOOKUP(Table1[[#This Row],[Affceted Equipment]],'Basic Data'!$A$2:$C$818,3,0),"")</f>
        <v>0.33594733758057077</v>
      </c>
      <c r="O147" s="118" t="s">
        <v>323</v>
      </c>
      <c r="P147" s="94" t="s">
        <v>1186</v>
      </c>
      <c r="Q147" s="94"/>
      <c r="R147" s="94" t="s">
        <v>1186</v>
      </c>
      <c r="S147" s="92">
        <v>0.72916666666666663</v>
      </c>
      <c r="T147" s="119"/>
      <c r="U147" s="119"/>
      <c r="V147" s="92">
        <v>0.76875000000000004</v>
      </c>
      <c r="W147" s="89">
        <f>IF(Table1[[#This Row],[Acknowledgemnet Time ]]="NA","",(Table1[[#This Row],[Acknowledgemnet Time ]]-Table1[[#This Row],[Fault Time]])*24)</f>
        <v>-17.5</v>
      </c>
      <c r="X147" s="89">
        <f>IF(Table1[[#This Row],[Work Start time on Fault]]="NA","",(Table1[[#This Row],[Work Start time on Fault]]-Table1[[#This Row],[Fault Time]])*24)</f>
        <v>-17.5</v>
      </c>
      <c r="Y147" s="52">
        <f>(Table1[[#This Row],[Work Completiuon time on fualt]]-Table1[[#This Row],[Fault Time]])*24</f>
        <v>0.95000000000000195</v>
      </c>
      <c r="Z147" s="52">
        <f>IFERROR((Table1[[#This Row],[Work Completiuon time on fualt]]-Table1[[#This Row],[Fault Time]])*24,"")</f>
        <v>0.95000000000000195</v>
      </c>
      <c r="AA147" s="2" t="s">
        <v>1086</v>
      </c>
      <c r="AB147" s="2" t="s">
        <v>1081</v>
      </c>
      <c r="AC147" s="90">
        <f>IFERROR(Table1[[#This Row],[Breakdown Time]]*Table1[[#This Row],[Plant Equivalent Weightage]],"")</f>
        <v>0.31914997070154288</v>
      </c>
      <c r="AD147" s="2">
        <v>0.05</v>
      </c>
      <c r="AE147" s="89">
        <f>_xlfn.XLOOKUP($F147,'Modelling New'!$D:$D,'Modelling New'!$O:$O)*Table1[[#This Row],[Lost PoA(Wh/m2)]]*Table1[[#This Row],[DC Capacity Affceted (kW)]]</f>
        <v>90.979765901389086</v>
      </c>
      <c r="AF147" s="2"/>
      <c r="AG147" s="2"/>
    </row>
    <row r="148" spans="1:33" x14ac:dyDescent="0.3">
      <c r="A148" s="67">
        <f t="shared" si="2"/>
        <v>145</v>
      </c>
      <c r="B148" s="75">
        <f>YEAR(Table1[[#This Row],[Date]])+IF(MONTH(Table1[[#This Row],[Date]])&gt;=4,1,0)</f>
        <v>2026</v>
      </c>
      <c r="C148" s="74">
        <f>YEAR(Table1[[#This Row],[Date]])</f>
        <v>2025</v>
      </c>
      <c r="D148" s="74" t="s">
        <v>1082</v>
      </c>
      <c r="E148" s="74" t="s">
        <v>1082</v>
      </c>
      <c r="F148" s="181">
        <f>Table1[[#This Row],[Date]]-DAY(Table1[[#This Row],[Date]])+1</f>
        <v>45748</v>
      </c>
      <c r="G148">
        <f>DAY(EOMONTH(Table1[[#This Row],[Month Year]],0))</f>
        <v>30</v>
      </c>
      <c r="H148" s="104">
        <v>45753</v>
      </c>
      <c r="I148" s="76">
        <f>IFERROR(VLOOKUP(Table1[[#This Row],[Date]],Table3[[Date]:[Sunset Time (POA&lt;20 W/m2)]],3,0),"")</f>
        <v>0.26111111111111113</v>
      </c>
      <c r="J148" s="76">
        <f>IFERROR(VLOOKUP(Table1[[#This Row],[Date]],Table3[[Date]:[Sunset Time (POA&lt;20 W/m2)]],4,0),"")</f>
        <v>0.76944444444444449</v>
      </c>
      <c r="K148" s="77">
        <f>IFERROR((Table1[[#This Row],[Sunset Time (POA&lt;20 W/m2)]]-Table1[[#This Row],[Sunrise Time (POA&gt;20 W/m2)]])*24,"")</f>
        <v>12.2</v>
      </c>
      <c r="L148" s="108" t="s">
        <v>231</v>
      </c>
      <c r="M148" s="91">
        <f>VLOOKUP(Table1[[#This Row],[Affceted Equipment]],'Basic Data'!$A$2:$C$818,2,0)</f>
        <v>669.6</v>
      </c>
      <c r="N148" s="93">
        <f>IFERROR(VLOOKUP(Table1[[#This Row],[Affceted Equipment]],'Basic Data'!$A$2:$C$818,3,0),"")</f>
        <v>8.348190352703562E-2</v>
      </c>
      <c r="O148" s="118" t="s">
        <v>323</v>
      </c>
      <c r="P148" s="94" t="s">
        <v>1088</v>
      </c>
      <c r="Q148" s="94"/>
      <c r="R148" s="94" t="s">
        <v>1088</v>
      </c>
      <c r="S148" s="92">
        <v>0.26111111111111113</v>
      </c>
      <c r="T148" s="119"/>
      <c r="U148" s="119"/>
      <c r="V148" s="92">
        <v>0.4236111111111111</v>
      </c>
      <c r="W148" s="89">
        <f>IF(Table1[[#This Row],[Acknowledgemnet Time ]]="NA","",(Table1[[#This Row],[Acknowledgemnet Time ]]-Table1[[#This Row],[Fault Time]])*24)</f>
        <v>-6.2666666666666675</v>
      </c>
      <c r="X148" s="89">
        <f>IF(Table1[[#This Row],[Work Start time on Fault]]="NA","",(Table1[[#This Row],[Work Start time on Fault]]-Table1[[#This Row],[Fault Time]])*24)</f>
        <v>-6.2666666666666675</v>
      </c>
      <c r="Y148" s="52">
        <f>(Table1[[#This Row],[Work Completiuon time on fualt]]-Table1[[#This Row],[Fault Time]])*24</f>
        <v>3.8999999999999995</v>
      </c>
      <c r="Z148" s="52">
        <f>IFERROR((Table1[[#This Row],[Work Completiuon time on fualt]]-Table1[[#This Row],[Fault Time]])*24,"")</f>
        <v>3.8999999999999995</v>
      </c>
      <c r="AA148" s="2" t="s">
        <v>1084</v>
      </c>
      <c r="AB148" s="2" t="s">
        <v>1080</v>
      </c>
      <c r="AC148" s="90">
        <f>IFERROR(Table1[[#This Row],[Breakdown Time]]*Table1[[#This Row],[Plant Equivalent Weightage]],"")</f>
        <v>0.32557942375543886</v>
      </c>
      <c r="AD148" s="2">
        <v>1.34</v>
      </c>
      <c r="AE148" s="89">
        <f>_xlfn.XLOOKUP($F148,'Modelling New'!$D:$D,'Modelling New'!$O:$O)*Table1[[#This Row],[Lost PoA(Wh/m2)]]*Table1[[#This Row],[DC Capacity Affceted (kW)]]</f>
        <v>605.89971551802853</v>
      </c>
      <c r="AF148" s="2"/>
      <c r="AG148" s="2"/>
    </row>
    <row r="149" spans="1:33" x14ac:dyDescent="0.3">
      <c r="A149" s="67">
        <f t="shared" si="2"/>
        <v>146</v>
      </c>
      <c r="B149" s="75">
        <f>YEAR(Table1[[#This Row],[Date]])+IF(MONTH(Table1[[#This Row],[Date]])&gt;=4,1,0)</f>
        <v>2026</v>
      </c>
      <c r="C149" s="74">
        <f>YEAR(Table1[[#This Row],[Date]])</f>
        <v>2025</v>
      </c>
      <c r="D149" s="74" t="s">
        <v>1082</v>
      </c>
      <c r="E149" s="74" t="s">
        <v>1082</v>
      </c>
      <c r="F149" s="181">
        <f>Table1[[#This Row],[Date]]-DAY(Table1[[#This Row],[Date]])+1</f>
        <v>45748</v>
      </c>
      <c r="G149">
        <f>DAY(EOMONTH(Table1[[#This Row],[Month Year]],0))</f>
        <v>30</v>
      </c>
      <c r="H149" s="104">
        <v>45753</v>
      </c>
      <c r="I149" s="76">
        <f>IFERROR(VLOOKUP(Table1[[#This Row],[Date]],Table3[[Date]:[Sunset Time (POA&lt;20 W/m2)]],3,0),"")</f>
        <v>0.26111111111111113</v>
      </c>
      <c r="J149" s="76">
        <f>IFERROR(VLOOKUP(Table1[[#This Row],[Date]],Table3[[Date]:[Sunset Time (POA&lt;20 W/m2)]],4,0),"")</f>
        <v>0.76944444444444449</v>
      </c>
      <c r="K149" s="77">
        <f>IFERROR((Table1[[#This Row],[Sunset Time (POA&lt;20 W/m2)]]-Table1[[#This Row],[Sunrise Time (POA&gt;20 W/m2)]])*24,"")</f>
        <v>12.2</v>
      </c>
      <c r="L149" s="108" t="s">
        <v>180</v>
      </c>
      <c r="M149" s="91">
        <f>VLOOKUP(Table1[[#This Row],[Affceted Equipment]],'Basic Data'!$A$2:$C$818,2,0)</f>
        <v>2694.6</v>
      </c>
      <c r="N149" s="93">
        <f>IFERROR(VLOOKUP(Table1[[#This Row],[Affceted Equipment]],'Basic Data'!$A$2:$C$818,3,0),"")</f>
        <v>0.33594733758057077</v>
      </c>
      <c r="O149" s="118" t="s">
        <v>323</v>
      </c>
      <c r="P149" s="94" t="s">
        <v>1089</v>
      </c>
      <c r="Q149" s="94"/>
      <c r="R149" s="94" t="s">
        <v>1089</v>
      </c>
      <c r="S149" s="92">
        <v>0.4236111111111111</v>
      </c>
      <c r="T149" s="119"/>
      <c r="U149" s="119"/>
      <c r="V149" s="92">
        <v>0.42916666666666664</v>
      </c>
      <c r="W149" s="89">
        <f>IF(Table1[[#This Row],[Acknowledgemnet Time ]]="NA","",(Table1[[#This Row],[Acknowledgemnet Time ]]-Table1[[#This Row],[Fault Time]])*24)</f>
        <v>-10.166666666666666</v>
      </c>
      <c r="X149" s="89">
        <f>IF(Table1[[#This Row],[Work Start time on Fault]]="NA","",(Table1[[#This Row],[Work Start time on Fault]]-Table1[[#This Row],[Fault Time]])*24)</f>
        <v>-10.166666666666666</v>
      </c>
      <c r="Y149" s="52">
        <f>(Table1[[#This Row],[Work Completiuon time on fualt]]-Table1[[#This Row],[Fault Time]])*24</f>
        <v>0.13333333333333286</v>
      </c>
      <c r="Z149" s="52">
        <f>IFERROR((Table1[[#This Row],[Work Completiuon time on fualt]]-Table1[[#This Row],[Fault Time]])*24,"")</f>
        <v>0.13333333333333286</v>
      </c>
      <c r="AA149" s="2" t="s">
        <v>1086</v>
      </c>
      <c r="AB149" s="2" t="s">
        <v>1081</v>
      </c>
      <c r="AC149" s="90">
        <f>IFERROR(Table1[[#This Row],[Breakdown Time]]*Table1[[#This Row],[Plant Equivalent Weightage]],"")</f>
        <v>4.4792978344075945E-2</v>
      </c>
      <c r="AD149" s="2">
        <v>0.11</v>
      </c>
      <c r="AE149" s="89">
        <f>_xlfn.XLOOKUP($F149,'Modelling New'!$D:$D,'Modelling New'!$O:$O)*Table1[[#This Row],[Lost PoA(Wh/m2)]]*Table1[[#This Row],[DC Capacity Affceted (kW)]]</f>
        <v>200.155484983056</v>
      </c>
      <c r="AF149" s="2"/>
      <c r="AG149" s="2"/>
    </row>
    <row r="150" spans="1:33" x14ac:dyDescent="0.3">
      <c r="A150" s="67">
        <f t="shared" si="2"/>
        <v>147</v>
      </c>
      <c r="B150" s="75">
        <f>YEAR(Table1[[#This Row],[Date]])+IF(MONTH(Table1[[#This Row],[Date]])&gt;=4,1,0)</f>
        <v>2026</v>
      </c>
      <c r="C150" s="74">
        <f>YEAR(Table1[[#This Row],[Date]])</f>
        <v>2025</v>
      </c>
      <c r="D150" s="74" t="s">
        <v>1082</v>
      </c>
      <c r="E150" s="74" t="s">
        <v>1082</v>
      </c>
      <c r="F150" s="181">
        <f>Table1[[#This Row],[Date]]-DAY(Table1[[#This Row],[Date]])+1</f>
        <v>45748</v>
      </c>
      <c r="G150">
        <f>DAY(EOMONTH(Table1[[#This Row],[Month Year]],0))</f>
        <v>30</v>
      </c>
      <c r="H150" s="104">
        <v>45753</v>
      </c>
      <c r="I150" s="76">
        <f>IFERROR(VLOOKUP(Table1[[#This Row],[Date]],Table3[[Date]:[Sunset Time (POA&lt;20 W/m2)]],3,0),"")</f>
        <v>0.26111111111111113</v>
      </c>
      <c r="J150" s="76">
        <f>IFERROR(VLOOKUP(Table1[[#This Row],[Date]],Table3[[Date]:[Sunset Time (POA&lt;20 W/m2)]],4,0),"")</f>
        <v>0.76944444444444449</v>
      </c>
      <c r="K150" s="77">
        <f>IFERROR((Table1[[#This Row],[Sunset Time (POA&lt;20 W/m2)]]-Table1[[#This Row],[Sunrise Time (POA&gt;20 W/m2)]])*24,"")</f>
        <v>12.2</v>
      </c>
      <c r="L150" s="108" t="s">
        <v>238</v>
      </c>
      <c r="M150" s="61">
        <f>VLOOKUP(Table1[[#This Row],[Affceted Equipment]],'Basic Data'!$A$2:$C$818,2,0)</f>
        <v>658.8</v>
      </c>
      <c r="N150" s="93">
        <f>IFERROR(VLOOKUP(Table1[[#This Row],[Affceted Equipment]],'Basic Data'!$A$2:$C$818,3,0),"")</f>
        <v>8.2135421212083434E-2</v>
      </c>
      <c r="O150" s="118" t="s">
        <v>303</v>
      </c>
      <c r="P150" s="94" t="s">
        <v>1087</v>
      </c>
      <c r="Q150" s="94"/>
      <c r="R150" s="94" t="s">
        <v>1087</v>
      </c>
      <c r="S150" s="92">
        <v>0.26111111111111113</v>
      </c>
      <c r="T150" s="119"/>
      <c r="U150" s="119"/>
      <c r="V150" s="92">
        <v>0.76944444444444449</v>
      </c>
      <c r="W150" s="89">
        <f>IF(Table1[[#This Row],[Acknowledgemnet Time ]]="NA","",(Table1[[#This Row],[Acknowledgemnet Time ]]-Table1[[#This Row],[Fault Time]])*24)</f>
        <v>-6.2666666666666675</v>
      </c>
      <c r="X150" s="89">
        <f>IF(Table1[[#This Row],[Work Start time on Fault]]="NA","",(Table1[[#This Row],[Work Start time on Fault]]-Table1[[#This Row],[Fault Time]])*24)</f>
        <v>-6.2666666666666675</v>
      </c>
      <c r="Y150" s="52">
        <f>(Table1[[#This Row],[Work Completiuon time on fualt]]-Table1[[#This Row],[Fault Time]])*24</f>
        <v>12.2</v>
      </c>
      <c r="Z150" s="52">
        <f>IFERROR((Table1[[#This Row],[Work Completiuon time on fualt]]-Table1[[#This Row],[Fault Time]])*24,"")</f>
        <v>12.2</v>
      </c>
      <c r="AA150" s="2" t="s">
        <v>1084</v>
      </c>
      <c r="AB150" s="2" t="s">
        <v>1080</v>
      </c>
      <c r="AC150" s="90">
        <f>IFERROR(Table1[[#This Row],[Breakdown Time]]*Table1[[#This Row],[Plant Equivalent Weightage]],"")</f>
        <v>1.0020521387874179</v>
      </c>
      <c r="AD150" s="2">
        <v>6.77</v>
      </c>
      <c r="AE150" s="89">
        <f>_xlfn.XLOOKUP($F150,'Modelling New'!$D:$D,'Modelling New'!$O:$O)*Table1[[#This Row],[Lost PoA(Wh/m2)]]*Table1[[#This Row],[DC Capacity Affceted (kW)]]</f>
        <v>3011.7766672782877</v>
      </c>
      <c r="AF150" s="2"/>
      <c r="AG150" s="2"/>
    </row>
    <row r="151" spans="1:33" x14ac:dyDescent="0.3">
      <c r="A151" s="67">
        <f t="shared" si="2"/>
        <v>148</v>
      </c>
      <c r="B151" s="75">
        <f>YEAR(Table1[[#This Row],[Date]])+IF(MONTH(Table1[[#This Row],[Date]])&gt;=4,1,0)</f>
        <v>2026</v>
      </c>
      <c r="C151" s="74">
        <f>YEAR(Table1[[#This Row],[Date]])</f>
        <v>2025</v>
      </c>
      <c r="D151" s="74" t="s">
        <v>1082</v>
      </c>
      <c r="E151" s="74" t="s">
        <v>1082</v>
      </c>
      <c r="F151" s="181">
        <f>Table1[[#This Row],[Date]]-DAY(Table1[[#This Row],[Date]])+1</f>
        <v>45748</v>
      </c>
      <c r="G151">
        <f>DAY(EOMONTH(Table1[[#This Row],[Month Year]],0))</f>
        <v>30</v>
      </c>
      <c r="H151" s="104">
        <v>45753</v>
      </c>
      <c r="I151" s="76">
        <f>IFERROR(VLOOKUP(Table1[[#This Row],[Date]],Table3[[Date]:[Sunset Time (POA&lt;20 W/m2)]],3,0),"")</f>
        <v>0.26111111111111113</v>
      </c>
      <c r="J151" s="76">
        <f>IFERROR(VLOOKUP(Table1[[#This Row],[Date]],Table3[[Date]:[Sunset Time (POA&lt;20 W/m2)]],4,0),"")</f>
        <v>0.76944444444444449</v>
      </c>
      <c r="K151" s="77">
        <f>IFERROR((Table1[[#This Row],[Sunset Time (POA&lt;20 W/m2)]]-Table1[[#This Row],[Sunrise Time (POA&gt;20 W/m2)]])*24,"")</f>
        <v>12.2</v>
      </c>
      <c r="L151" s="108" t="s">
        <v>231</v>
      </c>
      <c r="M151" s="61">
        <f>VLOOKUP(Table1[[#This Row],[Affceted Equipment]],'Basic Data'!$A$2:$C$818,2,0)</f>
        <v>669.6</v>
      </c>
      <c r="N151" s="93">
        <f>IFERROR(VLOOKUP(Table1[[#This Row],[Affceted Equipment]],'Basic Data'!$A$2:$C$818,3,0),"")</f>
        <v>8.348190352703562E-2</v>
      </c>
      <c r="O151" s="118" t="s">
        <v>323</v>
      </c>
      <c r="P151" s="94" t="s">
        <v>1088</v>
      </c>
      <c r="Q151" s="94"/>
      <c r="R151" s="94" t="s">
        <v>1088</v>
      </c>
      <c r="S151" s="92">
        <v>0.42916666666666664</v>
      </c>
      <c r="T151" s="119"/>
      <c r="U151" s="119"/>
      <c r="V151" s="92">
        <v>0.43333333333333335</v>
      </c>
      <c r="W151" s="89">
        <f>IF(Table1[[#This Row],[Acknowledgemnet Time ]]="NA","",(Table1[[#This Row],[Acknowledgemnet Time ]]-Table1[[#This Row],[Fault Time]])*24)</f>
        <v>-10.299999999999999</v>
      </c>
      <c r="X151" s="89">
        <f>IF(Table1[[#This Row],[Work Start time on Fault]]="NA","",(Table1[[#This Row],[Work Start time on Fault]]-Table1[[#This Row],[Fault Time]])*24)</f>
        <v>-10.299999999999999</v>
      </c>
      <c r="Y151" s="52">
        <f>(Table1[[#This Row],[Work Completiuon time on fualt]]-Table1[[#This Row],[Fault Time]])*24</f>
        <v>0.10000000000000098</v>
      </c>
      <c r="Z151" s="52">
        <f>IFERROR((Table1[[#This Row],[Work Completiuon time on fualt]]-Table1[[#This Row],[Fault Time]])*24,"")</f>
        <v>0.10000000000000098</v>
      </c>
      <c r="AA151" s="2" t="s">
        <v>1084</v>
      </c>
      <c r="AB151" s="2" t="s">
        <v>1080</v>
      </c>
      <c r="AC151" s="90">
        <f>IFERROR(Table1[[#This Row],[Breakdown Time]]*Table1[[#This Row],[Plant Equivalent Weightage]],"")</f>
        <v>8.3481903527036442E-3</v>
      </c>
      <c r="AD151" s="2">
        <v>0.09</v>
      </c>
      <c r="AE151" s="89">
        <f>_xlfn.XLOOKUP($F151,'Modelling New'!$D:$D,'Modelling New'!$O:$O)*Table1[[#This Row],[Lost PoA(Wh/m2)]]*Table1[[#This Row],[DC Capacity Affceted (kW)]]</f>
        <v>40.694757012404892</v>
      </c>
      <c r="AF151" s="2"/>
      <c r="AG151" s="2"/>
    </row>
    <row r="152" spans="1:33" x14ac:dyDescent="0.3">
      <c r="A152" s="67">
        <f t="shared" si="2"/>
        <v>149</v>
      </c>
      <c r="B152" s="75">
        <f>YEAR(Table1[[#This Row],[Date]])+IF(MONTH(Table1[[#This Row],[Date]])&gt;=4,1,0)</f>
        <v>2026</v>
      </c>
      <c r="C152" s="74">
        <f>YEAR(Table1[[#This Row],[Date]])</f>
        <v>2025</v>
      </c>
      <c r="D152" s="74" t="s">
        <v>1082</v>
      </c>
      <c r="E152" s="74" t="s">
        <v>1082</v>
      </c>
      <c r="F152" s="181">
        <f>Table1[[#This Row],[Date]]-DAY(Table1[[#This Row],[Date]])+1</f>
        <v>45748</v>
      </c>
      <c r="G152">
        <f>DAY(EOMONTH(Table1[[#This Row],[Month Year]],0))</f>
        <v>30</v>
      </c>
      <c r="H152" s="104">
        <v>45753</v>
      </c>
      <c r="I152" s="76">
        <f>IFERROR(VLOOKUP(Table1[[#This Row],[Date]],Table3[[Date]:[Sunset Time (POA&lt;20 W/m2)]],3,0),"")</f>
        <v>0.26111111111111113</v>
      </c>
      <c r="J152" s="76">
        <f>IFERROR(VLOOKUP(Table1[[#This Row],[Date]],Table3[[Date]:[Sunset Time (POA&lt;20 W/m2)]],4,0),"")</f>
        <v>0.76944444444444449</v>
      </c>
      <c r="K152" s="77">
        <f>IFERROR((Table1[[#This Row],[Sunset Time (POA&lt;20 W/m2)]]-Table1[[#This Row],[Sunrise Time (POA&gt;20 W/m2)]])*24,"")</f>
        <v>12.2</v>
      </c>
      <c r="L152" s="108" t="s">
        <v>180</v>
      </c>
      <c r="M152" s="61">
        <f>VLOOKUP(Table1[[#This Row],[Affceted Equipment]],'Basic Data'!$A$2:$C$818,2,0)</f>
        <v>2694.6</v>
      </c>
      <c r="N152" s="93">
        <f>IFERROR(VLOOKUP(Table1[[#This Row],[Affceted Equipment]],'Basic Data'!$A$2:$C$818,3,0),"")</f>
        <v>0.33594733758057077</v>
      </c>
      <c r="O152" s="118" t="s">
        <v>323</v>
      </c>
      <c r="P152" s="94" t="s">
        <v>1089</v>
      </c>
      <c r="Q152" s="94"/>
      <c r="R152" s="94" t="s">
        <v>1089</v>
      </c>
      <c r="S152" s="92">
        <v>0.43333333333333335</v>
      </c>
      <c r="T152" s="119"/>
      <c r="U152" s="119"/>
      <c r="V152" s="92">
        <v>0.4375</v>
      </c>
      <c r="W152" s="89">
        <f>IF(Table1[[#This Row],[Acknowledgemnet Time ]]="NA","",(Table1[[#This Row],[Acknowledgemnet Time ]]-Table1[[#This Row],[Fault Time]])*24)</f>
        <v>-10.4</v>
      </c>
      <c r="X152" s="89">
        <f>IF(Table1[[#This Row],[Work Start time on Fault]]="NA","",(Table1[[#This Row],[Work Start time on Fault]]-Table1[[#This Row],[Fault Time]])*24)</f>
        <v>-10.4</v>
      </c>
      <c r="Y152" s="52">
        <f>(Table1[[#This Row],[Work Completiuon time on fualt]]-Table1[[#This Row],[Fault Time]])*24</f>
        <v>9.9999999999999645E-2</v>
      </c>
      <c r="Z152" s="52">
        <f>IFERROR((Table1[[#This Row],[Work Completiuon time on fualt]]-Table1[[#This Row],[Fault Time]])*24,"")</f>
        <v>9.9999999999999645E-2</v>
      </c>
      <c r="AA152" s="2" t="s">
        <v>1086</v>
      </c>
      <c r="AB152" s="2" t="s">
        <v>1081</v>
      </c>
      <c r="AC152" s="90">
        <f>IFERROR(Table1[[#This Row],[Breakdown Time]]*Table1[[#This Row],[Plant Equivalent Weightage]],"")</f>
        <v>3.3594733758056959E-2</v>
      </c>
      <c r="AD152" s="2">
        <v>0.09</v>
      </c>
      <c r="AE152" s="89">
        <f>_xlfn.XLOOKUP($F152,'Modelling New'!$D:$D,'Modelling New'!$O:$O)*Table1[[#This Row],[Lost PoA(Wh/m2)]]*Table1[[#This Row],[DC Capacity Affceted (kW)]]</f>
        <v>163.76357862250035</v>
      </c>
      <c r="AF152" s="2"/>
      <c r="AG152" s="2"/>
    </row>
    <row r="153" spans="1:33" x14ac:dyDescent="0.3">
      <c r="A153" s="67">
        <f t="shared" si="2"/>
        <v>150</v>
      </c>
      <c r="B153" s="75">
        <f>YEAR(Table1[[#This Row],[Date]])+IF(MONTH(Table1[[#This Row],[Date]])&gt;=4,1,0)</f>
        <v>2026</v>
      </c>
      <c r="C153" s="74">
        <f>YEAR(Table1[[#This Row],[Date]])</f>
        <v>2025</v>
      </c>
      <c r="D153" s="74" t="s">
        <v>1082</v>
      </c>
      <c r="E153" s="74" t="s">
        <v>1082</v>
      </c>
      <c r="F153" s="181">
        <f>Table1[[#This Row],[Date]]-DAY(Table1[[#This Row],[Date]])+1</f>
        <v>45748</v>
      </c>
      <c r="G153">
        <f>DAY(EOMONTH(Table1[[#This Row],[Month Year]],0))</f>
        <v>30</v>
      </c>
      <c r="H153" s="104">
        <v>45753</v>
      </c>
      <c r="I153" s="76">
        <f>IFERROR(VLOOKUP(Table1[[#This Row],[Date]],Table3[[Date]:[Sunset Time (POA&lt;20 W/m2)]],3,0),"")</f>
        <v>0.26111111111111113</v>
      </c>
      <c r="J153" s="76">
        <f>IFERROR(VLOOKUP(Table1[[#This Row],[Date]],Table3[[Date]:[Sunset Time (POA&lt;20 W/m2)]],4,0),"")</f>
        <v>0.76944444444444449</v>
      </c>
      <c r="K153" s="77">
        <f>IFERROR((Table1[[#This Row],[Sunset Time (POA&lt;20 W/m2)]]-Table1[[#This Row],[Sunrise Time (POA&gt;20 W/m2)]])*24,"")</f>
        <v>12.2</v>
      </c>
      <c r="L153" s="108" t="s">
        <v>231</v>
      </c>
      <c r="M153" s="61">
        <f>VLOOKUP(Table1[[#This Row],[Affceted Equipment]],'Basic Data'!$A$2:$C$818,2,0)</f>
        <v>669.6</v>
      </c>
      <c r="N153" s="93">
        <f>IFERROR(VLOOKUP(Table1[[#This Row],[Affceted Equipment]],'Basic Data'!$A$2:$C$818,3,0),"")</f>
        <v>8.348190352703562E-2</v>
      </c>
      <c r="O153" s="118" t="s">
        <v>323</v>
      </c>
      <c r="P153" s="94" t="s">
        <v>1088</v>
      </c>
      <c r="Q153" s="94"/>
      <c r="R153" s="94" t="s">
        <v>1088</v>
      </c>
      <c r="S153" s="92">
        <v>0.4375</v>
      </c>
      <c r="T153" s="119"/>
      <c r="U153" s="119"/>
      <c r="V153" s="92">
        <v>0.46736111111111112</v>
      </c>
      <c r="W153" s="89">
        <f>IF(Table1[[#This Row],[Acknowledgemnet Time ]]="NA","",(Table1[[#This Row],[Acknowledgemnet Time ]]-Table1[[#This Row],[Fault Time]])*24)</f>
        <v>-10.5</v>
      </c>
      <c r="X153" s="89">
        <f>IF(Table1[[#This Row],[Work Start time on Fault]]="NA","",(Table1[[#This Row],[Work Start time on Fault]]-Table1[[#This Row],[Fault Time]])*24)</f>
        <v>-10.5</v>
      </c>
      <c r="Y153" s="52">
        <f>(Table1[[#This Row],[Work Completiuon time on fualt]]-Table1[[#This Row],[Fault Time]])*24</f>
        <v>0.71666666666666679</v>
      </c>
      <c r="Z153" s="52">
        <f>IFERROR((Table1[[#This Row],[Work Completiuon time on fualt]]-Table1[[#This Row],[Fault Time]])*24,"")</f>
        <v>0.71666666666666679</v>
      </c>
      <c r="AA153" s="2" t="s">
        <v>1084</v>
      </c>
      <c r="AB153" s="2" t="s">
        <v>1080</v>
      </c>
      <c r="AC153" s="90">
        <f>IFERROR(Table1[[#This Row],[Breakdown Time]]*Table1[[#This Row],[Plant Equivalent Weightage]],"")</f>
        <v>5.982869752770887E-2</v>
      </c>
      <c r="AD153" s="2">
        <v>0.63</v>
      </c>
      <c r="AE153" s="89">
        <f>_xlfn.XLOOKUP($F153,'Modelling New'!$D:$D,'Modelling New'!$O:$O)*Table1[[#This Row],[Lost PoA(Wh/m2)]]*Table1[[#This Row],[DC Capacity Affceted (kW)]]</f>
        <v>284.86329908683427</v>
      </c>
      <c r="AF153" s="2"/>
      <c r="AG153" s="2"/>
    </row>
    <row r="154" spans="1:33" x14ac:dyDescent="0.3">
      <c r="A154" s="67">
        <f t="shared" si="2"/>
        <v>151</v>
      </c>
      <c r="B154" s="75">
        <f>YEAR(Table1[[#This Row],[Date]])+IF(MONTH(Table1[[#This Row],[Date]])&gt;=4,1,0)</f>
        <v>2026</v>
      </c>
      <c r="C154" s="74">
        <f>YEAR(Table1[[#This Row],[Date]])</f>
        <v>2025</v>
      </c>
      <c r="D154" s="74" t="s">
        <v>1082</v>
      </c>
      <c r="E154" s="74" t="s">
        <v>1082</v>
      </c>
      <c r="F154" s="181">
        <f>Table1[[#This Row],[Date]]-DAY(Table1[[#This Row],[Date]])+1</f>
        <v>45748</v>
      </c>
      <c r="G154">
        <f>DAY(EOMONTH(Table1[[#This Row],[Month Year]],0))</f>
        <v>30</v>
      </c>
      <c r="H154" s="104">
        <v>45753</v>
      </c>
      <c r="I154" s="76">
        <f>IFERROR(VLOOKUP(Table1[[#This Row],[Date]],Table3[[Date]:[Sunset Time (POA&lt;20 W/m2)]],3,0),"")</f>
        <v>0.26111111111111113</v>
      </c>
      <c r="J154" s="76">
        <f>IFERROR(VLOOKUP(Table1[[#This Row],[Date]],Table3[[Date]:[Sunset Time (POA&lt;20 W/m2)]],4,0),"")</f>
        <v>0.76944444444444449</v>
      </c>
      <c r="K154" s="77">
        <f>IFERROR((Table1[[#This Row],[Sunset Time (POA&lt;20 W/m2)]]-Table1[[#This Row],[Sunrise Time (POA&gt;20 W/m2)]])*24,"")</f>
        <v>12.2</v>
      </c>
      <c r="L154" s="108" t="s">
        <v>232</v>
      </c>
      <c r="M154" s="61">
        <f>VLOOKUP(Table1[[#This Row],[Affceted Equipment]],'Basic Data'!$A$2:$C$818,2,0)</f>
        <v>669.6</v>
      </c>
      <c r="N154" s="93">
        <f>IFERROR(VLOOKUP(Table1[[#This Row],[Affceted Equipment]],'Basic Data'!$A$2:$C$818,3,0),"")</f>
        <v>8.348190352703562E-2</v>
      </c>
      <c r="O154" s="118" t="s">
        <v>323</v>
      </c>
      <c r="P154" s="94" t="s">
        <v>1090</v>
      </c>
      <c r="Q154" s="94"/>
      <c r="R154" s="94" t="s">
        <v>1090</v>
      </c>
      <c r="S154" s="92">
        <v>0.4375</v>
      </c>
      <c r="T154" s="119"/>
      <c r="U154" s="119"/>
      <c r="V154" s="92">
        <v>0.46736111111111112</v>
      </c>
      <c r="W154" s="89">
        <f>IF(Table1[[#This Row],[Acknowledgemnet Time ]]="NA","",(Table1[[#This Row],[Acknowledgemnet Time ]]-Table1[[#This Row],[Fault Time]])*24)</f>
        <v>-10.5</v>
      </c>
      <c r="X154" s="89">
        <f>IF(Table1[[#This Row],[Work Start time on Fault]]="NA","",(Table1[[#This Row],[Work Start time on Fault]]-Table1[[#This Row],[Fault Time]])*24)</f>
        <v>-10.5</v>
      </c>
      <c r="Y154" s="52">
        <f>(Table1[[#This Row],[Work Completiuon time on fualt]]-Table1[[#This Row],[Fault Time]])*24</f>
        <v>0.71666666666666679</v>
      </c>
      <c r="Z154" s="52">
        <f>IFERROR((Table1[[#This Row],[Work Completiuon time on fualt]]-Table1[[#This Row],[Fault Time]])*24,"")</f>
        <v>0.71666666666666679</v>
      </c>
      <c r="AA154" s="2" t="s">
        <v>1084</v>
      </c>
      <c r="AB154" s="2" t="s">
        <v>1080</v>
      </c>
      <c r="AC154" s="90">
        <f>IFERROR(Table1[[#This Row],[Breakdown Time]]*Table1[[#This Row],[Plant Equivalent Weightage]],"")</f>
        <v>5.982869752770887E-2</v>
      </c>
      <c r="AD154" s="2">
        <v>0.63</v>
      </c>
      <c r="AE154" s="89">
        <f>_xlfn.XLOOKUP($F154,'Modelling New'!$D:$D,'Modelling New'!$O:$O)*Table1[[#This Row],[Lost PoA(Wh/m2)]]*Table1[[#This Row],[DC Capacity Affceted (kW)]]</f>
        <v>284.86329908683427</v>
      </c>
      <c r="AF154" s="2"/>
      <c r="AG154" s="2"/>
    </row>
    <row r="155" spans="1:33" x14ac:dyDescent="0.3">
      <c r="A155" s="67">
        <f t="shared" si="2"/>
        <v>152</v>
      </c>
      <c r="B155" s="75">
        <f>YEAR(Table1[[#This Row],[Date]])+IF(MONTH(Table1[[#This Row],[Date]])&gt;=4,1,0)</f>
        <v>2026</v>
      </c>
      <c r="C155" s="74">
        <f>YEAR(Table1[[#This Row],[Date]])</f>
        <v>2025</v>
      </c>
      <c r="D155" s="74" t="s">
        <v>1082</v>
      </c>
      <c r="E155" s="74" t="s">
        <v>1082</v>
      </c>
      <c r="F155" s="181">
        <f>Table1[[#This Row],[Date]]-DAY(Table1[[#This Row],[Date]])+1</f>
        <v>45748</v>
      </c>
      <c r="G155">
        <f>DAY(EOMONTH(Table1[[#This Row],[Month Year]],0))</f>
        <v>30</v>
      </c>
      <c r="H155" s="104">
        <v>45753</v>
      </c>
      <c r="I155" s="76">
        <f>IFERROR(VLOOKUP(Table1[[#This Row],[Date]],Table3[[Date]:[Sunset Time (POA&lt;20 W/m2)]],3,0),"")</f>
        <v>0.26111111111111113</v>
      </c>
      <c r="J155" s="76">
        <f>IFERROR(VLOOKUP(Table1[[#This Row],[Date]],Table3[[Date]:[Sunset Time (POA&lt;20 W/m2)]],4,0),"")</f>
        <v>0.76944444444444449</v>
      </c>
      <c r="K155" s="77">
        <f>IFERROR((Table1[[#This Row],[Sunset Time (POA&lt;20 W/m2)]]-Table1[[#This Row],[Sunrise Time (POA&gt;20 W/m2)]])*24,"")</f>
        <v>12.2</v>
      </c>
      <c r="L155" s="108" t="s">
        <v>180</v>
      </c>
      <c r="M155" s="61">
        <f>VLOOKUP(Table1[[#This Row],[Affceted Equipment]],'Basic Data'!$A$2:$C$818,2,0)</f>
        <v>2694.6</v>
      </c>
      <c r="N155" s="93">
        <f>IFERROR(VLOOKUP(Table1[[#This Row],[Affceted Equipment]],'Basic Data'!$A$2:$C$818,3,0),"")</f>
        <v>0.33594733758057077</v>
      </c>
      <c r="O155" s="118" t="s">
        <v>323</v>
      </c>
      <c r="P155" s="94" t="s">
        <v>1089</v>
      </c>
      <c r="Q155" s="94"/>
      <c r="R155" s="94" t="s">
        <v>1089</v>
      </c>
      <c r="S155" s="92">
        <v>0.46736111111111112</v>
      </c>
      <c r="T155" s="119"/>
      <c r="U155" s="119"/>
      <c r="V155" s="92">
        <v>0.47222222222222221</v>
      </c>
      <c r="W155" s="89">
        <f>IF(Table1[[#This Row],[Acknowledgemnet Time ]]="NA","",(Table1[[#This Row],[Acknowledgemnet Time ]]-Table1[[#This Row],[Fault Time]])*24)</f>
        <v>-11.216666666666667</v>
      </c>
      <c r="X155" s="89">
        <f>IF(Table1[[#This Row],[Work Start time on Fault]]="NA","",(Table1[[#This Row],[Work Start time on Fault]]-Table1[[#This Row],[Fault Time]])*24)</f>
        <v>-11.216666666666667</v>
      </c>
      <c r="Y155" s="52">
        <f>(Table1[[#This Row],[Work Completiuon time on fualt]]-Table1[[#This Row],[Fault Time]])*24</f>
        <v>0.11666666666666625</v>
      </c>
      <c r="Z155" s="52">
        <f>IFERROR((Table1[[#This Row],[Work Completiuon time on fualt]]-Table1[[#This Row],[Fault Time]])*24,"")</f>
        <v>0.11666666666666625</v>
      </c>
      <c r="AA155" s="2" t="s">
        <v>1086</v>
      </c>
      <c r="AB155" s="2" t="s">
        <v>1081</v>
      </c>
      <c r="AC155" s="90">
        <f>IFERROR(Table1[[#This Row],[Breakdown Time]]*Table1[[#This Row],[Plant Equivalent Weightage]],"")</f>
        <v>3.9193856051066449E-2</v>
      </c>
      <c r="AD155" s="2">
        <v>0.12</v>
      </c>
      <c r="AE155" s="89">
        <f>_xlfn.XLOOKUP($F155,'Modelling New'!$D:$D,'Modelling New'!$O:$O)*Table1[[#This Row],[Lost PoA(Wh/m2)]]*Table1[[#This Row],[DC Capacity Affceted (kW)]]</f>
        <v>218.3514381633338</v>
      </c>
      <c r="AF155" s="2"/>
      <c r="AG155" s="2"/>
    </row>
    <row r="156" spans="1:33" x14ac:dyDescent="0.3">
      <c r="A156" s="67">
        <f t="shared" si="2"/>
        <v>153</v>
      </c>
      <c r="B156" s="75">
        <f>YEAR(Table1[[#This Row],[Date]])+IF(MONTH(Table1[[#This Row],[Date]])&gt;=4,1,0)</f>
        <v>2026</v>
      </c>
      <c r="C156" s="74">
        <f>YEAR(Table1[[#This Row],[Date]])</f>
        <v>2025</v>
      </c>
      <c r="D156" s="74" t="s">
        <v>1082</v>
      </c>
      <c r="E156" s="74" t="s">
        <v>1082</v>
      </c>
      <c r="F156" s="181">
        <f>Table1[[#This Row],[Date]]-DAY(Table1[[#This Row],[Date]])+1</f>
        <v>45748</v>
      </c>
      <c r="G156">
        <f>DAY(EOMONTH(Table1[[#This Row],[Month Year]],0))</f>
        <v>30</v>
      </c>
      <c r="H156" s="104">
        <v>45753</v>
      </c>
      <c r="I156" s="76">
        <f>IFERROR(VLOOKUP(Table1[[#This Row],[Date]],Table3[[Date]:[Sunset Time (POA&lt;20 W/m2)]],3,0),"")</f>
        <v>0.26111111111111113</v>
      </c>
      <c r="J156" s="76">
        <f>IFERROR(VLOOKUP(Table1[[#This Row],[Date]],Table3[[Date]:[Sunset Time (POA&lt;20 W/m2)]],4,0),"")</f>
        <v>0.76944444444444449</v>
      </c>
      <c r="K156" s="77">
        <f>IFERROR((Table1[[#This Row],[Sunset Time (POA&lt;20 W/m2)]]-Table1[[#This Row],[Sunrise Time (POA&gt;20 W/m2)]])*24,"")</f>
        <v>12.2</v>
      </c>
      <c r="L156" s="108" t="s">
        <v>231</v>
      </c>
      <c r="M156" s="61">
        <f>VLOOKUP(Table1[[#This Row],[Affceted Equipment]],'Basic Data'!$A$2:$C$818,2,0)</f>
        <v>669.6</v>
      </c>
      <c r="N156" s="93">
        <f>IFERROR(VLOOKUP(Table1[[#This Row],[Affceted Equipment]],'Basic Data'!$A$2:$C$818,3,0),"")</f>
        <v>8.348190352703562E-2</v>
      </c>
      <c r="O156" s="118" t="s">
        <v>323</v>
      </c>
      <c r="P156" s="94" t="s">
        <v>1088</v>
      </c>
      <c r="Q156" s="94"/>
      <c r="R156" s="94" t="s">
        <v>1088</v>
      </c>
      <c r="S156" s="92">
        <v>0.47222222222222221</v>
      </c>
      <c r="T156" s="119"/>
      <c r="U156" s="119"/>
      <c r="V156" s="92">
        <v>0.4861111111111111</v>
      </c>
      <c r="W156" s="89">
        <f>IF(Table1[[#This Row],[Acknowledgemnet Time ]]="NA","",(Table1[[#This Row],[Acknowledgemnet Time ]]-Table1[[#This Row],[Fault Time]])*24)</f>
        <v>-11.333333333333332</v>
      </c>
      <c r="X156" s="89">
        <f>IF(Table1[[#This Row],[Work Start time on Fault]]="NA","",(Table1[[#This Row],[Work Start time on Fault]]-Table1[[#This Row],[Fault Time]])*24)</f>
        <v>-11.333333333333332</v>
      </c>
      <c r="Y156" s="52">
        <f>(Table1[[#This Row],[Work Completiuon time on fualt]]-Table1[[#This Row],[Fault Time]])*24</f>
        <v>0.33333333333333348</v>
      </c>
      <c r="Z156" s="52">
        <f>IFERROR((Table1[[#This Row],[Work Completiuon time on fualt]]-Table1[[#This Row],[Fault Time]])*24,"")</f>
        <v>0.33333333333333348</v>
      </c>
      <c r="AA156" s="2" t="s">
        <v>1084</v>
      </c>
      <c r="AB156" s="2" t="s">
        <v>1080</v>
      </c>
      <c r="AC156" s="90">
        <f>IFERROR(Table1[[#This Row],[Breakdown Time]]*Table1[[#This Row],[Plant Equivalent Weightage]],"")</f>
        <v>2.7827301175678554E-2</v>
      </c>
      <c r="AD156" s="2">
        <v>0.33</v>
      </c>
      <c r="AE156" s="89">
        <f>_xlfn.XLOOKUP($F156,'Modelling New'!$D:$D,'Modelling New'!$O:$O)*Table1[[#This Row],[Lost PoA(Wh/m2)]]*Table1[[#This Row],[DC Capacity Affceted (kW)]]</f>
        <v>149.21410904548463</v>
      </c>
      <c r="AF156" s="2"/>
      <c r="AG156" s="2"/>
    </row>
    <row r="157" spans="1:33" x14ac:dyDescent="0.3">
      <c r="A157" s="67">
        <f t="shared" si="2"/>
        <v>154</v>
      </c>
      <c r="B157" s="75">
        <f>YEAR(Table1[[#This Row],[Date]])+IF(MONTH(Table1[[#This Row],[Date]])&gt;=4,1,0)</f>
        <v>2026</v>
      </c>
      <c r="C157" s="74">
        <f>YEAR(Table1[[#This Row],[Date]])</f>
        <v>2025</v>
      </c>
      <c r="D157" s="74" t="s">
        <v>1082</v>
      </c>
      <c r="E157" s="74" t="s">
        <v>1082</v>
      </c>
      <c r="F157" s="181">
        <f>Table1[[#This Row],[Date]]-DAY(Table1[[#This Row],[Date]])+1</f>
        <v>45748</v>
      </c>
      <c r="G157">
        <f>DAY(EOMONTH(Table1[[#This Row],[Month Year]],0))</f>
        <v>30</v>
      </c>
      <c r="H157" s="104">
        <v>45753</v>
      </c>
      <c r="I157" s="76">
        <f>IFERROR(VLOOKUP(Table1[[#This Row],[Date]],Table3[[Date]:[Sunset Time (POA&lt;20 W/m2)]],3,0),"")</f>
        <v>0.26111111111111113</v>
      </c>
      <c r="J157" s="76">
        <f>IFERROR(VLOOKUP(Table1[[#This Row],[Date]],Table3[[Date]:[Sunset Time (POA&lt;20 W/m2)]],4,0),"")</f>
        <v>0.76944444444444449</v>
      </c>
      <c r="K157" s="77">
        <f>IFERROR((Table1[[#This Row],[Sunset Time (POA&lt;20 W/m2)]]-Table1[[#This Row],[Sunrise Time (POA&gt;20 W/m2)]])*24,"")</f>
        <v>12.2</v>
      </c>
      <c r="L157" s="108" t="s">
        <v>232</v>
      </c>
      <c r="M157" s="61">
        <f>VLOOKUP(Table1[[#This Row],[Affceted Equipment]],'Basic Data'!$A$2:$C$818,2,0)</f>
        <v>669.6</v>
      </c>
      <c r="N157" s="93">
        <f>IFERROR(VLOOKUP(Table1[[#This Row],[Affceted Equipment]],'Basic Data'!$A$2:$C$818,3,0),"")</f>
        <v>8.348190352703562E-2</v>
      </c>
      <c r="O157" s="118" t="s">
        <v>323</v>
      </c>
      <c r="P157" s="94" t="s">
        <v>1090</v>
      </c>
      <c r="Q157" s="94"/>
      <c r="R157" s="94" t="s">
        <v>1090</v>
      </c>
      <c r="S157" s="92">
        <v>0.47222222222222221</v>
      </c>
      <c r="T157" s="119"/>
      <c r="U157" s="119"/>
      <c r="V157" s="92">
        <v>0.4861111111111111</v>
      </c>
      <c r="W157" s="89">
        <f>IF(Table1[[#This Row],[Acknowledgemnet Time ]]="NA","",(Table1[[#This Row],[Acknowledgemnet Time ]]-Table1[[#This Row],[Fault Time]])*24)</f>
        <v>-11.333333333333332</v>
      </c>
      <c r="X157" s="89">
        <f>IF(Table1[[#This Row],[Work Start time on Fault]]="NA","",(Table1[[#This Row],[Work Start time on Fault]]-Table1[[#This Row],[Fault Time]])*24)</f>
        <v>-11.333333333333332</v>
      </c>
      <c r="Y157" s="52">
        <f>(Table1[[#This Row],[Work Completiuon time on fualt]]-Table1[[#This Row],[Fault Time]])*24</f>
        <v>0.33333333333333348</v>
      </c>
      <c r="Z157" s="52">
        <f>IFERROR((Table1[[#This Row],[Work Completiuon time on fualt]]-Table1[[#This Row],[Fault Time]])*24,"")</f>
        <v>0.33333333333333348</v>
      </c>
      <c r="AA157" s="2" t="s">
        <v>1084</v>
      </c>
      <c r="AB157" s="2" t="s">
        <v>1080</v>
      </c>
      <c r="AC157" s="90">
        <f>IFERROR(Table1[[#This Row],[Breakdown Time]]*Table1[[#This Row],[Plant Equivalent Weightage]],"")</f>
        <v>2.7827301175678554E-2</v>
      </c>
      <c r="AD157" s="2">
        <v>0.33</v>
      </c>
      <c r="AE157" s="89">
        <f>_xlfn.XLOOKUP($F157,'Modelling New'!$D:$D,'Modelling New'!$O:$O)*Table1[[#This Row],[Lost PoA(Wh/m2)]]*Table1[[#This Row],[DC Capacity Affceted (kW)]]</f>
        <v>149.21410904548463</v>
      </c>
      <c r="AF157" s="2"/>
      <c r="AG157" s="2"/>
    </row>
    <row r="158" spans="1:33" x14ac:dyDescent="0.3">
      <c r="A158" s="67">
        <f t="shared" si="2"/>
        <v>155</v>
      </c>
      <c r="B158" s="75">
        <f>YEAR(Table1[[#This Row],[Date]])+IF(MONTH(Table1[[#This Row],[Date]])&gt;=4,1,0)</f>
        <v>2026</v>
      </c>
      <c r="C158" s="74">
        <f>YEAR(Table1[[#This Row],[Date]])</f>
        <v>2025</v>
      </c>
      <c r="D158" s="74" t="s">
        <v>1082</v>
      </c>
      <c r="E158" s="74" t="s">
        <v>1082</v>
      </c>
      <c r="F158" s="181">
        <f>Table1[[#This Row],[Date]]-DAY(Table1[[#This Row],[Date]])+1</f>
        <v>45748</v>
      </c>
      <c r="G158">
        <f>DAY(EOMONTH(Table1[[#This Row],[Month Year]],0))</f>
        <v>30</v>
      </c>
      <c r="H158" s="104">
        <v>45753</v>
      </c>
      <c r="I158" s="76">
        <f>IFERROR(VLOOKUP(Table1[[#This Row],[Date]],Table3[[Date]:[Sunset Time (POA&lt;20 W/m2)]],3,0),"")</f>
        <v>0.26111111111111113</v>
      </c>
      <c r="J158" s="76">
        <f>IFERROR(VLOOKUP(Table1[[#This Row],[Date]],Table3[[Date]:[Sunset Time (POA&lt;20 W/m2)]],4,0),"")</f>
        <v>0.76944444444444449</v>
      </c>
      <c r="K158" s="77">
        <f>IFERROR((Table1[[#This Row],[Sunset Time (POA&lt;20 W/m2)]]-Table1[[#This Row],[Sunrise Time (POA&gt;20 W/m2)]])*24,"")</f>
        <v>12.2</v>
      </c>
      <c r="L158" s="108" t="s">
        <v>180</v>
      </c>
      <c r="M158" s="61">
        <f>VLOOKUP(Table1[[#This Row],[Affceted Equipment]],'Basic Data'!$A$2:$C$818,2,0)</f>
        <v>2694.6</v>
      </c>
      <c r="N158" s="93">
        <f>IFERROR(VLOOKUP(Table1[[#This Row],[Affceted Equipment]],'Basic Data'!$A$2:$C$818,3,0),"")</f>
        <v>0.33594733758057077</v>
      </c>
      <c r="O158" s="118" t="s">
        <v>323</v>
      </c>
      <c r="P158" s="94" t="s">
        <v>1089</v>
      </c>
      <c r="Q158" s="94"/>
      <c r="R158" s="94" t="s">
        <v>1089</v>
      </c>
      <c r="S158" s="92">
        <v>0.4861111111111111</v>
      </c>
      <c r="T158" s="119"/>
      <c r="U158" s="119"/>
      <c r="V158" s="92">
        <v>0.49166666666666664</v>
      </c>
      <c r="W158" s="89">
        <f>IF(Table1[[#This Row],[Acknowledgemnet Time ]]="NA","",(Table1[[#This Row],[Acknowledgemnet Time ]]-Table1[[#This Row],[Fault Time]])*24)</f>
        <v>-11.666666666666666</v>
      </c>
      <c r="X158" s="89">
        <f>IF(Table1[[#This Row],[Work Start time on Fault]]="NA","",(Table1[[#This Row],[Work Start time on Fault]]-Table1[[#This Row],[Fault Time]])*24)</f>
        <v>-11.666666666666666</v>
      </c>
      <c r="Y158" s="52">
        <f>(Table1[[#This Row],[Work Completiuon time on fualt]]-Table1[[#This Row],[Fault Time]])*24</f>
        <v>0.13333333333333286</v>
      </c>
      <c r="Z158" s="52">
        <f>IFERROR((Table1[[#This Row],[Work Completiuon time on fualt]]-Table1[[#This Row],[Fault Time]])*24,"")</f>
        <v>0.13333333333333286</v>
      </c>
      <c r="AA158" s="2" t="s">
        <v>1086</v>
      </c>
      <c r="AB158" s="2" t="s">
        <v>1081</v>
      </c>
      <c r="AC158" s="90">
        <f>IFERROR(Table1[[#This Row],[Breakdown Time]]*Table1[[#This Row],[Plant Equivalent Weightage]],"")</f>
        <v>4.4792978344075945E-2</v>
      </c>
      <c r="AD158" s="2">
        <v>0.14000000000000001</v>
      </c>
      <c r="AE158" s="89">
        <f>_xlfn.XLOOKUP($F158,'Modelling New'!$D:$D,'Modelling New'!$O:$O)*Table1[[#This Row],[Lost PoA(Wh/m2)]]*Table1[[#This Row],[DC Capacity Affceted (kW)]]</f>
        <v>254.74334452388945</v>
      </c>
      <c r="AF158" s="2"/>
      <c r="AG158" s="2"/>
    </row>
    <row r="159" spans="1:33" x14ac:dyDescent="0.3">
      <c r="A159" s="67">
        <f t="shared" si="2"/>
        <v>156</v>
      </c>
      <c r="B159" s="75">
        <f>YEAR(Table1[[#This Row],[Date]])+IF(MONTH(Table1[[#This Row],[Date]])&gt;=4,1,0)</f>
        <v>2026</v>
      </c>
      <c r="C159" s="74">
        <f>YEAR(Table1[[#This Row],[Date]])</f>
        <v>2025</v>
      </c>
      <c r="D159" s="74" t="s">
        <v>1082</v>
      </c>
      <c r="E159" s="74" t="s">
        <v>1082</v>
      </c>
      <c r="F159" s="181">
        <f>Table1[[#This Row],[Date]]-DAY(Table1[[#This Row],[Date]])+1</f>
        <v>45748</v>
      </c>
      <c r="G159">
        <f>DAY(EOMONTH(Table1[[#This Row],[Month Year]],0))</f>
        <v>30</v>
      </c>
      <c r="H159" s="104">
        <v>45753</v>
      </c>
      <c r="I159" s="76">
        <f>IFERROR(VLOOKUP(Table1[[#This Row],[Date]],Table3[[Date]:[Sunset Time (POA&lt;20 W/m2)]],3,0),"")</f>
        <v>0.26111111111111113</v>
      </c>
      <c r="J159" s="76">
        <f>IFERROR(VLOOKUP(Table1[[#This Row],[Date]],Table3[[Date]:[Sunset Time (POA&lt;20 W/m2)]],4,0),"")</f>
        <v>0.76944444444444449</v>
      </c>
      <c r="K159" s="77">
        <f>IFERROR((Table1[[#This Row],[Sunset Time (POA&lt;20 W/m2)]]-Table1[[#This Row],[Sunrise Time (POA&gt;20 W/m2)]])*24,"")</f>
        <v>12.2</v>
      </c>
      <c r="L159" s="108" t="s">
        <v>231</v>
      </c>
      <c r="M159" s="61">
        <f>VLOOKUP(Table1[[#This Row],[Affceted Equipment]],'Basic Data'!$A$2:$C$818,2,0)</f>
        <v>669.6</v>
      </c>
      <c r="N159" s="93">
        <f>IFERROR(VLOOKUP(Table1[[#This Row],[Affceted Equipment]],'Basic Data'!$A$2:$C$818,3,0),"")</f>
        <v>8.348190352703562E-2</v>
      </c>
      <c r="O159" s="118" t="s">
        <v>323</v>
      </c>
      <c r="P159" s="94" t="s">
        <v>1088</v>
      </c>
      <c r="Q159" s="94"/>
      <c r="R159" s="94" t="s">
        <v>1088</v>
      </c>
      <c r="S159" s="92">
        <v>0.49166666666666664</v>
      </c>
      <c r="T159" s="119"/>
      <c r="U159" s="119"/>
      <c r="V159" s="92">
        <v>0.50069444444444444</v>
      </c>
      <c r="W159" s="89">
        <f>IF(Table1[[#This Row],[Acknowledgemnet Time ]]="NA","",(Table1[[#This Row],[Acknowledgemnet Time ]]-Table1[[#This Row],[Fault Time]])*24)</f>
        <v>-11.799999999999999</v>
      </c>
      <c r="X159" s="89">
        <f>IF(Table1[[#This Row],[Work Start time on Fault]]="NA","",(Table1[[#This Row],[Work Start time on Fault]]-Table1[[#This Row],[Fault Time]])*24)</f>
        <v>-11.799999999999999</v>
      </c>
      <c r="Y159" s="52">
        <f>(Table1[[#This Row],[Work Completiuon time on fualt]]-Table1[[#This Row],[Fault Time]])*24</f>
        <v>0.21666666666666723</v>
      </c>
      <c r="Z159" s="52">
        <f>IFERROR((Table1[[#This Row],[Work Completiuon time on fualt]]-Table1[[#This Row],[Fault Time]])*24,"")</f>
        <v>0.21666666666666723</v>
      </c>
      <c r="AA159" s="2" t="s">
        <v>1084</v>
      </c>
      <c r="AB159" s="2" t="s">
        <v>1080</v>
      </c>
      <c r="AC159" s="90">
        <f>IFERROR(Table1[[#This Row],[Breakdown Time]]*Table1[[#This Row],[Plant Equivalent Weightage]],"")</f>
        <v>1.8087745764191098E-2</v>
      </c>
      <c r="AD159" s="2">
        <v>0.23</v>
      </c>
      <c r="AE159" s="89">
        <f>_xlfn.XLOOKUP($F159,'Modelling New'!$D:$D,'Modelling New'!$O:$O)*Table1[[#This Row],[Lost PoA(Wh/m2)]]*Table1[[#This Row],[DC Capacity Affceted (kW)]]</f>
        <v>103.99771236503474</v>
      </c>
      <c r="AF159" s="2"/>
      <c r="AG159" s="2"/>
    </row>
    <row r="160" spans="1:33" x14ac:dyDescent="0.3">
      <c r="A160" s="67">
        <f t="shared" si="2"/>
        <v>157</v>
      </c>
      <c r="B160" s="75">
        <f>YEAR(Table1[[#This Row],[Date]])+IF(MONTH(Table1[[#This Row],[Date]])&gt;=4,1,0)</f>
        <v>2026</v>
      </c>
      <c r="C160" s="74">
        <f>YEAR(Table1[[#This Row],[Date]])</f>
        <v>2025</v>
      </c>
      <c r="D160" s="74" t="s">
        <v>1082</v>
      </c>
      <c r="E160" s="74" t="s">
        <v>1082</v>
      </c>
      <c r="F160" s="181">
        <f>Table1[[#This Row],[Date]]-DAY(Table1[[#This Row],[Date]])+1</f>
        <v>45748</v>
      </c>
      <c r="G160">
        <f>DAY(EOMONTH(Table1[[#This Row],[Month Year]],0))</f>
        <v>30</v>
      </c>
      <c r="H160" s="104">
        <v>45753</v>
      </c>
      <c r="I160" s="76">
        <f>IFERROR(VLOOKUP(Table1[[#This Row],[Date]],Table3[[Date]:[Sunset Time (POA&lt;20 W/m2)]],3,0),"")</f>
        <v>0.26111111111111113</v>
      </c>
      <c r="J160" s="76">
        <f>IFERROR(VLOOKUP(Table1[[#This Row],[Date]],Table3[[Date]:[Sunset Time (POA&lt;20 W/m2)]],4,0),"")</f>
        <v>0.76944444444444449</v>
      </c>
      <c r="K160" s="77">
        <f>IFERROR((Table1[[#This Row],[Sunset Time (POA&lt;20 W/m2)]]-Table1[[#This Row],[Sunrise Time (POA&gt;20 W/m2)]])*24,"")</f>
        <v>12.2</v>
      </c>
      <c r="L160" s="108" t="s">
        <v>232</v>
      </c>
      <c r="M160" s="61">
        <f>VLOOKUP(Table1[[#This Row],[Affceted Equipment]],'Basic Data'!$A$2:$C$818,2,0)</f>
        <v>669.6</v>
      </c>
      <c r="N160" s="93">
        <f>IFERROR(VLOOKUP(Table1[[#This Row],[Affceted Equipment]],'Basic Data'!$A$2:$C$818,3,0),"")</f>
        <v>8.348190352703562E-2</v>
      </c>
      <c r="O160" s="118" t="s">
        <v>323</v>
      </c>
      <c r="P160" s="94" t="s">
        <v>1090</v>
      </c>
      <c r="Q160" s="94"/>
      <c r="R160" s="94" t="s">
        <v>1090</v>
      </c>
      <c r="S160" s="92">
        <v>0.49166666666666664</v>
      </c>
      <c r="T160" s="119"/>
      <c r="U160" s="119"/>
      <c r="V160" s="92">
        <v>0.50069444444444444</v>
      </c>
      <c r="W160" s="89">
        <f>IF(Table1[[#This Row],[Acknowledgemnet Time ]]="NA","",(Table1[[#This Row],[Acknowledgemnet Time ]]-Table1[[#This Row],[Fault Time]])*24)</f>
        <v>-11.799999999999999</v>
      </c>
      <c r="X160" s="89">
        <f>IF(Table1[[#This Row],[Work Start time on Fault]]="NA","",(Table1[[#This Row],[Work Start time on Fault]]-Table1[[#This Row],[Fault Time]])*24)</f>
        <v>-11.799999999999999</v>
      </c>
      <c r="Y160" s="52">
        <f>(Table1[[#This Row],[Work Completiuon time on fualt]]-Table1[[#This Row],[Fault Time]])*24</f>
        <v>0.21666666666666723</v>
      </c>
      <c r="Z160" s="52">
        <f>IFERROR((Table1[[#This Row],[Work Completiuon time on fualt]]-Table1[[#This Row],[Fault Time]])*24,"")</f>
        <v>0.21666666666666723</v>
      </c>
      <c r="AA160" s="2" t="s">
        <v>1084</v>
      </c>
      <c r="AB160" s="2" t="s">
        <v>1080</v>
      </c>
      <c r="AC160" s="90">
        <f>IFERROR(Table1[[#This Row],[Breakdown Time]]*Table1[[#This Row],[Plant Equivalent Weightage]],"")</f>
        <v>1.8087745764191098E-2</v>
      </c>
      <c r="AD160" s="2">
        <v>0.23</v>
      </c>
      <c r="AE160" s="89">
        <f>_xlfn.XLOOKUP($F160,'Modelling New'!$D:$D,'Modelling New'!$O:$O)*Table1[[#This Row],[Lost PoA(Wh/m2)]]*Table1[[#This Row],[DC Capacity Affceted (kW)]]</f>
        <v>103.99771236503474</v>
      </c>
      <c r="AF160" s="2"/>
      <c r="AG160" s="2"/>
    </row>
    <row r="161" spans="1:33" x14ac:dyDescent="0.3">
      <c r="A161" s="67">
        <f t="shared" si="2"/>
        <v>158</v>
      </c>
      <c r="B161" s="75">
        <f>YEAR(Table1[[#This Row],[Date]])+IF(MONTH(Table1[[#This Row],[Date]])&gt;=4,1,0)</f>
        <v>2026</v>
      </c>
      <c r="C161" s="74">
        <f>YEAR(Table1[[#This Row],[Date]])</f>
        <v>2025</v>
      </c>
      <c r="D161" s="74" t="s">
        <v>1082</v>
      </c>
      <c r="E161" s="74" t="s">
        <v>1082</v>
      </c>
      <c r="F161" s="181">
        <f>Table1[[#This Row],[Date]]-DAY(Table1[[#This Row],[Date]])+1</f>
        <v>45748</v>
      </c>
      <c r="G161">
        <f>DAY(EOMONTH(Table1[[#This Row],[Month Year]],0))</f>
        <v>30</v>
      </c>
      <c r="H161" s="104">
        <v>45753</v>
      </c>
      <c r="I161" s="76">
        <f>IFERROR(VLOOKUP(Table1[[#This Row],[Date]],Table3[[Date]:[Sunset Time (POA&lt;20 W/m2)]],3,0),"")</f>
        <v>0.26111111111111113</v>
      </c>
      <c r="J161" s="76">
        <f>IFERROR(VLOOKUP(Table1[[#This Row],[Date]],Table3[[Date]:[Sunset Time (POA&lt;20 W/m2)]],4,0),"")</f>
        <v>0.76944444444444449</v>
      </c>
      <c r="K161" s="77">
        <f>IFERROR((Table1[[#This Row],[Sunset Time (POA&lt;20 W/m2)]]-Table1[[#This Row],[Sunrise Time (POA&gt;20 W/m2)]])*24,"")</f>
        <v>12.2</v>
      </c>
      <c r="L161" s="108" t="s">
        <v>180</v>
      </c>
      <c r="M161" s="61">
        <f>VLOOKUP(Table1[[#This Row],[Affceted Equipment]],'Basic Data'!$A$2:$C$818,2,0)</f>
        <v>2694.6</v>
      </c>
      <c r="N161" s="93">
        <f>IFERROR(VLOOKUP(Table1[[#This Row],[Affceted Equipment]],'Basic Data'!$A$2:$C$818,3,0),"")</f>
        <v>0.33594733758057077</v>
      </c>
      <c r="O161" s="118" t="s">
        <v>323</v>
      </c>
      <c r="P161" s="94" t="s">
        <v>1089</v>
      </c>
      <c r="Q161" s="94"/>
      <c r="R161" s="94" t="s">
        <v>1089</v>
      </c>
      <c r="S161" s="92">
        <v>0.50069444444444444</v>
      </c>
      <c r="T161" s="119"/>
      <c r="U161" s="119"/>
      <c r="V161" s="92">
        <v>0.51944444444444449</v>
      </c>
      <c r="W161" s="89">
        <f>IF(Table1[[#This Row],[Acknowledgemnet Time ]]="NA","",(Table1[[#This Row],[Acknowledgemnet Time ]]-Table1[[#This Row],[Fault Time]])*24)</f>
        <v>-12.016666666666666</v>
      </c>
      <c r="X161" s="89">
        <f>IF(Table1[[#This Row],[Work Start time on Fault]]="NA","",(Table1[[#This Row],[Work Start time on Fault]]-Table1[[#This Row],[Fault Time]])*24)</f>
        <v>-12.016666666666666</v>
      </c>
      <c r="Y161" s="52">
        <f>(Table1[[#This Row],[Work Completiuon time on fualt]]-Table1[[#This Row],[Fault Time]])*24</f>
        <v>0.45000000000000107</v>
      </c>
      <c r="Z161" s="52">
        <f>IFERROR((Table1[[#This Row],[Work Completiuon time on fualt]]-Table1[[#This Row],[Fault Time]])*24,"")</f>
        <v>0.45000000000000107</v>
      </c>
      <c r="AA161" s="2" t="s">
        <v>1086</v>
      </c>
      <c r="AB161" s="2" t="s">
        <v>1081</v>
      </c>
      <c r="AC161" s="90">
        <f>IFERROR(Table1[[#This Row],[Breakdown Time]]*Table1[[#This Row],[Plant Equivalent Weightage]],"")</f>
        <v>0.15117630191125719</v>
      </c>
      <c r="AD161" s="2">
        <v>0.41</v>
      </c>
      <c r="AE161" s="89">
        <f>_xlfn.XLOOKUP($F161,'Modelling New'!$D:$D,'Modelling New'!$O:$O)*Table1[[#This Row],[Lost PoA(Wh/m2)]]*Table1[[#This Row],[DC Capacity Affceted (kW)]]</f>
        <v>746.03408039139049</v>
      </c>
      <c r="AF161" s="2"/>
      <c r="AG161" s="2"/>
    </row>
    <row r="162" spans="1:33" x14ac:dyDescent="0.3">
      <c r="A162" s="67">
        <f t="shared" si="2"/>
        <v>159</v>
      </c>
      <c r="B162" s="75">
        <f>YEAR(Table1[[#This Row],[Date]])+IF(MONTH(Table1[[#This Row],[Date]])&gt;=4,1,0)</f>
        <v>2026</v>
      </c>
      <c r="C162" s="74">
        <f>YEAR(Table1[[#This Row],[Date]])</f>
        <v>2025</v>
      </c>
      <c r="D162" s="74" t="s">
        <v>1082</v>
      </c>
      <c r="E162" s="74" t="s">
        <v>1082</v>
      </c>
      <c r="F162" s="181">
        <f>Table1[[#This Row],[Date]]-DAY(Table1[[#This Row],[Date]])+1</f>
        <v>45748</v>
      </c>
      <c r="G162">
        <f>DAY(EOMONTH(Table1[[#This Row],[Month Year]],0))</f>
        <v>30</v>
      </c>
      <c r="H162" s="104">
        <v>45753</v>
      </c>
      <c r="I162" s="76">
        <f>IFERROR(VLOOKUP(Table1[[#This Row],[Date]],Table3[[Date]:[Sunset Time (POA&lt;20 W/m2)]],3,0),"")</f>
        <v>0.26111111111111113</v>
      </c>
      <c r="J162" s="76">
        <f>IFERROR(VLOOKUP(Table1[[#This Row],[Date]],Table3[[Date]:[Sunset Time (POA&lt;20 W/m2)]],4,0),"")</f>
        <v>0.76944444444444449</v>
      </c>
      <c r="K162" s="77">
        <f>IFERROR((Table1[[#This Row],[Sunset Time (POA&lt;20 W/m2)]]-Table1[[#This Row],[Sunrise Time (POA&gt;20 W/m2)]])*24,"")</f>
        <v>12.2</v>
      </c>
      <c r="L162" s="108" t="s">
        <v>231</v>
      </c>
      <c r="M162" s="61">
        <f>VLOOKUP(Table1[[#This Row],[Affceted Equipment]],'Basic Data'!$A$2:$C$818,2,0)</f>
        <v>669.6</v>
      </c>
      <c r="N162" s="93">
        <f>IFERROR(VLOOKUP(Table1[[#This Row],[Affceted Equipment]],'Basic Data'!$A$2:$C$818,3,0),"")</f>
        <v>8.348190352703562E-2</v>
      </c>
      <c r="O162" s="118" t="s">
        <v>323</v>
      </c>
      <c r="P162" s="94" t="s">
        <v>1088</v>
      </c>
      <c r="Q162" s="94"/>
      <c r="R162" s="94" t="s">
        <v>1088</v>
      </c>
      <c r="S162" s="92">
        <v>0.51944444444444449</v>
      </c>
      <c r="T162" s="119"/>
      <c r="U162" s="119"/>
      <c r="V162" s="92">
        <v>0.53402777777777777</v>
      </c>
      <c r="W162" s="89">
        <f>IF(Table1[[#This Row],[Acknowledgemnet Time ]]="NA","",(Table1[[#This Row],[Acknowledgemnet Time ]]-Table1[[#This Row],[Fault Time]])*24)</f>
        <v>-12.466666666666669</v>
      </c>
      <c r="X162" s="89">
        <f>IF(Table1[[#This Row],[Work Start time on Fault]]="NA","",(Table1[[#This Row],[Work Start time on Fault]]-Table1[[#This Row],[Fault Time]])*24)</f>
        <v>-12.466666666666669</v>
      </c>
      <c r="Y162" s="52">
        <f>(Table1[[#This Row],[Work Completiuon time on fualt]]-Table1[[#This Row],[Fault Time]])*24</f>
        <v>0.34999999999999876</v>
      </c>
      <c r="Z162" s="52">
        <f>IFERROR((Table1[[#This Row],[Work Completiuon time on fualt]]-Table1[[#This Row],[Fault Time]])*24,"")</f>
        <v>0.34999999999999876</v>
      </c>
      <c r="AA162" s="2" t="s">
        <v>1084</v>
      </c>
      <c r="AB162" s="2" t="s">
        <v>1080</v>
      </c>
      <c r="AC162" s="90">
        <f>IFERROR(Table1[[#This Row],[Breakdown Time]]*Table1[[#This Row],[Plant Equivalent Weightage]],"")</f>
        <v>2.9218666234462363E-2</v>
      </c>
      <c r="AD162" s="2">
        <v>0.3</v>
      </c>
      <c r="AE162" s="89">
        <f>_xlfn.XLOOKUP($F162,'Modelling New'!$D:$D,'Modelling New'!$O:$O)*Table1[[#This Row],[Lost PoA(Wh/m2)]]*Table1[[#This Row],[DC Capacity Affceted (kW)]]</f>
        <v>135.64919004134964</v>
      </c>
      <c r="AF162" s="2"/>
      <c r="AG162" s="2"/>
    </row>
    <row r="163" spans="1:33" x14ac:dyDescent="0.3">
      <c r="A163" s="67">
        <f t="shared" si="2"/>
        <v>160</v>
      </c>
      <c r="B163" s="75">
        <f>YEAR(Table1[[#This Row],[Date]])+IF(MONTH(Table1[[#This Row],[Date]])&gt;=4,1,0)</f>
        <v>2026</v>
      </c>
      <c r="C163" s="74">
        <f>YEAR(Table1[[#This Row],[Date]])</f>
        <v>2025</v>
      </c>
      <c r="D163" s="74" t="s">
        <v>1082</v>
      </c>
      <c r="E163" s="74" t="s">
        <v>1082</v>
      </c>
      <c r="F163" s="181">
        <f>Table1[[#This Row],[Date]]-DAY(Table1[[#This Row],[Date]])+1</f>
        <v>45748</v>
      </c>
      <c r="G163">
        <f>DAY(EOMONTH(Table1[[#This Row],[Month Year]],0))</f>
        <v>30</v>
      </c>
      <c r="H163" s="104">
        <v>45753</v>
      </c>
      <c r="I163" s="76">
        <f>IFERROR(VLOOKUP(Table1[[#This Row],[Date]],Table3[[Date]:[Sunset Time (POA&lt;20 W/m2)]],3,0),"")</f>
        <v>0.26111111111111113</v>
      </c>
      <c r="J163" s="76">
        <f>IFERROR(VLOOKUP(Table1[[#This Row],[Date]],Table3[[Date]:[Sunset Time (POA&lt;20 W/m2)]],4,0),"")</f>
        <v>0.76944444444444449</v>
      </c>
      <c r="K163" s="77">
        <f>IFERROR((Table1[[#This Row],[Sunset Time (POA&lt;20 W/m2)]]-Table1[[#This Row],[Sunrise Time (POA&gt;20 W/m2)]])*24,"")</f>
        <v>12.2</v>
      </c>
      <c r="L163" s="108" t="s">
        <v>232</v>
      </c>
      <c r="M163" s="61">
        <f>VLOOKUP(Table1[[#This Row],[Affceted Equipment]],'Basic Data'!$A$2:$C$818,2,0)</f>
        <v>669.6</v>
      </c>
      <c r="N163" s="93">
        <f>IFERROR(VLOOKUP(Table1[[#This Row],[Affceted Equipment]],'Basic Data'!$A$2:$C$818,3,0),"")</f>
        <v>8.348190352703562E-2</v>
      </c>
      <c r="O163" s="118" t="s">
        <v>323</v>
      </c>
      <c r="P163" s="94" t="s">
        <v>1090</v>
      </c>
      <c r="Q163" s="94"/>
      <c r="R163" s="94" t="s">
        <v>1090</v>
      </c>
      <c r="S163" s="92">
        <v>0.51944444444444449</v>
      </c>
      <c r="T163" s="119"/>
      <c r="U163" s="119"/>
      <c r="V163" s="92">
        <v>0.53402777777777777</v>
      </c>
      <c r="W163" s="89">
        <f>IF(Table1[[#This Row],[Acknowledgemnet Time ]]="NA","",(Table1[[#This Row],[Acknowledgemnet Time ]]-Table1[[#This Row],[Fault Time]])*24)</f>
        <v>-12.466666666666669</v>
      </c>
      <c r="X163" s="89">
        <f>IF(Table1[[#This Row],[Work Start time on Fault]]="NA","",(Table1[[#This Row],[Work Start time on Fault]]-Table1[[#This Row],[Fault Time]])*24)</f>
        <v>-12.466666666666669</v>
      </c>
      <c r="Y163" s="52">
        <f>(Table1[[#This Row],[Work Completiuon time on fualt]]-Table1[[#This Row],[Fault Time]])*24</f>
        <v>0.34999999999999876</v>
      </c>
      <c r="Z163" s="52">
        <f>IFERROR((Table1[[#This Row],[Work Completiuon time on fualt]]-Table1[[#This Row],[Fault Time]])*24,"")</f>
        <v>0.34999999999999876</v>
      </c>
      <c r="AA163" s="2" t="s">
        <v>1084</v>
      </c>
      <c r="AB163" s="2" t="s">
        <v>1080</v>
      </c>
      <c r="AC163" s="90">
        <f>IFERROR(Table1[[#This Row],[Breakdown Time]]*Table1[[#This Row],[Plant Equivalent Weightage]],"")</f>
        <v>2.9218666234462363E-2</v>
      </c>
      <c r="AD163" s="2">
        <v>0.3</v>
      </c>
      <c r="AE163" s="89">
        <f>_xlfn.XLOOKUP($F163,'Modelling New'!$D:$D,'Modelling New'!$O:$O)*Table1[[#This Row],[Lost PoA(Wh/m2)]]*Table1[[#This Row],[DC Capacity Affceted (kW)]]</f>
        <v>135.64919004134964</v>
      </c>
      <c r="AF163" s="2"/>
      <c r="AG163" s="2"/>
    </row>
    <row r="164" spans="1:33" x14ac:dyDescent="0.3">
      <c r="A164" s="67">
        <f t="shared" si="2"/>
        <v>161</v>
      </c>
      <c r="B164" s="75">
        <f>YEAR(Table1[[#This Row],[Date]])+IF(MONTH(Table1[[#This Row],[Date]])&gt;=4,1,0)</f>
        <v>2026</v>
      </c>
      <c r="C164" s="74">
        <f>YEAR(Table1[[#This Row],[Date]])</f>
        <v>2025</v>
      </c>
      <c r="D164" s="74" t="s">
        <v>1082</v>
      </c>
      <c r="E164" s="74" t="s">
        <v>1082</v>
      </c>
      <c r="F164" s="181">
        <f>Table1[[#This Row],[Date]]-DAY(Table1[[#This Row],[Date]])+1</f>
        <v>45748</v>
      </c>
      <c r="G164">
        <f>DAY(EOMONTH(Table1[[#This Row],[Month Year]],0))</f>
        <v>30</v>
      </c>
      <c r="H164" s="104">
        <v>45753</v>
      </c>
      <c r="I164" s="76">
        <f>IFERROR(VLOOKUP(Table1[[#This Row],[Date]],Table3[[Date]:[Sunset Time (POA&lt;20 W/m2)]],3,0),"")</f>
        <v>0.26111111111111113</v>
      </c>
      <c r="J164" s="76">
        <f>IFERROR(VLOOKUP(Table1[[#This Row],[Date]],Table3[[Date]:[Sunset Time (POA&lt;20 W/m2)]],4,0),"")</f>
        <v>0.76944444444444449</v>
      </c>
      <c r="K164" s="77">
        <f>IFERROR((Table1[[#This Row],[Sunset Time (POA&lt;20 W/m2)]]-Table1[[#This Row],[Sunrise Time (POA&gt;20 W/m2)]])*24,"")</f>
        <v>12.2</v>
      </c>
      <c r="L164" s="108" t="s">
        <v>180</v>
      </c>
      <c r="M164" s="61">
        <f>VLOOKUP(Table1[[#This Row],[Affceted Equipment]],'Basic Data'!$A$2:$C$818,2,0)</f>
        <v>2694.6</v>
      </c>
      <c r="N164" s="93">
        <f>IFERROR(VLOOKUP(Table1[[#This Row],[Affceted Equipment]],'Basic Data'!$A$2:$C$818,3,0),"")</f>
        <v>0.33594733758057077</v>
      </c>
      <c r="O164" s="118" t="s">
        <v>323</v>
      </c>
      <c r="P164" s="94" t="s">
        <v>1089</v>
      </c>
      <c r="Q164" s="94"/>
      <c r="R164" s="94" t="s">
        <v>1089</v>
      </c>
      <c r="S164" s="92">
        <v>0.53402777777777777</v>
      </c>
      <c r="T164" s="119"/>
      <c r="U164" s="119"/>
      <c r="V164" s="92">
        <v>0.54027777777777775</v>
      </c>
      <c r="W164" s="89">
        <f>IF(Table1[[#This Row],[Acknowledgemnet Time ]]="NA","",(Table1[[#This Row],[Acknowledgemnet Time ]]-Table1[[#This Row],[Fault Time]])*24)</f>
        <v>-12.816666666666666</v>
      </c>
      <c r="X164" s="89">
        <f>IF(Table1[[#This Row],[Work Start time on Fault]]="NA","",(Table1[[#This Row],[Work Start time on Fault]]-Table1[[#This Row],[Fault Time]])*24)</f>
        <v>-12.816666666666666</v>
      </c>
      <c r="Y164" s="52">
        <f>(Table1[[#This Row],[Work Completiuon time on fualt]]-Table1[[#This Row],[Fault Time]])*24</f>
        <v>0.14999999999999947</v>
      </c>
      <c r="Z164" s="52">
        <f>IFERROR((Table1[[#This Row],[Work Completiuon time on fualt]]-Table1[[#This Row],[Fault Time]])*24,"")</f>
        <v>0.14999999999999947</v>
      </c>
      <c r="AA164" s="2" t="s">
        <v>1086</v>
      </c>
      <c r="AB164" s="2" t="s">
        <v>1081</v>
      </c>
      <c r="AC164" s="90">
        <f>IFERROR(Table1[[#This Row],[Breakdown Time]]*Table1[[#This Row],[Plant Equivalent Weightage]],"")</f>
        <v>5.0392100637085435E-2</v>
      </c>
      <c r="AD164" s="2">
        <v>0.05</v>
      </c>
      <c r="AE164" s="89">
        <f>_xlfn.XLOOKUP($F164,'Modelling New'!$D:$D,'Modelling New'!$O:$O)*Table1[[#This Row],[Lost PoA(Wh/m2)]]*Table1[[#This Row],[DC Capacity Affceted (kW)]]</f>
        <v>90.979765901389086</v>
      </c>
      <c r="AF164" s="2"/>
      <c r="AG164" s="2"/>
    </row>
    <row r="165" spans="1:33" x14ac:dyDescent="0.3">
      <c r="A165" s="67">
        <f t="shared" si="2"/>
        <v>162</v>
      </c>
      <c r="B165" s="75">
        <f>YEAR(Table1[[#This Row],[Date]])+IF(MONTH(Table1[[#This Row],[Date]])&gt;=4,1,0)</f>
        <v>2026</v>
      </c>
      <c r="C165" s="74">
        <f>YEAR(Table1[[#This Row],[Date]])</f>
        <v>2025</v>
      </c>
      <c r="D165" s="74" t="s">
        <v>1082</v>
      </c>
      <c r="E165" s="74" t="s">
        <v>1082</v>
      </c>
      <c r="F165" s="181">
        <f>Table1[[#This Row],[Date]]-DAY(Table1[[#This Row],[Date]])+1</f>
        <v>45748</v>
      </c>
      <c r="G165">
        <f>DAY(EOMONTH(Table1[[#This Row],[Month Year]],0))</f>
        <v>30</v>
      </c>
      <c r="H165" s="104">
        <v>45753</v>
      </c>
      <c r="I165" s="76">
        <f>IFERROR(VLOOKUP(Table1[[#This Row],[Date]],Table3[[Date]:[Sunset Time (POA&lt;20 W/m2)]],3,0),"")</f>
        <v>0.26111111111111113</v>
      </c>
      <c r="J165" s="76">
        <f>IFERROR(VLOOKUP(Table1[[#This Row],[Date]],Table3[[Date]:[Sunset Time (POA&lt;20 W/m2)]],4,0),"")</f>
        <v>0.76944444444444449</v>
      </c>
      <c r="K165" s="77">
        <f>IFERROR((Table1[[#This Row],[Sunset Time (POA&lt;20 W/m2)]]-Table1[[#This Row],[Sunrise Time (POA&gt;20 W/m2)]])*24,"")</f>
        <v>12.2</v>
      </c>
      <c r="L165" s="108" t="s">
        <v>231</v>
      </c>
      <c r="M165" s="61">
        <f>VLOOKUP(Table1[[#This Row],[Affceted Equipment]],'Basic Data'!$A$2:$C$818,2,0)</f>
        <v>669.6</v>
      </c>
      <c r="N165" s="93">
        <f>IFERROR(VLOOKUP(Table1[[#This Row],[Affceted Equipment]],'Basic Data'!$A$2:$C$818,3,0),"")</f>
        <v>8.348190352703562E-2</v>
      </c>
      <c r="O165" s="118" t="s">
        <v>323</v>
      </c>
      <c r="P165" s="94" t="s">
        <v>1088</v>
      </c>
      <c r="Q165" s="94"/>
      <c r="R165" s="94" t="s">
        <v>1088</v>
      </c>
      <c r="S165" s="92">
        <v>0.54027777777777775</v>
      </c>
      <c r="T165" s="119"/>
      <c r="U165" s="119"/>
      <c r="V165" s="92">
        <v>0.55000000000000004</v>
      </c>
      <c r="W165" s="89">
        <f>IF(Table1[[#This Row],[Acknowledgemnet Time ]]="NA","",(Table1[[#This Row],[Acknowledgemnet Time ]]-Table1[[#This Row],[Fault Time]])*24)</f>
        <v>-12.966666666666665</v>
      </c>
      <c r="X165" s="89">
        <f>IF(Table1[[#This Row],[Work Start time on Fault]]="NA","",(Table1[[#This Row],[Work Start time on Fault]]-Table1[[#This Row],[Fault Time]])*24)</f>
        <v>-12.966666666666665</v>
      </c>
      <c r="Y165" s="52">
        <f>(Table1[[#This Row],[Work Completiuon time on fualt]]-Table1[[#This Row],[Fault Time]])*24</f>
        <v>0.23333333333333517</v>
      </c>
      <c r="Z165" s="52">
        <f>IFERROR((Table1[[#This Row],[Work Completiuon time on fualt]]-Table1[[#This Row],[Fault Time]])*24,"")</f>
        <v>0.23333333333333517</v>
      </c>
      <c r="AA165" s="2" t="s">
        <v>1084</v>
      </c>
      <c r="AB165" s="2" t="s">
        <v>1080</v>
      </c>
      <c r="AC165" s="90">
        <f>IFERROR(Table1[[#This Row],[Breakdown Time]]*Table1[[#This Row],[Plant Equivalent Weightage]],"")</f>
        <v>1.947911082297513E-2</v>
      </c>
      <c r="AD165" s="2">
        <v>0.23</v>
      </c>
      <c r="AE165" s="89">
        <f>_xlfn.XLOOKUP($F165,'Modelling New'!$D:$D,'Modelling New'!$O:$O)*Table1[[#This Row],[Lost PoA(Wh/m2)]]*Table1[[#This Row],[DC Capacity Affceted (kW)]]</f>
        <v>103.99771236503474</v>
      </c>
      <c r="AF165" s="2"/>
      <c r="AG165" s="2"/>
    </row>
    <row r="166" spans="1:33" x14ac:dyDescent="0.3">
      <c r="A166" s="67">
        <f t="shared" si="2"/>
        <v>163</v>
      </c>
      <c r="B166" s="75">
        <f>YEAR(Table1[[#This Row],[Date]])+IF(MONTH(Table1[[#This Row],[Date]])&gt;=4,1,0)</f>
        <v>2026</v>
      </c>
      <c r="C166" s="74">
        <f>YEAR(Table1[[#This Row],[Date]])</f>
        <v>2025</v>
      </c>
      <c r="D166" s="74" t="s">
        <v>1082</v>
      </c>
      <c r="E166" s="74" t="s">
        <v>1082</v>
      </c>
      <c r="F166" s="181">
        <f>Table1[[#This Row],[Date]]-DAY(Table1[[#This Row],[Date]])+1</f>
        <v>45748</v>
      </c>
      <c r="G166">
        <f>DAY(EOMONTH(Table1[[#This Row],[Month Year]],0))</f>
        <v>30</v>
      </c>
      <c r="H166" s="104">
        <v>45753</v>
      </c>
      <c r="I166" s="76">
        <f>IFERROR(VLOOKUP(Table1[[#This Row],[Date]],Table3[[Date]:[Sunset Time (POA&lt;20 W/m2)]],3,0),"")</f>
        <v>0.26111111111111113</v>
      </c>
      <c r="J166" s="76">
        <f>IFERROR(VLOOKUP(Table1[[#This Row],[Date]],Table3[[Date]:[Sunset Time (POA&lt;20 W/m2)]],4,0),"")</f>
        <v>0.76944444444444449</v>
      </c>
      <c r="K166" s="77">
        <f>IFERROR((Table1[[#This Row],[Sunset Time (POA&lt;20 W/m2)]]-Table1[[#This Row],[Sunrise Time (POA&gt;20 W/m2)]])*24,"")</f>
        <v>12.2</v>
      </c>
      <c r="L166" s="108" t="s">
        <v>232</v>
      </c>
      <c r="M166" s="61">
        <f>VLOOKUP(Table1[[#This Row],[Affceted Equipment]],'Basic Data'!$A$2:$C$818,2,0)</f>
        <v>669.6</v>
      </c>
      <c r="N166" s="93">
        <f>IFERROR(VLOOKUP(Table1[[#This Row],[Affceted Equipment]],'Basic Data'!$A$2:$C$818,3,0),"")</f>
        <v>8.348190352703562E-2</v>
      </c>
      <c r="O166" s="118" t="s">
        <v>323</v>
      </c>
      <c r="P166" s="94" t="s">
        <v>1090</v>
      </c>
      <c r="Q166" s="94"/>
      <c r="R166" s="94" t="s">
        <v>1090</v>
      </c>
      <c r="S166" s="92">
        <v>0.54027777777777775</v>
      </c>
      <c r="T166" s="119"/>
      <c r="U166" s="119"/>
      <c r="V166" s="92">
        <v>0.55000000000000004</v>
      </c>
      <c r="W166" s="89">
        <f>IF(Table1[[#This Row],[Acknowledgemnet Time ]]="NA","",(Table1[[#This Row],[Acknowledgemnet Time ]]-Table1[[#This Row],[Fault Time]])*24)</f>
        <v>-12.966666666666665</v>
      </c>
      <c r="X166" s="89">
        <f>IF(Table1[[#This Row],[Work Start time on Fault]]="NA","",(Table1[[#This Row],[Work Start time on Fault]]-Table1[[#This Row],[Fault Time]])*24)</f>
        <v>-12.966666666666665</v>
      </c>
      <c r="Y166" s="52">
        <f>(Table1[[#This Row],[Work Completiuon time on fualt]]-Table1[[#This Row],[Fault Time]])*24</f>
        <v>0.23333333333333517</v>
      </c>
      <c r="Z166" s="52">
        <f>IFERROR((Table1[[#This Row],[Work Completiuon time on fualt]]-Table1[[#This Row],[Fault Time]])*24,"")</f>
        <v>0.23333333333333517</v>
      </c>
      <c r="AA166" s="2" t="s">
        <v>1084</v>
      </c>
      <c r="AB166" s="2" t="s">
        <v>1080</v>
      </c>
      <c r="AC166" s="90">
        <f>IFERROR(Table1[[#This Row],[Breakdown Time]]*Table1[[#This Row],[Plant Equivalent Weightage]],"")</f>
        <v>1.947911082297513E-2</v>
      </c>
      <c r="AD166" s="2">
        <v>0.23</v>
      </c>
      <c r="AE166" s="89">
        <f>_xlfn.XLOOKUP($F166,'Modelling New'!$D:$D,'Modelling New'!$O:$O)*Table1[[#This Row],[Lost PoA(Wh/m2)]]*Table1[[#This Row],[DC Capacity Affceted (kW)]]</f>
        <v>103.99771236503474</v>
      </c>
      <c r="AF166" s="2"/>
      <c r="AG166" s="2"/>
    </row>
    <row r="167" spans="1:33" x14ac:dyDescent="0.3">
      <c r="A167" s="67">
        <f t="shared" si="2"/>
        <v>164</v>
      </c>
      <c r="B167" s="75">
        <f>YEAR(Table1[[#This Row],[Date]])+IF(MONTH(Table1[[#This Row],[Date]])&gt;=4,1,0)</f>
        <v>2026</v>
      </c>
      <c r="C167" s="74">
        <f>YEAR(Table1[[#This Row],[Date]])</f>
        <v>2025</v>
      </c>
      <c r="D167" s="74" t="s">
        <v>1082</v>
      </c>
      <c r="E167" s="74" t="s">
        <v>1082</v>
      </c>
      <c r="F167" s="181">
        <f>Table1[[#This Row],[Date]]-DAY(Table1[[#This Row],[Date]])+1</f>
        <v>45748</v>
      </c>
      <c r="G167">
        <f>DAY(EOMONTH(Table1[[#This Row],[Month Year]],0))</f>
        <v>30</v>
      </c>
      <c r="H167" s="104">
        <v>45753</v>
      </c>
      <c r="I167" s="76">
        <f>IFERROR(VLOOKUP(Table1[[#This Row],[Date]],Table3[[Date]:[Sunset Time (POA&lt;20 W/m2)]],3,0),"")</f>
        <v>0.26111111111111113</v>
      </c>
      <c r="J167" s="76">
        <f>IFERROR(VLOOKUP(Table1[[#This Row],[Date]],Table3[[Date]:[Sunset Time (POA&lt;20 W/m2)]],4,0),"")</f>
        <v>0.76944444444444449</v>
      </c>
      <c r="K167" s="77">
        <f>IFERROR((Table1[[#This Row],[Sunset Time (POA&lt;20 W/m2)]]-Table1[[#This Row],[Sunrise Time (POA&gt;20 W/m2)]])*24,"")</f>
        <v>12.2</v>
      </c>
      <c r="L167" s="108" t="s">
        <v>180</v>
      </c>
      <c r="M167" s="61">
        <f>VLOOKUP(Table1[[#This Row],[Affceted Equipment]],'Basic Data'!$A$2:$C$818,2,0)</f>
        <v>2694.6</v>
      </c>
      <c r="N167" s="93">
        <f>IFERROR(VLOOKUP(Table1[[#This Row],[Affceted Equipment]],'Basic Data'!$A$2:$C$818,3,0),"")</f>
        <v>0.33594733758057077</v>
      </c>
      <c r="O167" s="118" t="s">
        <v>323</v>
      </c>
      <c r="P167" s="94" t="s">
        <v>1089</v>
      </c>
      <c r="Q167" s="94"/>
      <c r="R167" s="94" t="s">
        <v>1089</v>
      </c>
      <c r="S167" s="92">
        <v>0.55000000000000004</v>
      </c>
      <c r="T167" s="119"/>
      <c r="U167" s="119"/>
      <c r="V167" s="92">
        <v>0.56111111111111112</v>
      </c>
      <c r="W167" s="89">
        <f>IF(Table1[[#This Row],[Acknowledgemnet Time ]]="NA","",(Table1[[#This Row],[Acknowledgemnet Time ]]-Table1[[#This Row],[Fault Time]])*24)</f>
        <v>-13.200000000000001</v>
      </c>
      <c r="X167" s="89">
        <f>IF(Table1[[#This Row],[Work Start time on Fault]]="NA","",(Table1[[#This Row],[Work Start time on Fault]]-Table1[[#This Row],[Fault Time]])*24)</f>
        <v>-13.200000000000001</v>
      </c>
      <c r="Y167" s="52">
        <f>(Table1[[#This Row],[Work Completiuon time on fualt]]-Table1[[#This Row],[Fault Time]])*24</f>
        <v>0.26666666666666572</v>
      </c>
      <c r="Z167" s="52">
        <f>IFERROR((Table1[[#This Row],[Work Completiuon time on fualt]]-Table1[[#This Row],[Fault Time]])*24,"")</f>
        <v>0.26666666666666572</v>
      </c>
      <c r="AA167" s="2" t="s">
        <v>1086</v>
      </c>
      <c r="AB167" s="2" t="s">
        <v>1081</v>
      </c>
      <c r="AC167" s="90">
        <f>IFERROR(Table1[[#This Row],[Breakdown Time]]*Table1[[#This Row],[Plant Equivalent Weightage]],"")</f>
        <v>8.9585956688151891E-2</v>
      </c>
      <c r="AD167" s="2">
        <v>0.18</v>
      </c>
      <c r="AE167" s="89">
        <f>_xlfn.XLOOKUP($F167,'Modelling New'!$D:$D,'Modelling New'!$O:$O)*Table1[[#This Row],[Lost PoA(Wh/m2)]]*Table1[[#This Row],[DC Capacity Affceted (kW)]]</f>
        <v>327.52715724500069</v>
      </c>
      <c r="AF167" s="2"/>
      <c r="AG167" s="2"/>
    </row>
    <row r="168" spans="1:33" x14ac:dyDescent="0.3">
      <c r="A168" s="67">
        <f t="shared" si="2"/>
        <v>165</v>
      </c>
      <c r="B168" s="75">
        <f>YEAR(Table1[[#This Row],[Date]])+IF(MONTH(Table1[[#This Row],[Date]])&gt;=4,1,0)</f>
        <v>2026</v>
      </c>
      <c r="C168" s="74">
        <f>YEAR(Table1[[#This Row],[Date]])</f>
        <v>2025</v>
      </c>
      <c r="D168" s="74" t="s">
        <v>1082</v>
      </c>
      <c r="E168" s="74" t="s">
        <v>1082</v>
      </c>
      <c r="F168" s="181">
        <f>Table1[[#This Row],[Date]]-DAY(Table1[[#This Row],[Date]])+1</f>
        <v>45748</v>
      </c>
      <c r="G168">
        <f>DAY(EOMONTH(Table1[[#This Row],[Month Year]],0))</f>
        <v>30</v>
      </c>
      <c r="H168" s="104">
        <v>45753</v>
      </c>
      <c r="I168" s="76">
        <f>IFERROR(VLOOKUP(Table1[[#This Row],[Date]],Table3[[Date]:[Sunset Time (POA&lt;20 W/m2)]],3,0),"")</f>
        <v>0.26111111111111113</v>
      </c>
      <c r="J168" s="76">
        <f>IFERROR(VLOOKUP(Table1[[#This Row],[Date]],Table3[[Date]:[Sunset Time (POA&lt;20 W/m2)]],4,0),"")</f>
        <v>0.76944444444444449</v>
      </c>
      <c r="K168" s="77">
        <f>IFERROR((Table1[[#This Row],[Sunset Time (POA&lt;20 W/m2)]]-Table1[[#This Row],[Sunrise Time (POA&gt;20 W/m2)]])*24,"")</f>
        <v>12.2</v>
      </c>
      <c r="L168" s="108" t="s">
        <v>231</v>
      </c>
      <c r="M168" s="61">
        <f>VLOOKUP(Table1[[#This Row],[Affceted Equipment]],'Basic Data'!$A$2:$C$818,2,0)</f>
        <v>669.6</v>
      </c>
      <c r="N168" s="93">
        <f>IFERROR(VLOOKUP(Table1[[#This Row],[Affceted Equipment]],'Basic Data'!$A$2:$C$818,3,0),"")</f>
        <v>8.348190352703562E-2</v>
      </c>
      <c r="O168" s="118" t="s">
        <v>323</v>
      </c>
      <c r="P168" s="94" t="s">
        <v>1088</v>
      </c>
      <c r="Q168" s="94"/>
      <c r="R168" s="94" t="s">
        <v>1088</v>
      </c>
      <c r="S168" s="92">
        <v>0.56111111111111112</v>
      </c>
      <c r="T168" s="119"/>
      <c r="U168" s="119"/>
      <c r="V168" s="92">
        <v>0.57013888888888886</v>
      </c>
      <c r="W168" s="89">
        <f>IF(Table1[[#This Row],[Acknowledgemnet Time ]]="NA","",(Table1[[#This Row],[Acknowledgemnet Time ]]-Table1[[#This Row],[Fault Time]])*24)</f>
        <v>-13.466666666666667</v>
      </c>
      <c r="X168" s="89">
        <f>IF(Table1[[#This Row],[Work Start time on Fault]]="NA","",(Table1[[#This Row],[Work Start time on Fault]]-Table1[[#This Row],[Fault Time]])*24)</f>
        <v>-13.466666666666667</v>
      </c>
      <c r="Y168" s="52">
        <f>(Table1[[#This Row],[Work Completiuon time on fualt]]-Table1[[#This Row],[Fault Time]])*24</f>
        <v>0.2166666666666659</v>
      </c>
      <c r="Z168" s="52">
        <f>IFERROR((Table1[[#This Row],[Work Completiuon time on fualt]]-Table1[[#This Row],[Fault Time]])*24,"")</f>
        <v>0.2166666666666659</v>
      </c>
      <c r="AA168" s="2" t="s">
        <v>1084</v>
      </c>
      <c r="AB168" s="2" t="s">
        <v>1080</v>
      </c>
      <c r="AC168" s="90">
        <f>IFERROR(Table1[[#This Row],[Breakdown Time]]*Table1[[#This Row],[Plant Equivalent Weightage]],"")</f>
        <v>1.8087745764190987E-2</v>
      </c>
      <c r="AD168" s="2">
        <v>0.21</v>
      </c>
      <c r="AE168" s="89">
        <f>_xlfn.XLOOKUP($F168,'Modelling New'!$D:$D,'Modelling New'!$O:$O)*Table1[[#This Row],[Lost PoA(Wh/m2)]]*Table1[[#This Row],[DC Capacity Affceted (kW)]]</f>
        <v>94.954433028944749</v>
      </c>
      <c r="AF168" s="2"/>
      <c r="AG168" s="2"/>
    </row>
    <row r="169" spans="1:33" x14ac:dyDescent="0.3">
      <c r="A169" s="67">
        <f t="shared" si="2"/>
        <v>166</v>
      </c>
      <c r="B169" s="75">
        <f>YEAR(Table1[[#This Row],[Date]])+IF(MONTH(Table1[[#This Row],[Date]])&gt;=4,1,0)</f>
        <v>2026</v>
      </c>
      <c r="C169" s="74">
        <f>YEAR(Table1[[#This Row],[Date]])</f>
        <v>2025</v>
      </c>
      <c r="D169" s="74" t="s">
        <v>1082</v>
      </c>
      <c r="E169" s="74" t="s">
        <v>1082</v>
      </c>
      <c r="F169" s="181">
        <f>Table1[[#This Row],[Date]]-DAY(Table1[[#This Row],[Date]])+1</f>
        <v>45748</v>
      </c>
      <c r="G169">
        <f>DAY(EOMONTH(Table1[[#This Row],[Month Year]],0))</f>
        <v>30</v>
      </c>
      <c r="H169" s="104">
        <v>45753</v>
      </c>
      <c r="I169" s="76">
        <f>IFERROR(VLOOKUP(Table1[[#This Row],[Date]],Table3[[Date]:[Sunset Time (POA&lt;20 W/m2)]],3,0),"")</f>
        <v>0.26111111111111113</v>
      </c>
      <c r="J169" s="76">
        <f>IFERROR(VLOOKUP(Table1[[#This Row],[Date]],Table3[[Date]:[Sunset Time (POA&lt;20 W/m2)]],4,0),"")</f>
        <v>0.76944444444444449</v>
      </c>
      <c r="K169" s="77">
        <f>IFERROR((Table1[[#This Row],[Sunset Time (POA&lt;20 W/m2)]]-Table1[[#This Row],[Sunrise Time (POA&gt;20 W/m2)]])*24,"")</f>
        <v>12.2</v>
      </c>
      <c r="L169" s="108" t="s">
        <v>232</v>
      </c>
      <c r="M169" s="61">
        <f>VLOOKUP(Table1[[#This Row],[Affceted Equipment]],'Basic Data'!$A$2:$C$818,2,0)</f>
        <v>669.6</v>
      </c>
      <c r="N169" s="93">
        <f>IFERROR(VLOOKUP(Table1[[#This Row],[Affceted Equipment]],'Basic Data'!$A$2:$C$818,3,0),"")</f>
        <v>8.348190352703562E-2</v>
      </c>
      <c r="O169" s="118" t="s">
        <v>323</v>
      </c>
      <c r="P169" s="94" t="s">
        <v>1090</v>
      </c>
      <c r="Q169" s="94"/>
      <c r="R169" s="94" t="s">
        <v>1090</v>
      </c>
      <c r="S169" s="92">
        <v>0.56111111111111112</v>
      </c>
      <c r="T169" s="119"/>
      <c r="U169" s="119"/>
      <c r="V169" s="92">
        <v>0.57013888888888886</v>
      </c>
      <c r="W169" s="89">
        <f>IF(Table1[[#This Row],[Acknowledgemnet Time ]]="NA","",(Table1[[#This Row],[Acknowledgemnet Time ]]-Table1[[#This Row],[Fault Time]])*24)</f>
        <v>-13.466666666666667</v>
      </c>
      <c r="X169" s="89">
        <f>IF(Table1[[#This Row],[Work Start time on Fault]]="NA","",(Table1[[#This Row],[Work Start time on Fault]]-Table1[[#This Row],[Fault Time]])*24)</f>
        <v>-13.466666666666667</v>
      </c>
      <c r="Y169" s="52">
        <f>(Table1[[#This Row],[Work Completiuon time on fualt]]-Table1[[#This Row],[Fault Time]])*24</f>
        <v>0.2166666666666659</v>
      </c>
      <c r="Z169" s="52">
        <f>IFERROR((Table1[[#This Row],[Work Completiuon time on fualt]]-Table1[[#This Row],[Fault Time]])*24,"")</f>
        <v>0.2166666666666659</v>
      </c>
      <c r="AA169" s="2" t="s">
        <v>1084</v>
      </c>
      <c r="AB169" s="2" t="s">
        <v>1080</v>
      </c>
      <c r="AC169" s="90">
        <f>IFERROR(Table1[[#This Row],[Breakdown Time]]*Table1[[#This Row],[Plant Equivalent Weightage]],"")</f>
        <v>1.8087745764190987E-2</v>
      </c>
      <c r="AD169" s="2">
        <v>0.21</v>
      </c>
      <c r="AE169" s="89">
        <f>_xlfn.XLOOKUP($F169,'Modelling New'!$D:$D,'Modelling New'!$O:$O)*Table1[[#This Row],[Lost PoA(Wh/m2)]]*Table1[[#This Row],[DC Capacity Affceted (kW)]]</f>
        <v>94.954433028944749</v>
      </c>
      <c r="AF169" s="2"/>
      <c r="AG169" s="2"/>
    </row>
    <row r="170" spans="1:33" x14ac:dyDescent="0.3">
      <c r="A170" s="67">
        <f t="shared" si="2"/>
        <v>167</v>
      </c>
      <c r="B170" s="75">
        <f>YEAR(Table1[[#This Row],[Date]])+IF(MONTH(Table1[[#This Row],[Date]])&gt;=4,1,0)</f>
        <v>2026</v>
      </c>
      <c r="C170" s="74">
        <f>YEAR(Table1[[#This Row],[Date]])</f>
        <v>2025</v>
      </c>
      <c r="D170" s="74" t="s">
        <v>1082</v>
      </c>
      <c r="E170" s="74" t="s">
        <v>1082</v>
      </c>
      <c r="F170" s="181">
        <f>Table1[[#This Row],[Date]]-DAY(Table1[[#This Row],[Date]])+1</f>
        <v>45748</v>
      </c>
      <c r="G170">
        <f>DAY(EOMONTH(Table1[[#This Row],[Month Year]],0))</f>
        <v>30</v>
      </c>
      <c r="H170" s="104">
        <v>45753</v>
      </c>
      <c r="I170" s="76">
        <f>IFERROR(VLOOKUP(Table1[[#This Row],[Date]],Table3[[Date]:[Sunset Time (POA&lt;20 W/m2)]],3,0),"")</f>
        <v>0.26111111111111113</v>
      </c>
      <c r="J170" s="76">
        <f>IFERROR(VLOOKUP(Table1[[#This Row],[Date]],Table3[[Date]:[Sunset Time (POA&lt;20 W/m2)]],4,0),"")</f>
        <v>0.76944444444444449</v>
      </c>
      <c r="K170" s="77">
        <f>IFERROR((Table1[[#This Row],[Sunset Time (POA&lt;20 W/m2)]]-Table1[[#This Row],[Sunrise Time (POA&gt;20 W/m2)]])*24,"")</f>
        <v>12.2</v>
      </c>
      <c r="L170" s="108" t="s">
        <v>180</v>
      </c>
      <c r="M170" s="61">
        <f>VLOOKUP(Table1[[#This Row],[Affceted Equipment]],'Basic Data'!$A$2:$C$818,2,0)</f>
        <v>2694.6</v>
      </c>
      <c r="N170" s="93">
        <f>IFERROR(VLOOKUP(Table1[[#This Row],[Affceted Equipment]],'Basic Data'!$A$2:$C$818,3,0),"")</f>
        <v>0.33594733758057077</v>
      </c>
      <c r="O170" s="118" t="s">
        <v>323</v>
      </c>
      <c r="P170" s="94" t="s">
        <v>1089</v>
      </c>
      <c r="Q170" s="94"/>
      <c r="R170" s="94" t="s">
        <v>1089</v>
      </c>
      <c r="S170" s="92">
        <v>0.57013888888888886</v>
      </c>
      <c r="T170" s="119"/>
      <c r="U170" s="119"/>
      <c r="V170" s="92">
        <v>0.57708333333333328</v>
      </c>
      <c r="W170" s="89">
        <f>IF(Table1[[#This Row],[Acknowledgemnet Time ]]="NA","",(Table1[[#This Row],[Acknowledgemnet Time ]]-Table1[[#This Row],[Fault Time]])*24)</f>
        <v>-13.683333333333334</v>
      </c>
      <c r="X170" s="89">
        <f>IF(Table1[[#This Row],[Work Start time on Fault]]="NA","",(Table1[[#This Row],[Work Start time on Fault]]-Table1[[#This Row],[Fault Time]])*24)</f>
        <v>-13.683333333333334</v>
      </c>
      <c r="Y170" s="52">
        <f>(Table1[[#This Row],[Work Completiuon time on fualt]]-Table1[[#This Row],[Fault Time]])*24</f>
        <v>0.16666666666666607</v>
      </c>
      <c r="Z170" s="52">
        <f>IFERROR((Table1[[#This Row],[Work Completiuon time on fualt]]-Table1[[#This Row],[Fault Time]])*24,"")</f>
        <v>0.16666666666666607</v>
      </c>
      <c r="AA170" s="2" t="s">
        <v>1086</v>
      </c>
      <c r="AB170" s="2" t="s">
        <v>1081</v>
      </c>
      <c r="AC170" s="90">
        <f>IFERROR(Table1[[#This Row],[Breakdown Time]]*Table1[[#This Row],[Plant Equivalent Weightage]],"")</f>
        <v>5.5991222930094932E-2</v>
      </c>
      <c r="AD170" s="2">
        <v>0.17</v>
      </c>
      <c r="AE170" s="89">
        <f>_xlfn.XLOOKUP($F170,'Modelling New'!$D:$D,'Modelling New'!$O:$O)*Table1[[#This Row],[Lost PoA(Wh/m2)]]*Table1[[#This Row],[DC Capacity Affceted (kW)]]</f>
        <v>309.3312040647229</v>
      </c>
      <c r="AF170" s="2"/>
      <c r="AG170" s="2"/>
    </row>
    <row r="171" spans="1:33" x14ac:dyDescent="0.3">
      <c r="A171" s="67">
        <f t="shared" si="2"/>
        <v>168</v>
      </c>
      <c r="B171" s="75">
        <f>YEAR(Table1[[#This Row],[Date]])+IF(MONTH(Table1[[#This Row],[Date]])&gt;=4,1,0)</f>
        <v>2026</v>
      </c>
      <c r="C171" s="74">
        <f>YEAR(Table1[[#This Row],[Date]])</f>
        <v>2025</v>
      </c>
      <c r="D171" s="74" t="s">
        <v>1082</v>
      </c>
      <c r="E171" s="74" t="s">
        <v>1082</v>
      </c>
      <c r="F171" s="181">
        <f>Table1[[#This Row],[Date]]-DAY(Table1[[#This Row],[Date]])+1</f>
        <v>45748</v>
      </c>
      <c r="G171">
        <f>DAY(EOMONTH(Table1[[#This Row],[Month Year]],0))</f>
        <v>30</v>
      </c>
      <c r="H171" s="104">
        <v>45753</v>
      </c>
      <c r="I171" s="76">
        <f>IFERROR(VLOOKUP(Table1[[#This Row],[Date]],Table3[[Date]:[Sunset Time (POA&lt;20 W/m2)]],3,0),"")</f>
        <v>0.26111111111111113</v>
      </c>
      <c r="J171" s="76">
        <f>IFERROR(VLOOKUP(Table1[[#This Row],[Date]],Table3[[Date]:[Sunset Time (POA&lt;20 W/m2)]],4,0),"")</f>
        <v>0.76944444444444449</v>
      </c>
      <c r="K171" s="77">
        <f>IFERROR((Table1[[#This Row],[Sunset Time (POA&lt;20 W/m2)]]-Table1[[#This Row],[Sunrise Time (POA&gt;20 W/m2)]])*24,"")</f>
        <v>12.2</v>
      </c>
      <c r="L171" s="108" t="s">
        <v>231</v>
      </c>
      <c r="M171" s="61">
        <f>VLOOKUP(Table1[[#This Row],[Affceted Equipment]],'Basic Data'!$A$2:$C$818,2,0)</f>
        <v>669.6</v>
      </c>
      <c r="N171" s="93">
        <f>IFERROR(VLOOKUP(Table1[[#This Row],[Affceted Equipment]],'Basic Data'!$A$2:$C$818,3,0),"")</f>
        <v>8.348190352703562E-2</v>
      </c>
      <c r="O171" s="118" t="s">
        <v>323</v>
      </c>
      <c r="P171" s="94" t="s">
        <v>1088</v>
      </c>
      <c r="Q171" s="94"/>
      <c r="R171" s="94" t="s">
        <v>1088</v>
      </c>
      <c r="S171" s="92">
        <v>0.57708333333333328</v>
      </c>
      <c r="T171" s="119"/>
      <c r="U171" s="119"/>
      <c r="V171" s="92">
        <v>0.59236111111111112</v>
      </c>
      <c r="W171" s="89">
        <f>IF(Table1[[#This Row],[Acknowledgemnet Time ]]="NA","",(Table1[[#This Row],[Acknowledgemnet Time ]]-Table1[[#This Row],[Fault Time]])*24)</f>
        <v>-13.849999999999998</v>
      </c>
      <c r="X171" s="89">
        <f>IF(Table1[[#This Row],[Work Start time on Fault]]="NA","",(Table1[[#This Row],[Work Start time on Fault]]-Table1[[#This Row],[Fault Time]])*24)</f>
        <v>-13.849999999999998</v>
      </c>
      <c r="Y171" s="52">
        <f>(Table1[[#This Row],[Work Completiuon time on fualt]]-Table1[[#This Row],[Fault Time]])*24</f>
        <v>0.36666666666666803</v>
      </c>
      <c r="Z171" s="52">
        <f>IFERROR((Table1[[#This Row],[Work Completiuon time on fualt]]-Table1[[#This Row],[Fault Time]])*24,"")</f>
        <v>0.36666666666666803</v>
      </c>
      <c r="AA171" s="2" t="s">
        <v>1084</v>
      </c>
      <c r="AB171" s="2" t="s">
        <v>1080</v>
      </c>
      <c r="AC171" s="90">
        <f>IFERROR(Table1[[#This Row],[Breakdown Time]]*Table1[[#This Row],[Plant Equivalent Weightage]],"")</f>
        <v>3.0610031293246506E-2</v>
      </c>
      <c r="AD171" s="2">
        <v>0.35</v>
      </c>
      <c r="AE171" s="89">
        <f>_xlfn.XLOOKUP($F171,'Modelling New'!$D:$D,'Modelling New'!$O:$O)*Table1[[#This Row],[Lost PoA(Wh/m2)]]*Table1[[#This Row],[DC Capacity Affceted (kW)]]</f>
        <v>158.2573883815746</v>
      </c>
      <c r="AF171" s="2"/>
      <c r="AG171" s="2"/>
    </row>
    <row r="172" spans="1:33" x14ac:dyDescent="0.3">
      <c r="A172" s="67">
        <f t="shared" si="2"/>
        <v>169</v>
      </c>
      <c r="B172" s="75">
        <f>YEAR(Table1[[#This Row],[Date]])+IF(MONTH(Table1[[#This Row],[Date]])&gt;=4,1,0)</f>
        <v>2026</v>
      </c>
      <c r="C172" s="74">
        <f>YEAR(Table1[[#This Row],[Date]])</f>
        <v>2025</v>
      </c>
      <c r="D172" s="74" t="s">
        <v>1082</v>
      </c>
      <c r="E172" s="74" t="s">
        <v>1082</v>
      </c>
      <c r="F172" s="181">
        <f>Table1[[#This Row],[Date]]-DAY(Table1[[#This Row],[Date]])+1</f>
        <v>45748</v>
      </c>
      <c r="G172">
        <f>DAY(EOMONTH(Table1[[#This Row],[Month Year]],0))</f>
        <v>30</v>
      </c>
      <c r="H172" s="104">
        <v>45753</v>
      </c>
      <c r="I172" s="76">
        <f>IFERROR(VLOOKUP(Table1[[#This Row],[Date]],Table3[[Date]:[Sunset Time (POA&lt;20 W/m2)]],3,0),"")</f>
        <v>0.26111111111111113</v>
      </c>
      <c r="J172" s="76">
        <f>IFERROR(VLOOKUP(Table1[[#This Row],[Date]],Table3[[Date]:[Sunset Time (POA&lt;20 W/m2)]],4,0),"")</f>
        <v>0.76944444444444449</v>
      </c>
      <c r="K172" s="77">
        <f>IFERROR((Table1[[#This Row],[Sunset Time (POA&lt;20 W/m2)]]-Table1[[#This Row],[Sunrise Time (POA&gt;20 W/m2)]])*24,"")</f>
        <v>12.2</v>
      </c>
      <c r="L172" s="108" t="s">
        <v>232</v>
      </c>
      <c r="M172" s="61">
        <f>VLOOKUP(Table1[[#This Row],[Affceted Equipment]],'Basic Data'!$A$2:$C$818,2,0)</f>
        <v>669.6</v>
      </c>
      <c r="N172" s="93">
        <f>IFERROR(VLOOKUP(Table1[[#This Row],[Affceted Equipment]],'Basic Data'!$A$2:$C$818,3,0),"")</f>
        <v>8.348190352703562E-2</v>
      </c>
      <c r="O172" s="118" t="s">
        <v>323</v>
      </c>
      <c r="P172" s="94" t="s">
        <v>1090</v>
      </c>
      <c r="Q172" s="94"/>
      <c r="R172" s="94" t="s">
        <v>1090</v>
      </c>
      <c r="S172" s="92">
        <v>0.57708333333333328</v>
      </c>
      <c r="T172" s="119"/>
      <c r="U172" s="119"/>
      <c r="V172" s="92">
        <v>0.59236111111111112</v>
      </c>
      <c r="W172" s="89">
        <f>IF(Table1[[#This Row],[Acknowledgemnet Time ]]="NA","",(Table1[[#This Row],[Acknowledgemnet Time ]]-Table1[[#This Row],[Fault Time]])*24)</f>
        <v>-13.849999999999998</v>
      </c>
      <c r="X172" s="89">
        <f>IF(Table1[[#This Row],[Work Start time on Fault]]="NA","",(Table1[[#This Row],[Work Start time on Fault]]-Table1[[#This Row],[Fault Time]])*24)</f>
        <v>-13.849999999999998</v>
      </c>
      <c r="Y172" s="52">
        <f>(Table1[[#This Row],[Work Completiuon time on fualt]]-Table1[[#This Row],[Fault Time]])*24</f>
        <v>0.36666666666666803</v>
      </c>
      <c r="Z172" s="52">
        <f>IFERROR((Table1[[#This Row],[Work Completiuon time on fualt]]-Table1[[#This Row],[Fault Time]])*24,"")</f>
        <v>0.36666666666666803</v>
      </c>
      <c r="AA172" s="2" t="s">
        <v>1084</v>
      </c>
      <c r="AB172" s="2" t="s">
        <v>1080</v>
      </c>
      <c r="AC172" s="90">
        <f>IFERROR(Table1[[#This Row],[Breakdown Time]]*Table1[[#This Row],[Plant Equivalent Weightage]],"")</f>
        <v>3.0610031293246506E-2</v>
      </c>
      <c r="AD172" s="2">
        <v>0.35</v>
      </c>
      <c r="AE172" s="89">
        <f>_xlfn.XLOOKUP($F172,'Modelling New'!$D:$D,'Modelling New'!$O:$O)*Table1[[#This Row],[Lost PoA(Wh/m2)]]*Table1[[#This Row],[DC Capacity Affceted (kW)]]</f>
        <v>158.2573883815746</v>
      </c>
      <c r="AF172" s="2"/>
      <c r="AG172" s="2"/>
    </row>
    <row r="173" spans="1:33" x14ac:dyDescent="0.3">
      <c r="A173" s="67">
        <f t="shared" si="2"/>
        <v>170</v>
      </c>
      <c r="B173" s="75">
        <f>YEAR(Table1[[#This Row],[Date]])+IF(MONTH(Table1[[#This Row],[Date]])&gt;=4,1,0)</f>
        <v>2026</v>
      </c>
      <c r="C173" s="74">
        <f>YEAR(Table1[[#This Row],[Date]])</f>
        <v>2025</v>
      </c>
      <c r="D173" s="74" t="s">
        <v>1082</v>
      </c>
      <c r="E173" s="74" t="s">
        <v>1082</v>
      </c>
      <c r="F173" s="181">
        <f>Table1[[#This Row],[Date]]-DAY(Table1[[#This Row],[Date]])+1</f>
        <v>45748</v>
      </c>
      <c r="G173">
        <f>DAY(EOMONTH(Table1[[#This Row],[Month Year]],0))</f>
        <v>30</v>
      </c>
      <c r="H173" s="104">
        <v>45753</v>
      </c>
      <c r="I173" s="76">
        <f>IFERROR(VLOOKUP(Table1[[#This Row],[Date]],Table3[[Date]:[Sunset Time (POA&lt;20 W/m2)]],3,0),"")</f>
        <v>0.26111111111111113</v>
      </c>
      <c r="J173" s="76">
        <f>IFERROR(VLOOKUP(Table1[[#This Row],[Date]],Table3[[Date]:[Sunset Time (POA&lt;20 W/m2)]],4,0),"")</f>
        <v>0.76944444444444449</v>
      </c>
      <c r="K173" s="77">
        <f>IFERROR((Table1[[#This Row],[Sunset Time (POA&lt;20 W/m2)]]-Table1[[#This Row],[Sunrise Time (POA&gt;20 W/m2)]])*24,"")</f>
        <v>12.2</v>
      </c>
      <c r="L173" s="108" t="s">
        <v>180</v>
      </c>
      <c r="M173" s="61">
        <f>VLOOKUP(Table1[[#This Row],[Affceted Equipment]],'Basic Data'!$A$2:$C$818,2,0)</f>
        <v>2694.6</v>
      </c>
      <c r="N173" s="93">
        <f>IFERROR(VLOOKUP(Table1[[#This Row],[Affceted Equipment]],'Basic Data'!$A$2:$C$818,3,0),"")</f>
        <v>0.33594733758057077</v>
      </c>
      <c r="O173" s="118" t="s">
        <v>323</v>
      </c>
      <c r="P173" s="94" t="s">
        <v>1089</v>
      </c>
      <c r="Q173" s="94"/>
      <c r="R173" s="94" t="s">
        <v>1089</v>
      </c>
      <c r="S173" s="92">
        <v>0.59236111111111112</v>
      </c>
      <c r="T173" s="119"/>
      <c r="U173" s="119"/>
      <c r="V173" s="92">
        <v>0.59861111111111109</v>
      </c>
      <c r="W173" s="89">
        <f>IF(Table1[[#This Row],[Acknowledgemnet Time ]]="NA","",(Table1[[#This Row],[Acknowledgemnet Time ]]-Table1[[#This Row],[Fault Time]])*24)</f>
        <v>-14.216666666666667</v>
      </c>
      <c r="X173" s="89">
        <f>IF(Table1[[#This Row],[Work Start time on Fault]]="NA","",(Table1[[#This Row],[Work Start time on Fault]]-Table1[[#This Row],[Fault Time]])*24)</f>
        <v>-14.216666666666667</v>
      </c>
      <c r="Y173" s="52">
        <f>(Table1[[#This Row],[Work Completiuon time on fualt]]-Table1[[#This Row],[Fault Time]])*24</f>
        <v>0.14999999999999947</v>
      </c>
      <c r="Z173" s="52">
        <f>IFERROR((Table1[[#This Row],[Work Completiuon time on fualt]]-Table1[[#This Row],[Fault Time]])*24,"")</f>
        <v>0.14999999999999947</v>
      </c>
      <c r="AA173" s="2" t="s">
        <v>1086</v>
      </c>
      <c r="AB173" s="2" t="s">
        <v>1081</v>
      </c>
      <c r="AC173" s="90">
        <f>IFERROR(Table1[[#This Row],[Breakdown Time]]*Table1[[#This Row],[Plant Equivalent Weightage]],"")</f>
        <v>5.0392100637085435E-2</v>
      </c>
      <c r="AD173" s="2">
        <v>0.15</v>
      </c>
      <c r="AE173" s="89">
        <f>_xlfn.XLOOKUP($F173,'Modelling New'!$D:$D,'Modelling New'!$O:$O)*Table1[[#This Row],[Lost PoA(Wh/m2)]]*Table1[[#This Row],[DC Capacity Affceted (kW)]]</f>
        <v>272.93929770416719</v>
      </c>
      <c r="AF173" s="2"/>
      <c r="AG173" s="2"/>
    </row>
    <row r="174" spans="1:33" x14ac:dyDescent="0.3">
      <c r="A174" s="67">
        <f t="shared" si="2"/>
        <v>171</v>
      </c>
      <c r="B174" s="75">
        <f>YEAR(Table1[[#This Row],[Date]])+IF(MONTH(Table1[[#This Row],[Date]])&gt;=4,1,0)</f>
        <v>2026</v>
      </c>
      <c r="C174" s="74">
        <f>YEAR(Table1[[#This Row],[Date]])</f>
        <v>2025</v>
      </c>
      <c r="D174" s="74" t="s">
        <v>1082</v>
      </c>
      <c r="E174" s="74" t="s">
        <v>1082</v>
      </c>
      <c r="F174" s="181">
        <f>Table1[[#This Row],[Date]]-DAY(Table1[[#This Row],[Date]])+1</f>
        <v>45748</v>
      </c>
      <c r="G174">
        <f>DAY(EOMONTH(Table1[[#This Row],[Month Year]],0))</f>
        <v>30</v>
      </c>
      <c r="H174" s="104">
        <v>45753</v>
      </c>
      <c r="I174" s="76">
        <f>IFERROR(VLOOKUP(Table1[[#This Row],[Date]],Table3[[Date]:[Sunset Time (POA&lt;20 W/m2)]],3,0),"")</f>
        <v>0.26111111111111113</v>
      </c>
      <c r="J174" s="76">
        <f>IFERROR(VLOOKUP(Table1[[#This Row],[Date]],Table3[[Date]:[Sunset Time (POA&lt;20 W/m2)]],4,0),"")</f>
        <v>0.76944444444444449</v>
      </c>
      <c r="K174" s="77">
        <f>IFERROR((Table1[[#This Row],[Sunset Time (POA&lt;20 W/m2)]]-Table1[[#This Row],[Sunrise Time (POA&gt;20 W/m2)]])*24,"")</f>
        <v>12.2</v>
      </c>
      <c r="L174" s="108" t="s">
        <v>231</v>
      </c>
      <c r="M174" s="61">
        <f>VLOOKUP(Table1[[#This Row],[Affceted Equipment]],'Basic Data'!$A$2:$C$818,2,0)</f>
        <v>669.6</v>
      </c>
      <c r="N174" s="93">
        <f>IFERROR(VLOOKUP(Table1[[#This Row],[Affceted Equipment]],'Basic Data'!$A$2:$C$818,3,0),"")</f>
        <v>8.348190352703562E-2</v>
      </c>
      <c r="O174" s="118" t="s">
        <v>323</v>
      </c>
      <c r="P174" s="94" t="s">
        <v>1088</v>
      </c>
      <c r="Q174" s="94"/>
      <c r="R174" s="94" t="s">
        <v>1088</v>
      </c>
      <c r="S174" s="92">
        <v>0.59861111111111109</v>
      </c>
      <c r="T174" s="119"/>
      <c r="U174" s="119"/>
      <c r="V174" s="92">
        <v>0.68888888888888888</v>
      </c>
      <c r="W174" s="89">
        <f>IF(Table1[[#This Row],[Acknowledgemnet Time ]]="NA","",(Table1[[#This Row],[Acknowledgemnet Time ]]-Table1[[#This Row],[Fault Time]])*24)</f>
        <v>-14.366666666666667</v>
      </c>
      <c r="X174" s="89">
        <f>IF(Table1[[#This Row],[Work Start time on Fault]]="NA","",(Table1[[#This Row],[Work Start time on Fault]]-Table1[[#This Row],[Fault Time]])*24)</f>
        <v>-14.366666666666667</v>
      </c>
      <c r="Y174" s="52">
        <f>(Table1[[#This Row],[Work Completiuon time on fualt]]-Table1[[#This Row],[Fault Time]])*24</f>
        <v>2.166666666666667</v>
      </c>
      <c r="Z174" s="52">
        <f>IFERROR((Table1[[#This Row],[Work Completiuon time on fualt]]-Table1[[#This Row],[Fault Time]])*24,"")</f>
        <v>2.166666666666667</v>
      </c>
      <c r="AA174" s="2" t="s">
        <v>1084</v>
      </c>
      <c r="AB174" s="2" t="s">
        <v>1080</v>
      </c>
      <c r="AC174" s="90">
        <f>IFERROR(Table1[[#This Row],[Breakdown Time]]*Table1[[#This Row],[Plant Equivalent Weightage]],"")</f>
        <v>0.18087745764191054</v>
      </c>
      <c r="AD174" s="2">
        <v>1.48</v>
      </c>
      <c r="AE174" s="89">
        <f>_xlfn.XLOOKUP($F174,'Modelling New'!$D:$D,'Modelling New'!$O:$O)*Table1[[#This Row],[Lost PoA(Wh/m2)]]*Table1[[#This Row],[DC Capacity Affceted (kW)]]</f>
        <v>669.20267087065827</v>
      </c>
      <c r="AF174" s="2"/>
      <c r="AG174" s="2"/>
    </row>
    <row r="175" spans="1:33" x14ac:dyDescent="0.3">
      <c r="A175" s="67">
        <f t="shared" si="2"/>
        <v>172</v>
      </c>
      <c r="B175" s="75">
        <f>YEAR(Table1[[#This Row],[Date]])+IF(MONTH(Table1[[#This Row],[Date]])&gt;=4,1,0)</f>
        <v>2026</v>
      </c>
      <c r="C175" s="74">
        <f>YEAR(Table1[[#This Row],[Date]])</f>
        <v>2025</v>
      </c>
      <c r="D175" s="74" t="s">
        <v>1082</v>
      </c>
      <c r="E175" s="74" t="s">
        <v>1082</v>
      </c>
      <c r="F175" s="181">
        <f>Table1[[#This Row],[Date]]-DAY(Table1[[#This Row],[Date]])+1</f>
        <v>45748</v>
      </c>
      <c r="G175">
        <f>DAY(EOMONTH(Table1[[#This Row],[Month Year]],0))</f>
        <v>30</v>
      </c>
      <c r="H175" s="104">
        <v>45753</v>
      </c>
      <c r="I175" s="76">
        <f>IFERROR(VLOOKUP(Table1[[#This Row],[Date]],Table3[[Date]:[Sunset Time (POA&lt;20 W/m2)]],3,0),"")</f>
        <v>0.26111111111111113</v>
      </c>
      <c r="J175" s="76">
        <f>IFERROR(VLOOKUP(Table1[[#This Row],[Date]],Table3[[Date]:[Sunset Time (POA&lt;20 W/m2)]],4,0),"")</f>
        <v>0.76944444444444449</v>
      </c>
      <c r="K175" s="77">
        <f>IFERROR((Table1[[#This Row],[Sunset Time (POA&lt;20 W/m2)]]-Table1[[#This Row],[Sunrise Time (POA&gt;20 W/m2)]])*24,"")</f>
        <v>12.2</v>
      </c>
      <c r="L175" s="108" t="s">
        <v>232</v>
      </c>
      <c r="M175" s="61">
        <f>VLOOKUP(Table1[[#This Row],[Affceted Equipment]],'Basic Data'!$A$2:$C$818,2,0)</f>
        <v>669.6</v>
      </c>
      <c r="N175" s="93">
        <f>IFERROR(VLOOKUP(Table1[[#This Row],[Affceted Equipment]],'Basic Data'!$A$2:$C$818,3,0),"")</f>
        <v>8.348190352703562E-2</v>
      </c>
      <c r="O175" s="118" t="s">
        <v>323</v>
      </c>
      <c r="P175" s="94" t="s">
        <v>1090</v>
      </c>
      <c r="Q175" s="94"/>
      <c r="R175" s="94" t="s">
        <v>1090</v>
      </c>
      <c r="S175" s="92">
        <v>0.59861111111111109</v>
      </c>
      <c r="T175" s="119"/>
      <c r="U175" s="119"/>
      <c r="V175" s="92">
        <v>0.68888888888888888</v>
      </c>
      <c r="W175" s="89">
        <f>IF(Table1[[#This Row],[Acknowledgemnet Time ]]="NA","",(Table1[[#This Row],[Acknowledgemnet Time ]]-Table1[[#This Row],[Fault Time]])*24)</f>
        <v>-14.366666666666667</v>
      </c>
      <c r="X175" s="89">
        <f>IF(Table1[[#This Row],[Work Start time on Fault]]="NA","",(Table1[[#This Row],[Work Start time on Fault]]-Table1[[#This Row],[Fault Time]])*24)</f>
        <v>-14.366666666666667</v>
      </c>
      <c r="Y175" s="52">
        <f>(Table1[[#This Row],[Work Completiuon time on fualt]]-Table1[[#This Row],[Fault Time]])*24</f>
        <v>2.166666666666667</v>
      </c>
      <c r="Z175" s="52">
        <f>IFERROR((Table1[[#This Row],[Work Completiuon time on fualt]]-Table1[[#This Row],[Fault Time]])*24,"")</f>
        <v>2.166666666666667</v>
      </c>
      <c r="AA175" s="2" t="s">
        <v>1084</v>
      </c>
      <c r="AB175" s="2" t="s">
        <v>1080</v>
      </c>
      <c r="AC175" s="90">
        <f>IFERROR(Table1[[#This Row],[Breakdown Time]]*Table1[[#This Row],[Plant Equivalent Weightage]],"")</f>
        <v>0.18087745764191054</v>
      </c>
      <c r="AD175" s="2">
        <v>1.48</v>
      </c>
      <c r="AE175" s="89">
        <f>_xlfn.XLOOKUP($F175,'Modelling New'!$D:$D,'Modelling New'!$O:$O)*Table1[[#This Row],[Lost PoA(Wh/m2)]]*Table1[[#This Row],[DC Capacity Affceted (kW)]]</f>
        <v>669.20267087065827</v>
      </c>
      <c r="AF175" s="2"/>
      <c r="AG175" s="2"/>
    </row>
    <row r="176" spans="1:33" x14ac:dyDescent="0.3">
      <c r="A176" s="67">
        <f t="shared" si="2"/>
        <v>173</v>
      </c>
      <c r="B176" s="75">
        <f>YEAR(Table1[[#This Row],[Date]])+IF(MONTH(Table1[[#This Row],[Date]])&gt;=4,1,0)</f>
        <v>2026</v>
      </c>
      <c r="C176" s="74">
        <f>YEAR(Table1[[#This Row],[Date]])</f>
        <v>2025</v>
      </c>
      <c r="D176" s="74" t="s">
        <v>1082</v>
      </c>
      <c r="E176" s="74" t="s">
        <v>1082</v>
      </c>
      <c r="F176" s="181">
        <f>Table1[[#This Row],[Date]]-DAY(Table1[[#This Row],[Date]])+1</f>
        <v>45748</v>
      </c>
      <c r="G176">
        <f>DAY(EOMONTH(Table1[[#This Row],[Month Year]],0))</f>
        <v>30</v>
      </c>
      <c r="H176" s="104">
        <v>45753</v>
      </c>
      <c r="I176" s="76">
        <f>IFERROR(VLOOKUP(Table1[[#This Row],[Date]],Table3[[Date]:[Sunset Time (POA&lt;20 W/m2)]],3,0),"")</f>
        <v>0.26111111111111113</v>
      </c>
      <c r="J176" s="76">
        <f>IFERROR(VLOOKUP(Table1[[#This Row],[Date]],Table3[[Date]:[Sunset Time (POA&lt;20 W/m2)]],4,0),"")</f>
        <v>0.76944444444444449</v>
      </c>
      <c r="K176" s="77">
        <f>IFERROR((Table1[[#This Row],[Sunset Time (POA&lt;20 W/m2)]]-Table1[[#This Row],[Sunrise Time (POA&gt;20 W/m2)]])*24,"")</f>
        <v>12.2</v>
      </c>
      <c r="L176" s="108" t="s">
        <v>180</v>
      </c>
      <c r="M176" s="61">
        <f>VLOOKUP(Table1[[#This Row],[Affceted Equipment]],'Basic Data'!$A$2:$C$818,2,0)</f>
        <v>2694.6</v>
      </c>
      <c r="N176" s="93">
        <f>IFERROR(VLOOKUP(Table1[[#This Row],[Affceted Equipment]],'Basic Data'!$A$2:$C$818,3,0),"")</f>
        <v>0.33594733758057077</v>
      </c>
      <c r="O176" s="118" t="s">
        <v>323</v>
      </c>
      <c r="P176" s="94" t="s">
        <v>1091</v>
      </c>
      <c r="Q176" s="94"/>
      <c r="R176" s="94" t="s">
        <v>1091</v>
      </c>
      <c r="S176" s="92">
        <v>0.68888888888888888</v>
      </c>
      <c r="T176" s="119"/>
      <c r="U176" s="119"/>
      <c r="V176" s="92">
        <v>0.69027777777777777</v>
      </c>
      <c r="W176" s="89">
        <f>IF(Table1[[#This Row],[Acknowledgemnet Time ]]="NA","",(Table1[[#This Row],[Acknowledgemnet Time ]]-Table1[[#This Row],[Fault Time]])*24)</f>
        <v>-16.533333333333331</v>
      </c>
      <c r="X176" s="89">
        <f>IF(Table1[[#This Row],[Work Start time on Fault]]="NA","",(Table1[[#This Row],[Work Start time on Fault]]-Table1[[#This Row],[Fault Time]])*24)</f>
        <v>-16.533333333333331</v>
      </c>
      <c r="Y176" s="52">
        <f>(Table1[[#This Row],[Work Completiuon time on fualt]]-Table1[[#This Row],[Fault Time]])*24</f>
        <v>3.3333333333333215E-2</v>
      </c>
      <c r="Z176" s="52">
        <f>IFERROR((Table1[[#This Row],[Work Completiuon time on fualt]]-Table1[[#This Row],[Fault Time]])*24,"")</f>
        <v>3.3333333333333215E-2</v>
      </c>
      <c r="AA176" s="2" t="s">
        <v>1086</v>
      </c>
      <c r="AB176" s="2" t="s">
        <v>1081</v>
      </c>
      <c r="AC176" s="90">
        <f>IFERROR(Table1[[#This Row],[Breakdown Time]]*Table1[[#This Row],[Plant Equivalent Weightage]],"")</f>
        <v>1.1198244586018986E-2</v>
      </c>
      <c r="AD176" s="2">
        <v>0.02</v>
      </c>
      <c r="AE176" s="89">
        <f>_xlfn.XLOOKUP($F176,'Modelling New'!$D:$D,'Modelling New'!$O:$O)*Table1[[#This Row],[Lost PoA(Wh/m2)]]*Table1[[#This Row],[DC Capacity Affceted (kW)]]</f>
        <v>36.39190636055563</v>
      </c>
      <c r="AF176" s="2"/>
      <c r="AG176" s="2"/>
    </row>
    <row r="177" spans="1:33" x14ac:dyDescent="0.3">
      <c r="A177" s="67">
        <f t="shared" si="2"/>
        <v>174</v>
      </c>
      <c r="B177" s="75">
        <f>YEAR(Table1[[#This Row],[Date]])+IF(MONTH(Table1[[#This Row],[Date]])&gt;=4,1,0)</f>
        <v>2026</v>
      </c>
      <c r="C177" s="74">
        <f>YEAR(Table1[[#This Row],[Date]])</f>
        <v>2025</v>
      </c>
      <c r="D177" s="74" t="s">
        <v>1082</v>
      </c>
      <c r="E177" s="74" t="s">
        <v>1082</v>
      </c>
      <c r="F177" s="181">
        <f>Table1[[#This Row],[Date]]-DAY(Table1[[#This Row],[Date]])+1</f>
        <v>45748</v>
      </c>
      <c r="G177">
        <f>DAY(EOMONTH(Table1[[#This Row],[Month Year]],0))</f>
        <v>30</v>
      </c>
      <c r="H177" s="104">
        <v>45753</v>
      </c>
      <c r="I177" s="76">
        <f>IFERROR(VLOOKUP(Table1[[#This Row],[Date]],Table3[[Date]:[Sunset Time (POA&lt;20 W/m2)]],3,0),"")</f>
        <v>0.26111111111111113</v>
      </c>
      <c r="J177" s="76">
        <f>IFERROR(VLOOKUP(Table1[[#This Row],[Date]],Table3[[Date]:[Sunset Time (POA&lt;20 W/m2)]],4,0),"")</f>
        <v>0.76944444444444449</v>
      </c>
      <c r="K177" s="77">
        <f>IFERROR((Table1[[#This Row],[Sunset Time (POA&lt;20 W/m2)]]-Table1[[#This Row],[Sunrise Time (POA&gt;20 W/m2)]])*24,"")</f>
        <v>12.2</v>
      </c>
      <c r="L177" s="108" t="s">
        <v>231</v>
      </c>
      <c r="M177" s="61">
        <f>VLOOKUP(Table1[[#This Row],[Affceted Equipment]],'Basic Data'!$A$2:$C$818,2,0)</f>
        <v>669.6</v>
      </c>
      <c r="N177" s="93">
        <f>IFERROR(VLOOKUP(Table1[[#This Row],[Affceted Equipment]],'Basic Data'!$A$2:$C$818,3,0),"")</f>
        <v>8.348190352703562E-2</v>
      </c>
      <c r="O177" s="118" t="s">
        <v>323</v>
      </c>
      <c r="P177" s="94" t="s">
        <v>1088</v>
      </c>
      <c r="Q177" s="94"/>
      <c r="R177" s="94" t="s">
        <v>1088</v>
      </c>
      <c r="S177" s="92">
        <v>0.69027777777777777</v>
      </c>
      <c r="T177" s="119"/>
      <c r="U177" s="119"/>
      <c r="V177" s="92">
        <v>0.76944444444444449</v>
      </c>
      <c r="W177" s="89">
        <f>IF(Table1[[#This Row],[Acknowledgemnet Time ]]="NA","",(Table1[[#This Row],[Acknowledgemnet Time ]]-Table1[[#This Row],[Fault Time]])*24)</f>
        <v>-16.566666666666666</v>
      </c>
      <c r="X177" s="89">
        <f>IF(Table1[[#This Row],[Work Start time on Fault]]="NA","",(Table1[[#This Row],[Work Start time on Fault]]-Table1[[#This Row],[Fault Time]])*24)</f>
        <v>-16.566666666666666</v>
      </c>
      <c r="Y177" s="52">
        <f>(Table1[[#This Row],[Work Completiuon time on fualt]]-Table1[[#This Row],[Fault Time]])*24</f>
        <v>1.9000000000000012</v>
      </c>
      <c r="Z177" s="52">
        <f>IFERROR((Table1[[#This Row],[Work Completiuon time on fualt]]-Table1[[#This Row],[Fault Time]])*24,"")</f>
        <v>1.9000000000000012</v>
      </c>
      <c r="AA177" s="2" t="s">
        <v>1084</v>
      </c>
      <c r="AB177" s="2" t="s">
        <v>1080</v>
      </c>
      <c r="AC177" s="90">
        <f>IFERROR(Table1[[#This Row],[Breakdown Time]]*Table1[[#This Row],[Plant Equivalent Weightage]],"")</f>
        <v>0.15861561670136778</v>
      </c>
      <c r="AD177" s="2">
        <v>0.35</v>
      </c>
      <c r="AE177" s="89">
        <f>_xlfn.XLOOKUP($F177,'Modelling New'!$D:$D,'Modelling New'!$O:$O)*Table1[[#This Row],[Lost PoA(Wh/m2)]]*Table1[[#This Row],[DC Capacity Affceted (kW)]]</f>
        <v>158.2573883815746</v>
      </c>
      <c r="AF177" s="2"/>
      <c r="AG177" s="2"/>
    </row>
    <row r="178" spans="1:33" x14ac:dyDescent="0.3">
      <c r="A178" s="67">
        <f t="shared" si="2"/>
        <v>175</v>
      </c>
      <c r="B178" s="75">
        <f>YEAR(Table1[[#This Row],[Date]])+IF(MONTH(Table1[[#This Row],[Date]])&gt;=4,1,0)</f>
        <v>2026</v>
      </c>
      <c r="C178" s="74">
        <f>YEAR(Table1[[#This Row],[Date]])</f>
        <v>2025</v>
      </c>
      <c r="D178" s="74" t="s">
        <v>1082</v>
      </c>
      <c r="E178" s="74" t="s">
        <v>1082</v>
      </c>
      <c r="F178" s="181">
        <f>Table1[[#This Row],[Date]]-DAY(Table1[[#This Row],[Date]])+1</f>
        <v>45748</v>
      </c>
      <c r="G178">
        <f>DAY(EOMONTH(Table1[[#This Row],[Month Year]],0))</f>
        <v>30</v>
      </c>
      <c r="H178" s="104">
        <v>45754</v>
      </c>
      <c r="I178" s="76">
        <f>IFERROR(VLOOKUP(Table1[[#This Row],[Date]],Table3[[Date]:[Sunset Time (POA&lt;20 W/m2)]],3,0),"")</f>
        <v>0.25833333333333336</v>
      </c>
      <c r="J178" s="76">
        <f>IFERROR(VLOOKUP(Table1[[#This Row],[Date]],Table3[[Date]:[Sunset Time (POA&lt;20 W/m2)]],4,0),"")</f>
        <v>0.76875000000000004</v>
      </c>
      <c r="K178" s="77">
        <f>IFERROR((Table1[[#This Row],[Sunset Time (POA&lt;20 W/m2)]]-Table1[[#This Row],[Sunrise Time (POA&gt;20 W/m2)]])*24,"")</f>
        <v>12.250000000000002</v>
      </c>
      <c r="L178" s="108" t="s">
        <v>238</v>
      </c>
      <c r="M178" s="61">
        <f>VLOOKUP(Table1[[#This Row],[Affceted Equipment]],'Basic Data'!$A$2:$C$818,2,0)</f>
        <v>658.8</v>
      </c>
      <c r="N178" s="93">
        <f>IFERROR(VLOOKUP(Table1[[#This Row],[Affceted Equipment]],'Basic Data'!$A$2:$C$818,3,0),"")</f>
        <v>8.2135421212083434E-2</v>
      </c>
      <c r="O178" s="118" t="s">
        <v>303</v>
      </c>
      <c r="P178" s="94" t="s">
        <v>1087</v>
      </c>
      <c r="Q178" s="94"/>
      <c r="R178" s="94" t="s">
        <v>1087</v>
      </c>
      <c r="S178" s="92">
        <v>0.25833333333333336</v>
      </c>
      <c r="T178" s="119"/>
      <c r="U178" s="119"/>
      <c r="V178" s="92">
        <v>0.52500000000000002</v>
      </c>
      <c r="W178" s="89">
        <f>IF(Table1[[#This Row],[Acknowledgemnet Time ]]="NA","",(Table1[[#This Row],[Acknowledgemnet Time ]]-Table1[[#This Row],[Fault Time]])*24)</f>
        <v>-6.2000000000000011</v>
      </c>
      <c r="X178" s="89">
        <f>IF(Table1[[#This Row],[Work Start time on Fault]]="NA","",(Table1[[#This Row],[Work Start time on Fault]]-Table1[[#This Row],[Fault Time]])*24)</f>
        <v>-6.2000000000000011</v>
      </c>
      <c r="Y178" s="52">
        <f>(Table1[[#This Row],[Work Completiuon time on fualt]]-Table1[[#This Row],[Fault Time]])*24</f>
        <v>6.4</v>
      </c>
      <c r="Z178" s="52">
        <f>IFERROR((Table1[[#This Row],[Work Completiuon time on fualt]]-Table1[[#This Row],[Fault Time]])*24,"")</f>
        <v>6.4</v>
      </c>
      <c r="AA178" s="2" t="s">
        <v>1084</v>
      </c>
      <c r="AB178" s="2" t="s">
        <v>1080</v>
      </c>
      <c r="AC178" s="90">
        <f>IFERROR(Table1[[#This Row],[Breakdown Time]]*Table1[[#This Row],[Plant Equivalent Weightage]],"")</f>
        <v>0.52566669575733405</v>
      </c>
      <c r="AD178" s="2">
        <v>2.93</v>
      </c>
      <c r="AE178" s="89">
        <f>_xlfn.XLOOKUP($F178,'Modelling New'!$D:$D,'Modelling New'!$O:$O)*Table1[[#This Row],[Lost PoA(Wh/m2)]]*Table1[[#This Row],[DC Capacity Affceted (kW)]]</f>
        <v>1303.4720288220658</v>
      </c>
      <c r="AF178" s="2"/>
      <c r="AG178" s="2"/>
    </row>
    <row r="179" spans="1:33" x14ac:dyDescent="0.3">
      <c r="A179" s="67">
        <f t="shared" si="2"/>
        <v>176</v>
      </c>
      <c r="B179" s="75">
        <f>YEAR(Table1[[#This Row],[Date]])+IF(MONTH(Table1[[#This Row],[Date]])&gt;=4,1,0)</f>
        <v>2026</v>
      </c>
      <c r="C179" s="74">
        <f>YEAR(Table1[[#This Row],[Date]])</f>
        <v>2025</v>
      </c>
      <c r="D179" s="74" t="s">
        <v>1082</v>
      </c>
      <c r="E179" s="74" t="s">
        <v>1082</v>
      </c>
      <c r="F179" s="181">
        <f>Table1[[#This Row],[Date]]-DAY(Table1[[#This Row],[Date]])+1</f>
        <v>45748</v>
      </c>
      <c r="G179">
        <f>DAY(EOMONTH(Table1[[#This Row],[Month Year]],0))</f>
        <v>30</v>
      </c>
      <c r="H179" s="104">
        <v>45754</v>
      </c>
      <c r="I179" s="76">
        <f>IFERROR(VLOOKUP(Table1[[#This Row],[Date]],Table3[[Date]:[Sunset Time (POA&lt;20 W/m2)]],3,0),"")</f>
        <v>0.25833333333333336</v>
      </c>
      <c r="J179" s="76">
        <f>IFERROR(VLOOKUP(Table1[[#This Row],[Date]],Table3[[Date]:[Sunset Time (POA&lt;20 W/m2)]],4,0),"")</f>
        <v>0.76875000000000004</v>
      </c>
      <c r="K179" s="77">
        <f>IFERROR((Table1[[#This Row],[Sunset Time (POA&lt;20 W/m2)]]-Table1[[#This Row],[Sunrise Time (POA&gt;20 W/m2)]])*24,"")</f>
        <v>12.250000000000002</v>
      </c>
      <c r="L179" s="108" t="s">
        <v>181</v>
      </c>
      <c r="M179" s="91">
        <f>VLOOKUP(Table1[[#This Row],[Affceted Equipment]],'Basic Data'!$A$2:$C$818,2,0)</f>
        <v>2630.8</v>
      </c>
      <c r="N179" s="93">
        <f>IFERROR(VLOOKUP(Table1[[#This Row],[Affceted Equipment]],'Basic Data'!$A$2:$C$818,3,0),"")</f>
        <v>0.32799311797927916</v>
      </c>
      <c r="O179" s="118" t="s">
        <v>303</v>
      </c>
      <c r="P179" s="94" t="s">
        <v>1185</v>
      </c>
      <c r="Q179" s="94"/>
      <c r="R179" s="94" t="s">
        <v>1185</v>
      </c>
      <c r="S179" s="92">
        <v>0.52500000000000002</v>
      </c>
      <c r="T179" s="119"/>
      <c r="U179" s="119"/>
      <c r="V179" s="92">
        <v>0.54861111111111116</v>
      </c>
      <c r="W179" s="89">
        <f>IF(Table1[[#This Row],[Acknowledgemnet Time ]]="NA","",(Table1[[#This Row],[Acknowledgemnet Time ]]-Table1[[#This Row],[Fault Time]])*24)</f>
        <v>-12.600000000000001</v>
      </c>
      <c r="X179" s="89">
        <f>IF(Table1[[#This Row],[Work Start time on Fault]]="NA","",(Table1[[#This Row],[Work Start time on Fault]]-Table1[[#This Row],[Fault Time]])*24)</f>
        <v>-12.600000000000001</v>
      </c>
      <c r="Y179" s="52">
        <f>(Table1[[#This Row],[Work Completiuon time on fualt]]-Table1[[#This Row],[Fault Time]])*24</f>
        <v>0.56666666666666732</v>
      </c>
      <c r="Z179" s="52">
        <f>IFERROR((Table1[[#This Row],[Work Completiuon time on fualt]]-Table1[[#This Row],[Fault Time]])*24,"")</f>
        <v>0.56666666666666732</v>
      </c>
      <c r="AA179" s="2" t="s">
        <v>1086</v>
      </c>
      <c r="AB179" s="2" t="s">
        <v>1081</v>
      </c>
      <c r="AC179" s="90">
        <f>IFERROR(Table1[[#This Row],[Breakdown Time]]*Table1[[#This Row],[Plant Equivalent Weightage]],"")</f>
        <v>0.18586276685492506</v>
      </c>
      <c r="AD179" s="2">
        <v>0.45</v>
      </c>
      <c r="AE179" s="89">
        <f>_xlfn.XLOOKUP($F179,'Modelling New'!$D:$D,'Modelling New'!$O:$O)*Table1[[#This Row],[Lost PoA(Wh/m2)]]*Table1[[#This Row],[DC Capacity Affceted (kW)]]</f>
        <v>799.4307552884917</v>
      </c>
      <c r="AF179" s="2"/>
      <c r="AG179" s="2"/>
    </row>
    <row r="180" spans="1:33" x14ac:dyDescent="0.3">
      <c r="A180" s="67">
        <f t="shared" si="2"/>
        <v>177</v>
      </c>
      <c r="B180" s="75">
        <f>YEAR(Table1[[#This Row],[Date]])+IF(MONTH(Table1[[#This Row],[Date]])&gt;=4,1,0)</f>
        <v>2026</v>
      </c>
      <c r="C180" s="74">
        <f>YEAR(Table1[[#This Row],[Date]])</f>
        <v>2025</v>
      </c>
      <c r="D180" s="74" t="s">
        <v>1082</v>
      </c>
      <c r="E180" s="74" t="s">
        <v>1082</v>
      </c>
      <c r="F180" s="181">
        <f>Table1[[#This Row],[Date]]-DAY(Table1[[#This Row],[Date]])+1</f>
        <v>45748</v>
      </c>
      <c r="G180">
        <f>DAY(EOMONTH(Table1[[#This Row],[Month Year]],0))</f>
        <v>30</v>
      </c>
      <c r="H180" s="104">
        <v>45754</v>
      </c>
      <c r="I180" s="76">
        <f>IFERROR(VLOOKUP(Table1[[#This Row],[Date]],Table3[[Date]:[Sunset Time (POA&lt;20 W/m2)]],3,0),"")</f>
        <v>0.25833333333333336</v>
      </c>
      <c r="J180" s="76">
        <f>IFERROR(VLOOKUP(Table1[[#This Row],[Date]],Table3[[Date]:[Sunset Time (POA&lt;20 W/m2)]],4,0),"")</f>
        <v>0.76875000000000004</v>
      </c>
      <c r="K180" s="77">
        <f>IFERROR((Table1[[#This Row],[Sunset Time (POA&lt;20 W/m2)]]-Table1[[#This Row],[Sunrise Time (POA&gt;20 W/m2)]])*24,"")</f>
        <v>12.250000000000002</v>
      </c>
      <c r="L180" s="108" t="s">
        <v>231</v>
      </c>
      <c r="M180" s="91">
        <f>VLOOKUP(Table1[[#This Row],[Affceted Equipment]],'Basic Data'!$A$2:$C$818,2,0)</f>
        <v>669.6</v>
      </c>
      <c r="N180" s="93">
        <f>IFERROR(VLOOKUP(Table1[[#This Row],[Affceted Equipment]],'Basic Data'!$A$2:$C$818,3,0),"")</f>
        <v>8.348190352703562E-2</v>
      </c>
      <c r="O180" s="118" t="s">
        <v>323</v>
      </c>
      <c r="P180" s="94" t="s">
        <v>1088</v>
      </c>
      <c r="Q180" s="94"/>
      <c r="R180" s="94" t="s">
        <v>1088</v>
      </c>
      <c r="S180" s="92">
        <v>0.25833333333333336</v>
      </c>
      <c r="T180" s="119"/>
      <c r="U180" s="119"/>
      <c r="V180" s="92">
        <v>0.41944444444444445</v>
      </c>
      <c r="W180" s="89">
        <f>IF(Table1[[#This Row],[Acknowledgemnet Time ]]="NA","",(Table1[[#This Row],[Acknowledgemnet Time ]]-Table1[[#This Row],[Fault Time]])*24)</f>
        <v>-6.2000000000000011</v>
      </c>
      <c r="X180" s="89">
        <f>IF(Table1[[#This Row],[Work Start time on Fault]]="NA","",(Table1[[#This Row],[Work Start time on Fault]]-Table1[[#This Row],[Fault Time]])*24)</f>
        <v>-6.2000000000000011</v>
      </c>
      <c r="Y180" s="52">
        <f>(Table1[[#This Row],[Work Completiuon time on fualt]]-Table1[[#This Row],[Fault Time]])*24</f>
        <v>3.8666666666666663</v>
      </c>
      <c r="Z180" s="52">
        <f>IFERROR((Table1[[#This Row],[Work Completiuon time on fualt]]-Table1[[#This Row],[Fault Time]])*24,"")</f>
        <v>3.8666666666666663</v>
      </c>
      <c r="AA180" s="2" t="s">
        <v>1084</v>
      </c>
      <c r="AB180" s="2" t="s">
        <v>1080</v>
      </c>
      <c r="AC180" s="90">
        <f>IFERROR(Table1[[#This Row],[Breakdown Time]]*Table1[[#This Row],[Plant Equivalent Weightage]],"")</f>
        <v>0.322796693637871</v>
      </c>
      <c r="AD180" s="2">
        <v>0.67</v>
      </c>
      <c r="AE180" s="89">
        <f>_xlfn.XLOOKUP($F180,'Modelling New'!$D:$D,'Modelling New'!$O:$O)*Table1[[#This Row],[Lost PoA(Wh/m2)]]*Table1[[#This Row],[DC Capacity Affceted (kW)]]</f>
        <v>302.94985775901426</v>
      </c>
      <c r="AF180" s="2"/>
      <c r="AG180" s="2"/>
    </row>
    <row r="181" spans="1:33" x14ac:dyDescent="0.3">
      <c r="A181" s="67">
        <f t="shared" si="2"/>
        <v>178</v>
      </c>
      <c r="B181" s="75">
        <f>YEAR(Table1[[#This Row],[Date]])+IF(MONTH(Table1[[#This Row],[Date]])&gt;=4,1,0)</f>
        <v>2026</v>
      </c>
      <c r="C181" s="74">
        <f>YEAR(Table1[[#This Row],[Date]])</f>
        <v>2025</v>
      </c>
      <c r="D181" s="74" t="s">
        <v>1082</v>
      </c>
      <c r="E181" s="74" t="s">
        <v>1082</v>
      </c>
      <c r="F181" s="181">
        <f>Table1[[#This Row],[Date]]-DAY(Table1[[#This Row],[Date]])+1</f>
        <v>45748</v>
      </c>
      <c r="G181">
        <f>DAY(EOMONTH(Table1[[#This Row],[Month Year]],0))</f>
        <v>30</v>
      </c>
      <c r="H181" s="104">
        <v>45754</v>
      </c>
      <c r="I181" s="76">
        <f>IFERROR(VLOOKUP(Table1[[#This Row],[Date]],Table3[[Date]:[Sunset Time (POA&lt;20 W/m2)]],3,0),"")</f>
        <v>0.25833333333333336</v>
      </c>
      <c r="J181" s="76">
        <f>IFERROR(VLOOKUP(Table1[[#This Row],[Date]],Table3[[Date]:[Sunset Time (POA&lt;20 W/m2)]],4,0),"")</f>
        <v>0.76875000000000004</v>
      </c>
      <c r="K181" s="77">
        <f>IFERROR((Table1[[#This Row],[Sunset Time (POA&lt;20 W/m2)]]-Table1[[#This Row],[Sunrise Time (POA&gt;20 W/m2)]])*24,"")</f>
        <v>12.250000000000002</v>
      </c>
      <c r="L181" s="108" t="s">
        <v>180</v>
      </c>
      <c r="M181" s="91">
        <f>VLOOKUP(Table1[[#This Row],[Affceted Equipment]],'Basic Data'!$A$2:$C$818,2,0)</f>
        <v>2694.6</v>
      </c>
      <c r="N181" s="93">
        <f>IFERROR(VLOOKUP(Table1[[#This Row],[Affceted Equipment]],'Basic Data'!$A$2:$C$818,3,0),"")</f>
        <v>0.33594733758057077</v>
      </c>
      <c r="O181" s="118" t="s">
        <v>323</v>
      </c>
      <c r="P181" s="94" t="s">
        <v>1089</v>
      </c>
      <c r="Q181" s="94"/>
      <c r="R181" s="94" t="s">
        <v>1089</v>
      </c>
      <c r="S181" s="92">
        <v>0.41944444444444445</v>
      </c>
      <c r="T181" s="119"/>
      <c r="U181" s="119"/>
      <c r="V181" s="92">
        <v>0.42569444444444443</v>
      </c>
      <c r="W181" s="89">
        <f>IF(Table1[[#This Row],[Acknowledgemnet Time ]]="NA","",(Table1[[#This Row],[Acknowledgemnet Time ]]-Table1[[#This Row],[Fault Time]])*24)</f>
        <v>-10.066666666666666</v>
      </c>
      <c r="X181" s="89">
        <f>IF(Table1[[#This Row],[Work Start time on Fault]]="NA","",(Table1[[#This Row],[Work Start time on Fault]]-Table1[[#This Row],[Fault Time]])*24)</f>
        <v>-10.066666666666666</v>
      </c>
      <c r="Y181" s="52">
        <f>(Table1[[#This Row],[Work Completiuon time on fualt]]-Table1[[#This Row],[Fault Time]])*24</f>
        <v>0.14999999999999947</v>
      </c>
      <c r="Z181" s="52">
        <f>IFERROR((Table1[[#This Row],[Work Completiuon time on fualt]]-Table1[[#This Row],[Fault Time]])*24,"")</f>
        <v>0.14999999999999947</v>
      </c>
      <c r="AA181" s="2" t="s">
        <v>1086</v>
      </c>
      <c r="AB181" s="2" t="s">
        <v>1081</v>
      </c>
      <c r="AC181" s="90">
        <f>IFERROR(Table1[[#This Row],[Breakdown Time]]*Table1[[#This Row],[Plant Equivalent Weightage]],"")</f>
        <v>5.0392100637085435E-2</v>
      </c>
      <c r="AD181" s="2">
        <v>0.12</v>
      </c>
      <c r="AE181" s="89">
        <f>_xlfn.XLOOKUP($F181,'Modelling New'!$D:$D,'Modelling New'!$O:$O)*Table1[[#This Row],[Lost PoA(Wh/m2)]]*Table1[[#This Row],[DC Capacity Affceted (kW)]]</f>
        <v>218.3514381633338</v>
      </c>
      <c r="AF181" s="2"/>
      <c r="AG181" s="2"/>
    </row>
    <row r="182" spans="1:33" x14ac:dyDescent="0.3">
      <c r="A182" s="67">
        <f t="shared" si="2"/>
        <v>179</v>
      </c>
      <c r="B182" s="75">
        <f>YEAR(Table1[[#This Row],[Date]])+IF(MONTH(Table1[[#This Row],[Date]])&gt;=4,1,0)</f>
        <v>2026</v>
      </c>
      <c r="C182" s="74">
        <f>YEAR(Table1[[#This Row],[Date]])</f>
        <v>2025</v>
      </c>
      <c r="D182" s="74" t="s">
        <v>1082</v>
      </c>
      <c r="E182" s="74" t="s">
        <v>1082</v>
      </c>
      <c r="F182" s="181">
        <f>Table1[[#This Row],[Date]]-DAY(Table1[[#This Row],[Date]])+1</f>
        <v>45748</v>
      </c>
      <c r="G182">
        <f>DAY(EOMONTH(Table1[[#This Row],[Month Year]],0))</f>
        <v>30</v>
      </c>
      <c r="H182" s="104">
        <v>45754</v>
      </c>
      <c r="I182" s="76">
        <f>IFERROR(VLOOKUP(Table1[[#This Row],[Date]],Table3[[Date]:[Sunset Time (POA&lt;20 W/m2)]],3,0),"")</f>
        <v>0.25833333333333336</v>
      </c>
      <c r="J182" s="76">
        <f>IFERROR(VLOOKUP(Table1[[#This Row],[Date]],Table3[[Date]:[Sunset Time (POA&lt;20 W/m2)]],4,0),"")</f>
        <v>0.76875000000000004</v>
      </c>
      <c r="K182" s="77">
        <f>IFERROR((Table1[[#This Row],[Sunset Time (POA&lt;20 W/m2)]]-Table1[[#This Row],[Sunrise Time (POA&gt;20 W/m2)]])*24,"")</f>
        <v>12.250000000000002</v>
      </c>
      <c r="L182" s="108" t="s">
        <v>231</v>
      </c>
      <c r="M182" s="91">
        <f>VLOOKUP(Table1[[#This Row],[Affceted Equipment]],'Basic Data'!$A$2:$C$818,2,0)</f>
        <v>669.6</v>
      </c>
      <c r="N182" s="93">
        <f>IFERROR(VLOOKUP(Table1[[#This Row],[Affceted Equipment]],'Basic Data'!$A$2:$C$818,3,0),"")</f>
        <v>8.348190352703562E-2</v>
      </c>
      <c r="O182" s="118" t="s">
        <v>323</v>
      </c>
      <c r="P182" s="94" t="s">
        <v>1088</v>
      </c>
      <c r="Q182" s="94"/>
      <c r="R182" s="94" t="s">
        <v>1088</v>
      </c>
      <c r="S182" s="92">
        <v>0.42569444444444443</v>
      </c>
      <c r="T182" s="119"/>
      <c r="U182" s="119"/>
      <c r="V182" s="92">
        <v>0.44513888888888886</v>
      </c>
      <c r="W182" s="89">
        <f>IF(Table1[[#This Row],[Acknowledgemnet Time ]]="NA","",(Table1[[#This Row],[Acknowledgemnet Time ]]-Table1[[#This Row],[Fault Time]])*24)</f>
        <v>-10.216666666666667</v>
      </c>
      <c r="X182" s="89">
        <f>IF(Table1[[#This Row],[Work Start time on Fault]]="NA","",(Table1[[#This Row],[Work Start time on Fault]]-Table1[[#This Row],[Fault Time]])*24)</f>
        <v>-10.216666666666667</v>
      </c>
      <c r="Y182" s="52">
        <f>(Table1[[#This Row],[Work Completiuon time on fualt]]-Table1[[#This Row],[Fault Time]])*24</f>
        <v>0.46666666666666634</v>
      </c>
      <c r="Z182" s="52">
        <f>IFERROR((Table1[[#This Row],[Work Completiuon time on fualt]]-Table1[[#This Row],[Fault Time]])*24,"")</f>
        <v>0.46666666666666634</v>
      </c>
      <c r="AA182" s="2" t="s">
        <v>1084</v>
      </c>
      <c r="AB182" s="2" t="s">
        <v>1080</v>
      </c>
      <c r="AC182" s="90">
        <f>IFERROR(Table1[[#This Row],[Breakdown Time]]*Table1[[#This Row],[Plant Equivalent Weightage]],"")</f>
        <v>3.8958221645949927E-2</v>
      </c>
      <c r="AD182" s="2">
        <v>0.37</v>
      </c>
      <c r="AE182" s="89">
        <f>_xlfn.XLOOKUP($F182,'Modelling New'!$D:$D,'Modelling New'!$O:$O)*Table1[[#This Row],[Lost PoA(Wh/m2)]]*Table1[[#This Row],[DC Capacity Affceted (kW)]]</f>
        <v>167.30066771766457</v>
      </c>
      <c r="AF182" s="2"/>
      <c r="AG182" s="2"/>
    </row>
    <row r="183" spans="1:33" x14ac:dyDescent="0.3">
      <c r="A183" s="67">
        <f t="shared" si="2"/>
        <v>180</v>
      </c>
      <c r="B183" s="75">
        <f>YEAR(Table1[[#This Row],[Date]])+IF(MONTH(Table1[[#This Row],[Date]])&gt;=4,1,0)</f>
        <v>2026</v>
      </c>
      <c r="C183" s="74">
        <f>YEAR(Table1[[#This Row],[Date]])</f>
        <v>2025</v>
      </c>
      <c r="D183" s="74" t="s">
        <v>1082</v>
      </c>
      <c r="E183" s="74" t="s">
        <v>1082</v>
      </c>
      <c r="F183" s="181">
        <f>Table1[[#This Row],[Date]]-DAY(Table1[[#This Row],[Date]])+1</f>
        <v>45748</v>
      </c>
      <c r="G183">
        <f>DAY(EOMONTH(Table1[[#This Row],[Month Year]],0))</f>
        <v>30</v>
      </c>
      <c r="H183" s="104">
        <v>45754</v>
      </c>
      <c r="I183" s="76">
        <f>IFERROR(VLOOKUP(Table1[[#This Row],[Date]],Table3[[Date]:[Sunset Time (POA&lt;20 W/m2)]],3,0),"")</f>
        <v>0.25833333333333336</v>
      </c>
      <c r="J183" s="76">
        <f>IFERROR(VLOOKUP(Table1[[#This Row],[Date]],Table3[[Date]:[Sunset Time (POA&lt;20 W/m2)]],4,0),"")</f>
        <v>0.76875000000000004</v>
      </c>
      <c r="K183" s="77">
        <f>IFERROR((Table1[[#This Row],[Sunset Time (POA&lt;20 W/m2)]]-Table1[[#This Row],[Sunrise Time (POA&gt;20 W/m2)]])*24,"")</f>
        <v>12.250000000000002</v>
      </c>
      <c r="L183" s="108" t="s">
        <v>232</v>
      </c>
      <c r="M183" s="91">
        <f>VLOOKUP(Table1[[#This Row],[Affceted Equipment]],'Basic Data'!$A$2:$C$818,2,0)</f>
        <v>669.6</v>
      </c>
      <c r="N183" s="93">
        <f>IFERROR(VLOOKUP(Table1[[#This Row],[Affceted Equipment]],'Basic Data'!$A$2:$C$818,3,0),"")</f>
        <v>8.348190352703562E-2</v>
      </c>
      <c r="O183" s="118" t="s">
        <v>323</v>
      </c>
      <c r="P183" s="94" t="s">
        <v>1090</v>
      </c>
      <c r="Q183" s="94"/>
      <c r="R183" s="94" t="s">
        <v>1090</v>
      </c>
      <c r="S183" s="92">
        <v>0.42569444444444443</v>
      </c>
      <c r="T183" s="119"/>
      <c r="U183" s="119"/>
      <c r="V183" s="92">
        <v>0.44513888888888886</v>
      </c>
      <c r="W183" s="89">
        <f>IF(Table1[[#This Row],[Acknowledgemnet Time ]]="NA","",(Table1[[#This Row],[Acknowledgemnet Time ]]-Table1[[#This Row],[Fault Time]])*24)</f>
        <v>-10.216666666666667</v>
      </c>
      <c r="X183" s="89">
        <f>IF(Table1[[#This Row],[Work Start time on Fault]]="NA","",(Table1[[#This Row],[Work Start time on Fault]]-Table1[[#This Row],[Fault Time]])*24)</f>
        <v>-10.216666666666667</v>
      </c>
      <c r="Y183" s="52">
        <f>(Table1[[#This Row],[Work Completiuon time on fualt]]-Table1[[#This Row],[Fault Time]])*24</f>
        <v>0.46666666666666634</v>
      </c>
      <c r="Z183" s="52">
        <f>IFERROR((Table1[[#This Row],[Work Completiuon time on fualt]]-Table1[[#This Row],[Fault Time]])*24,"")</f>
        <v>0.46666666666666634</v>
      </c>
      <c r="AA183" s="2" t="s">
        <v>1084</v>
      </c>
      <c r="AB183" s="2" t="s">
        <v>1080</v>
      </c>
      <c r="AC183" s="90">
        <f>IFERROR(Table1[[#This Row],[Breakdown Time]]*Table1[[#This Row],[Plant Equivalent Weightage]],"")</f>
        <v>3.8958221645949927E-2</v>
      </c>
      <c r="AD183" s="2">
        <v>0.37</v>
      </c>
      <c r="AE183" s="89">
        <f>_xlfn.XLOOKUP($F183,'Modelling New'!$D:$D,'Modelling New'!$O:$O)*Table1[[#This Row],[Lost PoA(Wh/m2)]]*Table1[[#This Row],[DC Capacity Affceted (kW)]]</f>
        <v>167.30066771766457</v>
      </c>
      <c r="AF183" s="2"/>
      <c r="AG183" s="2"/>
    </row>
    <row r="184" spans="1:33" s="14" customFormat="1" ht="100.8" x14ac:dyDescent="0.3">
      <c r="A184" s="67">
        <f t="shared" si="2"/>
        <v>181</v>
      </c>
      <c r="B184" s="75">
        <f>YEAR(Table1[[#This Row],[Date]])+IF(MONTH(Table1[[#This Row],[Date]])&gt;=4,1,0)</f>
        <v>2026</v>
      </c>
      <c r="C184" s="74">
        <f>YEAR(Table1[[#This Row],[Date]])</f>
        <v>2025</v>
      </c>
      <c r="D184" s="74" t="s">
        <v>1082</v>
      </c>
      <c r="E184" s="74" t="s">
        <v>1082</v>
      </c>
      <c r="F184" s="181">
        <f>Table1[[#This Row],[Date]]-DAY(Table1[[#This Row],[Date]])+1</f>
        <v>45748</v>
      </c>
      <c r="G184" s="14">
        <f>DAY(EOMONTH(Table1[[#This Row],[Month Year]],0))</f>
        <v>30</v>
      </c>
      <c r="H184" s="104">
        <v>45754</v>
      </c>
      <c r="I184" s="76">
        <f>IFERROR(VLOOKUP(Table1[[#This Row],[Date]],Table3[[Date]:[Sunset Time (POA&lt;20 W/m2)]],3,0),"")</f>
        <v>0.25833333333333336</v>
      </c>
      <c r="J184" s="76">
        <f>IFERROR(VLOOKUP(Table1[[#This Row],[Date]],Table3[[Date]:[Sunset Time (POA&lt;20 W/m2)]],4,0),"")</f>
        <v>0.76875000000000004</v>
      </c>
      <c r="K184" s="77">
        <f>IFERROR((Table1[[#This Row],[Sunset Time (POA&lt;20 W/m2)]]-Table1[[#This Row],[Sunrise Time (POA&gt;20 W/m2)]])*24,"")</f>
        <v>12.250000000000002</v>
      </c>
      <c r="L184" s="173" t="s">
        <v>180</v>
      </c>
      <c r="M184" s="174">
        <f>VLOOKUP(Table1[[#This Row],[Affceted Equipment]],'Basic Data'!$A$2:$C$818,2,0)</f>
        <v>2694.6</v>
      </c>
      <c r="N184" s="93">
        <f>IFERROR(VLOOKUP(Table1[[#This Row],[Affceted Equipment]],'Basic Data'!$A$2:$C$818,3,0),"")</f>
        <v>0.33594733758057077</v>
      </c>
      <c r="O184" s="175" t="s">
        <v>323</v>
      </c>
      <c r="P184" s="176" t="s">
        <v>1187</v>
      </c>
      <c r="Q184" s="177" t="s">
        <v>1188</v>
      </c>
      <c r="R184" s="177" t="s">
        <v>1188</v>
      </c>
      <c r="S184" s="178">
        <v>0.44513888888888886</v>
      </c>
      <c r="T184" s="179"/>
      <c r="U184" s="179"/>
      <c r="V184" s="178">
        <v>0.49791666666666667</v>
      </c>
      <c r="W184" s="89">
        <f>IF(Table1[[#This Row],[Acknowledgemnet Time ]]="NA","",(Table1[[#This Row],[Acknowledgemnet Time ]]-Table1[[#This Row],[Fault Time]])*24)</f>
        <v>-10.683333333333334</v>
      </c>
      <c r="X184" s="89">
        <f>IF(Table1[[#This Row],[Work Start time on Fault]]="NA","",(Table1[[#This Row],[Work Start time on Fault]]-Table1[[#This Row],[Fault Time]])*24)</f>
        <v>-10.683333333333334</v>
      </c>
      <c r="Y184" s="89">
        <f>(Table1[[#This Row],[Work Completiuon time on fualt]]-Table1[[#This Row],[Fault Time]])*24</f>
        <v>1.2666666666666675</v>
      </c>
      <c r="Z184" s="89">
        <f>IFERROR((Table1[[#This Row],[Work Completiuon time on fualt]]-Table1[[#This Row],[Fault Time]])*24,"")</f>
        <v>1.2666666666666675</v>
      </c>
      <c r="AA184" s="7" t="s">
        <v>1086</v>
      </c>
      <c r="AB184" s="7" t="s">
        <v>1081</v>
      </c>
      <c r="AC184" s="180">
        <f>IFERROR(Table1[[#This Row],[Breakdown Time]]*Table1[[#This Row],[Plant Equivalent Weightage]],"")</f>
        <v>0.42553329426872327</v>
      </c>
      <c r="AD184" s="7">
        <v>1.1399999999999999</v>
      </c>
      <c r="AE184" s="89">
        <f>_xlfn.XLOOKUP($F184,'Modelling New'!$D:$D,'Modelling New'!$O:$O)*Table1[[#This Row],[Lost PoA(Wh/m2)]]*Table1[[#This Row],[DC Capacity Affceted (kW)]]</f>
        <v>2074.3386625516705</v>
      </c>
      <c r="AF184" s="2"/>
      <c r="AG184" s="2"/>
    </row>
    <row r="185" spans="1:33" x14ac:dyDescent="0.3">
      <c r="A185" s="67">
        <f t="shared" si="2"/>
        <v>182</v>
      </c>
      <c r="B185" s="75">
        <f>YEAR(Table1[[#This Row],[Date]])+IF(MONTH(Table1[[#This Row],[Date]])&gt;=4,1,0)</f>
        <v>2026</v>
      </c>
      <c r="C185" s="74">
        <f>YEAR(Table1[[#This Row],[Date]])</f>
        <v>2025</v>
      </c>
      <c r="D185" s="74" t="s">
        <v>1082</v>
      </c>
      <c r="E185" s="74" t="s">
        <v>1082</v>
      </c>
      <c r="F185" s="181">
        <f>Table1[[#This Row],[Date]]-DAY(Table1[[#This Row],[Date]])+1</f>
        <v>45748</v>
      </c>
      <c r="G185">
        <f>DAY(EOMONTH(Table1[[#This Row],[Month Year]],0))</f>
        <v>30</v>
      </c>
      <c r="H185" s="104">
        <v>45754</v>
      </c>
      <c r="I185" s="76">
        <f>IFERROR(VLOOKUP(Table1[[#This Row],[Date]],Table3[[Date]:[Sunset Time (POA&lt;20 W/m2)]],3,0),"")</f>
        <v>0.25833333333333336</v>
      </c>
      <c r="J185" s="76">
        <f>IFERROR(VLOOKUP(Table1[[#This Row],[Date]],Table3[[Date]:[Sunset Time (POA&lt;20 W/m2)]],4,0),"")</f>
        <v>0.76875000000000004</v>
      </c>
      <c r="K185" s="77">
        <f>IFERROR((Table1[[#This Row],[Sunset Time (POA&lt;20 W/m2)]]-Table1[[#This Row],[Sunrise Time (POA&gt;20 W/m2)]])*24,"")</f>
        <v>12.250000000000002</v>
      </c>
      <c r="L185" s="108" t="s">
        <v>231</v>
      </c>
      <c r="M185" s="61">
        <f>VLOOKUP(Table1[[#This Row],[Affceted Equipment]],'Basic Data'!$A$2:$C$818,2,0)</f>
        <v>669.6</v>
      </c>
      <c r="N185" s="93">
        <f>IFERROR(VLOOKUP(Table1[[#This Row],[Affceted Equipment]],'Basic Data'!$A$2:$C$818,3,0),"")</f>
        <v>8.348190352703562E-2</v>
      </c>
      <c r="O185" s="118" t="s">
        <v>323</v>
      </c>
      <c r="P185" s="94" t="s">
        <v>1088</v>
      </c>
      <c r="Q185" s="94"/>
      <c r="R185" s="94" t="s">
        <v>1088</v>
      </c>
      <c r="S185" s="92">
        <v>0.49791666666666667</v>
      </c>
      <c r="T185" s="119"/>
      <c r="U185" s="119"/>
      <c r="V185" s="92">
        <v>0.76875000000000004</v>
      </c>
      <c r="W185" s="89">
        <f>IF(Table1[[#This Row],[Acknowledgemnet Time ]]="NA","",(Table1[[#This Row],[Acknowledgemnet Time ]]-Table1[[#This Row],[Fault Time]])*24)</f>
        <v>-11.95</v>
      </c>
      <c r="X185" s="89">
        <f>IF(Table1[[#This Row],[Work Start time on Fault]]="NA","",(Table1[[#This Row],[Work Start time on Fault]]-Table1[[#This Row],[Fault Time]])*24)</f>
        <v>-11.95</v>
      </c>
      <c r="Y185" s="52">
        <f>(Table1[[#This Row],[Work Completiuon time on fualt]]-Table1[[#This Row],[Fault Time]])*24</f>
        <v>6.5000000000000009</v>
      </c>
      <c r="Z185" s="52">
        <f>IFERROR((Table1[[#This Row],[Work Completiuon time on fualt]]-Table1[[#This Row],[Fault Time]])*24,"")</f>
        <v>6.5000000000000009</v>
      </c>
      <c r="AA185" s="2" t="s">
        <v>1084</v>
      </c>
      <c r="AB185" s="2" t="s">
        <v>1080</v>
      </c>
      <c r="AC185" s="90">
        <f>IFERROR(Table1[[#This Row],[Breakdown Time]]*Table1[[#This Row],[Plant Equivalent Weightage]],"")</f>
        <v>0.54263237292573163</v>
      </c>
      <c r="AD185" s="2">
        <v>3.7</v>
      </c>
      <c r="AE185" s="89">
        <f>_xlfn.XLOOKUP($F185,'Modelling New'!$D:$D,'Modelling New'!$O:$O)*Table1[[#This Row],[Lost PoA(Wh/m2)]]*Table1[[#This Row],[DC Capacity Affceted (kW)]]</f>
        <v>1673.0066771766458</v>
      </c>
      <c r="AF185" s="2"/>
      <c r="AG185" s="2"/>
    </row>
    <row r="186" spans="1:33" x14ac:dyDescent="0.3">
      <c r="A186" s="67">
        <f t="shared" si="2"/>
        <v>183</v>
      </c>
      <c r="B186" s="75">
        <f>YEAR(Table1[[#This Row],[Date]])+IF(MONTH(Table1[[#This Row],[Date]])&gt;=4,1,0)</f>
        <v>2026</v>
      </c>
      <c r="C186" s="74">
        <f>YEAR(Table1[[#This Row],[Date]])</f>
        <v>2025</v>
      </c>
      <c r="D186" s="74" t="s">
        <v>1082</v>
      </c>
      <c r="E186" s="74" t="s">
        <v>1082</v>
      </c>
      <c r="F186" s="181">
        <f>Table1[[#This Row],[Date]]-DAY(Table1[[#This Row],[Date]])+1</f>
        <v>45748</v>
      </c>
      <c r="G186">
        <f>DAY(EOMONTH(Table1[[#This Row],[Month Year]],0))</f>
        <v>30</v>
      </c>
      <c r="H186" s="104">
        <v>45754</v>
      </c>
      <c r="I186" s="76">
        <f>IFERROR(VLOOKUP(Table1[[#This Row],[Date]],Table3[[Date]:[Sunset Time (POA&lt;20 W/m2)]],3,0),"")</f>
        <v>0.25833333333333336</v>
      </c>
      <c r="J186" s="76">
        <f>IFERROR(VLOOKUP(Table1[[#This Row],[Date]],Table3[[Date]:[Sunset Time (POA&lt;20 W/m2)]],4,0),"")</f>
        <v>0.76875000000000004</v>
      </c>
      <c r="K186" s="77">
        <f>IFERROR((Table1[[#This Row],[Sunset Time (POA&lt;20 W/m2)]]-Table1[[#This Row],[Sunrise Time (POA&gt;20 W/m2)]])*24,"")</f>
        <v>12.250000000000002</v>
      </c>
      <c r="L186" s="108" t="s">
        <v>238</v>
      </c>
      <c r="M186" s="61">
        <f>VLOOKUP(Table1[[#This Row],[Affceted Equipment]],'Basic Data'!$A$2:$C$818,2,0)</f>
        <v>658.8</v>
      </c>
      <c r="N186" s="93">
        <f>IFERROR(VLOOKUP(Table1[[#This Row],[Affceted Equipment]],'Basic Data'!$A$2:$C$818,3,0),"")</f>
        <v>8.2135421212083434E-2</v>
      </c>
      <c r="O186" s="118" t="s">
        <v>303</v>
      </c>
      <c r="P186" s="94" t="s">
        <v>1087</v>
      </c>
      <c r="Q186" s="94"/>
      <c r="R186" s="94" t="s">
        <v>1087</v>
      </c>
      <c r="S186" s="92">
        <v>0.54861111111111116</v>
      </c>
      <c r="T186" s="119"/>
      <c r="U186" s="119"/>
      <c r="V186" s="92">
        <v>0.76875000000000004</v>
      </c>
      <c r="W186" s="89">
        <f>IF(Table1[[#This Row],[Acknowledgemnet Time ]]="NA","",(Table1[[#This Row],[Acknowledgemnet Time ]]-Table1[[#This Row],[Fault Time]])*24)</f>
        <v>-13.166666666666668</v>
      </c>
      <c r="X186" s="89">
        <f>IF(Table1[[#This Row],[Work Start time on Fault]]="NA","",(Table1[[#This Row],[Work Start time on Fault]]-Table1[[#This Row],[Fault Time]])*24)</f>
        <v>-13.166666666666668</v>
      </c>
      <c r="Y186" s="52">
        <f>(Table1[[#This Row],[Work Completiuon time on fualt]]-Table1[[#This Row],[Fault Time]])*24</f>
        <v>5.2833333333333332</v>
      </c>
      <c r="Z186" s="52">
        <f>IFERROR((Table1[[#This Row],[Work Completiuon time on fualt]]-Table1[[#This Row],[Fault Time]])*24,"")</f>
        <v>5.2833333333333332</v>
      </c>
      <c r="AA186" s="2" t="s">
        <v>1084</v>
      </c>
      <c r="AB186" s="2" t="s">
        <v>1080</v>
      </c>
      <c r="AC186" s="90">
        <f>IFERROR(Table1[[#This Row],[Breakdown Time]]*Table1[[#This Row],[Plant Equivalent Weightage]],"")</f>
        <v>0.43394880873717412</v>
      </c>
      <c r="AD186" s="2">
        <v>2.62</v>
      </c>
      <c r="AE186" s="89">
        <f>_xlfn.XLOOKUP($F186,'Modelling New'!$D:$D,'Modelling New'!$O:$O)*Table1[[#This Row],[Lost PoA(Wh/m2)]]*Table1[[#This Row],[DC Capacity Affceted (kW)]]</f>
        <v>1165.5620189466936</v>
      </c>
      <c r="AF186" s="2"/>
      <c r="AG186" s="2"/>
    </row>
    <row r="187" spans="1:33" x14ac:dyDescent="0.3">
      <c r="A187" s="67">
        <f t="shared" si="2"/>
        <v>184</v>
      </c>
      <c r="B187" s="75">
        <f>YEAR(Table1[[#This Row],[Date]])+IF(MONTH(Table1[[#This Row],[Date]])&gt;=4,1,0)</f>
        <v>2026</v>
      </c>
      <c r="C187" s="74">
        <f>YEAR(Table1[[#This Row],[Date]])</f>
        <v>2025</v>
      </c>
      <c r="D187" s="74" t="s">
        <v>1082</v>
      </c>
      <c r="E187" s="74" t="s">
        <v>1082</v>
      </c>
      <c r="F187" s="181">
        <f>Table1[[#This Row],[Date]]-DAY(Table1[[#This Row],[Date]])+1</f>
        <v>45748</v>
      </c>
      <c r="G187">
        <f>DAY(EOMONTH(Table1[[#This Row],[Month Year]],0))</f>
        <v>30</v>
      </c>
      <c r="H187" s="104">
        <v>45755</v>
      </c>
      <c r="I187" s="76">
        <f>IFERROR(VLOOKUP(Table1[[#This Row],[Date]],Table3[[Date]:[Sunset Time (POA&lt;20 W/m2)]],3,0),"")</f>
        <v>0.25763888888888886</v>
      </c>
      <c r="J187" s="76">
        <f>IFERROR(VLOOKUP(Table1[[#This Row],[Date]],Table3[[Date]:[Sunset Time (POA&lt;20 W/m2)]],4,0),"")</f>
        <v>0.76597222222222228</v>
      </c>
      <c r="K187" s="77">
        <f>IFERROR((Table1[[#This Row],[Sunset Time (POA&lt;20 W/m2)]]-Table1[[#This Row],[Sunrise Time (POA&gt;20 W/m2)]])*24,"")</f>
        <v>12.200000000000003</v>
      </c>
      <c r="L187" s="108" t="s">
        <v>231</v>
      </c>
      <c r="M187" s="61">
        <f>VLOOKUP(Table1[[#This Row],[Affceted Equipment]],'Basic Data'!$A$2:$C$818,2,0)</f>
        <v>669.6</v>
      </c>
      <c r="N187" s="93">
        <f>IFERROR(VLOOKUP(Table1[[#This Row],[Affceted Equipment]],'Basic Data'!$A$2:$C$818,3,0),"")</f>
        <v>8.348190352703562E-2</v>
      </c>
      <c r="O187" s="118" t="s">
        <v>323</v>
      </c>
      <c r="P187" s="94" t="s">
        <v>1088</v>
      </c>
      <c r="Q187" s="94"/>
      <c r="R187" s="94" t="s">
        <v>1088</v>
      </c>
      <c r="S187" s="92">
        <v>0.25763888888888886</v>
      </c>
      <c r="T187" s="119"/>
      <c r="U187" s="119"/>
      <c r="V187" s="92">
        <v>0.76597222222222228</v>
      </c>
      <c r="W187" s="89">
        <f>IF(Table1[[#This Row],[Acknowledgemnet Time ]]="NA","",(Table1[[#This Row],[Acknowledgemnet Time ]]-Table1[[#This Row],[Fault Time]])*24)</f>
        <v>-6.1833333333333327</v>
      </c>
      <c r="X187" s="89">
        <f>IF(Table1[[#This Row],[Work Start time on Fault]]="NA","",(Table1[[#This Row],[Work Start time on Fault]]-Table1[[#This Row],[Fault Time]])*24)</f>
        <v>-6.1833333333333327</v>
      </c>
      <c r="Y187" s="52">
        <f>(Table1[[#This Row],[Work Completiuon time on fualt]]-Table1[[#This Row],[Fault Time]])*24</f>
        <v>12.200000000000003</v>
      </c>
      <c r="Z187" s="52">
        <f>IFERROR((Table1[[#This Row],[Work Completiuon time on fualt]]-Table1[[#This Row],[Fault Time]])*24,"")</f>
        <v>12.200000000000003</v>
      </c>
      <c r="AA187" s="2" t="s">
        <v>1084</v>
      </c>
      <c r="AB187" s="2" t="s">
        <v>1080</v>
      </c>
      <c r="AC187" s="90">
        <f>IFERROR(Table1[[#This Row],[Breakdown Time]]*Table1[[#This Row],[Plant Equivalent Weightage]],"")</f>
        <v>1.0184792230298347</v>
      </c>
      <c r="AD187" s="2">
        <v>5.83</v>
      </c>
      <c r="AE187" s="89">
        <f>_xlfn.XLOOKUP($F187,'Modelling New'!$D:$D,'Modelling New'!$O:$O)*Table1[[#This Row],[Lost PoA(Wh/m2)]]*Table1[[#This Row],[DC Capacity Affceted (kW)]]</f>
        <v>2636.1159264702287</v>
      </c>
      <c r="AF187" s="2"/>
      <c r="AG187" s="2"/>
    </row>
    <row r="188" spans="1:33" x14ac:dyDescent="0.3">
      <c r="A188" s="67">
        <f t="shared" si="2"/>
        <v>185</v>
      </c>
      <c r="B188" s="75">
        <f>YEAR(Table1[[#This Row],[Date]])+IF(MONTH(Table1[[#This Row],[Date]])&gt;=4,1,0)</f>
        <v>2026</v>
      </c>
      <c r="C188" s="74">
        <f>YEAR(Table1[[#This Row],[Date]])</f>
        <v>2025</v>
      </c>
      <c r="D188" s="74" t="s">
        <v>1082</v>
      </c>
      <c r="E188" s="74" t="s">
        <v>1082</v>
      </c>
      <c r="F188" s="181">
        <f>Table1[[#This Row],[Date]]-DAY(Table1[[#This Row],[Date]])+1</f>
        <v>45748</v>
      </c>
      <c r="G188">
        <f>DAY(EOMONTH(Table1[[#This Row],[Month Year]],0))</f>
        <v>30</v>
      </c>
      <c r="H188" s="104">
        <v>45755</v>
      </c>
      <c r="I188" s="76">
        <f>IFERROR(VLOOKUP(Table1[[#This Row],[Date]],Table3[[Date]:[Sunset Time (POA&lt;20 W/m2)]],3,0),"")</f>
        <v>0.25763888888888886</v>
      </c>
      <c r="J188" s="76">
        <f>IFERROR(VLOOKUP(Table1[[#This Row],[Date]],Table3[[Date]:[Sunset Time (POA&lt;20 W/m2)]],4,0),"")</f>
        <v>0.76597222222222228</v>
      </c>
      <c r="K188" s="77">
        <f>IFERROR((Table1[[#This Row],[Sunset Time (POA&lt;20 W/m2)]]-Table1[[#This Row],[Sunrise Time (POA&gt;20 W/m2)]])*24,"")</f>
        <v>12.200000000000003</v>
      </c>
      <c r="L188" s="108" t="s">
        <v>238</v>
      </c>
      <c r="M188" s="91">
        <f>VLOOKUP(Table1[[#This Row],[Affceted Equipment]],'Basic Data'!$A$2:$C$818,2,0)</f>
        <v>658.8</v>
      </c>
      <c r="N188" s="93">
        <f>IFERROR(VLOOKUP(Table1[[#This Row],[Affceted Equipment]],'Basic Data'!$A$2:$C$818,3,0),"")</f>
        <v>8.2135421212083434E-2</v>
      </c>
      <c r="O188" s="118" t="s">
        <v>303</v>
      </c>
      <c r="P188" s="94" t="s">
        <v>1087</v>
      </c>
      <c r="Q188" s="94"/>
      <c r="R188" s="94" t="s">
        <v>1087</v>
      </c>
      <c r="S188" s="92">
        <v>0.25763888888888886</v>
      </c>
      <c r="T188" s="119"/>
      <c r="U188" s="119"/>
      <c r="V188" s="92">
        <v>0.76597222222222228</v>
      </c>
      <c r="W188" s="89">
        <f>IF(Table1[[#This Row],[Acknowledgemnet Time ]]="NA","",(Table1[[#This Row],[Acknowledgemnet Time ]]-Table1[[#This Row],[Fault Time]])*24)</f>
        <v>-6.1833333333333327</v>
      </c>
      <c r="X188" s="89">
        <f>IF(Table1[[#This Row],[Work Start time on Fault]]="NA","",(Table1[[#This Row],[Work Start time on Fault]]-Table1[[#This Row],[Fault Time]])*24)</f>
        <v>-6.1833333333333327</v>
      </c>
      <c r="Y188" s="52">
        <f>(Table1[[#This Row],[Work Completiuon time on fualt]]-Table1[[#This Row],[Fault Time]])*24</f>
        <v>12.200000000000003</v>
      </c>
      <c r="Z188" s="52">
        <f>IFERROR((Table1[[#This Row],[Work Completiuon time on fualt]]-Table1[[#This Row],[Fault Time]])*24,"")</f>
        <v>12.200000000000003</v>
      </c>
      <c r="AA188" s="2" t="s">
        <v>1084</v>
      </c>
      <c r="AB188" s="2" t="s">
        <v>1080</v>
      </c>
      <c r="AC188" s="90">
        <f>IFERROR(Table1[[#This Row],[Breakdown Time]]*Table1[[#This Row],[Plant Equivalent Weightage]],"")</f>
        <v>1.0020521387874182</v>
      </c>
      <c r="AD188" s="2">
        <v>5.83</v>
      </c>
      <c r="AE188" s="89">
        <f>_xlfn.XLOOKUP($F188,'Modelling New'!$D:$D,'Modelling New'!$O:$O)*Table1[[#This Row],[Lost PoA(Wh/m2)]]*Table1[[#This Row],[DC Capacity Affceted (kW)]]</f>
        <v>2593.5979276561925</v>
      </c>
      <c r="AF188" s="2"/>
      <c r="AG188" s="2"/>
    </row>
    <row r="189" spans="1:33" x14ac:dyDescent="0.3">
      <c r="A189" s="67">
        <f t="shared" si="2"/>
        <v>186</v>
      </c>
      <c r="B189" s="75">
        <f>YEAR(Table1[[#This Row],[Date]])+IF(MONTH(Table1[[#This Row],[Date]])&gt;=4,1,0)</f>
        <v>2026</v>
      </c>
      <c r="C189" s="74">
        <f>YEAR(Table1[[#This Row],[Date]])</f>
        <v>2025</v>
      </c>
      <c r="D189" s="74" t="s">
        <v>1082</v>
      </c>
      <c r="E189" s="74" t="s">
        <v>1082</v>
      </c>
      <c r="F189" s="181">
        <f>Table1[[#This Row],[Date]]-DAY(Table1[[#This Row],[Date]])+1</f>
        <v>45748</v>
      </c>
      <c r="G189">
        <f>DAY(EOMONTH(Table1[[#This Row],[Month Year]],0))</f>
        <v>30</v>
      </c>
      <c r="H189" s="104">
        <v>45756</v>
      </c>
      <c r="I189" s="76">
        <f>IFERROR(VLOOKUP(Table1[[#This Row],[Date]],Table3[[Date]:[Sunset Time (POA&lt;20 W/m2)]],3,0),"")</f>
        <v>0.25694444444444442</v>
      </c>
      <c r="J189" s="76">
        <f>IFERROR(VLOOKUP(Table1[[#This Row],[Date]],Table3[[Date]:[Sunset Time (POA&lt;20 W/m2)]],4,0),"")</f>
        <v>0.76666666666666672</v>
      </c>
      <c r="K189" s="77">
        <f>IFERROR((Table1[[#This Row],[Sunset Time (POA&lt;20 W/m2)]]-Table1[[#This Row],[Sunrise Time (POA&gt;20 W/m2)]])*24,"")</f>
        <v>12.233333333333334</v>
      </c>
      <c r="L189" s="108" t="s">
        <v>231</v>
      </c>
      <c r="M189" s="61">
        <f>VLOOKUP(Table1[[#This Row],[Affceted Equipment]],'Basic Data'!$A$2:$C$818,2,0)</f>
        <v>669.6</v>
      </c>
      <c r="N189" s="93">
        <f>IFERROR(VLOOKUP(Table1[[#This Row],[Affceted Equipment]],'Basic Data'!$A$2:$C$818,3,0),"")</f>
        <v>8.348190352703562E-2</v>
      </c>
      <c r="O189" s="118" t="s">
        <v>323</v>
      </c>
      <c r="P189" s="94" t="s">
        <v>1088</v>
      </c>
      <c r="Q189" s="94"/>
      <c r="R189" s="94" t="s">
        <v>1088</v>
      </c>
      <c r="S189" s="92">
        <v>0.25694444444444442</v>
      </c>
      <c r="T189" s="119"/>
      <c r="U189" s="119"/>
      <c r="V189" s="92">
        <v>0.57847222222222228</v>
      </c>
      <c r="W189" s="89">
        <f>IF(Table1[[#This Row],[Acknowledgemnet Time ]]="NA","",(Table1[[#This Row],[Acknowledgemnet Time ]]-Table1[[#This Row],[Fault Time]])*24)</f>
        <v>-6.1666666666666661</v>
      </c>
      <c r="X189" s="89">
        <f>IF(Table1[[#This Row],[Work Start time on Fault]]="NA","",(Table1[[#This Row],[Work Start time on Fault]]-Table1[[#This Row],[Fault Time]])*24)</f>
        <v>-6.1666666666666661</v>
      </c>
      <c r="Y189" s="52">
        <f>(Table1[[#This Row],[Work Completiuon time on fualt]]-Table1[[#This Row],[Fault Time]])*24</f>
        <v>7.7166666666666686</v>
      </c>
      <c r="Z189" s="52">
        <f>IFERROR((Table1[[#This Row],[Work Completiuon time on fualt]]-Table1[[#This Row],[Fault Time]])*24,"")</f>
        <v>7.7166666666666686</v>
      </c>
      <c r="AA189" s="2" t="s">
        <v>1084</v>
      </c>
      <c r="AB189" s="2" t="s">
        <v>1080</v>
      </c>
      <c r="AC189" s="90">
        <f>IFERROR(Table1[[#This Row],[Breakdown Time]]*Table1[[#This Row],[Plant Equivalent Weightage]],"")</f>
        <v>0.64420202221695833</v>
      </c>
      <c r="AD189" s="2">
        <v>4.6399999999999997</v>
      </c>
      <c r="AE189" s="89">
        <f>_xlfn.XLOOKUP($F189,'Modelling New'!$D:$D,'Modelling New'!$O:$O)*Table1[[#This Row],[Lost PoA(Wh/m2)]]*Table1[[#This Row],[DC Capacity Affceted (kW)]]</f>
        <v>2098.0408059728748</v>
      </c>
      <c r="AF189" s="2"/>
      <c r="AG189" s="2"/>
    </row>
    <row r="190" spans="1:33" x14ac:dyDescent="0.3">
      <c r="A190" s="67">
        <f t="shared" si="2"/>
        <v>187</v>
      </c>
      <c r="B190" s="75">
        <f>YEAR(Table1[[#This Row],[Date]])+IF(MONTH(Table1[[#This Row],[Date]])&gt;=4,1,0)</f>
        <v>2026</v>
      </c>
      <c r="C190" s="74">
        <f>YEAR(Table1[[#This Row],[Date]])</f>
        <v>2025</v>
      </c>
      <c r="D190" s="74" t="s">
        <v>1082</v>
      </c>
      <c r="E190" s="74" t="s">
        <v>1082</v>
      </c>
      <c r="F190" s="181">
        <f>Table1[[#This Row],[Date]]-DAY(Table1[[#This Row],[Date]])+1</f>
        <v>45748</v>
      </c>
      <c r="G190">
        <f>DAY(EOMONTH(Table1[[#This Row],[Month Year]],0))</f>
        <v>30</v>
      </c>
      <c r="H190" s="104">
        <v>45756</v>
      </c>
      <c r="I190" s="76">
        <f>IFERROR(VLOOKUP(Table1[[#This Row],[Date]],Table3[[Date]:[Sunset Time (POA&lt;20 W/m2)]],3,0),"")</f>
        <v>0.25694444444444442</v>
      </c>
      <c r="J190" s="76">
        <f>IFERROR(VLOOKUP(Table1[[#This Row],[Date]],Table3[[Date]:[Sunset Time (POA&lt;20 W/m2)]],4,0),"")</f>
        <v>0.76666666666666672</v>
      </c>
      <c r="K190" s="77">
        <f>IFERROR((Table1[[#This Row],[Sunset Time (POA&lt;20 W/m2)]]-Table1[[#This Row],[Sunrise Time (POA&gt;20 W/m2)]])*24,"")</f>
        <v>12.233333333333334</v>
      </c>
      <c r="L190" s="108" t="s">
        <v>238</v>
      </c>
      <c r="M190" s="61">
        <f>VLOOKUP(Table1[[#This Row],[Affceted Equipment]],'Basic Data'!$A$2:$C$818,2,0)</f>
        <v>658.8</v>
      </c>
      <c r="N190" s="93">
        <f>IFERROR(VLOOKUP(Table1[[#This Row],[Affceted Equipment]],'Basic Data'!$A$2:$C$818,3,0),"")</f>
        <v>8.2135421212083434E-2</v>
      </c>
      <c r="O190" s="118" t="s">
        <v>303</v>
      </c>
      <c r="P190" s="94" t="s">
        <v>1087</v>
      </c>
      <c r="Q190" s="94"/>
      <c r="R190" s="94" t="s">
        <v>1087</v>
      </c>
      <c r="S190" s="92">
        <v>0.25694444444444442</v>
      </c>
      <c r="T190" s="119"/>
      <c r="U190" s="119"/>
      <c r="V190" s="92">
        <v>0.55694444444444446</v>
      </c>
      <c r="W190" s="89">
        <f>IF(Table1[[#This Row],[Acknowledgemnet Time ]]="NA","",(Table1[[#This Row],[Acknowledgemnet Time ]]-Table1[[#This Row],[Fault Time]])*24)</f>
        <v>-6.1666666666666661</v>
      </c>
      <c r="X190" s="89">
        <f>IF(Table1[[#This Row],[Work Start time on Fault]]="NA","",(Table1[[#This Row],[Work Start time on Fault]]-Table1[[#This Row],[Fault Time]])*24)</f>
        <v>-6.1666666666666661</v>
      </c>
      <c r="Y190" s="52">
        <f>(Table1[[#This Row],[Work Completiuon time on fualt]]-Table1[[#This Row],[Fault Time]])*24</f>
        <v>7.2000000000000011</v>
      </c>
      <c r="Z190" s="52">
        <f>IFERROR((Table1[[#This Row],[Work Completiuon time on fualt]]-Table1[[#This Row],[Fault Time]])*24,"")</f>
        <v>7.2000000000000011</v>
      </c>
      <c r="AA190" s="2" t="s">
        <v>1084</v>
      </c>
      <c r="AB190" s="2" t="s">
        <v>1080</v>
      </c>
      <c r="AC190" s="90">
        <f>IFERROR(Table1[[#This Row],[Breakdown Time]]*Table1[[#This Row],[Plant Equivalent Weightage]],"")</f>
        <v>0.59137503272700076</v>
      </c>
      <c r="AD190" s="2">
        <v>4.1500000000000004</v>
      </c>
      <c r="AE190" s="89">
        <f>_xlfn.XLOOKUP($F190,'Modelling New'!$D:$D,'Modelling New'!$O:$O)*Table1[[#This Row],[Lost PoA(Wh/m2)]]*Table1[[#This Row],[DC Capacity Affceted (kW)]]</f>
        <v>1846.2146483315948</v>
      </c>
      <c r="AF190" s="2"/>
      <c r="AG190" s="2"/>
    </row>
    <row r="191" spans="1:33" x14ac:dyDescent="0.3">
      <c r="A191" s="67">
        <f t="shared" si="2"/>
        <v>188</v>
      </c>
      <c r="B191" s="75">
        <f>YEAR(Table1[[#This Row],[Date]])+IF(MONTH(Table1[[#This Row],[Date]])&gt;=4,1,0)</f>
        <v>2026</v>
      </c>
      <c r="C191" s="74">
        <f>YEAR(Table1[[#This Row],[Date]])</f>
        <v>2025</v>
      </c>
      <c r="D191" s="74" t="s">
        <v>1082</v>
      </c>
      <c r="E191" s="74" t="s">
        <v>1082</v>
      </c>
      <c r="F191" s="181">
        <f>Table1[[#This Row],[Date]]-DAY(Table1[[#This Row],[Date]])+1</f>
        <v>45748</v>
      </c>
      <c r="G191">
        <f>DAY(EOMONTH(Table1[[#This Row],[Month Year]],0))</f>
        <v>30</v>
      </c>
      <c r="H191" s="104">
        <v>45756</v>
      </c>
      <c r="I191" s="76">
        <f>IFERROR(VLOOKUP(Table1[[#This Row],[Date]],Table3[[Date]:[Sunset Time (POA&lt;20 W/m2)]],3,0),"")</f>
        <v>0.25694444444444442</v>
      </c>
      <c r="J191" s="76">
        <f>IFERROR(VLOOKUP(Table1[[#This Row],[Date]],Table3[[Date]:[Sunset Time (POA&lt;20 W/m2)]],4,0),"")</f>
        <v>0.76666666666666672</v>
      </c>
      <c r="K191" s="77">
        <f>IFERROR((Table1[[#This Row],[Sunset Time (POA&lt;20 W/m2)]]-Table1[[#This Row],[Sunrise Time (POA&gt;20 W/m2)]])*24,"")</f>
        <v>12.233333333333334</v>
      </c>
      <c r="L191" s="173" t="s">
        <v>180</v>
      </c>
      <c r="M191" s="61">
        <f>VLOOKUP(Table1[[#This Row],[Affceted Equipment]],'Basic Data'!$A$2:$C$818,2,0)</f>
        <v>2694.6</v>
      </c>
      <c r="N191" s="93">
        <f>IFERROR(VLOOKUP(Table1[[#This Row],[Affceted Equipment]],'Basic Data'!$A$2:$C$818,3,0),"")</f>
        <v>0.33594733758057077</v>
      </c>
      <c r="O191" s="118" t="s">
        <v>323</v>
      </c>
      <c r="P191" s="94" t="s">
        <v>1185</v>
      </c>
      <c r="Q191" s="94"/>
      <c r="R191" s="94" t="s">
        <v>1185</v>
      </c>
      <c r="S191" s="92">
        <v>0.57847222222222228</v>
      </c>
      <c r="T191" s="119"/>
      <c r="U191" s="119"/>
      <c r="V191" s="92">
        <v>0.59444444444444444</v>
      </c>
      <c r="W191" s="89">
        <f>IF(Table1[[#This Row],[Acknowledgemnet Time ]]="NA","",(Table1[[#This Row],[Acknowledgemnet Time ]]-Table1[[#This Row],[Fault Time]])*24)</f>
        <v>-13.883333333333335</v>
      </c>
      <c r="X191" s="89">
        <f>IF(Table1[[#This Row],[Work Start time on Fault]]="NA","",(Table1[[#This Row],[Work Start time on Fault]]-Table1[[#This Row],[Fault Time]])*24)</f>
        <v>-13.883333333333335</v>
      </c>
      <c r="Y191" s="52">
        <f>(Table1[[#This Row],[Work Completiuon time on fualt]]-Table1[[#This Row],[Fault Time]])*24</f>
        <v>0.38333333333333197</v>
      </c>
      <c r="Z191" s="52">
        <f>IFERROR((Table1[[#This Row],[Work Completiuon time on fualt]]-Table1[[#This Row],[Fault Time]])*24,"")</f>
        <v>0.38333333333333197</v>
      </c>
      <c r="AA191" s="2" t="s">
        <v>1086</v>
      </c>
      <c r="AB191" s="2" t="s">
        <v>1081</v>
      </c>
      <c r="AC191" s="90">
        <f>IFERROR(Table1[[#This Row],[Breakdown Time]]*Table1[[#This Row],[Plant Equivalent Weightage]],"")</f>
        <v>0.12877981273921835</v>
      </c>
      <c r="AD191" s="2">
        <v>0.36</v>
      </c>
      <c r="AE191" s="89">
        <f>_xlfn.XLOOKUP($F191,'Modelling New'!$D:$D,'Modelling New'!$O:$O)*Table1[[#This Row],[Lost PoA(Wh/m2)]]*Table1[[#This Row],[DC Capacity Affceted (kW)]]</f>
        <v>655.05431449000139</v>
      </c>
      <c r="AF191" s="2"/>
      <c r="AG191" s="2"/>
    </row>
    <row r="192" spans="1:33" x14ac:dyDescent="0.3">
      <c r="A192" s="67">
        <f t="shared" si="2"/>
        <v>189</v>
      </c>
      <c r="B192" s="75">
        <f>YEAR(Table1[[#This Row],[Date]])+IF(MONTH(Table1[[#This Row],[Date]])&gt;=4,1,0)</f>
        <v>2026</v>
      </c>
      <c r="C192" s="74">
        <f>YEAR(Table1[[#This Row],[Date]])</f>
        <v>2025</v>
      </c>
      <c r="D192" s="74" t="s">
        <v>1082</v>
      </c>
      <c r="E192" s="74" t="s">
        <v>1082</v>
      </c>
      <c r="F192" s="181">
        <f>Table1[[#This Row],[Date]]-DAY(Table1[[#This Row],[Date]])+1</f>
        <v>45748</v>
      </c>
      <c r="G192">
        <f>DAY(EOMONTH(Table1[[#This Row],[Month Year]],0))</f>
        <v>30</v>
      </c>
      <c r="H192" s="104">
        <v>45756</v>
      </c>
      <c r="I192" s="76">
        <f>IFERROR(VLOOKUP(Table1[[#This Row],[Date]],Table3[[Date]:[Sunset Time (POA&lt;20 W/m2)]],3,0),"")</f>
        <v>0.25694444444444442</v>
      </c>
      <c r="J192" s="76">
        <f>IFERROR(VLOOKUP(Table1[[#This Row],[Date]],Table3[[Date]:[Sunset Time (POA&lt;20 W/m2)]],4,0),"")</f>
        <v>0.76666666666666672</v>
      </c>
      <c r="K192" s="77">
        <f>IFERROR((Table1[[#This Row],[Sunset Time (POA&lt;20 W/m2)]]-Table1[[#This Row],[Sunrise Time (POA&gt;20 W/m2)]])*24,"")</f>
        <v>12.233333333333334</v>
      </c>
      <c r="L192" s="173" t="s">
        <v>181</v>
      </c>
      <c r="M192" s="61">
        <f>VLOOKUP(Table1[[#This Row],[Affceted Equipment]],'Basic Data'!$A$2:$C$818,2,0)</f>
        <v>2630.8</v>
      </c>
      <c r="N192" s="93">
        <f>IFERROR(VLOOKUP(Table1[[#This Row],[Affceted Equipment]],'Basic Data'!$A$2:$C$818,3,0),"")</f>
        <v>0.32799311797927916</v>
      </c>
      <c r="O192" s="118" t="s">
        <v>303</v>
      </c>
      <c r="P192" s="94" t="s">
        <v>1185</v>
      </c>
      <c r="Q192" s="94"/>
      <c r="R192" s="94" t="s">
        <v>1185</v>
      </c>
      <c r="S192" s="92">
        <v>0.55694444444444446</v>
      </c>
      <c r="T192" s="119"/>
      <c r="U192" s="119"/>
      <c r="V192" s="92">
        <v>0.58125000000000004</v>
      </c>
      <c r="W192" s="89">
        <f>IF(Table1[[#This Row],[Acknowledgemnet Time ]]="NA","",(Table1[[#This Row],[Acknowledgemnet Time ]]-Table1[[#This Row],[Fault Time]])*24)</f>
        <v>-13.366666666666667</v>
      </c>
      <c r="X192" s="89">
        <f>IF(Table1[[#This Row],[Work Start time on Fault]]="NA","",(Table1[[#This Row],[Work Start time on Fault]]-Table1[[#This Row],[Fault Time]])*24)</f>
        <v>-13.366666666666667</v>
      </c>
      <c r="Y192" s="52">
        <f>(Table1[[#This Row],[Work Completiuon time on fualt]]-Table1[[#This Row],[Fault Time]])*24</f>
        <v>0.58333333333333393</v>
      </c>
      <c r="Z192" s="52">
        <f>IFERROR((Table1[[#This Row],[Work Completiuon time on fualt]]-Table1[[#This Row],[Fault Time]])*24,"")</f>
        <v>0.58333333333333393</v>
      </c>
      <c r="AA192" s="2" t="s">
        <v>1086</v>
      </c>
      <c r="AB192" s="2" t="s">
        <v>1081</v>
      </c>
      <c r="AC192" s="90">
        <f>IFERROR(Table1[[#This Row],[Breakdown Time]]*Table1[[#This Row],[Plant Equivalent Weightage]],"")</f>
        <v>0.19132931882124637</v>
      </c>
      <c r="AD192" s="2">
        <v>0.56000000000000005</v>
      </c>
      <c r="AE192" s="89">
        <f>_xlfn.XLOOKUP($F192,'Modelling New'!$D:$D,'Modelling New'!$O:$O)*Table1[[#This Row],[Lost PoA(Wh/m2)]]*Table1[[#This Row],[DC Capacity Affceted (kW)]]</f>
        <v>994.84716213678973</v>
      </c>
      <c r="AF192" s="2"/>
      <c r="AG192" s="2"/>
    </row>
    <row r="193" spans="1:33" x14ac:dyDescent="0.3">
      <c r="A193" s="67">
        <f t="shared" si="2"/>
        <v>190</v>
      </c>
      <c r="B193" s="75">
        <f>YEAR(Table1[[#This Row],[Date]])+IF(MONTH(Table1[[#This Row],[Date]])&gt;=4,1,0)</f>
        <v>2026</v>
      </c>
      <c r="C193" s="74">
        <f>YEAR(Table1[[#This Row],[Date]])</f>
        <v>2025</v>
      </c>
      <c r="D193" s="74" t="s">
        <v>1082</v>
      </c>
      <c r="E193" s="74" t="s">
        <v>1082</v>
      </c>
      <c r="F193" s="181">
        <f>Table1[[#This Row],[Date]]-DAY(Table1[[#This Row],[Date]])+1</f>
        <v>45748</v>
      </c>
      <c r="G193">
        <f>DAY(EOMONTH(Table1[[#This Row],[Month Year]],0))</f>
        <v>30</v>
      </c>
      <c r="H193" s="104">
        <v>45756</v>
      </c>
      <c r="I193" s="76">
        <f>IFERROR(VLOOKUP(Table1[[#This Row],[Date]],Table3[[Date]:[Sunset Time (POA&lt;20 W/m2)]],3,0),"")</f>
        <v>0.25694444444444442</v>
      </c>
      <c r="J193" s="76">
        <f>IFERROR(VLOOKUP(Table1[[#This Row],[Date]],Table3[[Date]:[Sunset Time (POA&lt;20 W/m2)]],4,0),"")</f>
        <v>0.76666666666666672</v>
      </c>
      <c r="K193" s="77">
        <f>IFERROR((Table1[[#This Row],[Sunset Time (POA&lt;20 W/m2)]]-Table1[[#This Row],[Sunrise Time (POA&gt;20 W/m2)]])*24,"")</f>
        <v>12.233333333333334</v>
      </c>
      <c r="L193" s="108" t="s">
        <v>231</v>
      </c>
      <c r="M193" s="61">
        <f>VLOOKUP(Table1[[#This Row],[Affceted Equipment]],'Basic Data'!$A$2:$C$818,2,0)</f>
        <v>669.6</v>
      </c>
      <c r="N193" s="93">
        <f>IFERROR(VLOOKUP(Table1[[#This Row],[Affceted Equipment]],'Basic Data'!$A$2:$C$818,3,0),"")</f>
        <v>8.348190352703562E-2</v>
      </c>
      <c r="O193" s="118" t="s">
        <v>323</v>
      </c>
      <c r="P193" s="94" t="s">
        <v>1088</v>
      </c>
      <c r="Q193" s="94"/>
      <c r="R193" s="94" t="s">
        <v>1088</v>
      </c>
      <c r="S193" s="92">
        <v>0.59444444444444444</v>
      </c>
      <c r="T193" s="119"/>
      <c r="U193" s="119"/>
      <c r="V193" s="92">
        <v>0.76666666666666672</v>
      </c>
      <c r="W193" s="89">
        <f>IF(Table1[[#This Row],[Acknowledgemnet Time ]]="NA","",(Table1[[#This Row],[Acknowledgemnet Time ]]-Table1[[#This Row],[Fault Time]])*24)</f>
        <v>-14.266666666666666</v>
      </c>
      <c r="X193" s="89">
        <f>IF(Table1[[#This Row],[Work Start time on Fault]]="NA","",(Table1[[#This Row],[Work Start time on Fault]]-Table1[[#This Row],[Fault Time]])*24)</f>
        <v>-14.266666666666666</v>
      </c>
      <c r="Y193" s="52">
        <f>(Table1[[#This Row],[Work Completiuon time on fualt]]-Table1[[#This Row],[Fault Time]])*24</f>
        <v>4.1333333333333346</v>
      </c>
      <c r="Z193" s="52">
        <f>IFERROR((Table1[[#This Row],[Work Completiuon time on fualt]]-Table1[[#This Row],[Fault Time]])*24,"")</f>
        <v>4.1333333333333346</v>
      </c>
      <c r="AA193" s="2" t="s">
        <v>1084</v>
      </c>
      <c r="AB193" s="2" t="s">
        <v>1080</v>
      </c>
      <c r="AC193" s="90">
        <f>IFERROR(Table1[[#This Row],[Breakdown Time]]*Table1[[#This Row],[Plant Equivalent Weightage]],"")</f>
        <v>0.34505853457841401</v>
      </c>
      <c r="AD193" s="2">
        <v>1.36</v>
      </c>
      <c r="AE193" s="89">
        <f>_xlfn.XLOOKUP($F193,'Modelling New'!$D:$D,'Modelling New'!$O:$O)*Table1[[#This Row],[Lost PoA(Wh/m2)]]*Table1[[#This Row],[DC Capacity Affceted (kW)]]</f>
        <v>614.94299485411852</v>
      </c>
      <c r="AF193" s="2"/>
      <c r="AG193" s="2"/>
    </row>
    <row r="194" spans="1:33" x14ac:dyDescent="0.3">
      <c r="A194" s="67">
        <f t="shared" si="2"/>
        <v>191</v>
      </c>
      <c r="B194" s="75">
        <f>YEAR(Table1[[#This Row],[Date]])+IF(MONTH(Table1[[#This Row],[Date]])&gt;=4,1,0)</f>
        <v>2026</v>
      </c>
      <c r="C194" s="74">
        <f>YEAR(Table1[[#This Row],[Date]])</f>
        <v>2025</v>
      </c>
      <c r="D194" s="74" t="s">
        <v>1082</v>
      </c>
      <c r="E194" s="74" t="s">
        <v>1082</v>
      </c>
      <c r="F194" s="181">
        <f>Table1[[#This Row],[Date]]-DAY(Table1[[#This Row],[Date]])+1</f>
        <v>45748</v>
      </c>
      <c r="G194">
        <f>DAY(EOMONTH(Table1[[#This Row],[Month Year]],0))</f>
        <v>30</v>
      </c>
      <c r="H194" s="104">
        <v>45756</v>
      </c>
      <c r="I194" s="76">
        <f>IFERROR(VLOOKUP(Table1[[#This Row],[Date]],Table3[[Date]:[Sunset Time (POA&lt;20 W/m2)]],3,0),"")</f>
        <v>0.25694444444444442</v>
      </c>
      <c r="J194" s="76">
        <f>IFERROR(VLOOKUP(Table1[[#This Row],[Date]],Table3[[Date]:[Sunset Time (POA&lt;20 W/m2)]],4,0),"")</f>
        <v>0.76666666666666672</v>
      </c>
      <c r="K194" s="77">
        <f>IFERROR((Table1[[#This Row],[Sunset Time (POA&lt;20 W/m2)]]-Table1[[#This Row],[Sunrise Time (POA&gt;20 W/m2)]])*24,"")</f>
        <v>12.233333333333334</v>
      </c>
      <c r="L194" s="108" t="s">
        <v>238</v>
      </c>
      <c r="M194" s="91">
        <f>VLOOKUP(Table1[[#This Row],[Affceted Equipment]],'Basic Data'!$A$2:$C$818,2,0)</f>
        <v>658.8</v>
      </c>
      <c r="N194" s="93">
        <f>IFERROR(VLOOKUP(Table1[[#This Row],[Affceted Equipment]],'Basic Data'!$A$2:$C$818,3,0),"")</f>
        <v>8.2135421212083434E-2</v>
      </c>
      <c r="O194" s="118" t="s">
        <v>303</v>
      </c>
      <c r="P194" s="94" t="s">
        <v>1087</v>
      </c>
      <c r="Q194" s="94"/>
      <c r="R194" s="94" t="s">
        <v>1087</v>
      </c>
      <c r="S194" s="92">
        <v>0.58125000000000004</v>
      </c>
      <c r="T194" s="119"/>
      <c r="U194" s="119"/>
      <c r="V194" s="92">
        <v>0.76666666666666672</v>
      </c>
      <c r="W194" s="89">
        <f>IF(Table1[[#This Row],[Acknowledgemnet Time ]]="NA","",(Table1[[#This Row],[Acknowledgemnet Time ]]-Table1[[#This Row],[Fault Time]])*24)</f>
        <v>-13.950000000000001</v>
      </c>
      <c r="X194" s="89">
        <f>IF(Table1[[#This Row],[Work Start time on Fault]]="NA","",(Table1[[#This Row],[Work Start time on Fault]]-Table1[[#This Row],[Fault Time]])*24)</f>
        <v>-13.950000000000001</v>
      </c>
      <c r="Y194" s="52">
        <f>(Table1[[#This Row],[Work Completiuon time on fualt]]-Table1[[#This Row],[Fault Time]])*24</f>
        <v>4.45</v>
      </c>
      <c r="Z194" s="52">
        <f>IFERROR((Table1[[#This Row],[Work Completiuon time on fualt]]-Table1[[#This Row],[Fault Time]])*24,"")</f>
        <v>4.45</v>
      </c>
      <c r="AA194" s="2" t="s">
        <v>1084</v>
      </c>
      <c r="AB194" s="2" t="s">
        <v>1080</v>
      </c>
      <c r="AC194" s="90">
        <f>IFERROR(Table1[[#This Row],[Breakdown Time]]*Table1[[#This Row],[Plant Equivalent Weightage]],"")</f>
        <v>0.36550262439377129</v>
      </c>
      <c r="AD194" s="2">
        <v>1.36</v>
      </c>
      <c r="AE194" s="89">
        <f>_xlfn.XLOOKUP($F194,'Modelling New'!$D:$D,'Modelling New'!$O:$O)*Table1[[#This Row],[Lost PoA(Wh/m2)]]*Table1[[#This Row],[DC Capacity Affceted (kW)]]</f>
        <v>605.02455945324562</v>
      </c>
      <c r="AF194" s="2"/>
      <c r="AG194" s="2"/>
    </row>
    <row r="195" spans="1:33" x14ac:dyDescent="0.3">
      <c r="A195" s="67">
        <f t="shared" si="2"/>
        <v>192</v>
      </c>
      <c r="B195" s="75">
        <f>YEAR(Table1[[#This Row],[Date]])+IF(MONTH(Table1[[#This Row],[Date]])&gt;=4,1,0)</f>
        <v>2026</v>
      </c>
      <c r="C195" s="74">
        <f>YEAR(Table1[[#This Row],[Date]])</f>
        <v>2025</v>
      </c>
      <c r="D195" s="74" t="s">
        <v>1082</v>
      </c>
      <c r="E195" s="74" t="s">
        <v>1082</v>
      </c>
      <c r="F195" s="181">
        <f>Table1[[#This Row],[Date]]-DAY(Table1[[#This Row],[Date]])+1</f>
        <v>45748</v>
      </c>
      <c r="G195">
        <f>DAY(EOMONTH(Table1[[#This Row],[Month Year]],0))</f>
        <v>30</v>
      </c>
      <c r="H195" s="104">
        <v>45758</v>
      </c>
      <c r="I195" s="76">
        <f>IFERROR(VLOOKUP(Table1[[#This Row],[Date]],Table3[[Date]:[Sunset Time (POA&lt;20 W/m2)]],3,0),"")</f>
        <v>0.24861111111111112</v>
      </c>
      <c r="J195" s="76">
        <f>IFERROR(VLOOKUP(Table1[[#This Row],[Date]],Table3[[Date]:[Sunset Time (POA&lt;20 W/m2)]],4,0),"")</f>
        <v>0.7680555555555556</v>
      </c>
      <c r="K195" s="77">
        <f>IFERROR((Table1[[#This Row],[Sunset Time (POA&lt;20 W/m2)]]-Table1[[#This Row],[Sunrise Time (POA&gt;20 W/m2)]])*24,"")</f>
        <v>12.466666666666669</v>
      </c>
      <c r="L195" s="173" t="s">
        <v>180</v>
      </c>
      <c r="M195" s="61">
        <f>VLOOKUP(Table1[[#This Row],[Affceted Equipment]],'Basic Data'!$A$2:$C$818,2,0)</f>
        <v>2694.6</v>
      </c>
      <c r="N195" s="93">
        <f>IFERROR(VLOOKUP(Table1[[#This Row],[Affceted Equipment]],'Basic Data'!$A$2:$C$818,3,0),"")</f>
        <v>0.33594733758057077</v>
      </c>
      <c r="O195" s="118" t="s">
        <v>323</v>
      </c>
      <c r="P195" s="94" t="s">
        <v>1185</v>
      </c>
      <c r="Q195" s="94"/>
      <c r="R195" s="94" t="s">
        <v>1185</v>
      </c>
      <c r="S195" s="92">
        <v>0.55625000000000002</v>
      </c>
      <c r="T195" s="119"/>
      <c r="U195" s="119"/>
      <c r="V195" s="92">
        <v>0.5708333333333333</v>
      </c>
      <c r="W195" s="89">
        <f>IF(Table1[[#This Row],[Acknowledgemnet Time ]]="NA","",(Table1[[#This Row],[Acknowledgemnet Time ]]-Table1[[#This Row],[Fault Time]])*24)</f>
        <v>-13.350000000000001</v>
      </c>
      <c r="X195" s="89">
        <f>IF(Table1[[#This Row],[Work Start time on Fault]]="NA","",(Table1[[#This Row],[Work Start time on Fault]]-Table1[[#This Row],[Fault Time]])*24)</f>
        <v>-13.350000000000001</v>
      </c>
      <c r="Y195" s="52">
        <f>(Table1[[#This Row],[Work Completiuon time on fualt]]-Table1[[#This Row],[Fault Time]])*24</f>
        <v>0.34999999999999876</v>
      </c>
      <c r="Z195" s="52">
        <f>IFERROR((Table1[[#This Row],[Work Completiuon time on fualt]]-Table1[[#This Row],[Fault Time]])*24,"")</f>
        <v>0.34999999999999876</v>
      </c>
      <c r="AA195" s="2" t="s">
        <v>1086</v>
      </c>
      <c r="AB195" s="2" t="s">
        <v>1081</v>
      </c>
      <c r="AC195" s="90">
        <f>IFERROR(Table1[[#This Row],[Breakdown Time]]*Table1[[#This Row],[Plant Equivalent Weightage]],"")</f>
        <v>0.11758156815319935</v>
      </c>
      <c r="AD195" s="2">
        <v>0.3</v>
      </c>
      <c r="AE195" s="89">
        <f>_xlfn.XLOOKUP($F195,'Modelling New'!$D:$D,'Modelling New'!$O:$O)*Table1[[#This Row],[Lost PoA(Wh/m2)]]*Table1[[#This Row],[DC Capacity Affceted (kW)]]</f>
        <v>545.87859540833438</v>
      </c>
      <c r="AF195" s="2"/>
      <c r="AG195" s="2"/>
    </row>
    <row r="196" spans="1:33" x14ac:dyDescent="0.3">
      <c r="A196" s="67">
        <f t="shared" si="2"/>
        <v>193</v>
      </c>
      <c r="B196" s="75">
        <f>YEAR(Table1[[#This Row],[Date]])+IF(MONTH(Table1[[#This Row],[Date]])&gt;=4,1,0)</f>
        <v>2026</v>
      </c>
      <c r="C196" s="74">
        <f>YEAR(Table1[[#This Row],[Date]])</f>
        <v>2025</v>
      </c>
      <c r="D196" s="74" t="s">
        <v>1082</v>
      </c>
      <c r="E196" s="74" t="s">
        <v>1082</v>
      </c>
      <c r="F196" s="181">
        <f>Table1[[#This Row],[Date]]-DAY(Table1[[#This Row],[Date]])+1</f>
        <v>45748</v>
      </c>
      <c r="G196">
        <f>DAY(EOMONTH(Table1[[#This Row],[Month Year]],0))</f>
        <v>30</v>
      </c>
      <c r="H196" s="104">
        <v>45758</v>
      </c>
      <c r="I196" s="76">
        <f>IFERROR(VLOOKUP(Table1[[#This Row],[Date]],Table3[[Date]:[Sunset Time (POA&lt;20 W/m2)]],3,0),"")</f>
        <v>0.24861111111111112</v>
      </c>
      <c r="J196" s="76">
        <f>IFERROR(VLOOKUP(Table1[[#This Row],[Date]],Table3[[Date]:[Sunset Time (POA&lt;20 W/m2)]],4,0),"")</f>
        <v>0.7680555555555556</v>
      </c>
      <c r="K196" s="77">
        <f>IFERROR((Table1[[#This Row],[Sunset Time (POA&lt;20 W/m2)]]-Table1[[#This Row],[Sunrise Time (POA&gt;20 W/m2)]])*24,"")</f>
        <v>12.466666666666669</v>
      </c>
      <c r="L196" s="173" t="s">
        <v>181</v>
      </c>
      <c r="M196" s="91">
        <f>VLOOKUP(Table1[[#This Row],[Affceted Equipment]],'Basic Data'!$A$2:$C$818,2,0)</f>
        <v>2630.8</v>
      </c>
      <c r="N196" s="93">
        <f>IFERROR(VLOOKUP(Table1[[#This Row],[Affceted Equipment]],'Basic Data'!$A$2:$C$818,3,0),"")</f>
        <v>0.32799311797927916</v>
      </c>
      <c r="O196" s="118" t="s">
        <v>303</v>
      </c>
      <c r="P196" s="94" t="s">
        <v>1185</v>
      </c>
      <c r="Q196" s="94"/>
      <c r="R196" s="94" t="s">
        <v>1185</v>
      </c>
      <c r="S196" s="92">
        <v>0.55972222222222223</v>
      </c>
      <c r="T196" s="119"/>
      <c r="U196" s="119"/>
      <c r="V196" s="92">
        <v>0.58194444444444449</v>
      </c>
      <c r="W196" s="89">
        <f>IF(Table1[[#This Row],[Acknowledgemnet Time ]]="NA","",(Table1[[#This Row],[Acknowledgemnet Time ]]-Table1[[#This Row],[Fault Time]])*24)</f>
        <v>-13.433333333333334</v>
      </c>
      <c r="X196" s="89">
        <f>IF(Table1[[#This Row],[Work Start time on Fault]]="NA","",(Table1[[#This Row],[Work Start time on Fault]]-Table1[[#This Row],[Fault Time]])*24)</f>
        <v>-13.433333333333334</v>
      </c>
      <c r="Y196" s="52">
        <f>(Table1[[#This Row],[Work Completiuon time on fualt]]-Table1[[#This Row],[Fault Time]])*24</f>
        <v>0.5333333333333341</v>
      </c>
      <c r="Z196" s="52">
        <f>IFERROR((Table1[[#This Row],[Work Completiuon time on fualt]]-Table1[[#This Row],[Fault Time]])*24,"")</f>
        <v>0.5333333333333341</v>
      </c>
      <c r="AA196" s="2" t="s">
        <v>1086</v>
      </c>
      <c r="AB196" s="2" t="s">
        <v>1081</v>
      </c>
      <c r="AC196" s="90">
        <f>IFERROR(Table1[[#This Row],[Breakdown Time]]*Table1[[#This Row],[Plant Equivalent Weightage]],"")</f>
        <v>0.17492966292228246</v>
      </c>
      <c r="AD196" s="2">
        <v>0.45</v>
      </c>
      <c r="AE196" s="89">
        <f>_xlfn.XLOOKUP($F196,'Modelling New'!$D:$D,'Modelling New'!$O:$O)*Table1[[#This Row],[Lost PoA(Wh/m2)]]*Table1[[#This Row],[DC Capacity Affceted (kW)]]</f>
        <v>799.4307552884917</v>
      </c>
      <c r="AF196" s="2"/>
      <c r="AG196" s="2"/>
    </row>
    <row r="197" spans="1:33" x14ac:dyDescent="0.3">
      <c r="A197" s="67">
        <f t="shared" si="2"/>
        <v>194</v>
      </c>
      <c r="B197" s="75">
        <f>YEAR(Table1[[#This Row],[Date]])+IF(MONTH(Table1[[#This Row],[Date]])&gt;=4,1,0)</f>
        <v>2026</v>
      </c>
      <c r="C197" s="74">
        <f>YEAR(Table1[[#This Row],[Date]])</f>
        <v>2025</v>
      </c>
      <c r="D197" s="74" t="s">
        <v>1082</v>
      </c>
      <c r="E197" s="74" t="s">
        <v>1082</v>
      </c>
      <c r="F197" s="181">
        <f>Table1[[#This Row],[Date]]-DAY(Table1[[#This Row],[Date]])+1</f>
        <v>45748</v>
      </c>
      <c r="G197">
        <f>DAY(EOMONTH(Table1[[#This Row],[Month Year]],0))</f>
        <v>30</v>
      </c>
      <c r="H197" s="104">
        <v>45759</v>
      </c>
      <c r="I197" s="76">
        <f>IFERROR(VLOOKUP(Table1[[#This Row],[Date]],Table3[[Date]:[Sunset Time (POA&lt;20 W/m2)]],3,0),"")</f>
        <v>0.25347222222222221</v>
      </c>
      <c r="J197" s="76">
        <f>IFERROR(VLOOKUP(Table1[[#This Row],[Date]],Table3[[Date]:[Sunset Time (POA&lt;20 W/m2)]],4,0),"")</f>
        <v>0.76736111111111116</v>
      </c>
      <c r="K197" s="77">
        <f>IFERROR((Table1[[#This Row],[Sunset Time (POA&lt;20 W/m2)]]-Table1[[#This Row],[Sunrise Time (POA&gt;20 W/m2)]])*24,"")</f>
        <v>12.333333333333336</v>
      </c>
      <c r="L197" s="173" t="s">
        <v>180</v>
      </c>
      <c r="M197" s="61">
        <f>VLOOKUP(Table1[[#This Row],[Affceted Equipment]],'Basic Data'!$A$2:$C$818,2,0)</f>
        <v>2694.6</v>
      </c>
      <c r="N197" s="93">
        <f>IFERROR(VLOOKUP(Table1[[#This Row],[Affceted Equipment]],'Basic Data'!$A$2:$C$818,3,0),"")</f>
        <v>0.33594733758057077</v>
      </c>
      <c r="O197" s="118" t="s">
        <v>323</v>
      </c>
      <c r="P197" s="94" t="s">
        <v>1185</v>
      </c>
      <c r="Q197" s="94"/>
      <c r="R197" s="94" t="s">
        <v>1185</v>
      </c>
      <c r="S197" s="92">
        <v>0.54583333333333328</v>
      </c>
      <c r="T197" s="119"/>
      <c r="U197" s="119"/>
      <c r="V197" s="92">
        <v>0.56111111111111112</v>
      </c>
      <c r="W197" s="89">
        <f>IF(Table1[[#This Row],[Acknowledgemnet Time ]]="NA","",(Table1[[#This Row],[Acknowledgemnet Time ]]-Table1[[#This Row],[Fault Time]])*24)</f>
        <v>-13.099999999999998</v>
      </c>
      <c r="X197" s="89">
        <f>IF(Table1[[#This Row],[Work Start time on Fault]]="NA","",(Table1[[#This Row],[Work Start time on Fault]]-Table1[[#This Row],[Fault Time]])*24)</f>
        <v>-13.099999999999998</v>
      </c>
      <c r="Y197" s="52">
        <f>(Table1[[#This Row],[Work Completiuon time on fualt]]-Table1[[#This Row],[Fault Time]])*24</f>
        <v>0.36666666666666803</v>
      </c>
      <c r="Z197" s="52">
        <f>IFERROR((Table1[[#This Row],[Work Completiuon time on fualt]]-Table1[[#This Row],[Fault Time]])*24,"")</f>
        <v>0.36666666666666803</v>
      </c>
      <c r="AA197" s="2" t="s">
        <v>1086</v>
      </c>
      <c r="AB197" s="2" t="s">
        <v>1081</v>
      </c>
      <c r="AC197" s="90">
        <f>IFERROR(Table1[[#This Row],[Breakdown Time]]*Table1[[#This Row],[Plant Equivalent Weightage]],"")</f>
        <v>0.12318069044620975</v>
      </c>
      <c r="AD197" s="2">
        <v>0.33</v>
      </c>
      <c r="AE197" s="89">
        <f>_xlfn.XLOOKUP($F197,'Modelling New'!$D:$D,'Modelling New'!$O:$O)*Table1[[#This Row],[Lost PoA(Wh/m2)]]*Table1[[#This Row],[DC Capacity Affceted (kW)]]</f>
        <v>600.46645494916788</v>
      </c>
      <c r="AF197" s="2"/>
      <c r="AG197" s="2"/>
    </row>
    <row r="198" spans="1:33" x14ac:dyDescent="0.3">
      <c r="A198" s="67">
        <f t="shared" ref="A198:A214" si="3">A197+1</f>
        <v>195</v>
      </c>
      <c r="B198" s="75">
        <f>YEAR(Table1[[#This Row],[Date]])+IF(MONTH(Table1[[#This Row],[Date]])&gt;=4,1,0)</f>
        <v>2026</v>
      </c>
      <c r="C198" s="74">
        <f>YEAR(Table1[[#This Row],[Date]])</f>
        <v>2025</v>
      </c>
      <c r="D198" s="74" t="s">
        <v>1082</v>
      </c>
      <c r="E198" s="74" t="s">
        <v>1082</v>
      </c>
      <c r="F198" s="181">
        <f>Table1[[#This Row],[Date]]-DAY(Table1[[#This Row],[Date]])+1</f>
        <v>45748</v>
      </c>
      <c r="G198">
        <f>DAY(EOMONTH(Table1[[#This Row],[Month Year]],0))</f>
        <v>30</v>
      </c>
      <c r="H198" s="104">
        <v>45759</v>
      </c>
      <c r="I198" s="76">
        <f>IFERROR(VLOOKUP(Table1[[#This Row],[Date]],Table3[[Date]:[Sunset Time (POA&lt;20 W/m2)]],3,0),"")</f>
        <v>0.25347222222222221</v>
      </c>
      <c r="J198" s="76">
        <f>IFERROR(VLOOKUP(Table1[[#This Row],[Date]],Table3[[Date]:[Sunset Time (POA&lt;20 W/m2)]],4,0),"")</f>
        <v>0.76736111111111116</v>
      </c>
      <c r="K198" s="77">
        <f>IFERROR((Table1[[#This Row],[Sunset Time (POA&lt;20 W/m2)]]-Table1[[#This Row],[Sunrise Time (POA&gt;20 W/m2)]])*24,"")</f>
        <v>12.333333333333336</v>
      </c>
      <c r="L198" s="173" t="s">
        <v>181</v>
      </c>
      <c r="M198" s="91">
        <f>VLOOKUP(Table1[[#This Row],[Affceted Equipment]],'Basic Data'!$A$2:$C$818,2,0)</f>
        <v>2630.8</v>
      </c>
      <c r="N198" s="93">
        <f>IFERROR(VLOOKUP(Table1[[#This Row],[Affceted Equipment]],'Basic Data'!$A$2:$C$818,3,0),"")</f>
        <v>0.32799311797927916</v>
      </c>
      <c r="O198" s="118" t="s">
        <v>303</v>
      </c>
      <c r="P198" s="94" t="s">
        <v>1185</v>
      </c>
      <c r="Q198" s="94"/>
      <c r="R198" s="94" t="s">
        <v>1185</v>
      </c>
      <c r="S198" s="92">
        <v>0.54166666666666663</v>
      </c>
      <c r="T198" s="119"/>
      <c r="U198" s="119"/>
      <c r="V198" s="92">
        <v>0.5625</v>
      </c>
      <c r="W198" s="89">
        <f>IF(Table1[[#This Row],[Acknowledgemnet Time ]]="NA","",(Table1[[#This Row],[Acknowledgemnet Time ]]-Table1[[#This Row],[Fault Time]])*24)</f>
        <v>-13</v>
      </c>
      <c r="X198" s="89">
        <f>IF(Table1[[#This Row],[Work Start time on Fault]]="NA","",(Table1[[#This Row],[Work Start time on Fault]]-Table1[[#This Row],[Fault Time]])*24)</f>
        <v>-13</v>
      </c>
      <c r="Y198" s="52">
        <f>(Table1[[#This Row],[Work Completiuon time on fualt]]-Table1[[#This Row],[Fault Time]])*24</f>
        <v>0.50000000000000089</v>
      </c>
      <c r="Z198" s="52">
        <f>IFERROR((Table1[[#This Row],[Work Completiuon time on fualt]]-Table1[[#This Row],[Fault Time]])*24,"")</f>
        <v>0.50000000000000089</v>
      </c>
      <c r="AA198" s="2" t="s">
        <v>1086</v>
      </c>
      <c r="AB198" s="2" t="s">
        <v>1081</v>
      </c>
      <c r="AC198" s="90">
        <f>IFERROR(Table1[[#This Row],[Breakdown Time]]*Table1[[#This Row],[Plant Equivalent Weightage]],"")</f>
        <v>0.16399655898963986</v>
      </c>
      <c r="AD198" s="2">
        <v>0.45</v>
      </c>
      <c r="AE198" s="89">
        <f>_xlfn.XLOOKUP($F198,'Modelling New'!$D:$D,'Modelling New'!$O:$O)*Table1[[#This Row],[Lost PoA(Wh/m2)]]*Table1[[#This Row],[DC Capacity Affceted (kW)]]</f>
        <v>799.4307552884917</v>
      </c>
      <c r="AF198" s="2"/>
      <c r="AG198" s="2"/>
    </row>
    <row r="199" spans="1:33" x14ac:dyDescent="0.3">
      <c r="A199" s="67">
        <f t="shared" si="3"/>
        <v>196</v>
      </c>
      <c r="B199" s="75">
        <f>YEAR(Table1[[#This Row],[Date]])+IF(MONTH(Table1[[#This Row],[Date]])&gt;=4,1,0)</f>
        <v>2026</v>
      </c>
      <c r="C199" s="74">
        <f>YEAR(Table1[[#This Row],[Date]])</f>
        <v>2025</v>
      </c>
      <c r="D199" s="74" t="s">
        <v>1082</v>
      </c>
      <c r="E199" s="74" t="s">
        <v>1082</v>
      </c>
      <c r="F199" s="181">
        <f>Table1[[#This Row],[Date]]-DAY(Table1[[#This Row],[Date]])+1</f>
        <v>45748</v>
      </c>
      <c r="G199">
        <f>DAY(EOMONTH(Table1[[#This Row],[Month Year]],0))</f>
        <v>30</v>
      </c>
      <c r="H199" s="104">
        <v>45760</v>
      </c>
      <c r="I199" s="76">
        <f>IFERROR(VLOOKUP(Table1[[#This Row],[Date]],Table3[[Date]:[Sunset Time (POA&lt;20 W/m2)]],3,0),"")</f>
        <v>0.25138888888888888</v>
      </c>
      <c r="J199" s="76">
        <f>IFERROR(VLOOKUP(Table1[[#This Row],[Date]],Table3[[Date]:[Sunset Time (POA&lt;20 W/m2)]],4,0),"")</f>
        <v>0.76875000000000004</v>
      </c>
      <c r="K199" s="77">
        <f>IFERROR((Table1[[#This Row],[Sunset Time (POA&lt;20 W/m2)]]-Table1[[#This Row],[Sunrise Time (POA&gt;20 W/m2)]])*24,"")</f>
        <v>12.416666666666668</v>
      </c>
      <c r="L199" s="173" t="s">
        <v>181</v>
      </c>
      <c r="M199" s="61">
        <f>VLOOKUP(Table1[[#This Row],[Affceted Equipment]],'Basic Data'!$A$2:$C$818,2,0)</f>
        <v>2630.8</v>
      </c>
      <c r="N199" s="93">
        <f>IFERROR(VLOOKUP(Table1[[#This Row],[Affceted Equipment]],'Basic Data'!$A$2:$C$818,3,0),"")</f>
        <v>0.32799311797927916</v>
      </c>
      <c r="O199" s="118" t="s">
        <v>303</v>
      </c>
      <c r="P199" s="94" t="s">
        <v>1185</v>
      </c>
      <c r="Q199" s="94"/>
      <c r="R199" s="94" t="s">
        <v>1185</v>
      </c>
      <c r="S199" s="92">
        <v>0.53888888888888886</v>
      </c>
      <c r="T199" s="119"/>
      <c r="U199" s="119"/>
      <c r="V199" s="92">
        <v>0.54791666666666672</v>
      </c>
      <c r="W199" s="89">
        <f>IF(Table1[[#This Row],[Acknowledgemnet Time ]]="NA","",(Table1[[#This Row],[Acknowledgemnet Time ]]-Table1[[#This Row],[Fault Time]])*24)</f>
        <v>-12.933333333333334</v>
      </c>
      <c r="X199" s="89">
        <f>IF(Table1[[#This Row],[Work Start time on Fault]]="NA","",(Table1[[#This Row],[Work Start time on Fault]]-Table1[[#This Row],[Fault Time]])*24)</f>
        <v>-12.933333333333334</v>
      </c>
      <c r="Y199" s="52">
        <f>(Table1[[#This Row],[Work Completiuon time on fualt]]-Table1[[#This Row],[Fault Time]])*24</f>
        <v>0.21666666666666856</v>
      </c>
      <c r="Z199" s="52">
        <f>IFERROR((Table1[[#This Row],[Work Completiuon time on fualt]]-Table1[[#This Row],[Fault Time]])*24,"")</f>
        <v>0.21666666666666856</v>
      </c>
      <c r="AA199" s="2" t="s">
        <v>1086</v>
      </c>
      <c r="AB199" s="2" t="s">
        <v>1081</v>
      </c>
      <c r="AC199" s="90">
        <f>IFERROR(Table1[[#This Row],[Breakdown Time]]*Table1[[#This Row],[Plant Equivalent Weightage]],"")</f>
        <v>7.1065175562177771E-2</v>
      </c>
      <c r="AD199" s="2">
        <v>0.21</v>
      </c>
      <c r="AE199" s="89">
        <f>_xlfn.XLOOKUP($F199,'Modelling New'!$D:$D,'Modelling New'!$O:$O)*Table1[[#This Row],[Lost PoA(Wh/m2)]]*Table1[[#This Row],[DC Capacity Affceted (kW)]]</f>
        <v>373.06768580129608</v>
      </c>
      <c r="AF199" s="2"/>
      <c r="AG199" s="2"/>
    </row>
    <row r="200" spans="1:33" x14ac:dyDescent="0.3">
      <c r="A200" s="67">
        <f t="shared" si="3"/>
        <v>197</v>
      </c>
      <c r="B200" s="75">
        <f>YEAR(Table1[[#This Row],[Date]])+IF(MONTH(Table1[[#This Row],[Date]])&gt;=4,1,0)</f>
        <v>2026</v>
      </c>
      <c r="C200" s="74">
        <f>YEAR(Table1[[#This Row],[Date]])</f>
        <v>2025</v>
      </c>
      <c r="D200" s="74" t="s">
        <v>1082</v>
      </c>
      <c r="E200" s="74" t="s">
        <v>1082</v>
      </c>
      <c r="F200" s="181">
        <f>Table1[[#This Row],[Date]]-DAY(Table1[[#This Row],[Date]])+1</f>
        <v>45748</v>
      </c>
      <c r="G200">
        <f>DAY(EOMONTH(Table1[[#This Row],[Month Year]],0))</f>
        <v>30</v>
      </c>
      <c r="H200" s="104">
        <v>45760</v>
      </c>
      <c r="I200" s="76">
        <f>IFERROR(VLOOKUP(Table1[[#This Row],[Date]],Table3[[Date]:[Sunset Time (POA&lt;20 W/m2)]],3,0),"")</f>
        <v>0.25138888888888888</v>
      </c>
      <c r="J200" s="76">
        <f>IFERROR(VLOOKUP(Table1[[#This Row],[Date]],Table3[[Date]:[Sunset Time (POA&lt;20 W/m2)]],4,0),"")</f>
        <v>0.76875000000000004</v>
      </c>
      <c r="K200" s="77">
        <f>IFERROR((Table1[[#This Row],[Sunset Time (POA&lt;20 W/m2)]]-Table1[[#This Row],[Sunrise Time (POA&gt;20 W/m2)]])*24,"")</f>
        <v>12.416666666666668</v>
      </c>
      <c r="L200" s="173" t="s">
        <v>180</v>
      </c>
      <c r="M200" s="91">
        <f>VLOOKUP(Table1[[#This Row],[Affceted Equipment]],'Basic Data'!$A$2:$C$818,2,0)</f>
        <v>2694.6</v>
      </c>
      <c r="N200" s="93">
        <f>IFERROR(VLOOKUP(Table1[[#This Row],[Affceted Equipment]],'Basic Data'!$A$2:$C$818,3,0),"")</f>
        <v>0.33594733758057077</v>
      </c>
      <c r="O200" s="118" t="s">
        <v>323</v>
      </c>
      <c r="P200" s="94" t="s">
        <v>1185</v>
      </c>
      <c r="Q200" s="94"/>
      <c r="R200" s="94" t="s">
        <v>1185</v>
      </c>
      <c r="S200" s="92">
        <v>0.55000000000000004</v>
      </c>
      <c r="T200" s="119"/>
      <c r="U200" s="119"/>
      <c r="V200" s="92">
        <v>0.55486111111111114</v>
      </c>
      <c r="W200" s="89">
        <f>IF(Table1[[#This Row],[Acknowledgemnet Time ]]="NA","",(Table1[[#This Row],[Acknowledgemnet Time ]]-Table1[[#This Row],[Fault Time]])*24)</f>
        <v>-13.200000000000001</v>
      </c>
      <c r="X200" s="89">
        <f>IF(Table1[[#This Row],[Work Start time on Fault]]="NA","",(Table1[[#This Row],[Work Start time on Fault]]-Table1[[#This Row],[Fault Time]])*24)</f>
        <v>-13.200000000000001</v>
      </c>
      <c r="Y200" s="52">
        <f>(Table1[[#This Row],[Work Completiuon time on fualt]]-Table1[[#This Row],[Fault Time]])*24</f>
        <v>0.11666666666666625</v>
      </c>
      <c r="Z200" s="52">
        <f>IFERROR((Table1[[#This Row],[Work Completiuon time on fualt]]-Table1[[#This Row],[Fault Time]])*24,"")</f>
        <v>0.11666666666666625</v>
      </c>
      <c r="AA200" s="2" t="s">
        <v>1086</v>
      </c>
      <c r="AB200" s="2" t="s">
        <v>1081</v>
      </c>
      <c r="AC200" s="90">
        <f>IFERROR(Table1[[#This Row],[Breakdown Time]]*Table1[[#This Row],[Plant Equivalent Weightage]],"")</f>
        <v>3.9193856051066449E-2</v>
      </c>
      <c r="AD200" s="2">
        <v>0.12</v>
      </c>
      <c r="AE200" s="89">
        <f>_xlfn.XLOOKUP($F200,'Modelling New'!$D:$D,'Modelling New'!$O:$O)*Table1[[#This Row],[Lost PoA(Wh/m2)]]*Table1[[#This Row],[DC Capacity Affceted (kW)]]</f>
        <v>218.3514381633338</v>
      </c>
      <c r="AF200" s="2"/>
      <c r="AG200" s="2"/>
    </row>
    <row r="201" spans="1:33" x14ac:dyDescent="0.3">
      <c r="A201" s="67">
        <f t="shared" si="3"/>
        <v>198</v>
      </c>
      <c r="B201" s="75">
        <f>YEAR(Table1[[#This Row],[Date]])+IF(MONTH(Table1[[#This Row],[Date]])&gt;=4,1,0)</f>
        <v>2026</v>
      </c>
      <c r="C201" s="74">
        <f>YEAR(Table1[[#This Row],[Date]])</f>
        <v>2025</v>
      </c>
      <c r="D201" s="74" t="s">
        <v>1082</v>
      </c>
      <c r="E201" s="74" t="s">
        <v>1082</v>
      </c>
      <c r="F201" s="181">
        <f>Table1[[#This Row],[Date]]-DAY(Table1[[#This Row],[Date]])+1</f>
        <v>45748</v>
      </c>
      <c r="G201">
        <f>DAY(EOMONTH(Table1[[#This Row],[Month Year]],0))</f>
        <v>30</v>
      </c>
      <c r="H201" s="104">
        <v>45760</v>
      </c>
      <c r="I201" s="76">
        <f>IFERROR(VLOOKUP(Table1[[#This Row],[Date]],Table3[[Date]:[Sunset Time (POA&lt;20 W/m2)]],3,0),"")</f>
        <v>0.25138888888888888</v>
      </c>
      <c r="J201" s="76">
        <f>IFERROR(VLOOKUP(Table1[[#This Row],[Date]],Table3[[Date]:[Sunset Time (POA&lt;20 W/m2)]],4,0),"")</f>
        <v>0.76875000000000004</v>
      </c>
      <c r="K201" s="77">
        <f>IFERROR((Table1[[#This Row],[Sunset Time (POA&lt;20 W/m2)]]-Table1[[#This Row],[Sunrise Time (POA&gt;20 W/m2)]])*24,"")</f>
        <v>12.416666666666668</v>
      </c>
      <c r="L201" s="108" t="s">
        <v>180</v>
      </c>
      <c r="M201" s="91">
        <f>VLOOKUP(Table1[[#This Row],[Affceted Equipment]],'Basic Data'!$A$2:$C$818,2,0)</f>
        <v>2694.6</v>
      </c>
      <c r="N201" s="93">
        <f>IFERROR(VLOOKUP(Table1[[#This Row],[Affceted Equipment]],'Basic Data'!$A$2:$C$818,3,0),"")</f>
        <v>0.33594733758057077</v>
      </c>
      <c r="O201" s="118" t="s">
        <v>323</v>
      </c>
      <c r="P201" s="94" t="s">
        <v>1185</v>
      </c>
      <c r="Q201" s="94"/>
      <c r="R201" s="94" t="s">
        <v>1185</v>
      </c>
      <c r="S201" s="92">
        <v>0.56458333333333333</v>
      </c>
      <c r="T201" s="119"/>
      <c r="U201" s="119"/>
      <c r="V201" s="92">
        <v>0.56874999999999998</v>
      </c>
      <c r="W201" s="89">
        <f>IF(Table1[[#This Row],[Acknowledgemnet Time ]]="NA","",(Table1[[#This Row],[Acknowledgemnet Time ]]-Table1[[#This Row],[Fault Time]])*24)</f>
        <v>-13.55</v>
      </c>
      <c r="X201" s="89">
        <f>IF(Table1[[#This Row],[Work Start time on Fault]]="NA","",(Table1[[#This Row],[Work Start time on Fault]]-Table1[[#This Row],[Fault Time]])*24)</f>
        <v>-13.55</v>
      </c>
      <c r="Y201" s="52">
        <f>(Table1[[#This Row],[Work Completiuon time on fualt]]-Table1[[#This Row],[Fault Time]])*24</f>
        <v>9.9999999999999645E-2</v>
      </c>
      <c r="Z201" s="52">
        <f>IFERROR((Table1[[#This Row],[Work Completiuon time on fualt]]-Table1[[#This Row],[Fault Time]])*24,"")</f>
        <v>9.9999999999999645E-2</v>
      </c>
      <c r="AA201" s="2" t="s">
        <v>1086</v>
      </c>
      <c r="AB201" s="2" t="s">
        <v>1081</v>
      </c>
      <c r="AC201" s="90">
        <f>IFERROR(Table1[[#This Row],[Breakdown Time]]*Table1[[#This Row],[Plant Equivalent Weightage]],"")</f>
        <v>3.3594733758056959E-2</v>
      </c>
      <c r="AD201" s="2">
        <v>0.11</v>
      </c>
      <c r="AE201" s="89">
        <f>_xlfn.XLOOKUP($F201,'Modelling New'!$D:$D,'Modelling New'!$O:$O)*Table1[[#This Row],[Lost PoA(Wh/m2)]]*Table1[[#This Row],[DC Capacity Affceted (kW)]]</f>
        <v>200.155484983056</v>
      </c>
      <c r="AF201" s="2"/>
      <c r="AG201" s="2"/>
    </row>
    <row r="202" spans="1:33" x14ac:dyDescent="0.3">
      <c r="A202" s="67">
        <f t="shared" si="3"/>
        <v>199</v>
      </c>
      <c r="B202" s="75">
        <f>YEAR(Table1[[#This Row],[Date]])+IF(MONTH(Table1[[#This Row],[Date]])&gt;=4,1,0)</f>
        <v>2026</v>
      </c>
      <c r="C202" s="74">
        <f>YEAR(Table1[[#This Row],[Date]])</f>
        <v>2025</v>
      </c>
      <c r="D202" s="74" t="s">
        <v>1082</v>
      </c>
      <c r="E202" s="74" t="s">
        <v>1082</v>
      </c>
      <c r="F202" s="181">
        <f>Table1[[#This Row],[Date]]-DAY(Table1[[#This Row],[Date]])+1</f>
        <v>45748</v>
      </c>
      <c r="G202">
        <f>DAY(EOMONTH(Table1[[#This Row],[Month Year]],0))</f>
        <v>30</v>
      </c>
      <c r="H202" s="104">
        <v>45761</v>
      </c>
      <c r="I202" s="76">
        <f>IFERROR(VLOOKUP(Table1[[#This Row],[Date]],Table3[[Date]:[Sunset Time (POA&lt;20 W/m2)]],3,0),"")</f>
        <v>0.25069444444444444</v>
      </c>
      <c r="J202" s="76">
        <f>IFERROR(VLOOKUP(Table1[[#This Row],[Date]],Table3[[Date]:[Sunset Time (POA&lt;20 W/m2)]],4,0),"")</f>
        <v>0.77013888888888893</v>
      </c>
      <c r="K202" s="77">
        <f>IFERROR((Table1[[#This Row],[Sunset Time (POA&lt;20 W/m2)]]-Table1[[#This Row],[Sunrise Time (POA&gt;20 W/m2)]])*24,"")</f>
        <v>12.466666666666669</v>
      </c>
      <c r="L202" s="173" t="s">
        <v>180</v>
      </c>
      <c r="M202" s="61">
        <f>VLOOKUP(Table1[[#This Row],[Affceted Equipment]],'Basic Data'!$A$2:$C$818,2,0)</f>
        <v>2694.6</v>
      </c>
      <c r="N202" s="93">
        <f>IFERROR(VLOOKUP(Table1[[#This Row],[Affceted Equipment]],'Basic Data'!$A$2:$C$818,3,0),"")</f>
        <v>0.33594733758057077</v>
      </c>
      <c r="O202" s="118" t="s">
        <v>323</v>
      </c>
      <c r="P202" s="94" t="s">
        <v>1185</v>
      </c>
      <c r="Q202" s="94"/>
      <c r="R202" s="94" t="s">
        <v>1185</v>
      </c>
      <c r="S202" s="92">
        <v>0.52708333333333335</v>
      </c>
      <c r="T202" s="119"/>
      <c r="U202" s="119"/>
      <c r="V202" s="92">
        <v>0.54097222222222219</v>
      </c>
      <c r="W202" s="89">
        <f>IF(Table1[[#This Row],[Acknowledgemnet Time ]]="NA","",(Table1[[#This Row],[Acknowledgemnet Time ]]-Table1[[#This Row],[Fault Time]])*24)</f>
        <v>-12.65</v>
      </c>
      <c r="X202" s="89">
        <f>IF(Table1[[#This Row],[Work Start time on Fault]]="NA","",(Table1[[#This Row],[Work Start time on Fault]]-Table1[[#This Row],[Fault Time]])*24)</f>
        <v>-12.65</v>
      </c>
      <c r="Y202" s="52">
        <f>(Table1[[#This Row],[Work Completiuon time on fualt]]-Table1[[#This Row],[Fault Time]])*24</f>
        <v>0.33333333333333215</v>
      </c>
      <c r="Z202" s="52">
        <f>IFERROR((Table1[[#This Row],[Work Completiuon time on fualt]]-Table1[[#This Row],[Fault Time]])*24,"")</f>
        <v>0.33333333333333215</v>
      </c>
      <c r="AA202" s="2" t="s">
        <v>1086</v>
      </c>
      <c r="AB202" s="2" t="s">
        <v>1081</v>
      </c>
      <c r="AC202" s="90">
        <f>IFERROR(Table1[[#This Row],[Breakdown Time]]*Table1[[#This Row],[Plant Equivalent Weightage]],"")</f>
        <v>0.11198244586018986</v>
      </c>
      <c r="AD202" s="2">
        <v>0.33</v>
      </c>
      <c r="AE202" s="89">
        <f>_xlfn.XLOOKUP($F202,'Modelling New'!$D:$D,'Modelling New'!$O:$O)*Table1[[#This Row],[Lost PoA(Wh/m2)]]*Table1[[#This Row],[DC Capacity Affceted (kW)]]</f>
        <v>600.46645494916788</v>
      </c>
      <c r="AF202" s="2"/>
      <c r="AG202" s="2"/>
    </row>
    <row r="203" spans="1:33" x14ac:dyDescent="0.3">
      <c r="A203" s="67">
        <f t="shared" si="3"/>
        <v>200</v>
      </c>
      <c r="B203" s="75">
        <f>YEAR(Table1[[#This Row],[Date]])+IF(MONTH(Table1[[#This Row],[Date]])&gt;=4,1,0)</f>
        <v>2026</v>
      </c>
      <c r="C203" s="74">
        <f>YEAR(Table1[[#This Row],[Date]])</f>
        <v>2025</v>
      </c>
      <c r="D203" s="74" t="s">
        <v>1082</v>
      </c>
      <c r="E203" s="74" t="s">
        <v>1082</v>
      </c>
      <c r="F203" s="181">
        <f>Table1[[#This Row],[Date]]-DAY(Table1[[#This Row],[Date]])+1</f>
        <v>45748</v>
      </c>
      <c r="G203">
        <f>DAY(EOMONTH(Table1[[#This Row],[Month Year]],0))</f>
        <v>30</v>
      </c>
      <c r="H203" s="104">
        <v>45761</v>
      </c>
      <c r="I203" s="76">
        <f>IFERROR(VLOOKUP(Table1[[#This Row],[Date]],Table3[[Date]:[Sunset Time (POA&lt;20 W/m2)]],3,0),"")</f>
        <v>0.25069444444444444</v>
      </c>
      <c r="J203" s="76">
        <f>IFERROR(VLOOKUP(Table1[[#This Row],[Date]],Table3[[Date]:[Sunset Time (POA&lt;20 W/m2)]],4,0),"")</f>
        <v>0.77013888888888893</v>
      </c>
      <c r="K203" s="77">
        <f>IFERROR((Table1[[#This Row],[Sunset Time (POA&lt;20 W/m2)]]-Table1[[#This Row],[Sunrise Time (POA&gt;20 W/m2)]])*24,"")</f>
        <v>12.466666666666669</v>
      </c>
      <c r="L203" s="173" t="s">
        <v>181</v>
      </c>
      <c r="M203" s="91">
        <f>VLOOKUP(Table1[[#This Row],[Affceted Equipment]],'Basic Data'!$A$2:$C$818,2,0)</f>
        <v>2630.8</v>
      </c>
      <c r="N203" s="93">
        <f>IFERROR(VLOOKUP(Table1[[#This Row],[Affceted Equipment]],'Basic Data'!$A$2:$C$818,3,0),"")</f>
        <v>0.32799311797927916</v>
      </c>
      <c r="O203" s="118" t="s">
        <v>303</v>
      </c>
      <c r="P203" s="94" t="s">
        <v>1185</v>
      </c>
      <c r="Q203" s="94"/>
      <c r="R203" s="94" t="s">
        <v>1185</v>
      </c>
      <c r="S203" s="92">
        <v>0.52638888888888891</v>
      </c>
      <c r="T203" s="119"/>
      <c r="U203" s="119"/>
      <c r="V203" s="92">
        <v>0.55069444444444449</v>
      </c>
      <c r="W203" s="89">
        <f>IF(Table1[[#This Row],[Acknowledgemnet Time ]]="NA","",(Table1[[#This Row],[Acknowledgemnet Time ]]-Table1[[#This Row],[Fault Time]])*24)</f>
        <v>-12.633333333333333</v>
      </c>
      <c r="X203" s="89">
        <f>IF(Table1[[#This Row],[Work Start time on Fault]]="NA","",(Table1[[#This Row],[Work Start time on Fault]]-Table1[[#This Row],[Fault Time]])*24)</f>
        <v>-12.633333333333333</v>
      </c>
      <c r="Y203" s="52">
        <f>(Table1[[#This Row],[Work Completiuon time on fualt]]-Table1[[#This Row],[Fault Time]])*24</f>
        <v>0.58333333333333393</v>
      </c>
      <c r="Z203" s="52">
        <f>IFERROR((Table1[[#This Row],[Work Completiuon time on fualt]]-Table1[[#This Row],[Fault Time]])*24,"")</f>
        <v>0.58333333333333393</v>
      </c>
      <c r="AA203" s="2" t="s">
        <v>1086</v>
      </c>
      <c r="AB203" s="2" t="s">
        <v>1081</v>
      </c>
      <c r="AC203" s="90">
        <f>IFERROR(Table1[[#This Row],[Breakdown Time]]*Table1[[#This Row],[Plant Equivalent Weightage]],"")</f>
        <v>0.19132931882124637</v>
      </c>
      <c r="AD203" s="2">
        <v>0.56000000000000005</v>
      </c>
      <c r="AE203" s="89">
        <f>_xlfn.XLOOKUP($F203,'Modelling New'!$D:$D,'Modelling New'!$O:$O)*Table1[[#This Row],[Lost PoA(Wh/m2)]]*Table1[[#This Row],[DC Capacity Affceted (kW)]]</f>
        <v>994.84716213678973</v>
      </c>
      <c r="AF203" s="2"/>
      <c r="AG203" s="2"/>
    </row>
    <row r="204" spans="1:33" x14ac:dyDescent="0.3">
      <c r="A204" s="67">
        <f t="shared" si="3"/>
        <v>201</v>
      </c>
      <c r="B204" s="75">
        <f>YEAR(Table1[[#This Row],[Date]])+IF(MONTH(Table1[[#This Row],[Date]])&gt;=4,1,0)</f>
        <v>2026</v>
      </c>
      <c r="C204" s="74">
        <f>YEAR(Table1[[#This Row],[Date]])</f>
        <v>2025</v>
      </c>
      <c r="D204" s="74" t="s">
        <v>1082</v>
      </c>
      <c r="E204" s="74" t="s">
        <v>1082</v>
      </c>
      <c r="F204" s="181">
        <f>Table1[[#This Row],[Date]]-DAY(Table1[[#This Row],[Date]])+1</f>
        <v>45748</v>
      </c>
      <c r="G204">
        <f>DAY(EOMONTH(Table1[[#This Row],[Month Year]],0))</f>
        <v>30</v>
      </c>
      <c r="H204" s="104">
        <v>45762</v>
      </c>
      <c r="I204" s="76">
        <f>IFERROR(VLOOKUP(Table1[[#This Row],[Date]],Table3[[Date]:[Sunset Time (POA&lt;20 W/m2)]],3,0),"")</f>
        <v>0.25069444444444444</v>
      </c>
      <c r="J204" s="76">
        <f>IFERROR(VLOOKUP(Table1[[#This Row],[Date]],Table3[[Date]:[Sunset Time (POA&lt;20 W/m2)]],4,0),"")</f>
        <v>0.77569444444444446</v>
      </c>
      <c r="K204" s="77">
        <f>IFERROR((Table1[[#This Row],[Sunset Time (POA&lt;20 W/m2)]]-Table1[[#This Row],[Sunrise Time (POA&gt;20 W/m2)]])*24,"")</f>
        <v>12.600000000000001</v>
      </c>
      <c r="L204" s="173" t="s">
        <v>181</v>
      </c>
      <c r="M204" s="91">
        <f>VLOOKUP(Table1[[#This Row],[Affceted Equipment]],'Basic Data'!$A$2:$C$818,2,0)</f>
        <v>2630.8</v>
      </c>
      <c r="N204" s="93">
        <f>IFERROR(VLOOKUP(Table1[[#This Row],[Affceted Equipment]],'Basic Data'!$A$2:$C$818,3,0),"")</f>
        <v>0.32799311797927916</v>
      </c>
      <c r="O204" s="118" t="s">
        <v>303</v>
      </c>
      <c r="P204" s="94" t="s">
        <v>1185</v>
      </c>
      <c r="Q204" s="94"/>
      <c r="R204" s="94" t="s">
        <v>1185</v>
      </c>
      <c r="S204" s="92">
        <v>0.52430555555555558</v>
      </c>
      <c r="T204" s="119"/>
      <c r="U204" s="119"/>
      <c r="V204" s="92">
        <v>0.53472222222222221</v>
      </c>
      <c r="W204" s="89">
        <f>IF(Table1[[#This Row],[Acknowledgemnet Time ]]="NA","",(Table1[[#This Row],[Acknowledgemnet Time ]]-Table1[[#This Row],[Fault Time]])*24)</f>
        <v>-12.583333333333334</v>
      </c>
      <c r="X204" s="89">
        <f>IF(Table1[[#This Row],[Work Start time on Fault]]="NA","",(Table1[[#This Row],[Work Start time on Fault]]-Table1[[#This Row],[Fault Time]])*24)</f>
        <v>-12.583333333333334</v>
      </c>
      <c r="Y204" s="52">
        <f>(Table1[[#This Row],[Work Completiuon time on fualt]]-Table1[[#This Row],[Fault Time]])*24</f>
        <v>0.24999999999999911</v>
      </c>
      <c r="Z204" s="52">
        <f>IFERROR((Table1[[#This Row],[Work Completiuon time on fualt]]-Table1[[#This Row],[Fault Time]])*24,"")</f>
        <v>0.24999999999999911</v>
      </c>
      <c r="AA204" s="2" t="s">
        <v>1086</v>
      </c>
      <c r="AB204" s="2" t="s">
        <v>1081</v>
      </c>
      <c r="AC204" s="90">
        <f>IFERROR(Table1[[#This Row],[Breakdown Time]]*Table1[[#This Row],[Plant Equivalent Weightage]],"")</f>
        <v>8.1998279494819498E-2</v>
      </c>
      <c r="AD204" s="2">
        <v>0.23</v>
      </c>
      <c r="AE204" s="89">
        <f>_xlfn.XLOOKUP($F204,'Modelling New'!$D:$D,'Modelling New'!$O:$O)*Table1[[#This Row],[Lost PoA(Wh/m2)]]*Table1[[#This Row],[DC Capacity Affceted (kW)]]</f>
        <v>408.59794159189579</v>
      </c>
      <c r="AF204" s="2"/>
      <c r="AG204" s="2"/>
    </row>
    <row r="205" spans="1:33" x14ac:dyDescent="0.3">
      <c r="A205" s="67">
        <f t="shared" si="3"/>
        <v>202</v>
      </c>
      <c r="B205" s="75">
        <f>YEAR(Table1[[#This Row],[Date]])+IF(MONTH(Table1[[#This Row],[Date]])&gt;=4,1,0)</f>
        <v>2026</v>
      </c>
      <c r="C205" s="74">
        <f>YEAR(Table1[[#This Row],[Date]])</f>
        <v>2025</v>
      </c>
      <c r="D205" s="74" t="s">
        <v>1082</v>
      </c>
      <c r="E205" s="74" t="s">
        <v>1082</v>
      </c>
      <c r="F205" s="181">
        <f>Table1[[#This Row],[Date]]-DAY(Table1[[#This Row],[Date]])+1</f>
        <v>45748</v>
      </c>
      <c r="G205">
        <f>DAY(EOMONTH(Table1[[#This Row],[Month Year]],0))</f>
        <v>30</v>
      </c>
      <c r="H205" s="104">
        <v>45763</v>
      </c>
      <c r="I205" s="76">
        <f>IFERROR(VLOOKUP(Table1[[#This Row],[Date]],Table3[[Date]:[Sunset Time (POA&lt;20 W/m2)]],3,0),"")</f>
        <v>0.25</v>
      </c>
      <c r="J205" s="76">
        <f>IFERROR(VLOOKUP(Table1[[#This Row],[Date]],Table3[[Date]:[Sunset Time (POA&lt;20 W/m2)]],4,0),"")</f>
        <v>0.77083333333333337</v>
      </c>
      <c r="K205" s="77">
        <f>IFERROR((Table1[[#This Row],[Sunset Time (POA&lt;20 W/m2)]]-Table1[[#This Row],[Sunrise Time (POA&gt;20 W/m2)]])*24,"")</f>
        <v>12.5</v>
      </c>
      <c r="L205" s="173" t="s">
        <v>180</v>
      </c>
      <c r="M205" s="61">
        <f>VLOOKUP(Table1[[#This Row],[Affceted Equipment]],'Basic Data'!$A$2:$C$818,2,0)</f>
        <v>2694.6</v>
      </c>
      <c r="N205" s="93">
        <f>IFERROR(VLOOKUP(Table1[[#This Row],[Affceted Equipment]],'Basic Data'!$A$2:$C$818,3,0),"")</f>
        <v>0.33594733758057077</v>
      </c>
      <c r="O205" s="118" t="s">
        <v>323</v>
      </c>
      <c r="P205" s="94" t="s">
        <v>325</v>
      </c>
      <c r="Q205" s="94"/>
      <c r="R205" s="94" t="s">
        <v>325</v>
      </c>
      <c r="S205" s="92">
        <v>0.63611111111111107</v>
      </c>
      <c r="T205" s="119"/>
      <c r="U205" s="119"/>
      <c r="V205" s="92">
        <v>0.65972222222222221</v>
      </c>
      <c r="W205" s="89">
        <f>IF(Table1[[#This Row],[Acknowledgemnet Time ]]="NA","",(Table1[[#This Row],[Acknowledgemnet Time ]]-Table1[[#This Row],[Fault Time]])*24)</f>
        <v>-15.266666666666666</v>
      </c>
      <c r="X205" s="89">
        <f>IF(Table1[[#This Row],[Work Start time on Fault]]="NA","",(Table1[[#This Row],[Work Start time on Fault]]-Table1[[#This Row],[Fault Time]])*24)</f>
        <v>-15.266666666666666</v>
      </c>
      <c r="Y205" s="52">
        <f>(Table1[[#This Row],[Work Completiuon time on fualt]]-Table1[[#This Row],[Fault Time]])*24</f>
        <v>0.56666666666666732</v>
      </c>
      <c r="Z205" s="52">
        <f>IFERROR((Table1[[#This Row],[Work Completiuon time on fualt]]-Table1[[#This Row],[Fault Time]])*24,"")</f>
        <v>0.56666666666666732</v>
      </c>
      <c r="AA205" s="2" t="s">
        <v>1086</v>
      </c>
      <c r="AB205" s="2" t="s">
        <v>1081</v>
      </c>
      <c r="AC205" s="90">
        <f>IFERROR(Table1[[#This Row],[Breakdown Time]]*Table1[[#This Row],[Plant Equivalent Weightage]],"")</f>
        <v>0.19037015796232365</v>
      </c>
      <c r="AD205" s="2">
        <v>0.27</v>
      </c>
      <c r="AE205" s="89">
        <f>_xlfn.XLOOKUP($F205,'Modelling New'!$D:$D,'Modelling New'!$O:$O)*Table1[[#This Row],[Lost PoA(Wh/m2)]]*Table1[[#This Row],[DC Capacity Affceted (kW)]]</f>
        <v>491.2907358675011</v>
      </c>
      <c r="AF205" s="2"/>
      <c r="AG205" s="2"/>
    </row>
    <row r="206" spans="1:33" x14ac:dyDescent="0.3">
      <c r="A206" s="67">
        <f t="shared" si="3"/>
        <v>203</v>
      </c>
      <c r="B206" s="75">
        <f>YEAR(Table1[[#This Row],[Date]])+IF(MONTH(Table1[[#This Row],[Date]])&gt;=4,1,0)</f>
        <v>2026</v>
      </c>
      <c r="C206" s="74">
        <f>YEAR(Table1[[#This Row],[Date]])</f>
        <v>2025</v>
      </c>
      <c r="D206" s="74" t="s">
        <v>1082</v>
      </c>
      <c r="E206" s="74" t="s">
        <v>1082</v>
      </c>
      <c r="F206" s="189">
        <f>Table1[[#This Row],[Date]]-DAY(Table1[[#This Row],[Date]])+1</f>
        <v>45748</v>
      </c>
      <c r="G206">
        <f>DAY(EOMONTH(Table1[[#This Row],[Month Year]],0))</f>
        <v>30</v>
      </c>
      <c r="H206" s="104">
        <v>45776</v>
      </c>
      <c r="I206" s="76">
        <f>IFERROR(VLOOKUP(Table1[[#This Row],[Date]],Table3[[Date]:[Sunset Time (POA&lt;20 W/m2)]],3,0),"")</f>
        <v>0.25208333333333333</v>
      </c>
      <c r="J206" s="76">
        <f>IFERROR(VLOOKUP(Table1[[#This Row],[Date]],Table3[[Date]:[Sunset Time (POA&lt;20 W/m2)]],4,0),"")</f>
        <v>0.77708333333333335</v>
      </c>
      <c r="K206" s="77">
        <f>IFERROR((Table1[[#This Row],[Sunset Time (POA&lt;20 W/m2)]]-Table1[[#This Row],[Sunrise Time (POA&gt;20 W/m2)]])*24,"")</f>
        <v>12.600000000000001</v>
      </c>
      <c r="L206" s="108" t="s">
        <v>181</v>
      </c>
      <c r="M206" s="91">
        <f>VLOOKUP(Table1[[#This Row],[Affceted Equipment]],'Basic Data'!$A$2:$C$818,2,0)</f>
        <v>2630.8</v>
      </c>
      <c r="N206" s="93">
        <f>IFERROR(VLOOKUP(Table1[[#This Row],[Affceted Equipment]],'Basic Data'!$A$2:$C$818,3,0),"")</f>
        <v>0.32799311797927916</v>
      </c>
      <c r="O206" s="118" t="s">
        <v>303</v>
      </c>
      <c r="P206" s="94" t="s">
        <v>325</v>
      </c>
      <c r="Q206" s="94"/>
      <c r="R206" s="94" t="s">
        <v>325</v>
      </c>
      <c r="S206" s="92">
        <v>0.65972222222222221</v>
      </c>
      <c r="T206" s="119"/>
      <c r="U206" s="119"/>
      <c r="V206" s="92">
        <v>0.67500000000000004</v>
      </c>
      <c r="W206" s="89">
        <f>IF(Table1[[#This Row],[Acknowledgemnet Time ]]="NA","",(Table1[[#This Row],[Acknowledgemnet Time ]]-Table1[[#This Row],[Fault Time]])*24)</f>
        <v>-15.833333333333332</v>
      </c>
      <c r="X206" s="89">
        <f>IF(Table1[[#This Row],[Work Start time on Fault]]="NA","",(Table1[[#This Row],[Work Start time on Fault]]-Table1[[#This Row],[Fault Time]])*24)</f>
        <v>-15.833333333333332</v>
      </c>
      <c r="Y206" s="52">
        <f>(Table1[[#This Row],[Work Completiuon time on fualt]]-Table1[[#This Row],[Fault Time]])*24</f>
        <v>0.36666666666666803</v>
      </c>
      <c r="Z206" s="52">
        <f>IFERROR((Table1[[#This Row],[Work Completiuon time on fualt]]-Table1[[#This Row],[Fault Time]])*24,"")</f>
        <v>0.36666666666666803</v>
      </c>
      <c r="AA206" s="2" t="s">
        <v>1086</v>
      </c>
      <c r="AB206" s="2" t="s">
        <v>1081</v>
      </c>
      <c r="AC206" s="90">
        <f>IFERROR(Table1[[#This Row],[Breakdown Time]]*Table1[[#This Row],[Plant Equivalent Weightage]],"")</f>
        <v>0.12026414325906948</v>
      </c>
      <c r="AD206" s="2">
        <v>0.04</v>
      </c>
      <c r="AE206" s="89">
        <f>_xlfn.XLOOKUP($F206,'Modelling New'!$D:$D,'Modelling New'!$O:$O)*Table1[[#This Row],[Lost PoA(Wh/m2)]]*Table1[[#This Row],[DC Capacity Affceted (kW)]]</f>
        <v>71.060511581199265</v>
      </c>
      <c r="AF206" s="2"/>
      <c r="AG206" s="2"/>
    </row>
    <row r="207" spans="1:33" x14ac:dyDescent="0.3">
      <c r="A207" s="67">
        <f t="shared" si="3"/>
        <v>204</v>
      </c>
      <c r="B207" s="75">
        <f>YEAR(Table1[[#This Row],[Date]])+IF(MONTH(Table1[[#This Row],[Date]])&gt;=4,1,0)</f>
        <v>2026</v>
      </c>
      <c r="C207" s="74">
        <f>YEAR(Table1[[#This Row],[Date]])</f>
        <v>2025</v>
      </c>
      <c r="D207" s="74" t="s">
        <v>1082</v>
      </c>
      <c r="E207" s="74" t="s">
        <v>1082</v>
      </c>
      <c r="F207" s="181">
        <f>Table1[[#This Row],[Date]]-DAY(Table1[[#This Row],[Date]])+1</f>
        <v>45778</v>
      </c>
      <c r="G207">
        <f>DAY(EOMONTH(Table1[[#This Row],[Month Year]],0))</f>
        <v>31</v>
      </c>
      <c r="H207" s="104">
        <v>45792</v>
      </c>
      <c r="I207" s="76">
        <f>IFERROR(VLOOKUP(Table1[[#This Row],[Date]],Table3[[Date]:[Sunset Time (POA&lt;20 W/m2)]],3,0),"")</f>
        <v>0.26874999999999999</v>
      </c>
      <c r="J207" s="76">
        <f>IFERROR(VLOOKUP(Table1[[#This Row],[Date]],Table3[[Date]:[Sunset Time (POA&lt;20 W/m2)]],4,0),"")</f>
        <v>0.77708333333333335</v>
      </c>
      <c r="K207" s="77">
        <f>IFERROR((Table1[[#This Row],[Sunset Time (POA&lt;20 W/m2)]]-Table1[[#This Row],[Sunrise Time (POA&gt;20 W/m2)]])*24,"")</f>
        <v>12.2</v>
      </c>
      <c r="L207" s="108" t="s">
        <v>181</v>
      </c>
      <c r="M207" s="61">
        <f>VLOOKUP(Table1[[#This Row],[Affceted Equipment]],'Basic Data'!$A$2:$C$818,2,0)</f>
        <v>2630.8</v>
      </c>
      <c r="N207" s="93">
        <f>IFERROR(VLOOKUP(Table1[[#This Row],[Affceted Equipment]],'Basic Data'!$A$2:$C$818,3,0),"")</f>
        <v>0.32799311797927916</v>
      </c>
      <c r="O207" s="118" t="s">
        <v>303</v>
      </c>
      <c r="P207" s="94" t="s">
        <v>325</v>
      </c>
      <c r="Q207" s="94"/>
      <c r="R207" s="94" t="s">
        <v>325</v>
      </c>
      <c r="S207" s="92">
        <v>0.31736111111111109</v>
      </c>
      <c r="T207" s="119"/>
      <c r="U207" s="119"/>
      <c r="V207" s="92">
        <v>0.42986111111111114</v>
      </c>
      <c r="W207" s="89">
        <f>IF(Table1[[#This Row],[Acknowledgemnet Time ]]="NA","",(Table1[[#This Row],[Acknowledgemnet Time ]]-Table1[[#This Row],[Fault Time]])*24)</f>
        <v>-7.6166666666666663</v>
      </c>
      <c r="X207" s="89">
        <f>IF(Table1[[#This Row],[Work Start time on Fault]]="NA","",(Table1[[#This Row],[Work Start time on Fault]]-Table1[[#This Row],[Fault Time]])*24)</f>
        <v>-7.6166666666666663</v>
      </c>
      <c r="Y207" s="52">
        <f>(Table1[[#This Row],[Work Completiuon time on fualt]]-Table1[[#This Row],[Fault Time]])*24</f>
        <v>2.7000000000000011</v>
      </c>
      <c r="Z207" s="52">
        <f>IFERROR((Table1[[#This Row],[Work Completiuon time on fualt]]-Table1[[#This Row],[Fault Time]])*24,"")</f>
        <v>2.7000000000000011</v>
      </c>
      <c r="AA207" s="2" t="s">
        <v>1086</v>
      </c>
      <c r="AB207" s="2" t="s">
        <v>1081</v>
      </c>
      <c r="AC207" s="90">
        <f>IFERROR(Table1[[#This Row],[Breakdown Time]]*Table1[[#This Row],[Plant Equivalent Weightage]],"")</f>
        <v>0.88558141854405403</v>
      </c>
      <c r="AD207" s="2">
        <v>0.21</v>
      </c>
      <c r="AE207" s="89">
        <f>_xlfn.XLOOKUP($F207,'Modelling New'!$D:$D,'Modelling New'!$O:$O)*Table1[[#This Row],[Lost PoA(Wh/m2)]]*Table1[[#This Row],[DC Capacity Affceted (kW)]]</f>
        <v>384.63724273893541</v>
      </c>
      <c r="AF207" s="2"/>
      <c r="AG207" s="2"/>
    </row>
    <row r="208" spans="1:33" x14ac:dyDescent="0.3">
      <c r="A208" s="67">
        <f t="shared" si="3"/>
        <v>205</v>
      </c>
      <c r="B208" s="75">
        <f>YEAR(Table1[[#This Row],[Date]])+IF(MONTH(Table1[[#This Row],[Date]])&gt;=4,1,0)</f>
        <v>2026</v>
      </c>
      <c r="C208" s="74">
        <f>YEAR(Table1[[#This Row],[Date]])</f>
        <v>2025</v>
      </c>
      <c r="D208" s="74" t="s">
        <v>1082</v>
      </c>
      <c r="E208" s="74" t="s">
        <v>1082</v>
      </c>
      <c r="F208" s="181">
        <f>Table1[[#This Row],[Date]]-DAY(Table1[[#This Row],[Date]])+1</f>
        <v>45778</v>
      </c>
      <c r="G208">
        <f>DAY(EOMONTH(Table1[[#This Row],[Month Year]],0))</f>
        <v>31</v>
      </c>
      <c r="H208" s="104">
        <v>45792</v>
      </c>
      <c r="I208" s="76">
        <f>IFERROR(VLOOKUP(Table1[[#This Row],[Date]],Table3[[Date]:[Sunset Time (POA&lt;20 W/m2)]],3,0),"")</f>
        <v>0.26874999999999999</v>
      </c>
      <c r="J208" s="76">
        <f>IFERROR(VLOOKUP(Table1[[#This Row],[Date]],Table3[[Date]:[Sunset Time (POA&lt;20 W/m2)]],4,0),"")</f>
        <v>0.77708333333333335</v>
      </c>
      <c r="K208" s="77">
        <f>IFERROR((Table1[[#This Row],[Sunset Time (POA&lt;20 W/m2)]]-Table1[[#This Row],[Sunrise Time (POA&gt;20 W/m2)]])*24,"")</f>
        <v>12.2</v>
      </c>
      <c r="L208" s="108" t="s">
        <v>182</v>
      </c>
      <c r="M208" s="61">
        <f>VLOOKUP(Table1[[#This Row],[Affceted Equipment]],'Basic Data'!$A$2:$C$818,2,0)</f>
        <v>2695.5</v>
      </c>
      <c r="N208" s="93">
        <f>IFERROR(VLOOKUP(Table1[[#This Row],[Affceted Equipment]],'Basic Data'!$A$2:$C$818,3,0),"")</f>
        <v>0.33605954444015013</v>
      </c>
      <c r="O208" s="118" t="s">
        <v>1199</v>
      </c>
      <c r="P208" s="94" t="s">
        <v>325</v>
      </c>
      <c r="Q208" s="94"/>
      <c r="R208" s="94" t="s">
        <v>325</v>
      </c>
      <c r="S208" s="92">
        <v>0.39305555555555555</v>
      </c>
      <c r="T208" s="119"/>
      <c r="U208" s="119"/>
      <c r="V208" s="92">
        <v>0.44791666666666669</v>
      </c>
      <c r="W208" s="89">
        <f>IF(Table1[[#This Row],[Acknowledgemnet Time ]]="NA","",(Table1[[#This Row],[Acknowledgemnet Time ]]-Table1[[#This Row],[Fault Time]])*24)</f>
        <v>-9.4333333333333336</v>
      </c>
      <c r="X208" s="89">
        <f>IF(Table1[[#This Row],[Work Start time on Fault]]="NA","",(Table1[[#This Row],[Work Start time on Fault]]-Table1[[#This Row],[Fault Time]])*24)</f>
        <v>-9.4333333333333336</v>
      </c>
      <c r="Y208" s="52">
        <f>(Table1[[#This Row],[Work Completiuon time on fualt]]-Table1[[#This Row],[Fault Time]])*24</f>
        <v>1.3166666666666673</v>
      </c>
      <c r="Z208" s="52">
        <f>IFERROR((Table1[[#This Row],[Work Completiuon time on fualt]]-Table1[[#This Row],[Fault Time]])*24,"")</f>
        <v>1.3166666666666673</v>
      </c>
      <c r="AA208" s="2" t="s">
        <v>1086</v>
      </c>
      <c r="AB208" s="2" t="s">
        <v>1081</v>
      </c>
      <c r="AC208" s="90">
        <f>IFERROR(Table1[[#This Row],[Breakdown Time]]*Table1[[#This Row],[Plant Equivalent Weightage]],"")</f>
        <v>0.44247840017953122</v>
      </c>
      <c r="AD208" s="2">
        <v>0.22</v>
      </c>
      <c r="AE208" s="89">
        <f>_xlfn.XLOOKUP($F208,'Modelling New'!$D:$D,'Modelling New'!$O:$O)*Table1[[#This Row],[Lost PoA(Wh/m2)]]*Table1[[#This Row],[DC Capacity Affceted (kW)]]</f>
        <v>412.86324514110515</v>
      </c>
      <c r="AF208" s="2"/>
      <c r="AG208" s="2"/>
    </row>
    <row r="209" spans="1:33" x14ac:dyDescent="0.3">
      <c r="A209" s="67">
        <f t="shared" si="3"/>
        <v>206</v>
      </c>
      <c r="B209" s="75">
        <f>YEAR(Table1[[#This Row],[Date]])+IF(MONTH(Table1[[#This Row],[Date]])&gt;=4,1,0)</f>
        <v>2026</v>
      </c>
      <c r="C209" s="74">
        <f>YEAR(Table1[[#This Row],[Date]])</f>
        <v>2025</v>
      </c>
      <c r="D209" s="74" t="s">
        <v>1082</v>
      </c>
      <c r="E209" s="74" t="s">
        <v>1082</v>
      </c>
      <c r="F209" s="181">
        <f>Table1[[#This Row],[Date]]-DAY(Table1[[#This Row],[Date]])+1</f>
        <v>45778</v>
      </c>
      <c r="G209">
        <f>DAY(EOMONTH(Table1[[#This Row],[Month Year]],0))</f>
        <v>31</v>
      </c>
      <c r="H209" s="104">
        <v>45792</v>
      </c>
      <c r="I209" s="76">
        <f>IFERROR(VLOOKUP(Table1[[#This Row],[Date]],Table3[[Date]:[Sunset Time (POA&lt;20 W/m2)]],3,0),"")</f>
        <v>0.26874999999999999</v>
      </c>
      <c r="J209" s="76">
        <f>IFERROR(VLOOKUP(Table1[[#This Row],[Date]],Table3[[Date]:[Sunset Time (POA&lt;20 W/m2)]],4,0),"")</f>
        <v>0.77708333333333335</v>
      </c>
      <c r="K209" s="77">
        <f>IFERROR((Table1[[#This Row],[Sunset Time (POA&lt;20 W/m2)]]-Table1[[#This Row],[Sunrise Time (POA&gt;20 W/m2)]])*24,"")</f>
        <v>12.2</v>
      </c>
      <c r="L209" s="108" t="s">
        <v>204</v>
      </c>
      <c r="M209" s="61">
        <f>VLOOKUP(Table1[[#This Row],[Affceted Equipment]],'Basic Data'!$A$2:$C$818,2,0)</f>
        <v>113.4</v>
      </c>
      <c r="N209" s="93">
        <f>IFERROR(VLOOKUP(Table1[[#This Row],[Affceted Equipment]],'Basic Data'!$A$2:$C$818,3,0),"")</f>
        <v>1.4138064306997969E-2</v>
      </c>
      <c r="O209" s="118" t="s">
        <v>303</v>
      </c>
      <c r="P209" s="94" t="s">
        <v>325</v>
      </c>
      <c r="Q209" s="94"/>
      <c r="R209" s="94" t="s">
        <v>325</v>
      </c>
      <c r="S209" s="92">
        <v>0.42986111111111114</v>
      </c>
      <c r="T209" s="119"/>
      <c r="U209" s="119"/>
      <c r="V209" s="92">
        <v>0.53402777777777777</v>
      </c>
      <c r="W209" s="89">
        <f>IF(Table1[[#This Row],[Acknowledgemnet Time ]]="NA","",(Table1[[#This Row],[Acknowledgemnet Time ]]-Table1[[#This Row],[Fault Time]])*24)</f>
        <v>-10.316666666666666</v>
      </c>
      <c r="X209" s="89">
        <f>IF(Table1[[#This Row],[Work Start time on Fault]]="NA","",(Table1[[#This Row],[Work Start time on Fault]]-Table1[[#This Row],[Fault Time]])*24)</f>
        <v>-10.316666666666666</v>
      </c>
      <c r="Y209" s="52">
        <f>(Table1[[#This Row],[Work Completiuon time on fualt]]-Table1[[#This Row],[Fault Time]])*24</f>
        <v>2.4999999999999991</v>
      </c>
      <c r="Z209" s="52">
        <f>IFERROR((Table1[[#This Row],[Work Completiuon time on fualt]]-Table1[[#This Row],[Fault Time]])*24,"")</f>
        <v>2.4999999999999991</v>
      </c>
      <c r="AA209" s="2" t="s">
        <v>1200</v>
      </c>
      <c r="AB209" s="2" t="s">
        <v>1081</v>
      </c>
      <c r="AC209" s="90">
        <f>IFERROR(Table1[[#This Row],[Breakdown Time]]*Table1[[#This Row],[Plant Equivalent Weightage]],"")</f>
        <v>3.5345160767494908E-2</v>
      </c>
      <c r="AD209" s="2">
        <v>0.88</v>
      </c>
      <c r="AE209" s="89">
        <f>_xlfn.XLOOKUP($F209,'Modelling New'!$D:$D,'Modelling New'!$O:$O)*Table1[[#This Row],[Lost PoA(Wh/m2)]]*Table1[[#This Row],[DC Capacity Affceted (kW)]]</f>
        <v>69.476819883511524</v>
      </c>
      <c r="AF209" s="2"/>
      <c r="AG209" s="2"/>
    </row>
    <row r="210" spans="1:33" x14ac:dyDescent="0.3">
      <c r="A210" s="67">
        <f t="shared" si="3"/>
        <v>207</v>
      </c>
      <c r="B210" s="75">
        <f>YEAR(Table1[[#This Row],[Date]])+IF(MONTH(Table1[[#This Row],[Date]])&gt;=4,1,0)</f>
        <v>2026</v>
      </c>
      <c r="C210" s="74">
        <f>YEAR(Table1[[#This Row],[Date]])</f>
        <v>2025</v>
      </c>
      <c r="D210" s="74" t="s">
        <v>1082</v>
      </c>
      <c r="E210" s="74" t="s">
        <v>1082</v>
      </c>
      <c r="F210" s="189">
        <f>Table1[[#This Row],[Date]]-DAY(Table1[[#This Row],[Date]])+1</f>
        <v>45778</v>
      </c>
      <c r="G210">
        <f>DAY(EOMONTH(Table1[[#This Row],[Month Year]],0))</f>
        <v>31</v>
      </c>
      <c r="H210" s="104">
        <v>45792</v>
      </c>
      <c r="I210" s="76">
        <f>IFERROR(VLOOKUP(Table1[[#This Row],[Date]],Table3[[Date]:[Sunset Time (POA&lt;20 W/m2)]],3,0),"")</f>
        <v>0.26874999999999999</v>
      </c>
      <c r="J210" s="76">
        <f>IFERROR(VLOOKUP(Table1[[#This Row],[Date]],Table3[[Date]:[Sunset Time (POA&lt;20 W/m2)]],4,0),"")</f>
        <v>0.77708333333333335</v>
      </c>
      <c r="K210" s="77">
        <f>IFERROR((Table1[[#This Row],[Sunset Time (POA&lt;20 W/m2)]]-Table1[[#This Row],[Sunrise Time (POA&gt;20 W/m2)]])*24,"")</f>
        <v>12.2</v>
      </c>
      <c r="L210" s="108" t="s">
        <v>215</v>
      </c>
      <c r="M210" s="91">
        <f>VLOOKUP(Table1[[#This Row],[Affceted Equipment]],'Basic Data'!$A$2:$C$818,2,0)</f>
        <v>109.8</v>
      </c>
      <c r="N210" s="93">
        <f>IFERROR(VLOOKUP(Table1[[#This Row],[Affceted Equipment]],'Basic Data'!$A$2:$C$818,3,0),"")</f>
        <v>1.3689236868680572E-2</v>
      </c>
      <c r="O210" s="118" t="s">
        <v>303</v>
      </c>
      <c r="P210" s="94" t="s">
        <v>325</v>
      </c>
      <c r="Q210" s="94"/>
      <c r="R210" s="94" t="s">
        <v>325</v>
      </c>
      <c r="S210" s="92">
        <v>0.42986111111111114</v>
      </c>
      <c r="T210" s="119"/>
      <c r="U210" s="119"/>
      <c r="V210" s="92">
        <v>0.53402777777777777</v>
      </c>
      <c r="W210" s="89">
        <f>IF(Table1[[#This Row],[Acknowledgemnet Time ]]="NA","",(Table1[[#This Row],[Acknowledgemnet Time ]]-Table1[[#This Row],[Fault Time]])*24)</f>
        <v>-10.316666666666666</v>
      </c>
      <c r="X210" s="89">
        <f>IF(Table1[[#This Row],[Work Start time on Fault]]="NA","",(Table1[[#This Row],[Work Start time on Fault]]-Table1[[#This Row],[Fault Time]])*24)</f>
        <v>-10.316666666666666</v>
      </c>
      <c r="Y210" s="52">
        <f>(Table1[[#This Row],[Work Completiuon time on fualt]]-Table1[[#This Row],[Fault Time]])*24</f>
        <v>2.4999999999999991</v>
      </c>
      <c r="Z210" s="52">
        <f>IFERROR((Table1[[#This Row],[Work Completiuon time on fualt]]-Table1[[#This Row],[Fault Time]])*24,"")</f>
        <v>2.4999999999999991</v>
      </c>
      <c r="AA210" s="2" t="s">
        <v>1200</v>
      </c>
      <c r="AB210" s="2" t="s">
        <v>1081</v>
      </c>
      <c r="AC210" s="90">
        <f>IFERROR(Table1[[#This Row],[Breakdown Time]]*Table1[[#This Row],[Plant Equivalent Weightage]],"")</f>
        <v>3.4223092171701421E-2</v>
      </c>
      <c r="AD210" s="2">
        <v>0.88</v>
      </c>
      <c r="AE210" s="89">
        <f>_xlfn.XLOOKUP($F210,'Modelling New'!$D:$D,'Modelling New'!$O:$O)*Table1[[#This Row],[Lost PoA(Wh/m2)]]*Table1[[#This Row],[DC Capacity Affceted (kW)]]</f>
        <v>67.27120655387624</v>
      </c>
      <c r="AF210" s="2"/>
      <c r="AG210" s="2"/>
    </row>
    <row r="211" spans="1:33" x14ac:dyDescent="0.3">
      <c r="A211" s="67">
        <f t="shared" si="3"/>
        <v>208</v>
      </c>
      <c r="B211" s="75">
        <f>YEAR(Table1[[#This Row],[Date]])+IF(MONTH(Table1[[#This Row],[Date]])&gt;=4,1,0)</f>
        <v>2026</v>
      </c>
      <c r="C211" s="74">
        <f>YEAR(Table1[[#This Row],[Date]])</f>
        <v>2025</v>
      </c>
      <c r="D211" s="74" t="s">
        <v>1082</v>
      </c>
      <c r="E211" s="74" t="s">
        <v>1082</v>
      </c>
      <c r="F211" s="181">
        <f>Table1[[#This Row],[Date]]-DAY(Table1[[#This Row],[Date]])+1</f>
        <v>45778</v>
      </c>
      <c r="G211">
        <f>DAY(EOMONTH(Table1[[#This Row],[Month Year]],0))</f>
        <v>31</v>
      </c>
      <c r="H211" s="104">
        <v>45792</v>
      </c>
      <c r="I211" s="76">
        <f>IFERROR(VLOOKUP(Table1[[#This Row],[Date]],Table3[[Date]:[Sunset Time (POA&lt;20 W/m2)]],3,0),"")</f>
        <v>0.26874999999999999</v>
      </c>
      <c r="J211" s="76">
        <f>IFERROR(VLOOKUP(Table1[[#This Row],[Date]],Table3[[Date]:[Sunset Time (POA&lt;20 W/m2)]],4,0),"")</f>
        <v>0.77708333333333335</v>
      </c>
      <c r="K211" s="77">
        <f>IFERROR((Table1[[#This Row],[Sunset Time (POA&lt;20 W/m2)]]-Table1[[#This Row],[Sunrise Time (POA&gt;20 W/m2)]])*24,"")</f>
        <v>12.2</v>
      </c>
      <c r="L211" s="108" t="s">
        <v>262</v>
      </c>
      <c r="M211" s="61">
        <f>VLOOKUP(Table1[[#This Row],[Affceted Equipment]],'Basic Data'!$A$2:$C$818,2,0)</f>
        <v>113.34</v>
      </c>
      <c r="N211" s="93">
        <f>IFERROR(VLOOKUP(Table1[[#This Row],[Affceted Equipment]],'Basic Data'!$A$2:$C$818,3,0),"")</f>
        <v>1.4130583849692679E-2</v>
      </c>
      <c r="O211" s="118" t="s">
        <v>1199</v>
      </c>
      <c r="P211" s="94" t="s">
        <v>325</v>
      </c>
      <c r="Q211" s="94"/>
      <c r="R211" s="94" t="s">
        <v>325</v>
      </c>
      <c r="S211" s="92">
        <v>0.44791666666666669</v>
      </c>
      <c r="T211" s="119"/>
      <c r="U211" s="119"/>
      <c r="V211" s="92">
        <v>0.50763888888888886</v>
      </c>
      <c r="W211" s="89">
        <f>IF(Table1[[#This Row],[Acknowledgemnet Time ]]="NA","",(Table1[[#This Row],[Acknowledgemnet Time ]]-Table1[[#This Row],[Fault Time]])*24)</f>
        <v>-10.75</v>
      </c>
      <c r="X211" s="89">
        <f>IF(Table1[[#This Row],[Work Start time on Fault]]="NA","",(Table1[[#This Row],[Work Start time on Fault]]-Table1[[#This Row],[Fault Time]])*24)</f>
        <v>-10.75</v>
      </c>
      <c r="Y211" s="52">
        <f>(Table1[[#This Row],[Work Completiuon time on fualt]]-Table1[[#This Row],[Fault Time]])*24</f>
        <v>1.4333333333333322</v>
      </c>
      <c r="Z211" s="52">
        <f>IFERROR((Table1[[#This Row],[Work Completiuon time on fualt]]-Table1[[#This Row],[Fault Time]])*24,"")</f>
        <v>1.4333333333333322</v>
      </c>
      <c r="AA211" s="2" t="s">
        <v>1200</v>
      </c>
      <c r="AB211" s="2" t="s">
        <v>1081</v>
      </c>
      <c r="AC211" s="90">
        <f>IFERROR(Table1[[#This Row],[Breakdown Time]]*Table1[[#This Row],[Plant Equivalent Weightage]],"")</f>
        <v>2.025383685122616E-2</v>
      </c>
      <c r="AD211" s="2">
        <v>0.39</v>
      </c>
      <c r="AE211" s="89">
        <f>_xlfn.XLOOKUP($F211,'Modelling New'!$D:$D,'Modelling New'!$O:$O)*Table1[[#This Row],[Lost PoA(Wh/m2)]]*Table1[[#This Row],[DC Capacity Affceted (kW)]]</f>
        <v>30.774571895371437</v>
      </c>
      <c r="AF211" s="2"/>
      <c r="AG211" s="2"/>
    </row>
    <row r="212" spans="1:33" x14ac:dyDescent="0.3">
      <c r="A212" s="67">
        <f t="shared" si="3"/>
        <v>209</v>
      </c>
      <c r="B212" s="75">
        <f>YEAR(Table1[[#This Row],[Date]])+IF(MONTH(Table1[[#This Row],[Date]])&gt;=4,1,0)</f>
        <v>2026</v>
      </c>
      <c r="C212" s="74">
        <f>YEAR(Table1[[#This Row],[Date]])</f>
        <v>2025</v>
      </c>
      <c r="D212" s="74" t="s">
        <v>1082</v>
      </c>
      <c r="E212" s="74" t="s">
        <v>1082</v>
      </c>
      <c r="F212" s="181">
        <f>Table1[[#This Row],[Date]]-DAY(Table1[[#This Row],[Date]])+1</f>
        <v>45778</v>
      </c>
      <c r="G212">
        <f>DAY(EOMONTH(Table1[[#This Row],[Month Year]],0))</f>
        <v>31</v>
      </c>
      <c r="H212" s="104">
        <v>45792</v>
      </c>
      <c r="I212" s="76">
        <f>IFERROR(VLOOKUP(Table1[[#This Row],[Date]],Table3[[Date]:[Sunset Time (POA&lt;20 W/m2)]],3,0),"")</f>
        <v>0.26874999999999999</v>
      </c>
      <c r="J212" s="76">
        <f>IFERROR(VLOOKUP(Table1[[#This Row],[Date]],Table3[[Date]:[Sunset Time (POA&lt;20 W/m2)]],4,0),"")</f>
        <v>0.77708333333333335</v>
      </c>
      <c r="K212" s="77">
        <f>IFERROR((Table1[[#This Row],[Sunset Time (POA&lt;20 W/m2)]]-Table1[[#This Row],[Sunrise Time (POA&gt;20 W/m2)]])*24,"")</f>
        <v>12.2</v>
      </c>
      <c r="L212" s="108" t="s">
        <v>270</v>
      </c>
      <c r="M212" s="61">
        <f>VLOOKUP(Table1[[#This Row],[Affceted Equipment]],'Basic Data'!$A$2:$C$818,2,0)</f>
        <v>113.34</v>
      </c>
      <c r="N212" s="93">
        <f>IFERROR(VLOOKUP(Table1[[#This Row],[Affceted Equipment]],'Basic Data'!$A$2:$C$818,3,0),"")</f>
        <v>1.4130583849692679E-2</v>
      </c>
      <c r="O212" s="118" t="s">
        <v>1199</v>
      </c>
      <c r="P212" s="94" t="s">
        <v>325</v>
      </c>
      <c r="Q212" s="94"/>
      <c r="R212" s="94" t="s">
        <v>325</v>
      </c>
      <c r="S212" s="92">
        <v>0.44791666666666669</v>
      </c>
      <c r="T212" s="119"/>
      <c r="U212" s="119"/>
      <c r="V212" s="92">
        <v>0.50763888888888886</v>
      </c>
      <c r="W212" s="89">
        <f>IF(Table1[[#This Row],[Acknowledgemnet Time ]]="NA","",(Table1[[#This Row],[Acknowledgemnet Time ]]-Table1[[#This Row],[Fault Time]])*24)</f>
        <v>-10.75</v>
      </c>
      <c r="X212" s="89">
        <f>IF(Table1[[#This Row],[Work Start time on Fault]]="NA","",(Table1[[#This Row],[Work Start time on Fault]]-Table1[[#This Row],[Fault Time]])*24)</f>
        <v>-10.75</v>
      </c>
      <c r="Y212" s="52">
        <f>(Table1[[#This Row],[Work Completiuon time on fualt]]-Table1[[#This Row],[Fault Time]])*24</f>
        <v>1.4333333333333322</v>
      </c>
      <c r="Z212" s="52">
        <f>IFERROR((Table1[[#This Row],[Work Completiuon time on fualt]]-Table1[[#This Row],[Fault Time]])*24,"")</f>
        <v>1.4333333333333322</v>
      </c>
      <c r="AA212" s="2" t="s">
        <v>1200</v>
      </c>
      <c r="AB212" s="2" t="s">
        <v>1081</v>
      </c>
      <c r="AC212" s="90">
        <f>IFERROR(Table1[[#This Row],[Breakdown Time]]*Table1[[#This Row],[Plant Equivalent Weightage]],"")</f>
        <v>2.025383685122616E-2</v>
      </c>
      <c r="AD212" s="2">
        <v>0.39</v>
      </c>
      <c r="AE212" s="89">
        <f>_xlfn.XLOOKUP($F212,'Modelling New'!$D:$D,'Modelling New'!$O:$O)*Table1[[#This Row],[Lost PoA(Wh/m2)]]*Table1[[#This Row],[DC Capacity Affceted (kW)]]</f>
        <v>30.774571895371437</v>
      </c>
      <c r="AF212" s="2"/>
      <c r="AG212" s="2"/>
    </row>
    <row r="213" spans="1:33" x14ac:dyDescent="0.3">
      <c r="A213" s="67">
        <f t="shared" si="3"/>
        <v>210</v>
      </c>
      <c r="B213" s="75">
        <f>YEAR(Table1[[#This Row],[Date]])+IF(MONTH(Table1[[#This Row],[Date]])&gt;=4,1,0)</f>
        <v>2026</v>
      </c>
      <c r="C213" s="74">
        <f>YEAR(Table1[[#This Row],[Date]])</f>
        <v>2025</v>
      </c>
      <c r="D213" s="74" t="s">
        <v>1082</v>
      </c>
      <c r="E213" s="74" t="s">
        <v>1082</v>
      </c>
      <c r="F213" s="181">
        <f>Table1[[#This Row],[Date]]-DAY(Table1[[#This Row],[Date]])+1</f>
        <v>45778</v>
      </c>
      <c r="G213">
        <f>DAY(EOMONTH(Table1[[#This Row],[Month Year]],0))</f>
        <v>31</v>
      </c>
      <c r="H213" s="104">
        <v>45792</v>
      </c>
      <c r="I213" s="76">
        <f>IFERROR(VLOOKUP(Table1[[#This Row],[Date]],Table3[[Date]:[Sunset Time (POA&lt;20 W/m2)]],3,0),"")</f>
        <v>0.26874999999999999</v>
      </c>
      <c r="J213" s="76">
        <f>IFERROR(VLOOKUP(Table1[[#This Row],[Date]],Table3[[Date]:[Sunset Time (POA&lt;20 W/m2)]],4,0),"")</f>
        <v>0.77708333333333335</v>
      </c>
      <c r="K213" s="77">
        <f>IFERROR((Table1[[#This Row],[Sunset Time (POA&lt;20 W/m2)]]-Table1[[#This Row],[Sunrise Time (POA&gt;20 W/m2)]])*24,"")</f>
        <v>12.2</v>
      </c>
      <c r="L213" s="108" t="s">
        <v>271</v>
      </c>
      <c r="M213" s="61">
        <f>VLOOKUP(Table1[[#This Row],[Affceted Equipment]],'Basic Data'!$A$2:$C$818,2,0)</f>
        <v>113.34</v>
      </c>
      <c r="N213" s="93">
        <f>IFERROR(VLOOKUP(Table1[[#This Row],[Affceted Equipment]],'Basic Data'!$A$2:$C$818,3,0),"")</f>
        <v>1.4130583849692679E-2</v>
      </c>
      <c r="O213" s="118" t="s">
        <v>1199</v>
      </c>
      <c r="P213" s="94" t="s">
        <v>325</v>
      </c>
      <c r="Q213" s="94"/>
      <c r="R213" s="94" t="s">
        <v>325</v>
      </c>
      <c r="S213" s="92">
        <v>0.44791666666666669</v>
      </c>
      <c r="T213" s="119"/>
      <c r="U213" s="119"/>
      <c r="V213" s="92">
        <v>0.50763888888888886</v>
      </c>
      <c r="W213" s="89">
        <f>IF(Table1[[#This Row],[Acknowledgemnet Time ]]="NA","",(Table1[[#This Row],[Acknowledgemnet Time ]]-Table1[[#This Row],[Fault Time]])*24)</f>
        <v>-10.75</v>
      </c>
      <c r="X213" s="89">
        <f>IF(Table1[[#This Row],[Work Start time on Fault]]="NA","",(Table1[[#This Row],[Work Start time on Fault]]-Table1[[#This Row],[Fault Time]])*24)</f>
        <v>-10.75</v>
      </c>
      <c r="Y213" s="52">
        <f>(Table1[[#This Row],[Work Completiuon time on fualt]]-Table1[[#This Row],[Fault Time]])*24</f>
        <v>1.4333333333333322</v>
      </c>
      <c r="Z213" s="52">
        <f>IFERROR((Table1[[#This Row],[Work Completiuon time on fualt]]-Table1[[#This Row],[Fault Time]])*24,"")</f>
        <v>1.4333333333333322</v>
      </c>
      <c r="AA213" s="2" t="s">
        <v>1200</v>
      </c>
      <c r="AB213" s="2" t="s">
        <v>1081</v>
      </c>
      <c r="AC213" s="90">
        <f>IFERROR(Table1[[#This Row],[Breakdown Time]]*Table1[[#This Row],[Plant Equivalent Weightage]],"")</f>
        <v>2.025383685122616E-2</v>
      </c>
      <c r="AD213" s="2">
        <v>0.39</v>
      </c>
      <c r="AE213" s="89">
        <f>_xlfn.XLOOKUP($F213,'Modelling New'!$D:$D,'Modelling New'!$O:$O)*Table1[[#This Row],[Lost PoA(Wh/m2)]]*Table1[[#This Row],[DC Capacity Affceted (kW)]]</f>
        <v>30.774571895371437</v>
      </c>
      <c r="AF213" s="2"/>
      <c r="AG213" s="2"/>
    </row>
    <row r="214" spans="1:33" x14ac:dyDescent="0.3">
      <c r="A214" s="67">
        <f t="shared" si="3"/>
        <v>211</v>
      </c>
      <c r="B214" s="75">
        <f>YEAR(Table1[[#This Row],[Date]])+IF(MONTH(Table1[[#This Row],[Date]])&gt;=4,1,0)</f>
        <v>2026</v>
      </c>
      <c r="C214" s="74">
        <f>YEAR(Table1[[#This Row],[Date]])</f>
        <v>2025</v>
      </c>
      <c r="D214" s="74" t="s">
        <v>1082</v>
      </c>
      <c r="E214" s="74" t="s">
        <v>1082</v>
      </c>
      <c r="F214" s="181">
        <f>Table1[[#This Row],[Date]]-DAY(Table1[[#This Row],[Date]])+1</f>
        <v>45778</v>
      </c>
      <c r="G214">
        <f>DAY(EOMONTH(Table1[[#This Row],[Month Year]],0))</f>
        <v>31</v>
      </c>
      <c r="H214" s="104">
        <v>45792</v>
      </c>
      <c r="I214" s="76">
        <f>IFERROR(VLOOKUP(Table1[[#This Row],[Date]],Table3[[Date]:[Sunset Time (POA&lt;20 W/m2)]],3,0),"")</f>
        <v>0.26874999999999999</v>
      </c>
      <c r="J214" s="76">
        <f>IFERROR(VLOOKUP(Table1[[#This Row],[Date]],Table3[[Date]:[Sunset Time (POA&lt;20 W/m2)]],4,0),"")</f>
        <v>0.77708333333333335</v>
      </c>
      <c r="K214" s="77">
        <f>IFERROR((Table1[[#This Row],[Sunset Time (POA&lt;20 W/m2)]]-Table1[[#This Row],[Sunrise Time (POA&gt;20 W/m2)]])*24,"")</f>
        <v>12.2</v>
      </c>
      <c r="L214" s="108" t="s">
        <v>254</v>
      </c>
      <c r="M214" s="61">
        <f>VLOOKUP(Table1[[#This Row],[Affceted Equipment]],'Basic Data'!$A$2:$C$818,2,0)</f>
        <v>109.8</v>
      </c>
      <c r="N214" s="93">
        <f>IFERROR(VLOOKUP(Table1[[#This Row],[Affceted Equipment]],'Basic Data'!$A$2:$C$818,3,0),"")</f>
        <v>1.3689236868680572E-2</v>
      </c>
      <c r="O214" s="118" t="s">
        <v>1199</v>
      </c>
      <c r="P214" s="94" t="s">
        <v>325</v>
      </c>
      <c r="Q214" s="94"/>
      <c r="R214" s="94" t="s">
        <v>325</v>
      </c>
      <c r="S214" s="92">
        <v>0.44791666666666669</v>
      </c>
      <c r="T214" s="119"/>
      <c r="U214" s="119"/>
      <c r="V214" s="92">
        <v>0.50763888888888886</v>
      </c>
      <c r="W214" s="89">
        <f>IF(Table1[[#This Row],[Acknowledgemnet Time ]]="NA","",(Table1[[#This Row],[Acknowledgemnet Time ]]-Table1[[#This Row],[Fault Time]])*24)</f>
        <v>-10.75</v>
      </c>
      <c r="X214" s="89">
        <f>IF(Table1[[#This Row],[Work Start time on Fault]]="NA","",(Table1[[#This Row],[Work Start time on Fault]]-Table1[[#This Row],[Fault Time]])*24)</f>
        <v>-10.75</v>
      </c>
      <c r="Y214" s="52">
        <f>(Table1[[#This Row],[Work Completiuon time on fualt]]-Table1[[#This Row],[Fault Time]])*24</f>
        <v>1.4333333333333322</v>
      </c>
      <c r="Z214" s="52">
        <f>IFERROR((Table1[[#This Row],[Work Completiuon time on fualt]]-Table1[[#This Row],[Fault Time]])*24,"")</f>
        <v>1.4333333333333322</v>
      </c>
      <c r="AA214" s="2" t="s">
        <v>1200</v>
      </c>
      <c r="AB214" s="2" t="s">
        <v>1081</v>
      </c>
      <c r="AC214" s="90">
        <f>IFERROR(Table1[[#This Row],[Breakdown Time]]*Table1[[#This Row],[Plant Equivalent Weightage]],"")</f>
        <v>1.9621239511775471E-2</v>
      </c>
      <c r="AD214" s="2">
        <v>0.39</v>
      </c>
      <c r="AE214" s="89">
        <f>_xlfn.XLOOKUP($F214,'Modelling New'!$D:$D,'Modelling New'!$O:$O)*Table1[[#This Row],[Lost PoA(Wh/m2)]]*Table1[[#This Row],[DC Capacity Affceted (kW)]]</f>
        <v>29.813375631831512</v>
      </c>
      <c r="AF214" s="2"/>
      <c r="AG214" s="2"/>
    </row>
    <row r="215" spans="1:33" x14ac:dyDescent="0.3">
      <c r="A215" s="67">
        <v>212</v>
      </c>
      <c r="B215" s="75">
        <f>YEAR(Table1[[#This Row],[Date]])+IF(MONTH(Table1[[#This Row],[Date]])&gt;=4,1,0)</f>
        <v>2026</v>
      </c>
      <c r="C215" s="74">
        <f>YEAR(Table1[[#This Row],[Date]])</f>
        <v>2025</v>
      </c>
      <c r="D215" s="74" t="s">
        <v>1082</v>
      </c>
      <c r="E215" s="74" t="s">
        <v>1082</v>
      </c>
      <c r="F215" s="181">
        <f>Table1[[#This Row],[Date]]-DAY(Table1[[#This Row],[Date]])+1</f>
        <v>45778</v>
      </c>
      <c r="G215">
        <f>DAY(EOMONTH(Table1[[#This Row],[Month Year]],0))</f>
        <v>31</v>
      </c>
      <c r="H215" s="104">
        <v>45793</v>
      </c>
      <c r="I215" s="76">
        <f>IFERROR(VLOOKUP(Table1[[#This Row],[Date]],Table3[[Date]:[Sunset Time (POA&lt;20 W/m2)]],3,0),"")</f>
        <v>0.24374999999999999</v>
      </c>
      <c r="J215" s="76">
        <f>IFERROR(VLOOKUP(Table1[[#This Row],[Date]],Table3[[Date]:[Sunset Time (POA&lt;20 W/m2)]],4,0),"")</f>
        <v>0.77916666666666667</v>
      </c>
      <c r="K215" s="77">
        <f>IFERROR((Table1[[#This Row],[Sunset Time (POA&lt;20 W/m2)]]-Table1[[#This Row],[Sunrise Time (POA&gt;20 W/m2)]])*24,"")</f>
        <v>12.85</v>
      </c>
      <c r="L215" s="173" t="s">
        <v>180</v>
      </c>
      <c r="M215" s="61">
        <f>VLOOKUP(Table1[[#This Row],[Affceted Equipment]],'Basic Data'!$A$2:$C$818,2,0)</f>
        <v>2694.6</v>
      </c>
      <c r="N215" s="93">
        <f>IFERROR(VLOOKUP(Table1[[#This Row],[Affceted Equipment]],'Basic Data'!$A$2:$C$818,3,0),"")</f>
        <v>0.33594733758057077</v>
      </c>
      <c r="O215" s="118" t="s">
        <v>323</v>
      </c>
      <c r="P215" s="94" t="s">
        <v>1201</v>
      </c>
      <c r="Q215" s="94"/>
      <c r="R215" s="94" t="s">
        <v>1201</v>
      </c>
      <c r="S215" s="92">
        <v>0.41666666666666669</v>
      </c>
      <c r="T215" s="119"/>
      <c r="U215" s="119"/>
      <c r="V215" s="92">
        <v>0.52361111111111114</v>
      </c>
      <c r="W215" s="89">
        <f>IF(Table1[[#This Row],[Acknowledgemnet Time ]]="NA","",(Table1[[#This Row],[Acknowledgemnet Time ]]-Table1[[#This Row],[Fault Time]])*24)</f>
        <v>-10</v>
      </c>
      <c r="X215" s="89">
        <f>IF(Table1[[#This Row],[Work Start time on Fault]]="NA","",(Table1[[#This Row],[Work Start time on Fault]]-Table1[[#This Row],[Fault Time]])*24)</f>
        <v>-10</v>
      </c>
      <c r="Y215" s="52">
        <f>(Table1[[#This Row],[Work Completiuon time on fualt]]-Table1[[#This Row],[Fault Time]])*24</f>
        <v>2.5666666666666669</v>
      </c>
      <c r="Z215" s="52">
        <f>IFERROR((Table1[[#This Row],[Work Completiuon time on fualt]]-Table1[[#This Row],[Fault Time]])*24,"")</f>
        <v>2.5666666666666669</v>
      </c>
      <c r="AA215" s="2" t="s">
        <v>1202</v>
      </c>
      <c r="AB215" s="2" t="s">
        <v>1081</v>
      </c>
      <c r="AC215" s="90">
        <f>IFERROR(Table1[[#This Row],[Breakdown Time]]*Table1[[#This Row],[Plant Equivalent Weightage]],"")</f>
        <v>0.86226483312346502</v>
      </c>
      <c r="AD215" s="2">
        <v>1.63</v>
      </c>
      <c r="AE215" s="89">
        <f>_xlfn.XLOOKUP($F215,'Modelling New'!$D:$D,'Modelling New'!$O:$O)*Table1[[#This Row],[Lost PoA(Wh/m2)]]*Table1[[#This Row],[DC Capacity Affceted (kW)]]</f>
        <v>3057.9199669183859</v>
      </c>
      <c r="AF215" s="2"/>
      <c r="AG215" s="2"/>
    </row>
    <row r="216" spans="1:33" x14ac:dyDescent="0.3">
      <c r="A216" s="67">
        <v>213</v>
      </c>
      <c r="B216" s="75">
        <f>YEAR(Table1[[#This Row],[Date]])+IF(MONTH(Table1[[#This Row],[Date]])&gt;=4,1,0)</f>
        <v>2026</v>
      </c>
      <c r="C216" s="74">
        <f>YEAR(Table1[[#This Row],[Date]])</f>
        <v>2025</v>
      </c>
      <c r="D216" s="74" t="s">
        <v>1082</v>
      </c>
      <c r="E216" s="74" t="s">
        <v>1082</v>
      </c>
      <c r="F216" s="189">
        <f>Table1[[#This Row],[Date]]-DAY(Table1[[#This Row],[Date]])+1</f>
        <v>45778</v>
      </c>
      <c r="G216">
        <f>DAY(EOMONTH(Table1[[#This Row],[Month Year]],0))</f>
        <v>31</v>
      </c>
      <c r="H216" s="104">
        <v>45797</v>
      </c>
      <c r="I216" s="76">
        <f>IFERROR(VLOOKUP(Table1[[#This Row],[Date]],Table3[[Date]:[Sunset Time (POA&lt;20 W/m2)]],3,0),"")</f>
        <v>0.24791666666666667</v>
      </c>
      <c r="J216" s="76">
        <f>IFERROR(VLOOKUP(Table1[[#This Row],[Date]],Table3[[Date]:[Sunset Time (POA&lt;20 W/m2)]],4,0),"")</f>
        <v>0.77777777777777779</v>
      </c>
      <c r="K216" s="77">
        <f>IFERROR((Table1[[#This Row],[Sunset Time (POA&lt;20 W/m2)]]-Table1[[#This Row],[Sunrise Time (POA&gt;20 W/m2)]])*24,"")</f>
        <v>12.716666666666667</v>
      </c>
      <c r="L216" s="108" t="s">
        <v>182</v>
      </c>
      <c r="M216" s="91">
        <f>VLOOKUP(Table1[[#This Row],[Affceted Equipment]],'Basic Data'!$A$2:$C$818,2,0)</f>
        <v>2695.5</v>
      </c>
      <c r="N216" s="93">
        <f>IFERROR(VLOOKUP(Table1[[#This Row],[Affceted Equipment]],'Basic Data'!$A$2:$C$818,3,0),"")</f>
        <v>0.33605954444015013</v>
      </c>
      <c r="O216" s="118" t="s">
        <v>1199</v>
      </c>
      <c r="P216" s="94" t="s">
        <v>325</v>
      </c>
      <c r="Q216" s="94"/>
      <c r="R216" s="94" t="s">
        <v>325</v>
      </c>
      <c r="S216" s="92">
        <v>0.56319444444444444</v>
      </c>
      <c r="T216" s="119"/>
      <c r="U216" s="119"/>
      <c r="V216" s="92">
        <v>0.57708333333333328</v>
      </c>
      <c r="W216" s="89">
        <f>IF(Table1[[#This Row],[Acknowledgemnet Time ]]="NA","",(Table1[[#This Row],[Acknowledgemnet Time ]]-Table1[[#This Row],[Fault Time]])*24)</f>
        <v>-13.516666666666666</v>
      </c>
      <c r="X216" s="89">
        <f>IF(Table1[[#This Row],[Work Start time on Fault]]="NA","",(Table1[[#This Row],[Work Start time on Fault]]-Table1[[#This Row],[Fault Time]])*24)</f>
        <v>-13.516666666666666</v>
      </c>
      <c r="Y216" s="52">
        <f>(Table1[[#This Row],[Work Completiuon time on fualt]]-Table1[[#This Row],[Fault Time]])*24</f>
        <v>0.33333333333333215</v>
      </c>
      <c r="Z216" s="52">
        <f>IFERROR((Table1[[#This Row],[Work Completiuon time on fualt]]-Table1[[#This Row],[Fault Time]])*24,"")</f>
        <v>0.33333333333333215</v>
      </c>
      <c r="AA216" s="2" t="s">
        <v>1086</v>
      </c>
      <c r="AB216" s="2" t="s">
        <v>1081</v>
      </c>
      <c r="AC216" s="90">
        <f>IFERROR(Table1[[#This Row],[Breakdown Time]]*Table1[[#This Row],[Plant Equivalent Weightage]],"")</f>
        <v>0.11201984814671631</v>
      </c>
      <c r="AD216" s="2">
        <v>0.32</v>
      </c>
      <c r="AE216" s="89">
        <f>_xlfn.XLOOKUP($F216,'Modelling New'!$D:$D,'Modelling New'!$O:$O)*Table1[[#This Row],[Lost PoA(Wh/m2)]]*Table1[[#This Row],[DC Capacity Affceted (kW)]]</f>
        <v>600.52835656888033</v>
      </c>
      <c r="AF216" s="2"/>
      <c r="AG216" s="2"/>
    </row>
    <row r="217" spans="1:33" x14ac:dyDescent="0.3">
      <c r="A217" s="67">
        <v>214</v>
      </c>
      <c r="B217" s="75">
        <f>YEAR(Table1[[#This Row],[Date]])+IF(MONTH(Table1[[#This Row],[Date]])&gt;=4,1,0)</f>
        <v>2026</v>
      </c>
      <c r="C217" s="74">
        <f>YEAR(Table1[[#This Row],[Date]])</f>
        <v>2025</v>
      </c>
      <c r="D217" s="74" t="s">
        <v>1082</v>
      </c>
      <c r="E217" s="74" t="s">
        <v>1082</v>
      </c>
      <c r="F217" s="181">
        <f>Table1[[#This Row],[Date]]-DAY(Table1[[#This Row],[Date]])+1</f>
        <v>45778</v>
      </c>
      <c r="G217">
        <f>DAY(EOMONTH(Table1[[#This Row],[Month Year]],0))</f>
        <v>31</v>
      </c>
      <c r="H217" s="104">
        <v>45799</v>
      </c>
      <c r="I217" s="76">
        <f>IFERROR(VLOOKUP(Table1[[#This Row],[Date]],Table3[[Date]:[Sunset Time (POA&lt;20 W/m2)]],3,0),"")</f>
        <v>0.24374999999999999</v>
      </c>
      <c r="J217" s="76">
        <f>IFERROR(VLOOKUP(Table1[[#This Row],[Date]],Table3[[Date]:[Sunset Time (POA&lt;20 W/m2)]],4,0),"")</f>
        <v>0.76597222222222228</v>
      </c>
      <c r="K217" s="77">
        <f>IFERROR((Table1[[#This Row],[Sunset Time (POA&lt;20 W/m2)]]-Table1[[#This Row],[Sunrise Time (POA&gt;20 W/m2)]])*24,"")</f>
        <v>12.533333333333335</v>
      </c>
      <c r="L217" s="108" t="s">
        <v>258</v>
      </c>
      <c r="M217" s="61">
        <f>VLOOKUP(Table1[[#This Row],[Affceted Equipment]],'Basic Data'!$A$2:$C$818,2,0)</f>
        <v>113.34</v>
      </c>
      <c r="N217" s="93">
        <f>IFERROR(VLOOKUP(Table1[[#This Row],[Affceted Equipment]],'Basic Data'!$A$2:$C$818,3,0),"")</f>
        <v>1.4130583849692679E-2</v>
      </c>
      <c r="O217" s="118" t="s">
        <v>1199</v>
      </c>
      <c r="P217" s="94" t="s">
        <v>325</v>
      </c>
      <c r="Q217" s="94"/>
      <c r="R217" s="94" t="s">
        <v>325</v>
      </c>
      <c r="S217" s="92">
        <v>0.25624999999999998</v>
      </c>
      <c r="T217" s="119"/>
      <c r="U217" s="119"/>
      <c r="V217" s="92">
        <v>0.34166666666666667</v>
      </c>
      <c r="W217" s="89">
        <f>IF(Table1[[#This Row],[Acknowledgemnet Time ]]="NA","",(Table1[[#This Row],[Acknowledgemnet Time ]]-Table1[[#This Row],[Fault Time]])*24)</f>
        <v>-6.1499999999999995</v>
      </c>
      <c r="X217" s="89">
        <f>IF(Table1[[#This Row],[Work Start time on Fault]]="NA","",(Table1[[#This Row],[Work Start time on Fault]]-Table1[[#This Row],[Fault Time]])*24)</f>
        <v>-6.1499999999999995</v>
      </c>
      <c r="Y217" s="52">
        <f>(Table1[[#This Row],[Work Completiuon time on fualt]]-Table1[[#This Row],[Fault Time]])*24</f>
        <v>2.0500000000000007</v>
      </c>
      <c r="Z217" s="52">
        <f>IFERROR((Table1[[#This Row],[Work Completiuon time on fualt]]-Table1[[#This Row],[Fault Time]])*24,"")</f>
        <v>2.0500000000000007</v>
      </c>
      <c r="AA217" s="2" t="s">
        <v>1200</v>
      </c>
      <c r="AB217" s="2" t="s">
        <v>1081</v>
      </c>
      <c r="AC217" s="90">
        <f>IFERROR(Table1[[#This Row],[Breakdown Time]]*Table1[[#This Row],[Plant Equivalent Weightage]],"")</f>
        <v>2.8967696891870003E-2</v>
      </c>
      <c r="AD217" s="2">
        <v>0.14000000000000001</v>
      </c>
      <c r="AE217" s="89">
        <f>_xlfn.XLOOKUP($F217,'Modelling New'!$D:$D,'Modelling New'!$O:$O)*Table1[[#This Row],[Lost PoA(Wh/m2)]]*Table1[[#This Row],[DC Capacity Affceted (kW)]]</f>
        <v>11.047282218851286</v>
      </c>
      <c r="AF217" s="2"/>
      <c r="AG217" s="2"/>
    </row>
    <row r="218" spans="1:33" x14ac:dyDescent="0.3">
      <c r="A218" s="67">
        <v>215</v>
      </c>
      <c r="B218" s="75">
        <f>YEAR(Table1[[#This Row],[Date]])+IF(MONTH(Table1[[#This Row],[Date]])&gt;=4,1,0)</f>
        <v>2026</v>
      </c>
      <c r="C218" s="74">
        <f>YEAR(Table1[[#This Row],[Date]])</f>
        <v>2025</v>
      </c>
      <c r="D218" s="74" t="s">
        <v>1082</v>
      </c>
      <c r="E218" s="74" t="s">
        <v>1082</v>
      </c>
      <c r="F218" s="189">
        <f>Table1[[#This Row],[Date]]-DAY(Table1[[#This Row],[Date]])+1</f>
        <v>45778</v>
      </c>
      <c r="G218">
        <f>DAY(EOMONTH(Table1[[#This Row],[Month Year]],0))</f>
        <v>31</v>
      </c>
      <c r="H218" s="104">
        <v>45799</v>
      </c>
      <c r="I218" s="76">
        <f>IFERROR(VLOOKUP(Table1[[#This Row],[Date]],Table3[[Date]:[Sunset Time (POA&lt;20 W/m2)]],3,0),"")</f>
        <v>0.24374999999999999</v>
      </c>
      <c r="J218" s="76">
        <f>IFERROR(VLOOKUP(Table1[[#This Row],[Date]],Table3[[Date]:[Sunset Time (POA&lt;20 W/m2)]],4,0),"")</f>
        <v>0.76597222222222228</v>
      </c>
      <c r="K218" s="77">
        <f>IFERROR((Table1[[#This Row],[Sunset Time (POA&lt;20 W/m2)]]-Table1[[#This Row],[Sunrise Time (POA&gt;20 W/m2)]])*24,"")</f>
        <v>12.533333333333335</v>
      </c>
      <c r="L218" s="108" t="s">
        <v>258</v>
      </c>
      <c r="M218" s="91">
        <f>VLOOKUP(Table1[[#This Row],[Affceted Equipment]],'Basic Data'!$A$2:$C$818,2,0)</f>
        <v>113.34</v>
      </c>
      <c r="N218" s="93">
        <f>IFERROR(VLOOKUP(Table1[[#This Row],[Affceted Equipment]],'Basic Data'!$A$2:$C$818,3,0),"")</f>
        <v>1.4130583849692679E-2</v>
      </c>
      <c r="O218" s="118" t="s">
        <v>1199</v>
      </c>
      <c r="P218" s="94" t="s">
        <v>325</v>
      </c>
      <c r="Q218" s="94"/>
      <c r="R218" s="94" t="s">
        <v>325</v>
      </c>
      <c r="S218" s="92">
        <v>0.39166666666666666</v>
      </c>
      <c r="T218" s="119"/>
      <c r="U218" s="119"/>
      <c r="V218" s="92">
        <v>0.44097222222222221</v>
      </c>
      <c r="W218" s="89">
        <f>IF(Table1[[#This Row],[Acknowledgemnet Time ]]="NA","",(Table1[[#This Row],[Acknowledgemnet Time ]]-Table1[[#This Row],[Fault Time]])*24)</f>
        <v>-9.4</v>
      </c>
      <c r="X218" s="89">
        <f>IF(Table1[[#This Row],[Work Start time on Fault]]="NA","",(Table1[[#This Row],[Work Start time on Fault]]-Table1[[#This Row],[Fault Time]])*24)</f>
        <v>-9.4</v>
      </c>
      <c r="Y218" s="52">
        <f>(Table1[[#This Row],[Work Completiuon time on fualt]]-Table1[[#This Row],[Fault Time]])*24</f>
        <v>1.1833333333333331</v>
      </c>
      <c r="Z218" s="52">
        <f>IFERROR((Table1[[#This Row],[Work Completiuon time on fualt]]-Table1[[#This Row],[Fault Time]])*24,"")</f>
        <v>1.1833333333333331</v>
      </c>
      <c r="AA218" s="2" t="s">
        <v>1200</v>
      </c>
      <c r="AB218" s="2" t="s">
        <v>1081</v>
      </c>
      <c r="AC218" s="90">
        <f>IFERROR(Table1[[#This Row],[Breakdown Time]]*Table1[[#This Row],[Plant Equivalent Weightage]],"")</f>
        <v>1.6721190888803E-2</v>
      </c>
      <c r="AD218" s="2">
        <v>0.77</v>
      </c>
      <c r="AE218" s="89">
        <f>_xlfn.XLOOKUP($F218,'Modelling New'!$D:$D,'Modelling New'!$O:$O)*Table1[[#This Row],[Lost PoA(Wh/m2)]]*Table1[[#This Row],[DC Capacity Affceted (kW)]]</f>
        <v>60.760052203682065</v>
      </c>
      <c r="AF218" s="2"/>
      <c r="AG218" s="2"/>
    </row>
    <row r="219" spans="1:33" x14ac:dyDescent="0.3">
      <c r="A219" s="67">
        <v>216</v>
      </c>
      <c r="B219" s="75">
        <f>YEAR(Table1[[#This Row],[Date]])+IF(MONTH(Table1[[#This Row],[Date]])&gt;=4,1,0)</f>
        <v>2026</v>
      </c>
      <c r="C219" s="74">
        <f>YEAR(Table1[[#This Row],[Date]])</f>
        <v>2025</v>
      </c>
      <c r="D219" s="74" t="s">
        <v>1082</v>
      </c>
      <c r="E219" s="74" t="s">
        <v>1082</v>
      </c>
      <c r="F219" s="181">
        <f>Table1[[#This Row],[Date]]-DAY(Table1[[#This Row],[Date]])+1</f>
        <v>45778</v>
      </c>
      <c r="G219">
        <f>DAY(EOMONTH(Table1[[#This Row],[Month Year]],0))</f>
        <v>31</v>
      </c>
      <c r="H219" s="104">
        <v>45802</v>
      </c>
      <c r="I219" s="76">
        <f>IFERROR(VLOOKUP(Table1[[#This Row],[Date]],Table3[[Date]:[Sunset Time (POA&lt;20 W/m2)]],3,0),"")</f>
        <v>0.24374999999999999</v>
      </c>
      <c r="J219" s="76">
        <f>IFERROR(VLOOKUP(Table1[[#This Row],[Date]],Table3[[Date]:[Sunset Time (POA&lt;20 W/m2)]],4,0),"")</f>
        <v>0.77986111111111112</v>
      </c>
      <c r="K219" s="77">
        <f>IFERROR((Table1[[#This Row],[Sunset Time (POA&lt;20 W/m2)]]-Table1[[#This Row],[Sunrise Time (POA&gt;20 W/m2)]])*24,"")</f>
        <v>12.866666666666667</v>
      </c>
      <c r="L219" s="108" t="s">
        <v>182</v>
      </c>
      <c r="M219" s="61">
        <f>VLOOKUP(Table1[[#This Row],[Affceted Equipment]],'Basic Data'!$A$2:$C$818,2,0)</f>
        <v>2695.5</v>
      </c>
      <c r="N219" s="93">
        <f>IFERROR(VLOOKUP(Table1[[#This Row],[Affceted Equipment]],'Basic Data'!$A$2:$C$818,3,0),"")</f>
        <v>0.33605954444015013</v>
      </c>
      <c r="O219" s="118" t="s">
        <v>1199</v>
      </c>
      <c r="P219" s="94" t="s">
        <v>325</v>
      </c>
      <c r="Q219" s="94"/>
      <c r="R219" s="94" t="s">
        <v>325</v>
      </c>
      <c r="S219" s="92">
        <v>0.6381944444444444</v>
      </c>
      <c r="T219" s="119"/>
      <c r="U219" s="119"/>
      <c r="V219" s="92">
        <v>0.64861111111111114</v>
      </c>
      <c r="W219" s="89">
        <f>IF(Table1[[#This Row],[Acknowledgemnet Time ]]="NA","",(Table1[[#This Row],[Acknowledgemnet Time ]]-Table1[[#This Row],[Fault Time]])*24)</f>
        <v>-15.316666666666666</v>
      </c>
      <c r="X219" s="89">
        <f>IF(Table1[[#This Row],[Work Start time on Fault]]="NA","",(Table1[[#This Row],[Work Start time on Fault]]-Table1[[#This Row],[Fault Time]])*24)</f>
        <v>-15.316666666666666</v>
      </c>
      <c r="Y219" s="52">
        <f>(Table1[[#This Row],[Work Completiuon time on fualt]]-Table1[[#This Row],[Fault Time]])*24</f>
        <v>0.25000000000000178</v>
      </c>
      <c r="Z219" s="52">
        <f>IFERROR((Table1[[#This Row],[Work Completiuon time on fualt]]-Table1[[#This Row],[Fault Time]])*24,"")</f>
        <v>0.25000000000000178</v>
      </c>
      <c r="AA219" s="2" t="s">
        <v>1086</v>
      </c>
      <c r="AB219" s="2" t="s">
        <v>1081</v>
      </c>
      <c r="AC219" s="90">
        <f>IFERROR(Table1[[#This Row],[Breakdown Time]]*Table1[[#This Row],[Plant Equivalent Weightage]],"")</f>
        <v>8.4014886110038128E-2</v>
      </c>
      <c r="AD219" s="2">
        <v>7.0000000000000007E-2</v>
      </c>
      <c r="AE219" s="89">
        <f>_xlfn.XLOOKUP($F219,'Modelling New'!$D:$D,'Modelling New'!$O:$O)*Table1[[#This Row],[Lost PoA(Wh/m2)]]*Table1[[#This Row],[DC Capacity Affceted (kW)]]</f>
        <v>131.36557799944256</v>
      </c>
      <c r="AF219" s="2"/>
      <c r="AG219" s="2"/>
    </row>
  </sheetData>
  <phoneticPr fontId="1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59"/>
  <sheetViews>
    <sheetView topLeftCell="A2" zoomScale="85" zoomScaleNormal="85" workbookViewId="0">
      <pane xSplit="8" ySplit="1" topLeftCell="X42" activePane="bottomRight" state="frozen"/>
      <selection activeCell="A2" sqref="A2"/>
      <selection pane="topRight" activeCell="I2" sqref="I2"/>
      <selection pane="bottomLeft" activeCell="A3" sqref="A3"/>
      <selection pane="bottomRight" activeCell="AD59" sqref="AD59"/>
    </sheetView>
  </sheetViews>
  <sheetFormatPr defaultRowHeight="14.4" x14ac:dyDescent="0.3"/>
  <cols>
    <col min="2" max="2" width="13.44140625" customWidth="1"/>
    <col min="3" max="3" width="13.88671875" style="2" customWidth="1"/>
    <col min="4" max="4" width="14.44140625" customWidth="1"/>
    <col min="5" max="5" width="13.5546875" customWidth="1"/>
    <col min="6" max="6" width="11.33203125" customWidth="1"/>
    <col min="7" max="7" width="9.6640625" style="2" customWidth="1"/>
    <col min="8" max="8" width="11.44140625" customWidth="1"/>
    <col min="9" max="9" width="16.44140625" customWidth="1"/>
    <col min="10" max="10" width="12.88671875" customWidth="1"/>
    <col min="11" max="11" width="13.6640625" style="2" customWidth="1"/>
    <col min="12" max="12" width="11.5546875" customWidth="1"/>
    <col min="13" max="13" width="14.6640625" style="2" customWidth="1"/>
    <col min="14" max="14" width="13.88671875" customWidth="1"/>
    <col min="15" max="15" width="11.33203125" customWidth="1"/>
    <col min="16" max="16" width="10.33203125" customWidth="1"/>
    <col min="17" max="17" width="8.6640625" customWidth="1"/>
    <col min="18" max="18" width="39.44140625" customWidth="1"/>
    <col min="19" max="19" width="8.33203125" customWidth="1"/>
    <col min="20" max="20" width="9" customWidth="1"/>
    <col min="21" max="21" width="9.33203125" customWidth="1"/>
    <col min="22" max="22" width="13.33203125" customWidth="1"/>
    <col min="23" max="23" width="14.109375" customWidth="1"/>
    <col min="24" max="24" width="12.5546875" customWidth="1"/>
    <col min="25" max="25" width="17.33203125" customWidth="1"/>
    <col min="26" max="26" width="17.6640625" customWidth="1"/>
    <col min="27" max="27" width="9.109375" customWidth="1"/>
    <col min="28" max="28" width="22.44140625" customWidth="1"/>
    <col min="29" max="29" width="11.44140625" customWidth="1"/>
    <col min="30" max="30" width="16.109375" bestFit="1" customWidth="1"/>
  </cols>
  <sheetData>
    <row r="1" spans="1:30" hidden="1" x14ac:dyDescent="0.3"/>
    <row r="2" spans="1:30" ht="43.2" x14ac:dyDescent="0.3">
      <c r="A2" s="15" t="s">
        <v>58</v>
      </c>
      <c r="B2" s="15" t="s">
        <v>52</v>
      </c>
      <c r="C2" s="15" t="s">
        <v>53</v>
      </c>
      <c r="D2" s="15" t="s">
        <v>54</v>
      </c>
      <c r="E2" s="15" t="s">
        <v>57</v>
      </c>
      <c r="F2" s="15" t="s">
        <v>40</v>
      </c>
      <c r="G2" s="15" t="s">
        <v>55</v>
      </c>
      <c r="H2" s="15" t="s">
        <v>41</v>
      </c>
      <c r="I2" s="15" t="s">
        <v>42</v>
      </c>
      <c r="J2" s="15" t="s">
        <v>43</v>
      </c>
      <c r="K2" s="15" t="s">
        <v>109</v>
      </c>
      <c r="L2" s="15" t="s">
        <v>59</v>
      </c>
      <c r="M2" s="15" t="s">
        <v>82</v>
      </c>
      <c r="N2" s="15" t="s">
        <v>60</v>
      </c>
      <c r="O2" s="15" t="s">
        <v>155</v>
      </c>
      <c r="P2" s="15" t="s">
        <v>79</v>
      </c>
      <c r="Q2" s="15" t="s">
        <v>62</v>
      </c>
      <c r="R2" s="15" t="s">
        <v>70</v>
      </c>
      <c r="S2" s="15" t="s">
        <v>63</v>
      </c>
      <c r="T2" s="15" t="s">
        <v>64</v>
      </c>
      <c r="U2" s="15" t="s">
        <v>65</v>
      </c>
      <c r="V2" s="15" t="s">
        <v>66</v>
      </c>
      <c r="W2" s="15" t="s">
        <v>68</v>
      </c>
      <c r="X2" s="15" t="s">
        <v>67</v>
      </c>
      <c r="Y2" s="15" t="s">
        <v>69</v>
      </c>
      <c r="Z2" s="15" t="s">
        <v>71</v>
      </c>
      <c r="AA2" s="15" t="s">
        <v>72</v>
      </c>
      <c r="AB2" s="15" t="s">
        <v>110</v>
      </c>
      <c r="AC2" s="15" t="s">
        <v>179</v>
      </c>
      <c r="AD2" s="15" t="s">
        <v>73</v>
      </c>
    </row>
    <row r="3" spans="1:30" x14ac:dyDescent="0.3">
      <c r="A3" s="2">
        <v>1</v>
      </c>
      <c r="B3" s="57">
        <f>YEAR(Table19[[#This Row],[Date]])+IF(MONTH(Table19[[#This Row],[Date]])&gt;=4,1,0)</f>
        <v>2026</v>
      </c>
      <c r="C3" s="99">
        <f>YEAR(Table19[[#This Row],[Date]])</f>
        <v>2025</v>
      </c>
      <c r="D3" s="99" t="s">
        <v>1082</v>
      </c>
      <c r="E3" s="99" t="s">
        <v>1082</v>
      </c>
      <c r="F3" s="116" t="str">
        <f>TEXT(Table19[[#This Row],[Date]],"mmm-yy")</f>
        <v>Apr-25</v>
      </c>
      <c r="G3" s="2">
        <f>DAY(EOMONTH(Table19[[#This Row],[Month Year]],0))</f>
        <v>30</v>
      </c>
      <c r="H3" s="100">
        <v>45749</v>
      </c>
      <c r="I3" s="58">
        <f>IFERROR(VLOOKUP(Table19[[#This Row],[Date]],Table3[[#All],[Date]:[Sunset Time (POA&lt;20 W/m2)]],3,0),"")</f>
        <v>0.26319444444444445</v>
      </c>
      <c r="J3" s="107">
        <f>IFERROR(VLOOKUP(Table19[[#This Row],[Date]],Table3[[#All],[Date]:[Sunset Time (POA&lt;20 W/m2)]],4,0),"")</f>
        <v>0.7729166666666667</v>
      </c>
      <c r="K3" s="52">
        <f>IFERROR((Table19[[#This Row],[Sunset Time (POA&lt;20 W/m2)]]-Table19[[#This Row],[Sunrise Time (POA&gt;20 W/m2)]])*24,"")</f>
        <v>12.233333333333333</v>
      </c>
      <c r="L3" s="101" t="s">
        <v>304</v>
      </c>
      <c r="M3" s="7">
        <f>VLOOKUP(Table19[[#This Row],[Affceted Equipment]],'Basic Data'!$A$2:$B$108,2,0)</f>
        <v>8020.9</v>
      </c>
      <c r="N3" s="99" t="s">
        <v>305</v>
      </c>
      <c r="O3" s="99" t="s">
        <v>20</v>
      </c>
      <c r="P3" s="117">
        <f>IFERROR(VLOOKUP(Table19[[#This Row],[Affceted Equipment]],'Basic Data'!$A$2:$C$118,3,0),"")</f>
        <v>1</v>
      </c>
      <c r="Q3" s="101"/>
      <c r="R3" s="56" t="s">
        <v>306</v>
      </c>
      <c r="S3" s="102">
        <v>0.42152777777777778</v>
      </c>
      <c r="T3" s="102"/>
      <c r="U3" s="102"/>
      <c r="V3" s="102">
        <v>0.42708333333333331</v>
      </c>
      <c r="W3" s="73"/>
      <c r="X3" s="52"/>
      <c r="Y3" s="52">
        <f>(Table19[[#This Row],[Work Completiuon time on fualt]]-Table19[[#This Row],[Fault Time]])*24</f>
        <v>0.13333333333333286</v>
      </c>
      <c r="Z3" s="103" t="s">
        <v>4</v>
      </c>
      <c r="AA3" s="101" t="s">
        <v>81</v>
      </c>
      <c r="AB3" s="52">
        <f>IFERROR(Table19[[#This Row],[Plant Equivalent Weightage]]*Table19[[#This Row],[Resolution Time]],"")</f>
        <v>0.13333333333333286</v>
      </c>
      <c r="AC3" s="87">
        <v>0.12</v>
      </c>
      <c r="AD3" s="52">
        <f>Table19[[#This Row],[Lost POA (Wh/m2)]]*Table19[[#This Row],[DC Capacity Affceted (kW)]]</f>
        <v>962.50799999999992</v>
      </c>
    </row>
    <row r="4" spans="1:30" x14ac:dyDescent="0.3">
      <c r="A4" s="2">
        <f>A3+1</f>
        <v>2</v>
      </c>
      <c r="B4" s="57">
        <f>YEAR(Table19[[#This Row],[Date]])+IF(MONTH(Table19[[#This Row],[Date]])&gt;=4,1,0)</f>
        <v>2026</v>
      </c>
      <c r="C4" s="99">
        <f>YEAR(Table19[[#This Row],[Date]])</f>
        <v>2025</v>
      </c>
      <c r="D4" s="99" t="s">
        <v>1082</v>
      </c>
      <c r="E4" s="99" t="s">
        <v>1082</v>
      </c>
      <c r="F4" s="116" t="str">
        <f>TEXT(Table19[[#This Row],[Date]],"mmm-yy")</f>
        <v>Apr-25</v>
      </c>
      <c r="G4" s="2">
        <f>DAY(EOMONTH(Table19[[#This Row],[Month Year]],0))</f>
        <v>30</v>
      </c>
      <c r="H4" s="100">
        <v>45750</v>
      </c>
      <c r="I4" s="58">
        <f>IFERROR(VLOOKUP(Table19[[#This Row],[Date]],Table3[[#All],[Date]:[Sunset Time (POA&lt;20 W/m2)]],3,0),"")</f>
        <v>0.26319444444444445</v>
      </c>
      <c r="J4" s="107">
        <f>IFERROR(VLOOKUP(Table19[[#This Row],[Date]],Table3[[#All],[Date]:[Sunset Time (POA&lt;20 W/m2)]],4,0),"")</f>
        <v>0.74027777777777781</v>
      </c>
      <c r="K4" s="52">
        <f>IFERROR((Table19[[#This Row],[Sunset Time (POA&lt;20 W/m2)]]-Table19[[#This Row],[Sunrise Time (POA&gt;20 W/m2)]])*24,"")</f>
        <v>11.450000000000001</v>
      </c>
      <c r="L4" s="101" t="s">
        <v>304</v>
      </c>
      <c r="M4" s="7">
        <f>VLOOKUP(Table19[[#This Row],[Affceted Equipment]],'Basic Data'!$A$2:$B$108,2,0)</f>
        <v>8020.9</v>
      </c>
      <c r="N4" s="99" t="s">
        <v>305</v>
      </c>
      <c r="O4" s="99" t="s">
        <v>20</v>
      </c>
      <c r="P4" s="117">
        <f>IFERROR(VLOOKUP(Table19[[#This Row],[Affceted Equipment]],'Basic Data'!$A$2:$C$118,3,0),"")</f>
        <v>1</v>
      </c>
      <c r="Q4" s="101"/>
      <c r="R4" s="56" t="s">
        <v>1184</v>
      </c>
      <c r="S4" s="102">
        <v>0.57152777777777775</v>
      </c>
      <c r="T4" s="102"/>
      <c r="U4" s="102"/>
      <c r="V4" s="102">
        <v>0.69652777777777775</v>
      </c>
      <c r="W4" s="73"/>
      <c r="X4" s="52"/>
      <c r="Y4" s="52">
        <f>(Table19[[#This Row],[Work Completiuon time on fualt]]-Table19[[#This Row],[Fault Time]])*24</f>
        <v>3</v>
      </c>
      <c r="Z4" s="103" t="s">
        <v>4</v>
      </c>
      <c r="AA4" s="101" t="s">
        <v>81</v>
      </c>
      <c r="AB4" s="52">
        <f>IFERROR(Table19[[#This Row],[Plant Equivalent Weightage]]*Table19[[#This Row],[Resolution Time]],"")</f>
        <v>3</v>
      </c>
      <c r="AC4" s="87">
        <v>0.65500000000000003</v>
      </c>
      <c r="AD4" s="52">
        <f>Table19[[#This Row],[Lost POA (Wh/m2)]]*Table19[[#This Row],[DC Capacity Affceted (kW)]]</f>
        <v>5253.6895000000004</v>
      </c>
    </row>
    <row r="5" spans="1:30" x14ac:dyDescent="0.3">
      <c r="A5" s="2">
        <f t="shared" ref="A5:A18" si="0">A4+1</f>
        <v>3</v>
      </c>
      <c r="B5" s="57">
        <f>YEAR(Table19[[#This Row],[Date]])+IF(MONTH(Table19[[#This Row],[Date]])&gt;=4,1,0)</f>
        <v>2026</v>
      </c>
      <c r="C5" s="99">
        <f>YEAR(Table19[[#This Row],[Date]])</f>
        <v>2025</v>
      </c>
      <c r="D5" s="99" t="s">
        <v>1082</v>
      </c>
      <c r="E5" s="99" t="s">
        <v>1082</v>
      </c>
      <c r="F5" s="116" t="str">
        <f>TEXT(Table19[[#This Row],[Date]],"mmm-yy")</f>
        <v>Apr-25</v>
      </c>
      <c r="G5" s="2">
        <f>DAY(EOMONTH(Table19[[#This Row],[Month Year]],0))</f>
        <v>30</v>
      </c>
      <c r="H5" s="100">
        <v>45757</v>
      </c>
      <c r="I5" s="58">
        <f>IFERROR(VLOOKUP(Table19[[#This Row],[Date]],Table3[[#All],[Date]:[Sunset Time (POA&lt;20 W/m2)]],3,0),"")</f>
        <v>0.25833333333333336</v>
      </c>
      <c r="J5" s="107">
        <f>IFERROR(VLOOKUP(Table19[[#This Row],[Date]],Table3[[#All],[Date]:[Sunset Time (POA&lt;20 W/m2)]],4,0),"")</f>
        <v>0.75</v>
      </c>
      <c r="K5" s="52">
        <f>IFERROR((Table19[[#This Row],[Sunset Time (POA&lt;20 W/m2)]]-Table19[[#This Row],[Sunrise Time (POA&gt;20 W/m2)]])*24,"")</f>
        <v>11.799999999999999</v>
      </c>
      <c r="L5" s="101" t="s">
        <v>304</v>
      </c>
      <c r="M5" s="7">
        <f>VLOOKUP(Table19[[#This Row],[Affceted Equipment]],'Basic Data'!$A$2:$B$108,2,0)</f>
        <v>8020.9</v>
      </c>
      <c r="N5" s="99" t="s">
        <v>305</v>
      </c>
      <c r="O5" s="99" t="s">
        <v>20</v>
      </c>
      <c r="P5" s="117">
        <f>IFERROR(VLOOKUP(Table19[[#This Row],[Affceted Equipment]],'Basic Data'!$A$2:$C$118,3,0),"")</f>
        <v>1</v>
      </c>
      <c r="Q5" s="101"/>
      <c r="R5" s="56" t="s">
        <v>1184</v>
      </c>
      <c r="S5" s="102">
        <v>0.62777777777777777</v>
      </c>
      <c r="T5" s="102"/>
      <c r="U5" s="102"/>
      <c r="V5" s="102">
        <v>0.77083333333333337</v>
      </c>
      <c r="W5" s="73"/>
      <c r="X5" s="52"/>
      <c r="Y5" s="52">
        <f>(Table19[[#This Row],[Work Completiuon time on fualt]]-Table19[[#This Row],[Fault Time]])*24</f>
        <v>3.4333333333333345</v>
      </c>
      <c r="Z5" s="103" t="s">
        <v>4</v>
      </c>
      <c r="AA5" s="101" t="s">
        <v>81</v>
      </c>
      <c r="AB5" s="52">
        <f>IFERROR(Table19[[#This Row],[Plant Equivalent Weightage]]*Table19[[#This Row],[Resolution Time]],"")</f>
        <v>3.4333333333333345</v>
      </c>
      <c r="AC5" s="87">
        <v>0.11</v>
      </c>
      <c r="AD5" s="52">
        <f>Table19[[#This Row],[Lost POA (Wh/m2)]]*Table19[[#This Row],[DC Capacity Affceted (kW)]]</f>
        <v>882.29899999999998</v>
      </c>
    </row>
    <row r="6" spans="1:30" x14ac:dyDescent="0.3">
      <c r="A6" s="2">
        <f t="shared" si="0"/>
        <v>4</v>
      </c>
      <c r="B6" s="57">
        <f>YEAR(Table19[[#This Row],[Date]])+IF(MONTH(Table19[[#This Row],[Date]])&gt;=4,1,0)</f>
        <v>2026</v>
      </c>
      <c r="C6" s="99">
        <f>YEAR(Table19[[#This Row],[Date]])</f>
        <v>2025</v>
      </c>
      <c r="D6" s="99" t="s">
        <v>1082</v>
      </c>
      <c r="E6" s="99" t="s">
        <v>1082</v>
      </c>
      <c r="F6" s="116" t="str">
        <f>TEXT(Table19[[#This Row],[Date]],"mmm-yy")</f>
        <v>Apr-25</v>
      </c>
      <c r="G6" s="2">
        <f>DAY(EOMONTH(Table19[[#This Row],[Month Year]],0))</f>
        <v>30</v>
      </c>
      <c r="H6" s="100">
        <v>45760</v>
      </c>
      <c r="I6" s="58">
        <f>IFERROR(VLOOKUP(Table19[[#This Row],[Date]],Table3[[#All],[Date]:[Sunset Time (POA&lt;20 W/m2)]],3,0),"")</f>
        <v>0.25138888888888888</v>
      </c>
      <c r="J6" s="107">
        <f>IFERROR(VLOOKUP(Table19[[#This Row],[Date]],Table3[[#All],[Date]:[Sunset Time (POA&lt;20 W/m2)]],4,0),"")</f>
        <v>0.76875000000000004</v>
      </c>
      <c r="K6" s="52">
        <f>IFERROR((Table19[[#This Row],[Sunset Time (POA&lt;20 W/m2)]]-Table19[[#This Row],[Sunrise Time (POA&gt;20 W/m2)]])*24,"")</f>
        <v>12.416666666666668</v>
      </c>
      <c r="L6" s="101" t="s">
        <v>304</v>
      </c>
      <c r="M6" s="7">
        <f>VLOOKUP(Table19[[#This Row],[Affceted Equipment]],'Basic Data'!$A$2:$B$108,2,0)</f>
        <v>8020.9</v>
      </c>
      <c r="N6" s="99" t="s">
        <v>305</v>
      </c>
      <c r="O6" s="99" t="s">
        <v>20</v>
      </c>
      <c r="P6" s="117">
        <f>IFERROR(VLOOKUP(Table19[[#This Row],[Affceted Equipment]],'Basic Data'!$A$2:$C$118,3,0),"")</f>
        <v>1</v>
      </c>
      <c r="Q6" s="101"/>
      <c r="R6" s="56" t="s">
        <v>306</v>
      </c>
      <c r="S6" s="102">
        <v>0.55486111111111114</v>
      </c>
      <c r="T6" s="102"/>
      <c r="U6" s="102"/>
      <c r="V6" s="102">
        <v>0.56458333333333333</v>
      </c>
      <c r="W6" s="73"/>
      <c r="X6" s="52"/>
      <c r="Y6" s="52">
        <f>(Table19[[#This Row],[Work Completiuon time on fualt]]-Table19[[#This Row],[Fault Time]])*24</f>
        <v>0.2333333333333325</v>
      </c>
      <c r="Z6" s="103" t="s">
        <v>4</v>
      </c>
      <c r="AA6" s="101" t="s">
        <v>81</v>
      </c>
      <c r="AB6" s="52">
        <f>IFERROR(Table19[[#This Row],[Plant Equivalent Weightage]]*Table19[[#This Row],[Resolution Time]],"")</f>
        <v>0.2333333333333325</v>
      </c>
      <c r="AC6" s="87">
        <v>0.23</v>
      </c>
      <c r="AD6" s="52">
        <f>Table19[[#This Row],[Lost POA (Wh/m2)]]*Table19[[#This Row],[DC Capacity Affceted (kW)]]</f>
        <v>1844.807</v>
      </c>
    </row>
    <row r="7" spans="1:30" x14ac:dyDescent="0.3">
      <c r="A7" s="2">
        <f t="shared" si="0"/>
        <v>5</v>
      </c>
      <c r="B7" s="57">
        <f>YEAR(Table19[[#This Row],[Date]])+IF(MONTH(Table19[[#This Row],[Date]])&gt;=4,1,0)</f>
        <v>2026</v>
      </c>
      <c r="C7" s="99">
        <f>YEAR(Table19[[#This Row],[Date]])</f>
        <v>2025</v>
      </c>
      <c r="D7" s="99" t="s">
        <v>1082</v>
      </c>
      <c r="E7" s="99" t="s">
        <v>1082</v>
      </c>
      <c r="F7" s="116" t="str">
        <f>TEXT(Table19[[#This Row],[Date]],"mmm-yy")</f>
        <v>Apr-25</v>
      </c>
      <c r="G7" s="2">
        <f>DAY(EOMONTH(Table19[[#This Row],[Month Year]],0))</f>
        <v>30</v>
      </c>
      <c r="H7" s="100">
        <v>45762</v>
      </c>
      <c r="I7" s="58">
        <f>IFERROR(VLOOKUP(Table19[[#This Row],[Date]],Table3[[#All],[Date]:[Sunset Time (POA&lt;20 W/m2)]],3,0),"")</f>
        <v>0.25069444444444444</v>
      </c>
      <c r="J7" s="107">
        <f>IFERROR(VLOOKUP(Table19[[#This Row],[Date]],Table3[[#All],[Date]:[Sunset Time (POA&lt;20 W/m2)]],4,0),"")</f>
        <v>0.77569444444444446</v>
      </c>
      <c r="K7" s="52">
        <f>IFERROR((Table19[[#This Row],[Sunset Time (POA&lt;20 W/m2)]]-Table19[[#This Row],[Sunrise Time (POA&gt;20 W/m2)]])*24,"")</f>
        <v>12.600000000000001</v>
      </c>
      <c r="L7" s="101" t="s">
        <v>304</v>
      </c>
      <c r="M7" s="7">
        <f>VLOOKUP(Table19[[#This Row],[Affceted Equipment]],'Basic Data'!$A$2:$B$108,2,0)</f>
        <v>8020.9</v>
      </c>
      <c r="N7" s="99" t="s">
        <v>305</v>
      </c>
      <c r="O7" s="99" t="s">
        <v>20</v>
      </c>
      <c r="P7" s="117">
        <f>IFERROR(VLOOKUP(Table19[[#This Row],[Affceted Equipment]],'Basic Data'!$A$2:$C$118,3,0),"")</f>
        <v>1</v>
      </c>
      <c r="Q7" s="101"/>
      <c r="R7" s="56" t="s">
        <v>306</v>
      </c>
      <c r="S7" s="102">
        <v>0.32569444444444445</v>
      </c>
      <c r="T7" s="102"/>
      <c r="U7" s="102"/>
      <c r="V7" s="102">
        <v>0.33194444444444443</v>
      </c>
      <c r="W7" s="73"/>
      <c r="X7" s="52"/>
      <c r="Y7" s="52">
        <f>(Table19[[#This Row],[Work Completiuon time on fualt]]-Table19[[#This Row],[Fault Time]])*24</f>
        <v>0.14999999999999947</v>
      </c>
      <c r="Z7" s="103" t="s">
        <v>4</v>
      </c>
      <c r="AA7" s="101" t="s">
        <v>81</v>
      </c>
      <c r="AB7" s="52">
        <f>IFERROR(Table19[[#This Row],[Plant Equivalent Weightage]]*Table19[[#This Row],[Resolution Time]],"")</f>
        <v>0.14999999999999947</v>
      </c>
      <c r="AC7" s="87">
        <v>0.03</v>
      </c>
      <c r="AD7" s="52">
        <f>Table19[[#This Row],[Lost POA (Wh/m2)]]*Table19[[#This Row],[DC Capacity Affceted (kW)]]</f>
        <v>240.62699999999998</v>
      </c>
    </row>
    <row r="8" spans="1:30" x14ac:dyDescent="0.3">
      <c r="A8" s="2">
        <f t="shared" si="0"/>
        <v>6</v>
      </c>
      <c r="B8" s="57">
        <f>YEAR(Table19[[#This Row],[Date]])+IF(MONTH(Table19[[#This Row],[Date]])&gt;=4,1,0)</f>
        <v>2026</v>
      </c>
      <c r="C8" s="99">
        <f>YEAR(Table19[[#This Row],[Date]])</f>
        <v>2025</v>
      </c>
      <c r="D8" s="99" t="s">
        <v>1082</v>
      </c>
      <c r="E8" s="99" t="s">
        <v>1082</v>
      </c>
      <c r="F8" s="116" t="str">
        <f>TEXT(Table19[[#This Row],[Date]],"mmm-yy")</f>
        <v>Apr-25</v>
      </c>
      <c r="G8" s="2">
        <f>DAY(EOMONTH(Table19[[#This Row],[Month Year]],0))</f>
        <v>30</v>
      </c>
      <c r="H8" s="100">
        <v>45763</v>
      </c>
      <c r="I8" s="58">
        <f>IFERROR(VLOOKUP(Table19[[#This Row],[Date]],Table3[[#All],[Date]:[Sunset Time (POA&lt;20 W/m2)]],3,0),"")</f>
        <v>0.25</v>
      </c>
      <c r="J8" s="107">
        <f>IFERROR(VLOOKUP(Table19[[#This Row],[Date]],Table3[[#All],[Date]:[Sunset Time (POA&lt;20 W/m2)]],4,0),"")</f>
        <v>0.77083333333333337</v>
      </c>
      <c r="K8" s="52">
        <f>IFERROR((Table19[[#This Row],[Sunset Time (POA&lt;20 W/m2)]]-Table19[[#This Row],[Sunrise Time (POA&gt;20 W/m2)]])*24,"")</f>
        <v>12.5</v>
      </c>
      <c r="L8" s="101" t="s">
        <v>304</v>
      </c>
      <c r="M8" s="7">
        <f>VLOOKUP(Table19[[#This Row],[Affceted Equipment]],'Basic Data'!$A$2:$B$108,2,0)</f>
        <v>8020.9</v>
      </c>
      <c r="N8" s="99" t="s">
        <v>305</v>
      </c>
      <c r="O8" s="99" t="s">
        <v>20</v>
      </c>
      <c r="P8" s="117">
        <f>IFERROR(VLOOKUP(Table19[[#This Row],[Affceted Equipment]],'Basic Data'!$A$2:$C$118,3,0),"")</f>
        <v>1</v>
      </c>
      <c r="Q8" s="101"/>
      <c r="R8" s="67" t="s">
        <v>1192</v>
      </c>
      <c r="S8" s="102">
        <v>0.59791666666666665</v>
      </c>
      <c r="T8" s="102"/>
      <c r="U8" s="102"/>
      <c r="V8" s="102">
        <v>0.6118055555555556</v>
      </c>
      <c r="W8" s="73"/>
      <c r="X8" s="52"/>
      <c r="Y8" s="52">
        <f>(Table19[[#This Row],[Work Completiuon time on fualt]]-Table19[[#This Row],[Fault Time]])*24</f>
        <v>0.33333333333333481</v>
      </c>
      <c r="Z8" s="103" t="s">
        <v>4</v>
      </c>
      <c r="AA8" s="101" t="s">
        <v>81</v>
      </c>
      <c r="AB8" s="52">
        <f>IFERROR(Table19[[#This Row],[Plant Equivalent Weightage]]*Table19[[#This Row],[Resolution Time]],"")</f>
        <v>0.33333333333333481</v>
      </c>
      <c r="AC8" s="87">
        <v>0.25</v>
      </c>
      <c r="AD8" s="52">
        <f>Table19[[#This Row],[Lost POA (Wh/m2)]]*Table19[[#This Row],[DC Capacity Affceted (kW)]]</f>
        <v>2005.2249999999999</v>
      </c>
    </row>
    <row r="9" spans="1:30" x14ac:dyDescent="0.3">
      <c r="A9" s="2">
        <f t="shared" si="0"/>
        <v>7</v>
      </c>
      <c r="B9" s="57">
        <f>YEAR(Table19[[#This Row],[Date]])+IF(MONTH(Table19[[#This Row],[Date]])&gt;=4,1,0)</f>
        <v>2026</v>
      </c>
      <c r="C9" s="99">
        <f>YEAR(Table19[[#This Row],[Date]])</f>
        <v>2025</v>
      </c>
      <c r="D9" s="99" t="s">
        <v>1082</v>
      </c>
      <c r="E9" s="99" t="s">
        <v>1082</v>
      </c>
      <c r="F9" s="116" t="str">
        <f>TEXT(Table19[[#This Row],[Date]],"mmm-yy")</f>
        <v>Apr-25</v>
      </c>
      <c r="G9" s="2">
        <f>DAY(EOMONTH(Table19[[#This Row],[Month Year]],0))</f>
        <v>30</v>
      </c>
      <c r="H9" s="100">
        <v>45763</v>
      </c>
      <c r="I9" s="105">
        <f>IFERROR(VLOOKUP(Table19[[#This Row],[Date]],Table3[[#All],[Date]:[Sunset Time (POA&lt;20 W/m2)]],3,0),"")</f>
        <v>0.25</v>
      </c>
      <c r="J9" s="107">
        <f>IFERROR(VLOOKUP(Table19[[#This Row],[Date]],Table3[[#All],[Date]:[Sunset Time (POA&lt;20 W/m2)]],4,0),"")</f>
        <v>0.77083333333333337</v>
      </c>
      <c r="K9" s="52">
        <f>IFERROR((Table19[[#This Row],[Sunset Time (POA&lt;20 W/m2)]]-Table19[[#This Row],[Sunrise Time (POA&gt;20 W/m2)]])*24,"")</f>
        <v>12.5</v>
      </c>
      <c r="L9" s="101" t="s">
        <v>304</v>
      </c>
      <c r="M9" s="7">
        <f>VLOOKUP(Table19[[#This Row],[Affceted Equipment]],'Basic Data'!$A$2:$B$108,2,0)</f>
        <v>8020.9</v>
      </c>
      <c r="N9" s="99" t="s">
        <v>305</v>
      </c>
      <c r="O9" s="99" t="s">
        <v>20</v>
      </c>
      <c r="P9" s="117">
        <f>IFERROR(VLOOKUP(Table19[[#This Row],[Affceted Equipment]],'Basic Data'!$A$2:$C$118,3,0),"")</f>
        <v>1</v>
      </c>
      <c r="Q9" s="101"/>
      <c r="R9" s="67" t="s">
        <v>1192</v>
      </c>
      <c r="S9" s="102">
        <v>0.69791666666666663</v>
      </c>
      <c r="T9" s="102"/>
      <c r="U9" s="102"/>
      <c r="V9" s="102">
        <v>0.75694444444444442</v>
      </c>
      <c r="W9" s="73"/>
      <c r="X9" s="52"/>
      <c r="Y9" s="52">
        <f>(Table19[[#This Row],[Work Completiuon time on fualt]]-Table19[[#This Row],[Fault Time]])*24</f>
        <v>1.416666666666667</v>
      </c>
      <c r="Z9" s="103" t="s">
        <v>4</v>
      </c>
      <c r="AA9" s="101" t="s">
        <v>81</v>
      </c>
      <c r="AB9" s="52">
        <f>IFERROR(Table19[[#This Row],[Plant Equivalent Weightage]]*Table19[[#This Row],[Resolution Time]],"")</f>
        <v>1.416666666666667</v>
      </c>
      <c r="AC9" s="87">
        <v>0.02</v>
      </c>
      <c r="AD9" s="52">
        <f>Table19[[#This Row],[Lost POA (Wh/m2)]]*Table19[[#This Row],[DC Capacity Affceted (kW)]]</f>
        <v>160.41800000000001</v>
      </c>
    </row>
    <row r="10" spans="1:30" x14ac:dyDescent="0.3">
      <c r="A10" s="2">
        <f t="shared" si="0"/>
        <v>8</v>
      </c>
      <c r="B10" s="57">
        <f>YEAR(Table19[[#This Row],[Date]])+IF(MONTH(Table19[[#This Row],[Date]])&gt;=4,1,0)</f>
        <v>2026</v>
      </c>
      <c r="C10" s="99">
        <f>YEAR(Table19[[#This Row],[Date]])</f>
        <v>2025</v>
      </c>
      <c r="D10" s="99" t="s">
        <v>1082</v>
      </c>
      <c r="E10" s="99" t="s">
        <v>1082</v>
      </c>
      <c r="F10" s="116" t="str">
        <f>TEXT(Table19[[#This Row],[Date]],"mmm-yy")</f>
        <v>Apr-25</v>
      </c>
      <c r="G10" s="2">
        <f>DAY(EOMONTH(Table19[[#This Row],[Month Year]],0))</f>
        <v>30</v>
      </c>
      <c r="H10" s="100">
        <v>45766</v>
      </c>
      <c r="I10" s="58">
        <f>IFERROR(VLOOKUP(Table19[[#This Row],[Date]],Table3[[#All],[Date]:[Sunset Time (POA&lt;20 W/m2)]],3,0),"")</f>
        <v>0.25624999999999998</v>
      </c>
      <c r="J10" s="107">
        <f>IFERROR(VLOOKUP(Table19[[#This Row],[Date]],Table3[[#All],[Date]:[Sunset Time (POA&lt;20 W/m2)]],4,0),"")</f>
        <v>0.77361111111111114</v>
      </c>
      <c r="K10" s="52">
        <f>IFERROR((Table19[[#This Row],[Sunset Time (POA&lt;20 W/m2)]]-Table19[[#This Row],[Sunrise Time (POA&gt;20 W/m2)]])*24,"")</f>
        <v>12.416666666666668</v>
      </c>
      <c r="L10" s="101" t="s">
        <v>304</v>
      </c>
      <c r="M10" s="7">
        <f>VLOOKUP(Table19[[#This Row],[Affceted Equipment]],'Basic Data'!$A$2:$B$108,2,0)</f>
        <v>8020.9</v>
      </c>
      <c r="N10" s="99" t="s">
        <v>305</v>
      </c>
      <c r="O10" s="99" t="s">
        <v>20</v>
      </c>
      <c r="P10" s="117">
        <f>IFERROR(VLOOKUP(Table19[[#This Row],[Affceted Equipment]],'Basic Data'!$A$2:$C$118,3,0),"")</f>
        <v>1</v>
      </c>
      <c r="Q10" s="101"/>
      <c r="R10" s="67" t="s">
        <v>1196</v>
      </c>
      <c r="S10" s="102">
        <v>0.68194444444444446</v>
      </c>
      <c r="T10" s="102"/>
      <c r="U10" s="102"/>
      <c r="V10" s="102">
        <v>0.74097222222222225</v>
      </c>
      <c r="W10" s="73"/>
      <c r="X10" s="52"/>
      <c r="Y10" s="52">
        <f>(Table19[[#This Row],[Work Completiuon time on fualt]]-Table19[[#This Row],[Fault Time]])*24</f>
        <v>1.416666666666667</v>
      </c>
      <c r="Z10" s="103" t="s">
        <v>4</v>
      </c>
      <c r="AA10" s="101" t="s">
        <v>81</v>
      </c>
      <c r="AB10" s="52">
        <f>IFERROR(Table19[[#This Row],[Plant Equivalent Weightage]]*Table19[[#This Row],[Resolution Time]],"")</f>
        <v>1.416666666666667</v>
      </c>
      <c r="AC10" s="87">
        <v>0.17</v>
      </c>
      <c r="AD10" s="52">
        <f>Table19[[#This Row],[Lost POA (Wh/m2)]]*Table19[[#This Row],[DC Capacity Affceted (kW)]]</f>
        <v>1363.5530000000001</v>
      </c>
    </row>
    <row r="11" spans="1:30" x14ac:dyDescent="0.3">
      <c r="A11" s="2">
        <f t="shared" si="0"/>
        <v>9</v>
      </c>
      <c r="B11" s="57">
        <f>YEAR(Table19[[#This Row],[Date]])+IF(MONTH(Table19[[#This Row],[Date]])&gt;=4,1,0)</f>
        <v>2026</v>
      </c>
      <c r="C11" s="99">
        <f>YEAR(Table19[[#This Row],[Date]])</f>
        <v>2025</v>
      </c>
      <c r="D11" s="99" t="s">
        <v>1082</v>
      </c>
      <c r="E11" s="99" t="s">
        <v>1082</v>
      </c>
      <c r="F11" s="116" t="str">
        <f>TEXT(Table19[[#This Row],[Date]],"mmm-yy")</f>
        <v>Apr-25</v>
      </c>
      <c r="G11" s="2">
        <f>DAY(EOMONTH(Table19[[#This Row],[Month Year]],0))</f>
        <v>30</v>
      </c>
      <c r="H11" s="100">
        <v>45766</v>
      </c>
      <c r="I11" s="105">
        <f>IFERROR(VLOOKUP(Table19[[#This Row],[Date]],Table3[[#All],[Date]:[Sunset Time (POA&lt;20 W/m2)]],3,0),"")</f>
        <v>0.25624999999999998</v>
      </c>
      <c r="J11" s="107">
        <f>IFERROR(VLOOKUP(Table19[[#This Row],[Date]],Table3[[#All],[Date]:[Sunset Time (POA&lt;20 W/m2)]],4,0),"")</f>
        <v>0.77361111111111114</v>
      </c>
      <c r="K11" s="52">
        <f>IFERROR((Table19[[#This Row],[Sunset Time (POA&lt;20 W/m2)]]-Table19[[#This Row],[Sunrise Time (POA&gt;20 W/m2)]])*24,"")</f>
        <v>12.416666666666668</v>
      </c>
      <c r="L11" s="101" t="s">
        <v>304</v>
      </c>
      <c r="M11" s="7">
        <f>VLOOKUP(Table19[[#This Row],[Affceted Equipment]],'Basic Data'!$A$2:$B$108,2,0)</f>
        <v>8020.9</v>
      </c>
      <c r="N11" s="99" t="s">
        <v>305</v>
      </c>
      <c r="O11" s="99" t="s">
        <v>20</v>
      </c>
      <c r="P11" s="117">
        <f>IFERROR(VLOOKUP(Table19[[#This Row],[Affceted Equipment]],'Basic Data'!$A$2:$C$118,3,0),"")</f>
        <v>1</v>
      </c>
      <c r="Q11" s="101"/>
      <c r="R11" s="56" t="s">
        <v>306</v>
      </c>
      <c r="S11" s="102">
        <v>0.75624999999999998</v>
      </c>
      <c r="T11" s="102"/>
      <c r="U11" s="102"/>
      <c r="V11" s="102">
        <v>0.77500000000000002</v>
      </c>
      <c r="W11" s="73"/>
      <c r="X11" s="52"/>
      <c r="Y11" s="52">
        <f>(Table19[[#This Row],[Work Completiuon time on fualt]]-Table19[[#This Row],[Fault Time]])*24</f>
        <v>0.45000000000000107</v>
      </c>
      <c r="Z11" s="103" t="s">
        <v>4</v>
      </c>
      <c r="AA11" s="101" t="s">
        <v>81</v>
      </c>
      <c r="AB11" s="52">
        <f>IFERROR(Table19[[#This Row],[Plant Equivalent Weightage]]*Table19[[#This Row],[Resolution Time]],"")</f>
        <v>0.45000000000000107</v>
      </c>
      <c r="AC11" s="87">
        <v>7.0000000000000001E-3</v>
      </c>
      <c r="AD11" s="52">
        <f>Table19[[#This Row],[Lost POA (Wh/m2)]]*Table19[[#This Row],[DC Capacity Affceted (kW)]]</f>
        <v>56.146299999999997</v>
      </c>
    </row>
    <row r="12" spans="1:30" x14ac:dyDescent="0.3">
      <c r="A12" s="2">
        <f t="shared" si="0"/>
        <v>10</v>
      </c>
      <c r="B12" s="57">
        <f>YEAR(Table19[[#This Row],[Date]])+IF(MONTH(Table19[[#This Row],[Date]])&gt;=4,1,0)</f>
        <v>2026</v>
      </c>
      <c r="C12" s="99">
        <f>YEAR(Table19[[#This Row],[Date]])</f>
        <v>2025</v>
      </c>
      <c r="D12" s="99" t="s">
        <v>1082</v>
      </c>
      <c r="E12" s="99" t="s">
        <v>1082</v>
      </c>
      <c r="F12" s="116" t="str">
        <f>TEXT(Table19[[#This Row],[Date]],"mmm-yy")</f>
        <v>Apr-25</v>
      </c>
      <c r="G12" s="2">
        <f>DAY(EOMONTH(Table19[[#This Row],[Month Year]],0))</f>
        <v>30</v>
      </c>
      <c r="H12" s="100">
        <v>45768</v>
      </c>
      <c r="I12" s="58">
        <f>IFERROR(VLOOKUP(Table19[[#This Row],[Date]],Table3[[#All],[Date]:[Sunset Time (POA&lt;20 W/m2)]],3,0),"")</f>
        <v>0.25069444444444444</v>
      </c>
      <c r="J12" s="107">
        <f>IFERROR(VLOOKUP(Table19[[#This Row],[Date]],Table3[[#All],[Date]:[Sunset Time (POA&lt;20 W/m2)]],4,0),"")</f>
        <v>0.76944444444444449</v>
      </c>
      <c r="K12" s="52">
        <f>IFERROR((Table19[[#This Row],[Sunset Time (POA&lt;20 W/m2)]]-Table19[[#This Row],[Sunrise Time (POA&gt;20 W/m2)]])*24,"")</f>
        <v>12.450000000000001</v>
      </c>
      <c r="L12" s="101" t="s">
        <v>304</v>
      </c>
      <c r="M12" s="7">
        <f>VLOOKUP(Table19[[#This Row],[Affceted Equipment]],'Basic Data'!$A$2:$B$108,2,0)</f>
        <v>8020.9</v>
      </c>
      <c r="N12" s="99" t="s">
        <v>305</v>
      </c>
      <c r="O12" s="99" t="s">
        <v>20</v>
      </c>
      <c r="P12" s="117">
        <f>IFERROR(VLOOKUP(Table19[[#This Row],[Affceted Equipment]],'Basic Data'!$A$2:$C$118,3,0),"")</f>
        <v>1</v>
      </c>
      <c r="Q12" s="101"/>
      <c r="R12" s="67" t="s">
        <v>1196</v>
      </c>
      <c r="S12" s="102">
        <v>0.4777777777777778</v>
      </c>
      <c r="T12" s="102"/>
      <c r="U12" s="102"/>
      <c r="V12" s="102">
        <v>0.51944444444444449</v>
      </c>
      <c r="W12" s="73"/>
      <c r="X12" s="52"/>
      <c r="Y12" s="52">
        <f>(Table19[[#This Row],[Work Completiuon time on fualt]]-Table19[[#This Row],[Fault Time]])*24</f>
        <v>1.0000000000000004</v>
      </c>
      <c r="Z12" s="103" t="s">
        <v>4</v>
      </c>
      <c r="AA12" s="101" t="s">
        <v>81</v>
      </c>
      <c r="AB12" s="52">
        <f>IFERROR(Table19[[#This Row],[Plant Equivalent Weightage]]*Table19[[#This Row],[Resolution Time]],"")</f>
        <v>1.0000000000000004</v>
      </c>
      <c r="AC12" s="87">
        <v>0.89</v>
      </c>
      <c r="AD12" s="52">
        <f>Table19[[#This Row],[Lost POA (Wh/m2)]]*Table19[[#This Row],[DC Capacity Affceted (kW)]]</f>
        <v>7138.6009999999997</v>
      </c>
    </row>
    <row r="13" spans="1:30" x14ac:dyDescent="0.3">
      <c r="A13" s="2">
        <f t="shared" si="0"/>
        <v>11</v>
      </c>
      <c r="B13" s="57">
        <f>YEAR(Table19[[#This Row],[Date]])+IF(MONTH(Table19[[#This Row],[Date]])&gt;=4,1,0)</f>
        <v>2026</v>
      </c>
      <c r="C13" s="99">
        <f>YEAR(Table19[[#This Row],[Date]])</f>
        <v>2025</v>
      </c>
      <c r="D13" s="99" t="s">
        <v>1082</v>
      </c>
      <c r="E13" s="99" t="s">
        <v>1082</v>
      </c>
      <c r="F13" s="116" t="str">
        <f>TEXT(Table19[[#This Row],[Date]],"mmm-yy")</f>
        <v>Apr-25</v>
      </c>
      <c r="G13" s="2">
        <f>DAY(EOMONTH(Table19[[#This Row],[Month Year]],0))</f>
        <v>30</v>
      </c>
      <c r="H13" s="100">
        <v>45771</v>
      </c>
      <c r="I13" s="58">
        <f>IFERROR(VLOOKUP(Table19[[#This Row],[Date]],Table3[[#All],[Date]:[Sunset Time (POA&lt;20 W/m2)]],3,0),"")</f>
        <v>0.25277777777777777</v>
      </c>
      <c r="J13" s="107">
        <f>IFERROR(VLOOKUP(Table19[[#This Row],[Date]],Table3[[#All],[Date]:[Sunset Time (POA&lt;20 W/m2)]],4,0),"")</f>
        <v>0.76249999999999996</v>
      </c>
      <c r="K13" s="52">
        <f>IFERROR((Table19[[#This Row],[Sunset Time (POA&lt;20 W/m2)]]-Table19[[#This Row],[Sunrise Time (POA&gt;20 W/m2)]])*24,"")</f>
        <v>12.233333333333333</v>
      </c>
      <c r="L13" s="101" t="s">
        <v>304</v>
      </c>
      <c r="M13" s="7">
        <f>VLOOKUP(Table19[[#This Row],[Affceted Equipment]],'Basic Data'!$A$2:$B$108,2,0)</f>
        <v>8020.9</v>
      </c>
      <c r="N13" s="99" t="s">
        <v>305</v>
      </c>
      <c r="O13" s="99" t="s">
        <v>20</v>
      </c>
      <c r="P13" s="117">
        <f>IFERROR(VLOOKUP(Table19[[#This Row],[Affceted Equipment]],'Basic Data'!$A$2:$C$118,3,0),"")</f>
        <v>1</v>
      </c>
      <c r="Q13" s="101"/>
      <c r="R13" s="67" t="s">
        <v>1192</v>
      </c>
      <c r="S13" s="102">
        <v>0.69166666666666665</v>
      </c>
      <c r="T13" s="102"/>
      <c r="U13" s="102"/>
      <c r="V13" s="102">
        <v>0.80902777777777779</v>
      </c>
      <c r="W13" s="73"/>
      <c r="X13" s="52"/>
      <c r="Y13" s="52">
        <f>(Table19[[#This Row],[Work Completiuon time on fualt]]-Table19[[#This Row],[Fault Time]])*24</f>
        <v>2.8166666666666673</v>
      </c>
      <c r="Z13" s="103" t="s">
        <v>4</v>
      </c>
      <c r="AA13" s="101" t="s">
        <v>81</v>
      </c>
      <c r="AB13" s="52">
        <f>IFERROR(Table19[[#This Row],[Plant Equivalent Weightage]]*Table19[[#This Row],[Resolution Time]],"")</f>
        <v>2.8166666666666673</v>
      </c>
      <c r="AC13" s="87">
        <v>0.1</v>
      </c>
      <c r="AD13" s="52">
        <f>Table19[[#This Row],[Lost POA (Wh/m2)]]*Table19[[#This Row],[DC Capacity Affceted (kW)]]</f>
        <v>802.09</v>
      </c>
    </row>
    <row r="14" spans="1:30" x14ac:dyDescent="0.3">
      <c r="A14" s="2">
        <f t="shared" si="0"/>
        <v>12</v>
      </c>
      <c r="B14" s="57">
        <f>YEAR(Table19[[#This Row],[Date]])+IF(MONTH(Table19[[#This Row],[Date]])&gt;=4,1,0)</f>
        <v>2026</v>
      </c>
      <c r="C14" s="99">
        <f>YEAR(Table19[[#This Row],[Date]])</f>
        <v>2025</v>
      </c>
      <c r="D14" s="99" t="s">
        <v>1082</v>
      </c>
      <c r="E14" s="99" t="s">
        <v>1082</v>
      </c>
      <c r="F14" s="116" t="str">
        <f>TEXT(Table19[[#This Row],[Date]],"mmm-yy")</f>
        <v>Apr-25</v>
      </c>
      <c r="G14" s="2">
        <f>DAY(EOMONTH(Table19[[#This Row],[Month Year]],0))</f>
        <v>30</v>
      </c>
      <c r="H14" s="100">
        <v>45772</v>
      </c>
      <c r="I14" s="105">
        <f>IFERROR(VLOOKUP(Table19[[#This Row],[Date]],Table3[[#All],[Date]:[Sunset Time (POA&lt;20 W/m2)]],3,0),"")</f>
        <v>0.25347222222222221</v>
      </c>
      <c r="J14" s="107">
        <f>IFERROR(VLOOKUP(Table19[[#This Row],[Date]],Table3[[#All],[Date]:[Sunset Time (POA&lt;20 W/m2)]],4,0),"")</f>
        <v>0.75694444444444442</v>
      </c>
      <c r="K14" s="52">
        <f>IFERROR((Table19[[#This Row],[Sunset Time (POA&lt;20 W/m2)]]-Table19[[#This Row],[Sunrise Time (POA&gt;20 W/m2)]])*24,"")</f>
        <v>12.083333333333332</v>
      </c>
      <c r="L14" s="101" t="s">
        <v>304</v>
      </c>
      <c r="M14" s="7">
        <f>VLOOKUP(Table19[[#This Row],[Affceted Equipment]],'Basic Data'!$A$2:$B$108,2,0)</f>
        <v>8020.9</v>
      </c>
      <c r="N14" s="99" t="s">
        <v>305</v>
      </c>
      <c r="O14" s="99" t="s">
        <v>20</v>
      </c>
      <c r="P14" s="117">
        <f>IFERROR(VLOOKUP(Table19[[#This Row],[Affceted Equipment]],'Basic Data'!$A$2:$C$118,3,0),"")</f>
        <v>1</v>
      </c>
      <c r="Q14" s="101"/>
      <c r="R14" s="67" t="s">
        <v>1192</v>
      </c>
      <c r="S14" s="102">
        <v>0.67083333333333328</v>
      </c>
      <c r="T14" s="102"/>
      <c r="U14" s="102"/>
      <c r="V14" s="102">
        <v>0.75694444444444442</v>
      </c>
      <c r="W14" s="73"/>
      <c r="X14" s="52"/>
      <c r="Y14" s="52">
        <f>(Table19[[#This Row],[Work Completiuon time on fualt]]-Table19[[#This Row],[Fault Time]])*24</f>
        <v>2.0666666666666673</v>
      </c>
      <c r="Z14" s="103" t="s">
        <v>4</v>
      </c>
      <c r="AA14" s="101" t="s">
        <v>81</v>
      </c>
      <c r="AB14" s="52">
        <f>IFERROR(Table19[[#This Row],[Plant Equivalent Weightage]]*Table19[[#This Row],[Resolution Time]],"")</f>
        <v>2.0666666666666673</v>
      </c>
      <c r="AC14" s="87">
        <v>0.23</v>
      </c>
      <c r="AD14" s="52">
        <f>Table19[[#This Row],[Lost POA (Wh/m2)]]*Table19[[#This Row],[DC Capacity Affceted (kW)]]</f>
        <v>1844.807</v>
      </c>
    </row>
    <row r="15" spans="1:30" x14ac:dyDescent="0.3">
      <c r="A15" s="2">
        <f t="shared" si="0"/>
        <v>13</v>
      </c>
      <c r="B15" s="57">
        <f>YEAR(Table19[[#This Row],[Date]])+IF(MONTH(Table19[[#This Row],[Date]])&gt;=4,1,0)</f>
        <v>2026</v>
      </c>
      <c r="C15" s="99">
        <f>YEAR(Table19[[#This Row],[Date]])</f>
        <v>2025</v>
      </c>
      <c r="D15" s="99" t="s">
        <v>1082</v>
      </c>
      <c r="E15" s="99" t="s">
        <v>1082</v>
      </c>
      <c r="F15" s="116" t="str">
        <f>TEXT(Table19[[#This Row],[Date]],"mmm-yy")</f>
        <v>Apr-25</v>
      </c>
      <c r="G15" s="2">
        <f>DAY(EOMONTH(Table19[[#This Row],[Month Year]],0))</f>
        <v>30</v>
      </c>
      <c r="H15" s="100">
        <v>45773</v>
      </c>
      <c r="I15" s="58">
        <f>IFERROR(VLOOKUP(Table19[[#This Row],[Date]],Table3[[#All],[Date]:[Sunset Time (POA&lt;20 W/m2)]],3,0),"")</f>
        <v>0.25</v>
      </c>
      <c r="J15" s="107">
        <f>IFERROR(VLOOKUP(Table19[[#This Row],[Date]],Table3[[#All],[Date]:[Sunset Time (POA&lt;20 W/m2)]],4,0),"")</f>
        <v>0.76736111111111116</v>
      </c>
      <c r="K15" s="52">
        <f>IFERROR((Table19[[#This Row],[Sunset Time (POA&lt;20 W/m2)]]-Table19[[#This Row],[Sunrise Time (POA&gt;20 W/m2)]])*24,"")</f>
        <v>12.416666666666668</v>
      </c>
      <c r="L15" s="101" t="s">
        <v>304</v>
      </c>
      <c r="M15" s="7">
        <f>VLOOKUP(Table19[[#This Row],[Affceted Equipment]],'Basic Data'!$A$2:$B$108,2,0)</f>
        <v>8020.9</v>
      </c>
      <c r="N15" s="99" t="s">
        <v>305</v>
      </c>
      <c r="O15" s="99" t="s">
        <v>20</v>
      </c>
      <c r="P15" s="117">
        <f>IFERROR(VLOOKUP(Table19[[#This Row],[Affceted Equipment]],'Basic Data'!$A$2:$C$118,3,0),"")</f>
        <v>1</v>
      </c>
      <c r="Q15" s="101"/>
      <c r="R15" s="56" t="s">
        <v>306</v>
      </c>
      <c r="S15" s="102">
        <v>0.65763888888888888</v>
      </c>
      <c r="T15" s="102"/>
      <c r="U15" s="102"/>
      <c r="V15" s="102">
        <v>0.67152777777777772</v>
      </c>
      <c r="W15" s="73"/>
      <c r="X15" s="52"/>
      <c r="Y15" s="52">
        <f>(Table19[[#This Row],[Work Completiuon time on fualt]]-Table19[[#This Row],[Fault Time]])*24</f>
        <v>0.33333333333333215</v>
      </c>
      <c r="Z15" s="103" t="s">
        <v>4</v>
      </c>
      <c r="AA15" s="101" t="s">
        <v>81</v>
      </c>
      <c r="AB15" s="52">
        <f>IFERROR(Table19[[#This Row],[Plant Equivalent Weightage]]*Table19[[#This Row],[Resolution Time]],"")</f>
        <v>0.33333333333333215</v>
      </c>
      <c r="AC15" s="87">
        <v>0.04</v>
      </c>
      <c r="AD15" s="52">
        <f>Table19[[#This Row],[Lost POA (Wh/m2)]]*Table19[[#This Row],[DC Capacity Affceted (kW)]]</f>
        <v>320.83600000000001</v>
      </c>
    </row>
    <row r="16" spans="1:30" x14ac:dyDescent="0.3">
      <c r="A16" s="2">
        <f t="shared" si="0"/>
        <v>14</v>
      </c>
      <c r="B16" s="57">
        <f>YEAR(Table19[[#This Row],[Date]])+IF(MONTH(Table19[[#This Row],[Date]])&gt;=4,1,0)</f>
        <v>2026</v>
      </c>
      <c r="C16" s="99">
        <f>YEAR(Table19[[#This Row],[Date]])</f>
        <v>2025</v>
      </c>
      <c r="D16" s="99" t="s">
        <v>1082</v>
      </c>
      <c r="E16" s="99" t="s">
        <v>1082</v>
      </c>
      <c r="F16" s="116" t="str">
        <f>TEXT(Table19[[#This Row],[Date]],"mmm-yy")</f>
        <v>May-25</v>
      </c>
      <c r="G16" s="2">
        <f>DAY(EOMONTH(Table19[[#This Row],[Month Year]],0))</f>
        <v>31</v>
      </c>
      <c r="H16" s="100">
        <v>45778</v>
      </c>
      <c r="I16" s="58">
        <f>IFERROR(VLOOKUP(Table19[[#This Row],[Date]],Table3[[#All],[Date]:[Sunset Time (POA&lt;20 W/m2)]],3,0),"")</f>
        <v>0.25069444444444444</v>
      </c>
      <c r="J16" s="107">
        <f>IFERROR(VLOOKUP(Table19[[#This Row],[Date]],Table3[[#All],[Date]:[Sunset Time (POA&lt;20 W/m2)]],4,0),"")</f>
        <v>0.77708333333333335</v>
      </c>
      <c r="K16" s="52">
        <f>IFERROR((Table19[[#This Row],[Sunset Time (POA&lt;20 W/m2)]]-Table19[[#This Row],[Sunrise Time (POA&gt;20 W/m2)]])*24,"")</f>
        <v>12.633333333333333</v>
      </c>
      <c r="L16" s="101" t="s">
        <v>304</v>
      </c>
      <c r="M16" s="7">
        <f>VLOOKUP(Table19[[#This Row],[Affceted Equipment]],'Basic Data'!$A$2:$B$108,2,0)</f>
        <v>8020.9</v>
      </c>
      <c r="N16" s="99" t="s">
        <v>305</v>
      </c>
      <c r="O16" s="99" t="s">
        <v>20</v>
      </c>
      <c r="P16" s="117">
        <f>IFERROR(VLOOKUP(Table19[[#This Row],[Affceted Equipment]],'Basic Data'!$A$2:$C$118,3,0),"")</f>
        <v>1</v>
      </c>
      <c r="Q16" s="101"/>
      <c r="R16" s="56" t="s">
        <v>306</v>
      </c>
      <c r="S16" s="102">
        <v>0.43888888888888888</v>
      </c>
      <c r="T16" s="102"/>
      <c r="U16" s="102"/>
      <c r="V16" s="102">
        <v>0.45</v>
      </c>
      <c r="W16" s="73"/>
      <c r="X16" s="52"/>
      <c r="Y16" s="52">
        <f>(Table19[[#This Row],[Work Completiuon time on fualt]]-Table19[[#This Row],[Fault Time]])*24</f>
        <v>0.26666666666666705</v>
      </c>
      <c r="Z16" s="103" t="s">
        <v>4</v>
      </c>
      <c r="AA16" s="101" t="s">
        <v>81</v>
      </c>
      <c r="AB16" s="52">
        <f>IFERROR(Table19[[#This Row],[Plant Equivalent Weightage]]*Table19[[#This Row],[Resolution Time]],"")</f>
        <v>0.26666666666666705</v>
      </c>
      <c r="AC16" s="87">
        <v>0.22</v>
      </c>
      <c r="AD16" s="52">
        <f>Table19[[#This Row],[Lost POA (Wh/m2)]]*Table19[[#This Row],[DC Capacity Affceted (kW)]]</f>
        <v>1764.598</v>
      </c>
    </row>
    <row r="17" spans="1:30" x14ac:dyDescent="0.3">
      <c r="A17" s="2">
        <f t="shared" si="0"/>
        <v>15</v>
      </c>
      <c r="B17" s="57">
        <f>YEAR(Table19[[#This Row],[Date]])+IF(MONTH(Table19[[#This Row],[Date]])&gt;=4,1,0)</f>
        <v>2026</v>
      </c>
      <c r="C17" s="99">
        <f>YEAR(Table19[[#This Row],[Date]])</f>
        <v>2025</v>
      </c>
      <c r="D17" s="99" t="s">
        <v>1082</v>
      </c>
      <c r="E17" s="99" t="s">
        <v>1082</v>
      </c>
      <c r="F17" s="116" t="str">
        <f>TEXT(Table19[[#This Row],[Date]],"mmm-yy")</f>
        <v>May-25</v>
      </c>
      <c r="G17" s="2">
        <f>DAY(EOMONTH(Table19[[#This Row],[Month Year]],0))</f>
        <v>31</v>
      </c>
      <c r="H17" s="100">
        <v>45779</v>
      </c>
      <c r="I17" s="58">
        <f>IFERROR(VLOOKUP(Table19[[#This Row],[Date]],Table3[[#All],[Date]:[Sunset Time (POA&lt;20 W/m2)]],3,0),"")</f>
        <v>0.25069444444444444</v>
      </c>
      <c r="J17" s="107">
        <f>IFERROR(VLOOKUP(Table19[[#This Row],[Date]],Table3[[#All],[Date]:[Sunset Time (POA&lt;20 W/m2)]],4,0),"")</f>
        <v>0.77569444444444446</v>
      </c>
      <c r="K17" s="52">
        <f>IFERROR((Table19[[#This Row],[Sunset Time (POA&lt;20 W/m2)]]-Table19[[#This Row],[Sunrise Time (POA&gt;20 W/m2)]])*24,"")</f>
        <v>12.600000000000001</v>
      </c>
      <c r="L17" s="101" t="s">
        <v>304</v>
      </c>
      <c r="M17" s="7">
        <f>VLOOKUP(Table19[[#This Row],[Affceted Equipment]],'Basic Data'!$A$2:$B$108,2,0)</f>
        <v>8020.9</v>
      </c>
      <c r="N17" s="99" t="s">
        <v>305</v>
      </c>
      <c r="O17" s="99" t="s">
        <v>20</v>
      </c>
      <c r="P17" s="117">
        <f>IFERROR(VLOOKUP(Table19[[#This Row],[Affceted Equipment]],'Basic Data'!$A$2:$C$118,3,0),"")</f>
        <v>1</v>
      </c>
      <c r="Q17" s="101"/>
      <c r="R17" s="67" t="s">
        <v>1197</v>
      </c>
      <c r="S17" s="102">
        <v>0.3888888888888889</v>
      </c>
      <c r="T17" s="102"/>
      <c r="U17" s="102"/>
      <c r="V17" s="102">
        <v>0.41666666666666669</v>
      </c>
      <c r="W17" s="73"/>
      <c r="X17" s="52"/>
      <c r="Y17" s="52">
        <f>(Table19[[#This Row],[Work Completiuon time on fualt]]-Table19[[#This Row],[Fault Time]])*24</f>
        <v>0.66666666666666696</v>
      </c>
      <c r="Z17" s="103" t="s">
        <v>4</v>
      </c>
      <c r="AA17" s="101" t="s">
        <v>81</v>
      </c>
      <c r="AB17" s="52">
        <f>IFERROR(Table19[[#This Row],[Plant Equivalent Weightage]]*Table19[[#This Row],[Resolution Time]],"")</f>
        <v>0.66666666666666696</v>
      </c>
      <c r="AC17" s="87">
        <v>0.45</v>
      </c>
      <c r="AD17" s="52">
        <f>Table19[[#This Row],[Lost POA (Wh/m2)]]*Table19[[#This Row],[DC Capacity Affceted (kW)]]</f>
        <v>3609.4049999999997</v>
      </c>
    </row>
    <row r="18" spans="1:30" x14ac:dyDescent="0.3">
      <c r="A18" s="2">
        <f t="shared" si="0"/>
        <v>16</v>
      </c>
      <c r="B18" s="57">
        <f>YEAR(Table19[[#This Row],[Date]])+IF(MONTH(Table19[[#This Row],[Date]])&gt;=4,1,0)</f>
        <v>2026</v>
      </c>
      <c r="C18" s="99">
        <f>YEAR(Table19[[#This Row],[Date]])</f>
        <v>2025</v>
      </c>
      <c r="D18" s="99" t="s">
        <v>1082</v>
      </c>
      <c r="E18" s="99" t="s">
        <v>1082</v>
      </c>
      <c r="F18" s="116" t="str">
        <f>TEXT(Table19[[#This Row],[Date]],"mmm-yy")</f>
        <v>May-25</v>
      </c>
      <c r="G18" s="2">
        <f>DAY(EOMONTH(Table19[[#This Row],[Month Year]],0))</f>
        <v>31</v>
      </c>
      <c r="H18" s="100">
        <v>45781</v>
      </c>
      <c r="I18" s="58">
        <f>IFERROR(VLOOKUP(Table19[[#This Row],[Date]],Table3[[#All],[Date]:[Sunset Time (POA&lt;20 W/m2)]],3,0),"")</f>
        <v>0.24930555555555556</v>
      </c>
      <c r="J18" s="107">
        <f>IFERROR(VLOOKUP(Table19[[#This Row],[Date]],Table3[[#All],[Date]:[Sunset Time (POA&lt;20 W/m2)]],4,0),"")</f>
        <v>0.77916666666666667</v>
      </c>
      <c r="K18" s="52">
        <f>IFERROR((Table19[[#This Row],[Sunset Time (POA&lt;20 W/m2)]]-Table19[[#This Row],[Sunrise Time (POA&gt;20 W/m2)]])*24,"")</f>
        <v>12.716666666666667</v>
      </c>
      <c r="L18" s="101" t="s">
        <v>304</v>
      </c>
      <c r="M18" s="7">
        <f>VLOOKUP(Table19[[#This Row],[Affceted Equipment]],'Basic Data'!$A$2:$B$108,2,0)</f>
        <v>8020.9</v>
      </c>
      <c r="N18" s="99" t="s">
        <v>305</v>
      </c>
      <c r="O18" s="99" t="s">
        <v>20</v>
      </c>
      <c r="P18" s="117">
        <f>IFERROR(VLOOKUP(Table19[[#This Row],[Affceted Equipment]],'Basic Data'!$A$2:$C$118,3,0),"")</f>
        <v>1</v>
      </c>
      <c r="Q18" s="101"/>
      <c r="R18" s="67" t="s">
        <v>1198</v>
      </c>
      <c r="S18" s="102">
        <v>0.51527777777777772</v>
      </c>
      <c r="T18" s="102"/>
      <c r="U18" s="102"/>
      <c r="V18" s="102">
        <v>0.76944444444444449</v>
      </c>
      <c r="W18" s="73"/>
      <c r="X18" s="52"/>
      <c r="Y18" s="52">
        <f>(Table19[[#This Row],[Work Completiuon time on fualt]]-Table19[[#This Row],[Fault Time]])*24</f>
        <v>6.1000000000000023</v>
      </c>
      <c r="Z18" s="103" t="s">
        <v>4</v>
      </c>
      <c r="AA18" s="101" t="s">
        <v>81</v>
      </c>
      <c r="AB18" s="52">
        <f>IFERROR(Table19[[#This Row],[Plant Equivalent Weightage]]*Table19[[#This Row],[Resolution Time]],"")</f>
        <v>6.1000000000000023</v>
      </c>
      <c r="AC18" s="87">
        <v>2.66</v>
      </c>
      <c r="AD18" s="52">
        <f>Table19[[#This Row],[Lost POA (Wh/m2)]]*Table19[[#This Row],[DC Capacity Affceted (kW)]]</f>
        <v>21335.594000000001</v>
      </c>
    </row>
    <row r="19" spans="1:30" x14ac:dyDescent="0.3">
      <c r="A19" s="2">
        <v>17</v>
      </c>
      <c r="B19" s="67">
        <f>YEAR(Table19[[#This Row],[Date]])+IF(MONTH(Table19[[#This Row],[Date]])&gt;=4,1,0)</f>
        <v>2026</v>
      </c>
      <c r="C19" s="101">
        <f>YEAR(Table19[[#This Row],[Date]])</f>
        <v>2025</v>
      </c>
      <c r="D19" s="99" t="s">
        <v>1082</v>
      </c>
      <c r="E19" s="99" t="s">
        <v>1082</v>
      </c>
      <c r="F19" s="116" t="str">
        <f>TEXT(Table19[[#This Row],[Date]],"mmm-yy")</f>
        <v>May-25</v>
      </c>
      <c r="G19" s="2">
        <f>DAY(EOMONTH(Table19[[#This Row],[Month Year]],0))</f>
        <v>31</v>
      </c>
      <c r="H19" s="100">
        <v>45785</v>
      </c>
      <c r="I19" s="58">
        <f>IFERROR(VLOOKUP(Table19[[#This Row],[Date]],Table3[[#All],[Date]:[Sunset Time (POA&lt;20 W/m2)]],3,0),"")</f>
        <v>0.25138888888888888</v>
      </c>
      <c r="J19" s="107">
        <f>IFERROR(VLOOKUP(Table19[[#This Row],[Date]],Table3[[#All],[Date]:[Sunset Time (POA&lt;20 W/m2)]],4,0),"")</f>
        <v>0.77013888888888893</v>
      </c>
      <c r="K19" s="52">
        <f>IFERROR((Table19[[#This Row],[Sunset Time (POA&lt;20 W/m2)]]-Table19[[#This Row],[Sunrise Time (POA&gt;20 W/m2)]])*24,"")</f>
        <v>12.450000000000001</v>
      </c>
      <c r="L19" s="101" t="s">
        <v>304</v>
      </c>
      <c r="M19" s="7">
        <f>VLOOKUP(Table19[[#This Row],[Affceted Equipment]],'Basic Data'!$A$2:$B$108,2,0)</f>
        <v>8020.9</v>
      </c>
      <c r="N19" s="99" t="s">
        <v>305</v>
      </c>
      <c r="O19" s="99" t="s">
        <v>20</v>
      </c>
      <c r="P19" s="117">
        <f>IFERROR(VLOOKUP(Table19[[#This Row],[Affceted Equipment]],'Basic Data'!$A$2:$C$118,3,0),"")</f>
        <v>1</v>
      </c>
      <c r="Q19" s="101"/>
      <c r="R19" s="56" t="s">
        <v>306</v>
      </c>
      <c r="S19" s="102">
        <v>0.43055555555555558</v>
      </c>
      <c r="T19" s="102"/>
      <c r="U19" s="102"/>
      <c r="V19" s="102">
        <v>0.43611111111111112</v>
      </c>
      <c r="W19" s="73"/>
      <c r="X19" s="52"/>
      <c r="Y19" s="52">
        <f>(Table19[[#This Row],[Work Completiuon time on fualt]]-Table19[[#This Row],[Fault Time]])*24</f>
        <v>0.13333333333333286</v>
      </c>
      <c r="Z19" s="103" t="s">
        <v>4</v>
      </c>
      <c r="AA19" s="101" t="s">
        <v>81</v>
      </c>
      <c r="AB19" s="52">
        <f>IFERROR(Table19[[#This Row],[Plant Equivalent Weightage]]*Table19[[#This Row],[Resolution Time]],"")</f>
        <v>0.13333333333333286</v>
      </c>
      <c r="AC19" s="87">
        <v>0.12</v>
      </c>
      <c r="AD19" s="52">
        <f>Table19[[#This Row],[Lost POA (Wh/m2)]]*Table19[[#This Row],[DC Capacity Affceted (kW)]]</f>
        <v>962.50799999999992</v>
      </c>
    </row>
    <row r="20" spans="1:30" x14ac:dyDescent="0.3">
      <c r="A20" s="2">
        <v>18</v>
      </c>
      <c r="B20" s="101">
        <f>YEAR(Table19[[#This Row],[Date]])+IF(MONTH(Table19[[#This Row],[Date]])&gt;=4,1,0)</f>
        <v>2026</v>
      </c>
      <c r="C20" s="101">
        <f>YEAR(Table19[[#This Row],[Date]])</f>
        <v>2025</v>
      </c>
      <c r="D20" s="99" t="s">
        <v>1082</v>
      </c>
      <c r="E20" s="99" t="s">
        <v>1082</v>
      </c>
      <c r="F20" s="116" t="str">
        <f>TEXT(Table19[[#This Row],[Date]],"mmm-yy")</f>
        <v>May-25</v>
      </c>
      <c r="G20" s="2">
        <f>DAY(EOMONTH(Table19[[#This Row],[Month Year]],0))</f>
        <v>31</v>
      </c>
      <c r="H20" s="100">
        <v>45785</v>
      </c>
      <c r="I20" s="105">
        <f>IFERROR(VLOOKUP(Table19[[#This Row],[Date]],Table3[[#All],[Date]:[Sunset Time (POA&lt;20 W/m2)]],3,0),"")</f>
        <v>0.25138888888888888</v>
      </c>
      <c r="J20" s="107">
        <f>IFERROR(VLOOKUP(Table19[[#This Row],[Date]],Table3[[#All],[Date]:[Sunset Time (POA&lt;20 W/m2)]],4,0),"")</f>
        <v>0.77013888888888893</v>
      </c>
      <c r="K20" s="52">
        <f>IFERROR((Table19[[#This Row],[Sunset Time (POA&lt;20 W/m2)]]-Table19[[#This Row],[Sunrise Time (POA&gt;20 W/m2)]])*24,"")</f>
        <v>12.450000000000001</v>
      </c>
      <c r="L20" s="101" t="s">
        <v>304</v>
      </c>
      <c r="M20" s="7">
        <f>VLOOKUP(Table19[[#This Row],[Affceted Equipment]],'Basic Data'!$A$2:$B$108,2,0)</f>
        <v>8020.9</v>
      </c>
      <c r="N20" s="99" t="s">
        <v>305</v>
      </c>
      <c r="O20" s="99" t="s">
        <v>20</v>
      </c>
      <c r="P20" s="117">
        <f>IFERROR(VLOOKUP(Table19[[#This Row],[Affceted Equipment]],'Basic Data'!$A$2:$C$118,3,0),"")</f>
        <v>1</v>
      </c>
      <c r="Q20" s="101"/>
      <c r="R20" s="56" t="s">
        <v>306</v>
      </c>
      <c r="S20" s="102">
        <v>0.74513888888888891</v>
      </c>
      <c r="T20" s="102"/>
      <c r="U20" s="102"/>
      <c r="V20" s="102">
        <v>0.74930555555555556</v>
      </c>
      <c r="W20" s="73"/>
      <c r="X20" s="52"/>
      <c r="Y20" s="52">
        <f>(Table19[[#This Row],[Work Completiuon time on fualt]]-Table19[[#This Row],[Fault Time]])*24</f>
        <v>9.9999999999999645E-2</v>
      </c>
      <c r="Z20" s="103" t="s">
        <v>4</v>
      </c>
      <c r="AA20" s="101" t="s">
        <v>81</v>
      </c>
      <c r="AB20" s="52">
        <f>IFERROR(Table19[[#This Row],[Plant Equivalent Weightage]]*Table19[[#This Row],[Resolution Time]],"")</f>
        <v>9.9999999999999645E-2</v>
      </c>
      <c r="AC20" s="87">
        <v>8.0000000000000002E-3</v>
      </c>
      <c r="AD20" s="52">
        <f>Table19[[#This Row],[Lost POA (Wh/m2)]]*Table19[[#This Row],[DC Capacity Affceted (kW)]]</f>
        <v>64.167199999999994</v>
      </c>
    </row>
    <row r="21" spans="1:30" x14ac:dyDescent="0.3">
      <c r="A21" s="2">
        <v>19</v>
      </c>
      <c r="B21" s="101">
        <f>YEAR(Table19[[#This Row],[Date]])+IF(MONTH(Table19[[#This Row],[Date]])&gt;=4,1,0)</f>
        <v>2026</v>
      </c>
      <c r="C21" s="101">
        <f>YEAR(Table19[[#This Row],[Date]])</f>
        <v>2025</v>
      </c>
      <c r="D21" s="99" t="s">
        <v>1082</v>
      </c>
      <c r="E21" s="99" t="s">
        <v>1082</v>
      </c>
      <c r="F21" s="116" t="str">
        <f>TEXT(Table19[[#This Row],[Date]],"mmm-yy")</f>
        <v>May-25</v>
      </c>
      <c r="G21" s="2">
        <f>DAY(EOMONTH(Table19[[#This Row],[Month Year]],0))</f>
        <v>31</v>
      </c>
      <c r="H21" s="100">
        <v>45791</v>
      </c>
      <c r="I21" s="58">
        <f>IFERROR(VLOOKUP(Table19[[#This Row],[Date]],Table3[[#All],[Date]:[Sunset Time (POA&lt;20 W/m2)]],3,0),"")</f>
        <v>0.24513888888888888</v>
      </c>
      <c r="J21" s="107">
        <f>IFERROR(VLOOKUP(Table19[[#This Row],[Date]],Table3[[#All],[Date]:[Sunset Time (POA&lt;20 W/m2)]],4,0),"")</f>
        <v>0.75763888888888886</v>
      </c>
      <c r="K21" s="52">
        <f>IFERROR((Table19[[#This Row],[Sunset Time (POA&lt;20 W/m2)]]-Table19[[#This Row],[Sunrise Time (POA&gt;20 W/m2)]])*24,"")</f>
        <v>12.299999999999999</v>
      </c>
      <c r="L21" s="101" t="s">
        <v>304</v>
      </c>
      <c r="M21" s="7">
        <f>VLOOKUP(Table19[[#This Row],[Affceted Equipment]],'Basic Data'!$A$2:$B$108,2,0)</f>
        <v>8020.9</v>
      </c>
      <c r="N21" s="99" t="s">
        <v>305</v>
      </c>
      <c r="O21" s="99" t="s">
        <v>20</v>
      </c>
      <c r="P21" s="117">
        <f>IFERROR(VLOOKUP(Table19[[#This Row],[Affceted Equipment]],'Basic Data'!$A$2:$C$118,3,0),"")</f>
        <v>1</v>
      </c>
      <c r="Q21" s="101"/>
      <c r="R21" s="56" t="s">
        <v>306</v>
      </c>
      <c r="S21" s="102">
        <v>0.74583333333333335</v>
      </c>
      <c r="T21" s="102"/>
      <c r="U21" s="102"/>
      <c r="V21" s="102">
        <v>0.76736111111111116</v>
      </c>
      <c r="W21" s="73"/>
      <c r="X21" s="52"/>
      <c r="Y21" s="52">
        <f>(Table19[[#This Row],[Work Completiuon time on fualt]]-Table19[[#This Row],[Fault Time]])*24</f>
        <v>0.5166666666666675</v>
      </c>
      <c r="Z21" s="103" t="s">
        <v>4</v>
      </c>
      <c r="AA21" s="101" t="s">
        <v>81</v>
      </c>
      <c r="AB21" s="52">
        <f>IFERROR(Table19[[#This Row],[Plant Equivalent Weightage]]*Table19[[#This Row],[Resolution Time]],"")</f>
        <v>0.5166666666666675</v>
      </c>
      <c r="AC21" s="87">
        <v>5.9999999999999995E-4</v>
      </c>
      <c r="AD21" s="52">
        <f>Table19[[#This Row],[Lost POA (Wh/m2)]]*Table19[[#This Row],[DC Capacity Affceted (kW)]]</f>
        <v>4.8125399999999994</v>
      </c>
    </row>
    <row r="22" spans="1:30" x14ac:dyDescent="0.3">
      <c r="A22" s="2">
        <v>20</v>
      </c>
      <c r="B22" s="101">
        <f>YEAR(Table19[[#This Row],[Date]])+IF(MONTH(Table19[[#This Row],[Date]])&gt;=4,1,0)</f>
        <v>2026</v>
      </c>
      <c r="C22" s="101">
        <f>YEAR(Table19[[#This Row],[Date]])</f>
        <v>2025</v>
      </c>
      <c r="D22" s="99" t="s">
        <v>1082</v>
      </c>
      <c r="E22" s="99" t="s">
        <v>1082</v>
      </c>
      <c r="F22" s="116" t="str">
        <f>TEXT(Table19[[#This Row],[Date]],"mmm-yy")</f>
        <v>May-25</v>
      </c>
      <c r="G22" s="2">
        <f>DAY(EOMONTH(Table19[[#This Row],[Month Year]],0))</f>
        <v>31</v>
      </c>
      <c r="H22" s="100">
        <v>45792</v>
      </c>
      <c r="I22" s="58">
        <f>IFERROR(VLOOKUP(Table19[[#This Row],[Date]],Table3[[#All],[Date]:[Sunset Time (POA&lt;20 W/m2)]],3,0),"")</f>
        <v>0.26874999999999999</v>
      </c>
      <c r="J22" s="107">
        <f>IFERROR(VLOOKUP(Table19[[#This Row],[Date]],Table3[[#All],[Date]:[Sunset Time (POA&lt;20 W/m2)]],4,0),"")</f>
        <v>0.77708333333333335</v>
      </c>
      <c r="K22" s="52">
        <f>IFERROR((Table19[[#This Row],[Sunset Time (POA&lt;20 W/m2)]]-Table19[[#This Row],[Sunrise Time (POA&gt;20 W/m2)]])*24,"")</f>
        <v>12.2</v>
      </c>
      <c r="L22" s="101" t="s">
        <v>304</v>
      </c>
      <c r="M22" s="7">
        <f>VLOOKUP(Table19[[#This Row],[Affceted Equipment]],'Basic Data'!$A$2:$B$108,2,0)</f>
        <v>8020.9</v>
      </c>
      <c r="N22" s="99" t="s">
        <v>305</v>
      </c>
      <c r="O22" s="99" t="s">
        <v>20</v>
      </c>
      <c r="P22" s="117">
        <f>IFERROR(VLOOKUP(Table19[[#This Row],[Affceted Equipment]],'Basic Data'!$A$2:$C$118,3,0),"")</f>
        <v>1</v>
      </c>
      <c r="Q22" s="101"/>
      <c r="R22" s="56" t="s">
        <v>306</v>
      </c>
      <c r="S22" s="102">
        <v>0.59583333333333333</v>
      </c>
      <c r="T22" s="102"/>
      <c r="U22" s="102"/>
      <c r="V22" s="102">
        <v>0.6020833333333333</v>
      </c>
      <c r="W22" s="73"/>
      <c r="X22" s="52"/>
      <c r="Y22" s="52">
        <f>(Table19[[#This Row],[Work Completiuon time on fualt]]-Table19[[#This Row],[Fault Time]])*24</f>
        <v>0.14999999999999947</v>
      </c>
      <c r="Z22" s="103" t="s">
        <v>4</v>
      </c>
      <c r="AA22" s="101" t="s">
        <v>81</v>
      </c>
      <c r="AB22" s="52">
        <f>IFERROR(Table19[[#This Row],[Plant Equivalent Weightage]]*Table19[[#This Row],[Resolution Time]],"")</f>
        <v>0.14999999999999947</v>
      </c>
      <c r="AC22" s="87">
        <v>4.5999999999999999E-2</v>
      </c>
      <c r="AD22" s="52">
        <f>Table19[[#This Row],[Lost POA (Wh/m2)]]*Table19[[#This Row],[DC Capacity Affceted (kW)]]</f>
        <v>368.96139999999997</v>
      </c>
    </row>
    <row r="23" spans="1:30" x14ac:dyDescent="0.3">
      <c r="A23" s="2">
        <v>21</v>
      </c>
      <c r="B23" s="101">
        <f>YEAR(Table19[[#This Row],[Date]])+IF(MONTH(Table19[[#This Row],[Date]])&gt;=4,1,0)</f>
        <v>2026</v>
      </c>
      <c r="C23" s="101">
        <f>YEAR(Table19[[#This Row],[Date]])</f>
        <v>2025</v>
      </c>
      <c r="D23" s="99" t="s">
        <v>1082</v>
      </c>
      <c r="E23" s="99" t="s">
        <v>1082</v>
      </c>
      <c r="F23" s="116" t="str">
        <f>TEXT(Table19[[#This Row],[Date]],"mmm-yy")</f>
        <v>May-25</v>
      </c>
      <c r="G23" s="2">
        <f>DAY(EOMONTH(Table19[[#This Row],[Month Year]],0))</f>
        <v>31</v>
      </c>
      <c r="H23" s="100">
        <v>45793</v>
      </c>
      <c r="I23" s="58">
        <f>IFERROR(VLOOKUP(Table19[[#This Row],[Date]],Table3[[#All],[Date]:[Sunset Time (POA&lt;20 W/m2)]],3,0),"")</f>
        <v>0.24374999999999999</v>
      </c>
      <c r="J23" s="107">
        <f>IFERROR(VLOOKUP(Table19[[#This Row],[Date]],Table3[[#All],[Date]:[Sunset Time (POA&lt;20 W/m2)]],4,0),"")</f>
        <v>0.77916666666666667</v>
      </c>
      <c r="K23" s="52">
        <f>IFERROR((Table19[[#This Row],[Sunset Time (POA&lt;20 W/m2)]]-Table19[[#This Row],[Sunrise Time (POA&gt;20 W/m2)]])*24,"")</f>
        <v>12.85</v>
      </c>
      <c r="L23" s="101" t="s">
        <v>304</v>
      </c>
      <c r="M23" s="7">
        <f>VLOOKUP(Table19[[#This Row],[Affceted Equipment]],'Basic Data'!$A$2:$B$108,2,0)</f>
        <v>8020.9</v>
      </c>
      <c r="N23" s="99" t="s">
        <v>305</v>
      </c>
      <c r="O23" s="99" t="s">
        <v>20</v>
      </c>
      <c r="P23" s="117">
        <f>IFERROR(VLOOKUP(Table19[[#This Row],[Affceted Equipment]],'Basic Data'!$A$2:$C$118,3,0),"")</f>
        <v>1</v>
      </c>
      <c r="Q23" s="101"/>
      <c r="R23" s="56" t="s">
        <v>306</v>
      </c>
      <c r="S23" s="102">
        <v>0.40555555555555556</v>
      </c>
      <c r="T23" s="102"/>
      <c r="U23" s="102"/>
      <c r="V23" s="102">
        <v>0.41666666666666669</v>
      </c>
      <c r="W23" s="73"/>
      <c r="X23" s="52"/>
      <c r="Y23" s="52">
        <f>(Table19[[#This Row],[Work Completiuon time on fualt]]-Table19[[#This Row],[Fault Time]])*24</f>
        <v>0.26666666666666705</v>
      </c>
      <c r="Z23" s="103" t="s">
        <v>4</v>
      </c>
      <c r="AA23" s="101" t="s">
        <v>81</v>
      </c>
      <c r="AB23" s="52">
        <f>IFERROR(Table19[[#This Row],[Plant Equivalent Weightage]]*Table19[[#This Row],[Resolution Time]],"")</f>
        <v>0.26666666666666705</v>
      </c>
      <c r="AC23" s="87">
        <v>0.122</v>
      </c>
      <c r="AD23" s="52">
        <f>Table19[[#This Row],[Lost POA (Wh/m2)]]*Table19[[#This Row],[DC Capacity Affceted (kW)]]</f>
        <v>978.54979999999989</v>
      </c>
    </row>
    <row r="24" spans="1:30" x14ac:dyDescent="0.3">
      <c r="A24" s="2">
        <v>22</v>
      </c>
      <c r="B24" s="101">
        <f>YEAR(Table19[[#This Row],[Date]])+IF(MONTH(Table19[[#This Row],[Date]])&gt;=4,1,0)</f>
        <v>2026</v>
      </c>
      <c r="C24" s="101">
        <f>YEAR(Table19[[#This Row],[Date]])</f>
        <v>2025</v>
      </c>
      <c r="D24" s="99" t="s">
        <v>1082</v>
      </c>
      <c r="E24" s="99" t="s">
        <v>1082</v>
      </c>
      <c r="F24" s="116" t="str">
        <f>TEXT(Table19[[#This Row],[Date]],"mmm-yy")</f>
        <v>May-25</v>
      </c>
      <c r="G24" s="2">
        <f>DAY(EOMONTH(Table19[[#This Row],[Month Year]],0))</f>
        <v>31</v>
      </c>
      <c r="H24" s="100">
        <v>45793</v>
      </c>
      <c r="I24" s="105">
        <f>IFERROR(VLOOKUP(Table19[[#This Row],[Date]],Table3[[#All],[Date]:[Sunset Time (POA&lt;20 W/m2)]],3,0),"")</f>
        <v>0.24374999999999999</v>
      </c>
      <c r="J24" s="107">
        <f>IFERROR(VLOOKUP(Table19[[#This Row],[Date]],Table3[[#All],[Date]:[Sunset Time (POA&lt;20 W/m2)]],4,0),"")</f>
        <v>0.77916666666666667</v>
      </c>
      <c r="K24" s="52">
        <f>IFERROR((Table19[[#This Row],[Sunset Time (POA&lt;20 W/m2)]]-Table19[[#This Row],[Sunrise Time (POA&gt;20 W/m2)]])*24,"")</f>
        <v>12.85</v>
      </c>
      <c r="L24" s="101" t="s">
        <v>304</v>
      </c>
      <c r="M24" s="7">
        <f>VLOOKUP(Table19[[#This Row],[Affceted Equipment]],'Basic Data'!$A$2:$B$108,2,0)</f>
        <v>8020.9</v>
      </c>
      <c r="N24" s="99" t="s">
        <v>305</v>
      </c>
      <c r="O24" s="99" t="s">
        <v>20</v>
      </c>
      <c r="P24" s="117">
        <f>IFERROR(VLOOKUP(Table19[[#This Row],[Affceted Equipment]],'Basic Data'!$A$2:$C$118,3,0),"")</f>
        <v>1</v>
      </c>
      <c r="Q24" s="101"/>
      <c r="R24" s="56" t="s">
        <v>306</v>
      </c>
      <c r="S24" s="102">
        <v>0.63472222222222219</v>
      </c>
      <c r="T24" s="102"/>
      <c r="U24" s="102"/>
      <c r="V24" s="102">
        <v>0.63958333333333328</v>
      </c>
      <c r="W24" s="73"/>
      <c r="X24" s="52"/>
      <c r="Y24" s="52">
        <f>(Table19[[#This Row],[Work Completiuon time on fualt]]-Table19[[#This Row],[Fault Time]])*24</f>
        <v>0.11666666666666625</v>
      </c>
      <c r="Z24" s="103" t="s">
        <v>4</v>
      </c>
      <c r="AA24" s="101" t="s">
        <v>81</v>
      </c>
      <c r="AB24" s="52">
        <f>IFERROR(Table19[[#This Row],[Plant Equivalent Weightage]]*Table19[[#This Row],[Resolution Time]],"")</f>
        <v>0.11666666666666625</v>
      </c>
      <c r="AC24" s="87">
        <v>7.0000000000000007E-2</v>
      </c>
      <c r="AD24" s="52">
        <f>Table19[[#This Row],[Lost POA (Wh/m2)]]*Table19[[#This Row],[DC Capacity Affceted (kW)]]</f>
        <v>561.46300000000008</v>
      </c>
    </row>
    <row r="25" spans="1:30" x14ac:dyDescent="0.3">
      <c r="A25" s="2">
        <v>23</v>
      </c>
      <c r="B25" s="101">
        <f>YEAR(Table19[[#This Row],[Date]])+IF(MONTH(Table19[[#This Row],[Date]])&gt;=4,1,0)</f>
        <v>2026</v>
      </c>
      <c r="C25" s="101">
        <f>YEAR(Table19[[#This Row],[Date]])</f>
        <v>2025</v>
      </c>
      <c r="D25" s="99" t="s">
        <v>1082</v>
      </c>
      <c r="E25" s="99" t="s">
        <v>1082</v>
      </c>
      <c r="F25" s="116" t="str">
        <f>TEXT(Table19[[#This Row],[Date]],"mmm-yy")</f>
        <v>May-25</v>
      </c>
      <c r="G25" s="2">
        <f>DAY(EOMONTH(Table19[[#This Row],[Month Year]],0))</f>
        <v>31</v>
      </c>
      <c r="H25" s="100">
        <v>45794</v>
      </c>
      <c r="I25" s="58">
        <f>IFERROR(VLOOKUP(Table19[[#This Row],[Date]],Table3[[#All],[Date]:[Sunset Time (POA&lt;20 W/m2)]],3,0),"")</f>
        <v>0.24305555555555555</v>
      </c>
      <c r="J25" s="107">
        <f>IFERROR(VLOOKUP(Table19[[#This Row],[Date]],Table3[[#All],[Date]:[Sunset Time (POA&lt;20 W/m2)]],4,0),"")</f>
        <v>0.77638888888888891</v>
      </c>
      <c r="K25" s="52">
        <f>IFERROR((Table19[[#This Row],[Sunset Time (POA&lt;20 W/m2)]]-Table19[[#This Row],[Sunrise Time (POA&gt;20 W/m2)]])*24,"")</f>
        <v>12.8</v>
      </c>
      <c r="L25" s="101" t="s">
        <v>304</v>
      </c>
      <c r="M25" s="7">
        <f>VLOOKUP(Table19[[#This Row],[Affceted Equipment]],'Basic Data'!$A$2:$B$108,2,0)</f>
        <v>8020.9</v>
      </c>
      <c r="N25" s="99" t="s">
        <v>305</v>
      </c>
      <c r="O25" s="99" t="s">
        <v>20</v>
      </c>
      <c r="P25" s="117">
        <f>IFERROR(VLOOKUP(Table19[[#This Row],[Affceted Equipment]],'Basic Data'!$A$2:$C$118,3,0),"")</f>
        <v>1</v>
      </c>
      <c r="Q25" s="101"/>
      <c r="R25" s="56" t="s">
        <v>306</v>
      </c>
      <c r="S25" s="102">
        <v>0.24652777777777779</v>
      </c>
      <c r="T25" s="102"/>
      <c r="U25" s="102"/>
      <c r="V25" s="102">
        <v>0.31319444444444444</v>
      </c>
      <c r="W25" s="73"/>
      <c r="X25" s="52"/>
      <c r="Y25" s="52">
        <f>(Table19[[#This Row],[Work Completiuon time on fualt]]-Table19[[#This Row],[Fault Time]])*24</f>
        <v>1.5999999999999996</v>
      </c>
      <c r="Z25" s="103" t="s">
        <v>4</v>
      </c>
      <c r="AA25" s="101" t="s">
        <v>81</v>
      </c>
      <c r="AB25" s="52">
        <f>IFERROR(Table19[[#This Row],[Plant Equivalent Weightage]]*Table19[[#This Row],[Resolution Time]],"")</f>
        <v>1.5999999999999996</v>
      </c>
      <c r="AC25" s="87">
        <v>0.12</v>
      </c>
      <c r="AD25" s="52">
        <f>Table19[[#This Row],[Lost POA (Wh/m2)]]*Table19[[#This Row],[DC Capacity Affceted (kW)]]</f>
        <v>962.50799999999992</v>
      </c>
    </row>
    <row r="26" spans="1:30" x14ac:dyDescent="0.3">
      <c r="A26" s="2">
        <v>24</v>
      </c>
      <c r="B26" s="101">
        <f>YEAR(Table19[[#This Row],[Date]])+IF(MONTH(Table19[[#This Row],[Date]])&gt;=4,1,0)</f>
        <v>2026</v>
      </c>
      <c r="C26" s="101">
        <f>YEAR(Table19[[#This Row],[Date]])</f>
        <v>2025</v>
      </c>
      <c r="D26" s="99" t="s">
        <v>1082</v>
      </c>
      <c r="E26" s="99" t="s">
        <v>1082</v>
      </c>
      <c r="F26" s="116" t="str">
        <f>TEXT(Table19[[#This Row],[Date]],"mmm-yy")</f>
        <v>May-25</v>
      </c>
      <c r="G26" s="2">
        <f>DAY(EOMONTH(Table19[[#This Row],[Month Year]],0))</f>
        <v>31</v>
      </c>
      <c r="H26" s="100">
        <v>45794</v>
      </c>
      <c r="I26" s="105">
        <f>IFERROR(VLOOKUP(Table19[[#This Row],[Date]],Table3[[#All],[Date]:[Sunset Time (POA&lt;20 W/m2)]],3,0),"")</f>
        <v>0.24305555555555555</v>
      </c>
      <c r="J26" s="107">
        <f>IFERROR(VLOOKUP(Table19[[#This Row],[Date]],Table3[[#All],[Date]:[Sunset Time (POA&lt;20 W/m2)]],4,0),"")</f>
        <v>0.77638888888888891</v>
      </c>
      <c r="K26" s="52">
        <f>IFERROR((Table19[[#This Row],[Sunset Time (POA&lt;20 W/m2)]]-Table19[[#This Row],[Sunrise Time (POA&gt;20 W/m2)]])*24,"")</f>
        <v>12.8</v>
      </c>
      <c r="L26" s="101" t="s">
        <v>304</v>
      </c>
      <c r="M26" s="7">
        <f>VLOOKUP(Table19[[#This Row],[Affceted Equipment]],'Basic Data'!$A$2:$B$108,2,0)</f>
        <v>8020.9</v>
      </c>
      <c r="N26" s="99" t="s">
        <v>305</v>
      </c>
      <c r="O26" s="99" t="s">
        <v>20</v>
      </c>
      <c r="P26" s="117">
        <f>IFERROR(VLOOKUP(Table19[[#This Row],[Affceted Equipment]],'Basic Data'!$A$2:$C$118,3,0),"")</f>
        <v>1</v>
      </c>
      <c r="Q26" s="101"/>
      <c r="R26" s="56" t="s">
        <v>306</v>
      </c>
      <c r="S26" s="102">
        <v>0.34027777777777779</v>
      </c>
      <c r="T26" s="102"/>
      <c r="U26" s="102"/>
      <c r="V26" s="102">
        <v>0.34375</v>
      </c>
      <c r="W26" s="73"/>
      <c r="X26" s="52"/>
      <c r="Y26" s="52">
        <f>(Table19[[#This Row],[Work Completiuon time on fualt]]-Table19[[#This Row],[Fault Time]])*24</f>
        <v>8.3333333333333037E-2</v>
      </c>
      <c r="Z26" s="103" t="s">
        <v>4</v>
      </c>
      <c r="AA26" s="101" t="s">
        <v>81</v>
      </c>
      <c r="AB26" s="52">
        <f>IFERROR(Table19[[#This Row],[Plant Equivalent Weightage]]*Table19[[#This Row],[Resolution Time]],"")</f>
        <v>8.3333333333333037E-2</v>
      </c>
      <c r="AC26" s="87">
        <v>0.02</v>
      </c>
      <c r="AD26" s="52">
        <f>Table19[[#This Row],[Lost POA (Wh/m2)]]*Table19[[#This Row],[DC Capacity Affceted (kW)]]</f>
        <v>160.41800000000001</v>
      </c>
    </row>
    <row r="27" spans="1:30" x14ac:dyDescent="0.3">
      <c r="A27" s="2">
        <v>25</v>
      </c>
      <c r="B27" s="101">
        <f>YEAR(Table19[[#This Row],[Date]])+IF(MONTH(Table19[[#This Row],[Date]])&gt;=4,1,0)</f>
        <v>2026</v>
      </c>
      <c r="C27" s="101">
        <f>YEAR(Table19[[#This Row],[Date]])</f>
        <v>2025</v>
      </c>
      <c r="D27" s="99" t="s">
        <v>1082</v>
      </c>
      <c r="E27" s="99" t="s">
        <v>1082</v>
      </c>
      <c r="F27" s="116" t="str">
        <f>TEXT(Table19[[#This Row],[Date]],"mmm-yy")</f>
        <v>May-25</v>
      </c>
      <c r="G27" s="2">
        <f>DAY(EOMONTH(Table19[[#This Row],[Month Year]],0))</f>
        <v>31</v>
      </c>
      <c r="H27" s="100">
        <v>45795</v>
      </c>
      <c r="I27" s="58">
        <f>IFERROR(VLOOKUP(Table19[[#This Row],[Date]],Table3[[#All],[Date]:[Sunset Time (POA&lt;20 W/m2)]],3,0),"")</f>
        <v>0.25069444444444444</v>
      </c>
      <c r="J27" s="107">
        <f>IFERROR(VLOOKUP(Table19[[#This Row],[Date]],Table3[[#All],[Date]:[Sunset Time (POA&lt;20 W/m2)]],4,0),"")</f>
        <v>0.77777777777777779</v>
      </c>
      <c r="K27" s="52">
        <f>IFERROR((Table19[[#This Row],[Sunset Time (POA&lt;20 W/m2)]]-Table19[[#This Row],[Sunrise Time (POA&gt;20 W/m2)]])*24,"")</f>
        <v>12.65</v>
      </c>
      <c r="L27" s="101" t="s">
        <v>304</v>
      </c>
      <c r="M27" s="7">
        <f>VLOOKUP(Table19[[#This Row],[Affceted Equipment]],'Basic Data'!$A$2:$B$108,2,0)</f>
        <v>8020.9</v>
      </c>
      <c r="N27" s="99" t="s">
        <v>305</v>
      </c>
      <c r="O27" s="99" t="s">
        <v>20</v>
      </c>
      <c r="P27" s="117">
        <f>IFERROR(VLOOKUP(Table19[[#This Row],[Affceted Equipment]],'Basic Data'!$A$2:$C$118,3,0),"")</f>
        <v>1</v>
      </c>
      <c r="Q27" s="101"/>
      <c r="R27" s="56" t="s">
        <v>306</v>
      </c>
      <c r="S27" s="102">
        <v>0.37638888888888888</v>
      </c>
      <c r="T27" s="102"/>
      <c r="U27" s="102"/>
      <c r="V27" s="102">
        <v>0.44097222222222221</v>
      </c>
      <c r="W27" s="73"/>
      <c r="X27" s="52"/>
      <c r="Y27" s="52">
        <f>(Table19[[#This Row],[Work Completiuon time on fualt]]-Table19[[#This Row],[Fault Time]])*24</f>
        <v>1.5499999999999998</v>
      </c>
      <c r="Z27" s="103" t="s">
        <v>4</v>
      </c>
      <c r="AA27" s="101" t="s">
        <v>81</v>
      </c>
      <c r="AB27" s="52">
        <f>IFERROR(Table19[[#This Row],[Plant Equivalent Weightage]]*Table19[[#This Row],[Resolution Time]],"")</f>
        <v>1.5499999999999998</v>
      </c>
      <c r="AC27" s="87">
        <v>1.02</v>
      </c>
      <c r="AD27" s="52">
        <f>Table19[[#This Row],[Lost POA (Wh/m2)]]*Table19[[#This Row],[DC Capacity Affceted (kW)]]</f>
        <v>8181.3180000000002</v>
      </c>
    </row>
    <row r="28" spans="1:30" x14ac:dyDescent="0.3">
      <c r="A28" s="2">
        <v>26</v>
      </c>
      <c r="B28" s="101">
        <f>YEAR(Table19[[#This Row],[Date]])+IF(MONTH(Table19[[#This Row],[Date]])&gt;=4,1,0)</f>
        <v>2026</v>
      </c>
      <c r="C28" s="101">
        <f>YEAR(Table19[[#This Row],[Date]])</f>
        <v>2025</v>
      </c>
      <c r="D28" s="99" t="s">
        <v>1082</v>
      </c>
      <c r="E28" s="99" t="s">
        <v>1082</v>
      </c>
      <c r="F28" s="116" t="str">
        <f>TEXT(Table19[[#This Row],[Date]],"mmm-yy")</f>
        <v>May-25</v>
      </c>
      <c r="G28" s="2">
        <f>DAY(EOMONTH(Table19[[#This Row],[Month Year]],0))</f>
        <v>31</v>
      </c>
      <c r="H28" s="100">
        <v>45795</v>
      </c>
      <c r="I28" s="105">
        <f>IFERROR(VLOOKUP(Table19[[#This Row],[Date]],Table3[[#All],[Date]:[Sunset Time (POA&lt;20 W/m2)]],3,0),"")</f>
        <v>0.25069444444444444</v>
      </c>
      <c r="J28" s="107">
        <f>IFERROR(VLOOKUP(Table19[[#This Row],[Date]],Table3[[#All],[Date]:[Sunset Time (POA&lt;20 W/m2)]],4,0),"")</f>
        <v>0.77777777777777779</v>
      </c>
      <c r="K28" s="52">
        <f>IFERROR((Table19[[#This Row],[Sunset Time (POA&lt;20 W/m2)]]-Table19[[#This Row],[Sunrise Time (POA&gt;20 W/m2)]])*24,"")</f>
        <v>12.65</v>
      </c>
      <c r="L28" s="101" t="s">
        <v>304</v>
      </c>
      <c r="M28" s="7">
        <f>VLOOKUP(Table19[[#This Row],[Affceted Equipment]],'Basic Data'!$A$2:$B$108,2,0)</f>
        <v>8020.9</v>
      </c>
      <c r="N28" s="99" t="s">
        <v>305</v>
      </c>
      <c r="O28" s="99" t="s">
        <v>20</v>
      </c>
      <c r="P28" s="117">
        <f>IFERROR(VLOOKUP(Table19[[#This Row],[Affceted Equipment]],'Basic Data'!$A$2:$C$118,3,0),"")</f>
        <v>1</v>
      </c>
      <c r="Q28" s="101"/>
      <c r="R28" s="56" t="s">
        <v>306</v>
      </c>
      <c r="S28" s="102">
        <v>0.56458333333333333</v>
      </c>
      <c r="T28" s="102"/>
      <c r="U28" s="102"/>
      <c r="V28" s="102">
        <v>0.59027777777777779</v>
      </c>
      <c r="W28" s="73"/>
      <c r="X28" s="52"/>
      <c r="Y28" s="52">
        <f>(Table19[[#This Row],[Work Completiuon time on fualt]]-Table19[[#This Row],[Fault Time]])*24</f>
        <v>0.61666666666666714</v>
      </c>
      <c r="Z28" s="103" t="s">
        <v>4</v>
      </c>
      <c r="AA28" s="101" t="s">
        <v>81</v>
      </c>
      <c r="AB28" s="52">
        <f>IFERROR(Table19[[#This Row],[Plant Equivalent Weightage]]*Table19[[#This Row],[Resolution Time]],"")</f>
        <v>0.61666666666666714</v>
      </c>
      <c r="AC28" s="87">
        <v>0.48</v>
      </c>
      <c r="AD28" s="52">
        <f>Table19[[#This Row],[Lost POA (Wh/m2)]]*Table19[[#This Row],[DC Capacity Affceted (kW)]]</f>
        <v>3850.0319999999997</v>
      </c>
    </row>
    <row r="29" spans="1:30" x14ac:dyDescent="0.3">
      <c r="A29" s="2">
        <v>27</v>
      </c>
      <c r="B29" s="101">
        <f>YEAR(Table19[[#This Row],[Date]])+IF(MONTH(Table19[[#This Row],[Date]])&gt;=4,1,0)</f>
        <v>2026</v>
      </c>
      <c r="C29" s="101">
        <f>YEAR(Table19[[#This Row],[Date]])</f>
        <v>2025</v>
      </c>
      <c r="D29" s="99" t="s">
        <v>1082</v>
      </c>
      <c r="E29" s="99" t="s">
        <v>1082</v>
      </c>
      <c r="F29" s="116" t="str">
        <f>TEXT(Table19[[#This Row],[Date]],"mmm-yy")</f>
        <v>May-25</v>
      </c>
      <c r="G29" s="2">
        <f>DAY(EOMONTH(Table19[[#This Row],[Month Year]],0))</f>
        <v>31</v>
      </c>
      <c r="H29" s="100">
        <v>45795</v>
      </c>
      <c r="I29" s="105">
        <f>IFERROR(VLOOKUP(Table19[[#This Row],[Date]],Table3[[#All],[Date]:[Sunset Time (POA&lt;20 W/m2)]],3,0),"")</f>
        <v>0.25069444444444444</v>
      </c>
      <c r="J29" s="107">
        <f>IFERROR(VLOOKUP(Table19[[#This Row],[Date]],Table3[[#All],[Date]:[Sunset Time (POA&lt;20 W/m2)]],4,0),"")</f>
        <v>0.77777777777777779</v>
      </c>
      <c r="K29" s="52">
        <f>IFERROR((Table19[[#This Row],[Sunset Time (POA&lt;20 W/m2)]]-Table19[[#This Row],[Sunrise Time (POA&gt;20 W/m2)]])*24,"")</f>
        <v>12.65</v>
      </c>
      <c r="L29" s="101" t="s">
        <v>304</v>
      </c>
      <c r="M29" s="7">
        <f>VLOOKUP(Table19[[#This Row],[Affceted Equipment]],'Basic Data'!$A$2:$B$108,2,0)</f>
        <v>8020.9</v>
      </c>
      <c r="N29" s="99" t="s">
        <v>305</v>
      </c>
      <c r="O29" s="99" t="s">
        <v>20</v>
      </c>
      <c r="P29" s="117">
        <f>IFERROR(VLOOKUP(Table19[[#This Row],[Affceted Equipment]],'Basic Data'!$A$2:$C$118,3,0),"")</f>
        <v>1</v>
      </c>
      <c r="Q29" s="101"/>
      <c r="R29" s="56" t="s">
        <v>306</v>
      </c>
      <c r="S29" s="102">
        <v>0.61944444444444446</v>
      </c>
      <c r="T29" s="102"/>
      <c r="U29" s="102"/>
      <c r="V29" s="102">
        <v>0.64444444444444449</v>
      </c>
      <c r="W29" s="73"/>
      <c r="X29" s="52"/>
      <c r="Y29" s="52">
        <f>(Table19[[#This Row],[Work Completiuon time on fualt]]-Table19[[#This Row],[Fault Time]])*24</f>
        <v>0.60000000000000053</v>
      </c>
      <c r="Z29" s="103" t="s">
        <v>4</v>
      </c>
      <c r="AA29" s="101" t="s">
        <v>81</v>
      </c>
      <c r="AB29" s="52">
        <f>IFERROR(Table19[[#This Row],[Plant Equivalent Weightage]]*Table19[[#This Row],[Resolution Time]],"")</f>
        <v>0.60000000000000053</v>
      </c>
      <c r="AC29" s="87">
        <v>0.34</v>
      </c>
      <c r="AD29" s="52">
        <f>Table19[[#This Row],[Lost POA (Wh/m2)]]*Table19[[#This Row],[DC Capacity Affceted (kW)]]</f>
        <v>2727.1060000000002</v>
      </c>
    </row>
    <row r="30" spans="1:30" x14ac:dyDescent="0.3">
      <c r="A30" s="2">
        <v>28</v>
      </c>
      <c r="B30" s="101">
        <f>YEAR(Table19[[#This Row],[Date]])+IF(MONTH(Table19[[#This Row],[Date]])&gt;=4,1,0)</f>
        <v>2026</v>
      </c>
      <c r="C30" s="101">
        <f>YEAR(Table19[[#This Row],[Date]])</f>
        <v>2025</v>
      </c>
      <c r="D30" s="99" t="s">
        <v>1082</v>
      </c>
      <c r="E30" s="99" t="s">
        <v>1082</v>
      </c>
      <c r="F30" s="116" t="str">
        <f>TEXT(Table19[[#This Row],[Date]],"mmm-yy")</f>
        <v>May-25</v>
      </c>
      <c r="G30" s="2">
        <f>DAY(EOMONTH(Table19[[#This Row],[Month Year]],0))</f>
        <v>31</v>
      </c>
      <c r="H30" s="100">
        <v>45796</v>
      </c>
      <c r="I30" s="58">
        <f>IFERROR(VLOOKUP(Table19[[#This Row],[Date]],Table3[[#All],[Date]:[Sunset Time (POA&lt;20 W/m2)]],3,0),"")</f>
        <v>0.25</v>
      </c>
      <c r="J30" s="107">
        <f>IFERROR(VLOOKUP(Table19[[#This Row],[Date]],Table3[[#All],[Date]:[Sunset Time (POA&lt;20 W/m2)]],4,0),"")</f>
        <v>0.78333333333333333</v>
      </c>
      <c r="K30" s="52">
        <f>IFERROR((Table19[[#This Row],[Sunset Time (POA&lt;20 W/m2)]]-Table19[[#This Row],[Sunrise Time (POA&gt;20 W/m2)]])*24,"")</f>
        <v>12.8</v>
      </c>
      <c r="L30" s="101" t="s">
        <v>304</v>
      </c>
      <c r="M30" s="7">
        <f>VLOOKUP(Table19[[#This Row],[Affceted Equipment]],'Basic Data'!$A$2:$B$108,2,0)</f>
        <v>8020.9</v>
      </c>
      <c r="N30" s="99" t="s">
        <v>305</v>
      </c>
      <c r="O30" s="99" t="s">
        <v>20</v>
      </c>
      <c r="P30" s="117">
        <f>IFERROR(VLOOKUP(Table19[[#This Row],[Affceted Equipment]],'Basic Data'!$A$2:$C$118,3,0),"")</f>
        <v>1</v>
      </c>
      <c r="Q30" s="101"/>
      <c r="R30" s="56" t="s">
        <v>306</v>
      </c>
      <c r="S30" s="102">
        <v>0.52361111111111114</v>
      </c>
      <c r="T30" s="102"/>
      <c r="U30" s="102"/>
      <c r="V30" s="102">
        <v>0.55138888888888893</v>
      </c>
      <c r="W30" s="73"/>
      <c r="X30" s="52"/>
      <c r="Y30" s="52">
        <f>(Table19[[#This Row],[Work Completiuon time on fualt]]-Table19[[#This Row],[Fault Time]])*24</f>
        <v>0.66666666666666696</v>
      </c>
      <c r="Z30" s="103" t="s">
        <v>4</v>
      </c>
      <c r="AA30" s="101" t="s">
        <v>81</v>
      </c>
      <c r="AB30" s="52">
        <f>IFERROR(Table19[[#This Row],[Plant Equivalent Weightage]]*Table19[[#This Row],[Resolution Time]],"")</f>
        <v>0.66666666666666696</v>
      </c>
      <c r="AC30" s="87">
        <v>0.378</v>
      </c>
      <c r="AD30" s="52">
        <f>Table19[[#This Row],[Lost POA (Wh/m2)]]*Table19[[#This Row],[DC Capacity Affceted (kW)]]</f>
        <v>3031.9002</v>
      </c>
    </row>
    <row r="31" spans="1:30" x14ac:dyDescent="0.3">
      <c r="A31" s="2">
        <v>29</v>
      </c>
      <c r="B31" s="101">
        <f>YEAR(Table19[[#This Row],[Date]])+IF(MONTH(Table19[[#This Row],[Date]])&gt;=4,1,0)</f>
        <v>2026</v>
      </c>
      <c r="C31" s="101">
        <f>YEAR(Table19[[#This Row],[Date]])</f>
        <v>2025</v>
      </c>
      <c r="D31" s="99" t="s">
        <v>1082</v>
      </c>
      <c r="E31" s="99" t="s">
        <v>1082</v>
      </c>
      <c r="F31" s="116" t="str">
        <f>TEXT(Table19[[#This Row],[Date]],"mmm-yy")</f>
        <v>May-25</v>
      </c>
      <c r="G31" s="2">
        <f>DAY(EOMONTH(Table19[[#This Row],[Month Year]],0))</f>
        <v>31</v>
      </c>
      <c r="H31" s="100">
        <v>45798</v>
      </c>
      <c r="I31" s="58">
        <f>IFERROR(VLOOKUP(Table19[[#This Row],[Date]],Table3[[#All],[Date]:[Sunset Time (POA&lt;20 W/m2)]],3,0),"")</f>
        <v>0.24305555555555555</v>
      </c>
      <c r="J31" s="107">
        <f>IFERROR(VLOOKUP(Table19[[#This Row],[Date]],Table3[[#All],[Date]:[Sunset Time (POA&lt;20 W/m2)]],4,0),"")</f>
        <v>0.77777777777777779</v>
      </c>
      <c r="K31" s="52">
        <f>IFERROR((Table19[[#This Row],[Sunset Time (POA&lt;20 W/m2)]]-Table19[[#This Row],[Sunrise Time (POA&gt;20 W/m2)]])*24,"")</f>
        <v>12.833333333333332</v>
      </c>
      <c r="L31" s="101" t="s">
        <v>304</v>
      </c>
      <c r="M31" s="7">
        <f>VLOOKUP(Table19[[#This Row],[Affceted Equipment]],'Basic Data'!$A$2:$B$108,2,0)</f>
        <v>8020.9</v>
      </c>
      <c r="N31" s="99" t="s">
        <v>305</v>
      </c>
      <c r="O31" s="99" t="s">
        <v>20</v>
      </c>
      <c r="P31" s="117">
        <f>IFERROR(VLOOKUP(Table19[[#This Row],[Affceted Equipment]],'Basic Data'!$A$2:$C$118,3,0),"")</f>
        <v>1</v>
      </c>
      <c r="Q31" s="101"/>
      <c r="R31" s="56" t="s">
        <v>306</v>
      </c>
      <c r="S31" s="102">
        <v>0.61388888888888893</v>
      </c>
      <c r="T31" s="102"/>
      <c r="U31" s="102"/>
      <c r="V31" s="102">
        <v>0.7416666666666667</v>
      </c>
      <c r="W31" s="73"/>
      <c r="X31" s="52"/>
      <c r="Y31" s="52">
        <f>(Table19[[#This Row],[Work Completiuon time on fualt]]-Table19[[#This Row],[Fault Time]])*24</f>
        <v>3.0666666666666664</v>
      </c>
      <c r="Z31" s="103" t="s">
        <v>4</v>
      </c>
      <c r="AA31" s="101" t="s">
        <v>81</v>
      </c>
      <c r="AB31" s="52">
        <f>IFERROR(Table19[[#This Row],[Plant Equivalent Weightage]]*Table19[[#This Row],[Resolution Time]],"")</f>
        <v>3.0666666666666664</v>
      </c>
      <c r="AC31" s="87">
        <v>5.5E-2</v>
      </c>
      <c r="AD31" s="52">
        <f>Table19[[#This Row],[Lost POA (Wh/m2)]]*Table19[[#This Row],[DC Capacity Affceted (kW)]]</f>
        <v>441.14949999999999</v>
      </c>
    </row>
    <row r="32" spans="1:30" x14ac:dyDescent="0.3">
      <c r="A32" s="2">
        <v>30</v>
      </c>
      <c r="B32" s="101">
        <f>YEAR(Table19[[#This Row],[Date]])+IF(MONTH(Table19[[#This Row],[Date]])&gt;=4,1,0)</f>
        <v>2026</v>
      </c>
      <c r="C32" s="101">
        <f>YEAR(Table19[[#This Row],[Date]])</f>
        <v>2025</v>
      </c>
      <c r="D32" s="99" t="s">
        <v>1082</v>
      </c>
      <c r="E32" s="99" t="s">
        <v>1082</v>
      </c>
      <c r="F32" s="116" t="str">
        <f>TEXT(Table19[[#This Row],[Date]],"mmm-yy")</f>
        <v>May-25</v>
      </c>
      <c r="G32" s="2">
        <f>DAY(EOMONTH(Table19[[#This Row],[Month Year]],0))</f>
        <v>31</v>
      </c>
      <c r="H32" s="100">
        <v>45799</v>
      </c>
      <c r="I32" s="58">
        <f>IFERROR(VLOOKUP(Table19[[#This Row],[Date]],Table3[[#All],[Date]:[Sunset Time (POA&lt;20 W/m2)]],3,0),"")</f>
        <v>0.24374999999999999</v>
      </c>
      <c r="J32" s="107">
        <f>IFERROR(VLOOKUP(Table19[[#This Row],[Date]],Table3[[#All],[Date]:[Sunset Time (POA&lt;20 W/m2)]],4,0),"")</f>
        <v>0.76597222222222228</v>
      </c>
      <c r="K32" s="52">
        <f>IFERROR((Table19[[#This Row],[Sunset Time (POA&lt;20 W/m2)]]-Table19[[#This Row],[Sunrise Time (POA&gt;20 W/m2)]])*24,"")</f>
        <v>12.533333333333335</v>
      </c>
      <c r="L32" s="101" t="s">
        <v>304</v>
      </c>
      <c r="M32" s="7">
        <f>VLOOKUP(Table19[[#This Row],[Affceted Equipment]],'Basic Data'!$A$2:$B$108,2,0)</f>
        <v>8020.9</v>
      </c>
      <c r="N32" s="99" t="s">
        <v>305</v>
      </c>
      <c r="O32" s="99" t="s">
        <v>20</v>
      </c>
      <c r="P32" s="117">
        <f>IFERROR(VLOOKUP(Table19[[#This Row],[Affceted Equipment]],'Basic Data'!$A$2:$C$118,3,0),"")</f>
        <v>1</v>
      </c>
      <c r="Q32" s="101"/>
      <c r="R32" s="56" t="s">
        <v>306</v>
      </c>
      <c r="S32" s="102">
        <v>0.34166666666666667</v>
      </c>
      <c r="T32" s="102"/>
      <c r="U32" s="102"/>
      <c r="V32" s="102">
        <v>0.39166666666666666</v>
      </c>
      <c r="W32" s="73"/>
      <c r="X32" s="52"/>
      <c r="Y32" s="52">
        <f>(Table19[[#This Row],[Work Completiuon time on fualt]]-Table19[[#This Row],[Fault Time]])*24</f>
        <v>1.1999999999999997</v>
      </c>
      <c r="Z32" s="103" t="s">
        <v>4</v>
      </c>
      <c r="AA32" s="101" t="s">
        <v>81</v>
      </c>
      <c r="AB32" s="52">
        <f>IFERROR(Table19[[#This Row],[Plant Equivalent Weightage]]*Table19[[#This Row],[Resolution Time]],"")</f>
        <v>1.1999999999999997</v>
      </c>
      <c r="AC32" s="87">
        <v>0.49</v>
      </c>
      <c r="AD32" s="52">
        <f>Table19[[#This Row],[Lost POA (Wh/m2)]]*Table19[[#This Row],[DC Capacity Affceted (kW)]]</f>
        <v>3930.2409999999995</v>
      </c>
    </row>
    <row r="33" spans="1:30" x14ac:dyDescent="0.3">
      <c r="A33" s="2">
        <v>31</v>
      </c>
      <c r="B33" s="101">
        <f>YEAR(Table19[[#This Row],[Date]])+IF(MONTH(Table19[[#This Row],[Date]])&gt;=4,1,0)</f>
        <v>2026</v>
      </c>
      <c r="C33" s="101">
        <f>YEAR(Table19[[#This Row],[Date]])</f>
        <v>2025</v>
      </c>
      <c r="D33" s="99" t="s">
        <v>1082</v>
      </c>
      <c r="E33" s="99" t="s">
        <v>1082</v>
      </c>
      <c r="F33" s="116" t="str">
        <f>TEXT(Table19[[#This Row],[Date]],"mmm-yy")</f>
        <v>May-25</v>
      </c>
      <c r="G33" s="2">
        <f>DAY(EOMONTH(Table19[[#This Row],[Month Year]],0))</f>
        <v>31</v>
      </c>
      <c r="H33" s="100">
        <v>45799</v>
      </c>
      <c r="I33" s="105">
        <f>IFERROR(VLOOKUP(Table19[[#This Row],[Date]],Table3[[#All],[Date]:[Sunset Time (POA&lt;20 W/m2)]],3,0),"")</f>
        <v>0.24374999999999999</v>
      </c>
      <c r="J33" s="107">
        <f>IFERROR(VLOOKUP(Table19[[#This Row],[Date]],Table3[[#All],[Date]:[Sunset Time (POA&lt;20 W/m2)]],4,0),"")</f>
        <v>0.76597222222222228</v>
      </c>
      <c r="K33" s="52">
        <f>IFERROR((Table19[[#This Row],[Sunset Time (POA&lt;20 W/m2)]]-Table19[[#This Row],[Sunrise Time (POA&gt;20 W/m2)]])*24,"")</f>
        <v>12.533333333333335</v>
      </c>
      <c r="L33" s="101" t="s">
        <v>304</v>
      </c>
      <c r="M33" s="7">
        <f>VLOOKUP(Table19[[#This Row],[Affceted Equipment]],'Basic Data'!$A$2:$B$108,2,0)</f>
        <v>8020.9</v>
      </c>
      <c r="N33" s="99" t="s">
        <v>305</v>
      </c>
      <c r="O33" s="99" t="s">
        <v>20</v>
      </c>
      <c r="P33" s="117">
        <f>IFERROR(VLOOKUP(Table19[[#This Row],[Affceted Equipment]],'Basic Data'!$A$2:$C$118,3,0),"")</f>
        <v>1</v>
      </c>
      <c r="Q33" s="101"/>
      <c r="R33" s="56" t="s">
        <v>306</v>
      </c>
      <c r="S33" s="102">
        <v>0.46111111111111114</v>
      </c>
      <c r="T33" s="102"/>
      <c r="U33" s="102"/>
      <c r="V33" s="102">
        <v>0.47916666666666669</v>
      </c>
      <c r="W33" s="73"/>
      <c r="X33" s="52"/>
      <c r="Y33" s="52">
        <f>(Table19[[#This Row],[Work Completiuon time on fualt]]-Table19[[#This Row],[Fault Time]])*24</f>
        <v>0.43333333333333313</v>
      </c>
      <c r="Z33" s="103" t="s">
        <v>4</v>
      </c>
      <c r="AA33" s="101" t="s">
        <v>81</v>
      </c>
      <c r="AB33" s="52">
        <f>IFERROR(Table19[[#This Row],[Plant Equivalent Weightage]]*Table19[[#This Row],[Resolution Time]],"")</f>
        <v>0.43333333333333313</v>
      </c>
      <c r="AC33" s="87">
        <v>0.38</v>
      </c>
      <c r="AD33" s="52">
        <f>Table19[[#This Row],[Lost POA (Wh/m2)]]*Table19[[#This Row],[DC Capacity Affceted (kW)]]</f>
        <v>3047.942</v>
      </c>
    </row>
    <row r="34" spans="1:30" x14ac:dyDescent="0.3">
      <c r="A34" s="2">
        <v>32</v>
      </c>
      <c r="B34" s="101">
        <f>YEAR(Table19[[#This Row],[Date]])+IF(MONTH(Table19[[#This Row],[Date]])&gt;=4,1,0)</f>
        <v>2026</v>
      </c>
      <c r="C34" s="101">
        <f>YEAR(Table19[[#This Row],[Date]])</f>
        <v>2025</v>
      </c>
      <c r="D34" s="99" t="s">
        <v>1082</v>
      </c>
      <c r="E34" s="99" t="s">
        <v>1082</v>
      </c>
      <c r="F34" s="116" t="str">
        <f>TEXT(Table19[[#This Row],[Date]],"mmm-yy")</f>
        <v>May-25</v>
      </c>
      <c r="G34" s="2">
        <f>DAY(EOMONTH(Table19[[#This Row],[Month Year]],0))</f>
        <v>31</v>
      </c>
      <c r="H34" s="100">
        <v>45799</v>
      </c>
      <c r="I34" s="105">
        <f>IFERROR(VLOOKUP(Table19[[#This Row],[Date]],Table3[[#All],[Date]:[Sunset Time (POA&lt;20 W/m2)]],3,0),"")</f>
        <v>0.24374999999999999</v>
      </c>
      <c r="J34" s="107">
        <f>IFERROR(VLOOKUP(Table19[[#This Row],[Date]],Table3[[#All],[Date]:[Sunset Time (POA&lt;20 W/m2)]],4,0),"")</f>
        <v>0.76597222222222228</v>
      </c>
      <c r="K34" s="52">
        <f>IFERROR((Table19[[#This Row],[Sunset Time (POA&lt;20 W/m2)]]-Table19[[#This Row],[Sunrise Time (POA&gt;20 W/m2)]])*24,"")</f>
        <v>12.533333333333335</v>
      </c>
      <c r="L34" s="101" t="s">
        <v>304</v>
      </c>
      <c r="M34" s="7">
        <f>VLOOKUP(Table19[[#This Row],[Affceted Equipment]],'Basic Data'!$A$2:$B$108,2,0)</f>
        <v>8020.9</v>
      </c>
      <c r="N34" s="99" t="s">
        <v>305</v>
      </c>
      <c r="O34" s="99" t="s">
        <v>20</v>
      </c>
      <c r="P34" s="117">
        <f>IFERROR(VLOOKUP(Table19[[#This Row],[Affceted Equipment]],'Basic Data'!$A$2:$C$118,3,0),"")</f>
        <v>1</v>
      </c>
      <c r="Q34" s="101"/>
      <c r="R34" s="56" t="s">
        <v>306</v>
      </c>
      <c r="S34" s="102">
        <v>0.65833333333333333</v>
      </c>
      <c r="T34" s="102"/>
      <c r="U34" s="102"/>
      <c r="V34" s="102">
        <v>0.6743055555555556</v>
      </c>
      <c r="W34" s="73"/>
      <c r="X34" s="52"/>
      <c r="Y34" s="52">
        <f>(Table19[[#This Row],[Work Completiuon time on fualt]]-Table19[[#This Row],[Fault Time]])*24</f>
        <v>0.38333333333333464</v>
      </c>
      <c r="Z34" s="103" t="s">
        <v>4</v>
      </c>
      <c r="AA34" s="101" t="s">
        <v>81</v>
      </c>
      <c r="AB34" s="52">
        <f>IFERROR(Table19[[#This Row],[Plant Equivalent Weightage]]*Table19[[#This Row],[Resolution Time]],"")</f>
        <v>0.38333333333333464</v>
      </c>
      <c r="AC34" s="87">
        <v>0.19</v>
      </c>
      <c r="AD34" s="52">
        <f>Table19[[#This Row],[Lost POA (Wh/m2)]]*Table19[[#This Row],[DC Capacity Affceted (kW)]]</f>
        <v>1523.971</v>
      </c>
    </row>
    <row r="35" spans="1:30" x14ac:dyDescent="0.3">
      <c r="A35" s="2">
        <v>33</v>
      </c>
      <c r="B35" s="101">
        <f>YEAR(Table19[[#This Row],[Date]])+IF(MONTH(Table19[[#This Row],[Date]])&gt;=4,1,0)</f>
        <v>2026</v>
      </c>
      <c r="C35" s="101">
        <f>YEAR(Table19[[#This Row],[Date]])</f>
        <v>2025</v>
      </c>
      <c r="D35" s="99" t="s">
        <v>1082</v>
      </c>
      <c r="E35" s="99" t="s">
        <v>1082</v>
      </c>
      <c r="F35" s="116" t="str">
        <f>TEXT(Table19[[#This Row],[Date]],"mmm-yy")</f>
        <v>May-25</v>
      </c>
      <c r="G35" s="2">
        <f>DAY(EOMONTH(Table19[[#This Row],[Month Year]],0))</f>
        <v>31</v>
      </c>
      <c r="H35" s="100">
        <v>45801</v>
      </c>
      <c r="I35" s="58">
        <f>IFERROR(VLOOKUP(Table19[[#This Row],[Date]],Table3[[#All],[Date]:[Sunset Time (POA&lt;20 W/m2)]],3,0),"")</f>
        <v>0.25069444444444444</v>
      </c>
      <c r="J35" s="107">
        <f>IFERROR(VLOOKUP(Table19[[#This Row],[Date]],Table3[[#All],[Date]:[Sunset Time (POA&lt;20 W/m2)]],4,0),"")</f>
        <v>0.77500000000000002</v>
      </c>
      <c r="K35" s="52">
        <f>IFERROR((Table19[[#This Row],[Sunset Time (POA&lt;20 W/m2)]]-Table19[[#This Row],[Sunrise Time (POA&gt;20 W/m2)]])*24,"")</f>
        <v>12.583333333333334</v>
      </c>
      <c r="L35" s="101" t="s">
        <v>304</v>
      </c>
      <c r="M35" s="7">
        <f>VLOOKUP(Table19[[#This Row],[Affceted Equipment]],'Basic Data'!$A$2:$B$108,2,0)</f>
        <v>8020.9</v>
      </c>
      <c r="N35" s="99" t="s">
        <v>305</v>
      </c>
      <c r="O35" s="99" t="s">
        <v>20</v>
      </c>
      <c r="P35" s="117">
        <f>IFERROR(VLOOKUP(Table19[[#This Row],[Affceted Equipment]],'Basic Data'!$A$2:$C$118,3,0),"")</f>
        <v>1</v>
      </c>
      <c r="Q35" s="101"/>
      <c r="R35" s="56" t="s">
        <v>306</v>
      </c>
      <c r="S35" s="102">
        <v>0.65555555555555556</v>
      </c>
      <c r="T35" s="102"/>
      <c r="U35" s="102"/>
      <c r="V35" s="102">
        <v>0.66249999999999998</v>
      </c>
      <c r="W35" s="73"/>
      <c r="X35" s="52"/>
      <c r="Y35" s="52">
        <f>(Table19[[#This Row],[Work Completiuon time on fualt]]-Table19[[#This Row],[Fault Time]])*24</f>
        <v>0.16666666666666607</v>
      </c>
      <c r="Z35" s="103" t="s">
        <v>4</v>
      </c>
      <c r="AA35" s="101" t="s">
        <v>81</v>
      </c>
      <c r="AB35" s="52">
        <f>IFERROR(Table19[[#This Row],[Plant Equivalent Weightage]]*Table19[[#This Row],[Resolution Time]],"")</f>
        <v>0.16666666666666607</v>
      </c>
      <c r="AC35" s="87">
        <v>0.05</v>
      </c>
      <c r="AD35" s="52">
        <f>Table19[[#This Row],[Lost POA (Wh/m2)]]*Table19[[#This Row],[DC Capacity Affceted (kW)]]</f>
        <v>401.04500000000002</v>
      </c>
    </row>
    <row r="36" spans="1:30" x14ac:dyDescent="0.3">
      <c r="A36" s="2">
        <v>34</v>
      </c>
      <c r="B36" s="101">
        <f>YEAR(Table19[[#This Row],[Date]])+IF(MONTH(Table19[[#This Row],[Date]])&gt;=4,1,0)</f>
        <v>2026</v>
      </c>
      <c r="C36" s="101">
        <f>YEAR(Table19[[#This Row],[Date]])</f>
        <v>2025</v>
      </c>
      <c r="D36" s="99" t="s">
        <v>1082</v>
      </c>
      <c r="E36" s="99" t="s">
        <v>1082</v>
      </c>
      <c r="F36" s="116" t="str">
        <f>TEXT(Table19[[#This Row],[Date]],"mmm-yy")</f>
        <v>May-25</v>
      </c>
      <c r="G36" s="2">
        <f>DAY(EOMONTH(Table19[[#This Row],[Month Year]],0))</f>
        <v>31</v>
      </c>
      <c r="H36" s="100">
        <v>45801</v>
      </c>
      <c r="I36" s="105">
        <f>IFERROR(VLOOKUP(Table19[[#This Row],[Date]],Table3[[#All],[Date]:[Sunset Time (POA&lt;20 W/m2)]],3,0),"")</f>
        <v>0.25069444444444444</v>
      </c>
      <c r="J36" s="107">
        <f>IFERROR(VLOOKUP(Table19[[#This Row],[Date]],Table3[[#All],[Date]:[Sunset Time (POA&lt;20 W/m2)]],4,0),"")</f>
        <v>0.77500000000000002</v>
      </c>
      <c r="K36" s="52">
        <f>IFERROR((Table19[[#This Row],[Sunset Time (POA&lt;20 W/m2)]]-Table19[[#This Row],[Sunrise Time (POA&gt;20 W/m2)]])*24,"")</f>
        <v>12.583333333333334</v>
      </c>
      <c r="L36" s="101" t="s">
        <v>304</v>
      </c>
      <c r="M36" s="7">
        <f>VLOOKUP(Table19[[#This Row],[Affceted Equipment]],'Basic Data'!$A$2:$B$108,2,0)</f>
        <v>8020.9</v>
      </c>
      <c r="N36" s="99" t="s">
        <v>305</v>
      </c>
      <c r="O36" s="99" t="s">
        <v>20</v>
      </c>
      <c r="P36" s="117">
        <f>IFERROR(VLOOKUP(Table19[[#This Row],[Affceted Equipment]],'Basic Data'!$A$2:$C$118,3,0),"")</f>
        <v>1</v>
      </c>
      <c r="Q36" s="101"/>
      <c r="R36" s="56" t="s">
        <v>306</v>
      </c>
      <c r="S36" s="102">
        <v>0.68888888888888888</v>
      </c>
      <c r="T36" s="102"/>
      <c r="U36" s="102"/>
      <c r="V36" s="102">
        <v>0.70694444444444449</v>
      </c>
      <c r="W36" s="73"/>
      <c r="X36" s="52"/>
      <c r="Y36" s="52">
        <f>(Table19[[#This Row],[Work Completiuon time on fualt]]-Table19[[#This Row],[Fault Time]])*24</f>
        <v>0.43333333333333446</v>
      </c>
      <c r="Z36" s="103" t="s">
        <v>4</v>
      </c>
      <c r="AA36" s="101" t="s">
        <v>81</v>
      </c>
      <c r="AB36" s="52">
        <f>IFERROR(Table19[[#This Row],[Plant Equivalent Weightage]]*Table19[[#This Row],[Resolution Time]],"")</f>
        <v>0.43333333333333446</v>
      </c>
      <c r="AC36" s="87">
        <v>0.01</v>
      </c>
      <c r="AD36" s="52">
        <f>Table19[[#This Row],[Lost POA (Wh/m2)]]*Table19[[#This Row],[DC Capacity Affceted (kW)]]</f>
        <v>80.209000000000003</v>
      </c>
    </row>
    <row r="37" spans="1:30" x14ac:dyDescent="0.3">
      <c r="A37" s="2">
        <v>35</v>
      </c>
      <c r="B37" s="101">
        <f>YEAR(Table19[[#This Row],[Date]])+IF(MONTH(Table19[[#This Row],[Date]])&gt;=4,1,0)</f>
        <v>2026</v>
      </c>
      <c r="C37" s="101">
        <f>YEAR(Table19[[#This Row],[Date]])</f>
        <v>2025</v>
      </c>
      <c r="D37" s="99" t="s">
        <v>1082</v>
      </c>
      <c r="E37" s="99" t="s">
        <v>1082</v>
      </c>
      <c r="F37" s="116" t="str">
        <f>TEXT(Table19[[#This Row],[Date]],"mmm-yy")</f>
        <v>May-25</v>
      </c>
      <c r="G37" s="2">
        <f>DAY(EOMONTH(Table19[[#This Row],[Month Year]],0))</f>
        <v>31</v>
      </c>
      <c r="H37" s="100">
        <v>45802</v>
      </c>
      <c r="I37" s="58">
        <f>IFERROR(VLOOKUP(Table19[[#This Row],[Date]],Table3[[#All],[Date]:[Sunset Time (POA&lt;20 W/m2)]],3,0),"")</f>
        <v>0.24374999999999999</v>
      </c>
      <c r="J37" s="107">
        <f>IFERROR(VLOOKUP(Table19[[#This Row],[Date]],Table3[[#All],[Date]:[Sunset Time (POA&lt;20 W/m2)]],4,0),"")</f>
        <v>0.77986111111111112</v>
      </c>
      <c r="K37" s="52">
        <f>IFERROR((Table19[[#This Row],[Sunset Time (POA&lt;20 W/m2)]]-Table19[[#This Row],[Sunrise Time (POA&gt;20 W/m2)]])*24,"")</f>
        <v>12.866666666666667</v>
      </c>
      <c r="L37" s="101" t="s">
        <v>304</v>
      </c>
      <c r="M37" s="7">
        <f>VLOOKUP(Table19[[#This Row],[Affceted Equipment]],'Basic Data'!$A$2:$B$108,2,0)</f>
        <v>8020.9</v>
      </c>
      <c r="N37" s="99" t="s">
        <v>305</v>
      </c>
      <c r="O37" s="99" t="s">
        <v>20</v>
      </c>
      <c r="P37" s="117">
        <f>IFERROR(VLOOKUP(Table19[[#This Row],[Affceted Equipment]],'Basic Data'!$A$2:$C$118,3,0),"")</f>
        <v>1</v>
      </c>
      <c r="Q37" s="101"/>
      <c r="R37" s="56" t="s">
        <v>306</v>
      </c>
      <c r="S37" s="102">
        <v>0.74027777777777781</v>
      </c>
      <c r="T37" s="102"/>
      <c r="U37" s="102"/>
      <c r="V37" s="102">
        <v>0.75069444444444444</v>
      </c>
      <c r="W37" s="73"/>
      <c r="X37" s="52"/>
      <c r="Y37" s="52">
        <f>(Table19[[#This Row],[Work Completiuon time on fualt]]-Table19[[#This Row],[Fault Time]])*24</f>
        <v>0.24999999999999911</v>
      </c>
      <c r="Z37" s="103" t="s">
        <v>4</v>
      </c>
      <c r="AA37" s="101" t="s">
        <v>81</v>
      </c>
      <c r="AB37" s="52">
        <f>IFERROR(Table19[[#This Row],[Plant Equivalent Weightage]]*Table19[[#This Row],[Resolution Time]],"")</f>
        <v>0.24999999999999911</v>
      </c>
      <c r="AC37" s="87">
        <v>8.0000000000000002E-3</v>
      </c>
      <c r="AD37" s="52">
        <f>Table19[[#This Row],[Lost POA (Wh/m2)]]*Table19[[#This Row],[DC Capacity Affceted (kW)]]</f>
        <v>64.167199999999994</v>
      </c>
    </row>
    <row r="38" spans="1:30" x14ac:dyDescent="0.3">
      <c r="A38" s="2">
        <v>36</v>
      </c>
      <c r="B38" s="101">
        <f>YEAR(Table19[[#This Row],[Date]])+IF(MONTH(Table19[[#This Row],[Date]])&gt;=4,1,0)</f>
        <v>2026</v>
      </c>
      <c r="C38" s="101">
        <f>YEAR(Table19[[#This Row],[Date]])</f>
        <v>2025</v>
      </c>
      <c r="D38" s="99" t="s">
        <v>1082</v>
      </c>
      <c r="E38" s="99" t="s">
        <v>1082</v>
      </c>
      <c r="F38" s="116" t="str">
        <f>TEXT(Table19[[#This Row],[Date]],"mmm-yy")</f>
        <v>May-25</v>
      </c>
      <c r="G38" s="2">
        <f>DAY(EOMONTH(Table19[[#This Row],[Month Year]],0))</f>
        <v>31</v>
      </c>
      <c r="H38" s="100">
        <v>45803</v>
      </c>
      <c r="I38" s="58">
        <f>IFERROR(VLOOKUP(Table19[[#This Row],[Date]],Table3[[#All],[Date]:[Sunset Time (POA&lt;20 W/m2)]],3,0),"")</f>
        <v>0.25138888888888888</v>
      </c>
      <c r="J38" s="107">
        <f>IFERROR(VLOOKUP(Table19[[#This Row],[Date]],Table3[[#All],[Date]:[Sunset Time (POA&lt;20 W/m2)]],4,0),"")</f>
        <v>0.78472222222222221</v>
      </c>
      <c r="K38" s="52">
        <f>IFERROR((Table19[[#This Row],[Sunset Time (POA&lt;20 W/m2)]]-Table19[[#This Row],[Sunrise Time (POA&gt;20 W/m2)]])*24,"")</f>
        <v>12.8</v>
      </c>
      <c r="L38" s="101" t="s">
        <v>304</v>
      </c>
      <c r="M38" s="7">
        <f>VLOOKUP(Table19[[#This Row],[Affceted Equipment]],'Basic Data'!$A$2:$B$108,2,0)</f>
        <v>8020.9</v>
      </c>
      <c r="N38" s="99" t="s">
        <v>305</v>
      </c>
      <c r="O38" s="99" t="s">
        <v>20</v>
      </c>
      <c r="P38" s="117">
        <f>IFERROR(VLOOKUP(Table19[[#This Row],[Affceted Equipment]],'Basic Data'!$A$2:$C$118,3,0),"")</f>
        <v>1</v>
      </c>
      <c r="Q38" s="101"/>
      <c r="R38" s="56" t="s">
        <v>306</v>
      </c>
      <c r="S38" s="102">
        <v>0.55694444444444446</v>
      </c>
      <c r="T38" s="102"/>
      <c r="U38" s="102"/>
      <c r="V38" s="102">
        <v>0.56180555555555556</v>
      </c>
      <c r="W38" s="73"/>
      <c r="X38" s="52"/>
      <c r="Y38" s="52">
        <f>(Table19[[#This Row],[Work Completiuon time on fualt]]-Table19[[#This Row],[Fault Time]])*24</f>
        <v>0.11666666666666625</v>
      </c>
      <c r="Z38" s="103" t="s">
        <v>4</v>
      </c>
      <c r="AA38" s="101" t="s">
        <v>81</v>
      </c>
      <c r="AB38" s="52">
        <f>IFERROR(Table19[[#This Row],[Plant Equivalent Weightage]]*Table19[[#This Row],[Resolution Time]],"")</f>
        <v>0.11666666666666625</v>
      </c>
      <c r="AC38" s="87">
        <v>0.02</v>
      </c>
      <c r="AD38" s="52">
        <f>Table19[[#This Row],[Lost POA (Wh/m2)]]*Table19[[#This Row],[DC Capacity Affceted (kW)]]</f>
        <v>160.41800000000001</v>
      </c>
    </row>
    <row r="39" spans="1:30" x14ac:dyDescent="0.3">
      <c r="A39" s="2">
        <v>37</v>
      </c>
      <c r="B39" s="101">
        <f>YEAR(Table19[[#This Row],[Date]])+IF(MONTH(Table19[[#This Row],[Date]])&gt;=4,1,0)</f>
        <v>2026</v>
      </c>
      <c r="C39" s="101">
        <f>YEAR(Table19[[#This Row],[Date]])</f>
        <v>2025</v>
      </c>
      <c r="D39" s="99" t="s">
        <v>1082</v>
      </c>
      <c r="E39" s="99" t="s">
        <v>1082</v>
      </c>
      <c r="F39" s="116" t="str">
        <f>TEXT(Table19[[#This Row],[Date]],"mmm-yy")</f>
        <v>May-25</v>
      </c>
      <c r="G39" s="2">
        <f>DAY(EOMONTH(Table19[[#This Row],[Month Year]],0))</f>
        <v>31</v>
      </c>
      <c r="H39" s="100">
        <v>45804</v>
      </c>
      <c r="I39" s="58">
        <f>IFERROR(VLOOKUP(Table19[[#This Row],[Date]],Table3[[#All],[Date]:[Sunset Time (POA&lt;20 W/m2)]],3,0),"")</f>
        <v>0.24374999999999999</v>
      </c>
      <c r="J39" s="107">
        <f>IFERROR(VLOOKUP(Table19[[#This Row],[Date]],Table3[[#All],[Date]:[Sunset Time (POA&lt;20 W/m2)]],4,0),"")</f>
        <v>0.7680555555555556</v>
      </c>
      <c r="K39" s="52">
        <f>IFERROR((Table19[[#This Row],[Sunset Time (POA&lt;20 W/m2)]]-Table19[[#This Row],[Sunrise Time (POA&gt;20 W/m2)]])*24,"")</f>
        <v>12.583333333333334</v>
      </c>
      <c r="L39" s="101" t="s">
        <v>304</v>
      </c>
      <c r="M39" s="7">
        <f>VLOOKUP(Table19[[#This Row],[Affceted Equipment]],'Basic Data'!$A$2:$B$108,2,0)</f>
        <v>8020.9</v>
      </c>
      <c r="N39" s="99" t="s">
        <v>305</v>
      </c>
      <c r="O39" s="99" t="s">
        <v>20</v>
      </c>
      <c r="P39" s="117">
        <f>IFERROR(VLOOKUP(Table19[[#This Row],[Affceted Equipment]],'Basic Data'!$A$2:$C$118,3,0),"")</f>
        <v>1</v>
      </c>
      <c r="Q39" s="101"/>
      <c r="R39" s="56" t="s">
        <v>306</v>
      </c>
      <c r="S39" s="102">
        <v>0.32777777777777778</v>
      </c>
      <c r="T39" s="102"/>
      <c r="U39" s="102"/>
      <c r="V39" s="102">
        <v>0.34791666666666665</v>
      </c>
      <c r="W39" s="73"/>
      <c r="X39" s="52"/>
      <c r="Y39" s="52">
        <f>(Table19[[#This Row],[Work Completiuon time on fualt]]-Table19[[#This Row],[Fault Time]])*24</f>
        <v>0.48333333333333295</v>
      </c>
      <c r="Z39" s="103" t="s">
        <v>4</v>
      </c>
      <c r="AA39" s="101" t="s">
        <v>81</v>
      </c>
      <c r="AB39" s="52">
        <f>IFERROR(Table19[[#This Row],[Plant Equivalent Weightage]]*Table19[[#This Row],[Resolution Time]],"")</f>
        <v>0.48333333333333295</v>
      </c>
      <c r="AC39" s="87">
        <v>0.1</v>
      </c>
      <c r="AD39" s="52">
        <f>Table19[[#This Row],[Lost POA (Wh/m2)]]*Table19[[#This Row],[DC Capacity Affceted (kW)]]</f>
        <v>802.09</v>
      </c>
    </row>
    <row r="40" spans="1:30" x14ac:dyDescent="0.3">
      <c r="A40" s="2">
        <v>38</v>
      </c>
      <c r="B40" s="101">
        <f>YEAR(Table19[[#This Row],[Date]])+IF(MONTH(Table19[[#This Row],[Date]])&gt;=4,1,0)</f>
        <v>2026</v>
      </c>
      <c r="C40" s="101">
        <f>YEAR(Table19[[#This Row],[Date]])</f>
        <v>2025</v>
      </c>
      <c r="D40" s="99" t="s">
        <v>1082</v>
      </c>
      <c r="E40" s="99" t="s">
        <v>1082</v>
      </c>
      <c r="F40" s="116" t="str">
        <f>TEXT(Table19[[#This Row],[Date]],"mmm-yy")</f>
        <v>Jun-25</v>
      </c>
      <c r="G40" s="2">
        <f>DAY(EOMONTH(Table19[[#This Row],[Month Year]],0))</f>
        <v>30</v>
      </c>
      <c r="H40" s="100">
        <v>45813</v>
      </c>
      <c r="I40" s="58">
        <f>IFERROR(VLOOKUP(Table19[[#This Row],[Date]],Table3[[#All],[Date]:[Sunset Time (POA&lt;20 W/m2)]],3,0),"")</f>
        <v>0.25</v>
      </c>
      <c r="J40" s="107">
        <f>IFERROR(VLOOKUP(Table19[[#This Row],[Date]],Table3[[#All],[Date]:[Sunset Time (POA&lt;20 W/m2)]],4,0),"")</f>
        <v>0.77569444444444446</v>
      </c>
      <c r="K40" s="52">
        <f>IFERROR((Table19[[#This Row],[Sunset Time (POA&lt;20 W/m2)]]-Table19[[#This Row],[Sunrise Time (POA&gt;20 W/m2)]])*24,"")</f>
        <v>12.616666666666667</v>
      </c>
      <c r="L40" s="101" t="s">
        <v>304</v>
      </c>
      <c r="M40" s="7">
        <f>VLOOKUP(Table19[[#This Row],[Affceted Equipment]],'Basic Data'!$A$2:$B$108,2,0)</f>
        <v>8020.9</v>
      </c>
      <c r="N40" s="99" t="s">
        <v>305</v>
      </c>
      <c r="O40" s="99" t="s">
        <v>20</v>
      </c>
      <c r="P40" s="117">
        <f>IFERROR(VLOOKUP(Table19[[#This Row],[Affceted Equipment]],'Basic Data'!$A$2:$C$118,3,0),"")</f>
        <v>1</v>
      </c>
      <c r="Q40" s="101"/>
      <c r="R40" s="56" t="s">
        <v>306</v>
      </c>
      <c r="S40" s="102">
        <v>0.41249999999999998</v>
      </c>
      <c r="T40" s="102"/>
      <c r="U40" s="102"/>
      <c r="V40" s="102">
        <v>0.42222222222222222</v>
      </c>
      <c r="W40" s="73"/>
      <c r="X40" s="52"/>
      <c r="Y40" s="52">
        <f>(Table19[[#This Row],[Work Completiuon time on fualt]]-Table19[[#This Row],[Fault Time]])*24</f>
        <v>0.23333333333333384</v>
      </c>
      <c r="Z40" s="103" t="s">
        <v>4</v>
      </c>
      <c r="AA40" s="101" t="s">
        <v>81</v>
      </c>
      <c r="AB40" s="52">
        <f>IFERROR(Table19[[#This Row],[Plant Equivalent Weightage]]*Table19[[#This Row],[Resolution Time]],"")</f>
        <v>0.23333333333333384</v>
      </c>
      <c r="AC40" s="87">
        <v>0.1</v>
      </c>
      <c r="AD40" s="52">
        <f>Table19[[#This Row],[Lost POA (Wh/m2)]]*Table19[[#This Row],[DC Capacity Affceted (kW)]]</f>
        <v>802.09</v>
      </c>
    </row>
    <row r="41" spans="1:30" x14ac:dyDescent="0.3">
      <c r="A41" s="2">
        <v>39</v>
      </c>
      <c r="B41" s="101">
        <f>YEAR(Table19[[#This Row],[Date]])+IF(MONTH(Table19[[#This Row],[Date]])&gt;=4,1,0)</f>
        <v>2026</v>
      </c>
      <c r="C41" s="101">
        <f>YEAR(Table19[[#This Row],[Date]])</f>
        <v>2025</v>
      </c>
      <c r="D41" s="99" t="s">
        <v>1082</v>
      </c>
      <c r="E41" s="99" t="s">
        <v>1082</v>
      </c>
      <c r="F41" s="116" t="str">
        <f>TEXT(Table19[[#This Row],[Date]],"mmm-yy")</f>
        <v>Jun-25</v>
      </c>
      <c r="G41" s="2">
        <f>DAY(EOMONTH(Table19[[#This Row],[Month Year]],0))</f>
        <v>30</v>
      </c>
      <c r="H41" s="100">
        <v>45815</v>
      </c>
      <c r="I41" s="58">
        <f>IFERROR(VLOOKUP(Table19[[#This Row],[Date]],Table3[[#All],[Date]:[Sunset Time (POA&lt;20 W/m2)]],3,0),"")</f>
        <v>0.24444444444444444</v>
      </c>
      <c r="J41" s="107">
        <f>IFERROR(VLOOKUP(Table19[[#This Row],[Date]],Table3[[#All],[Date]:[Sunset Time (POA&lt;20 W/m2)]],4,0),"")</f>
        <v>0.78333333333333333</v>
      </c>
      <c r="K41" s="52">
        <f>IFERROR((Table19[[#This Row],[Sunset Time (POA&lt;20 W/m2)]]-Table19[[#This Row],[Sunrise Time (POA&gt;20 W/m2)]])*24,"")</f>
        <v>12.933333333333334</v>
      </c>
      <c r="L41" s="101" t="s">
        <v>304</v>
      </c>
      <c r="M41" s="7">
        <f>VLOOKUP(Table19[[#This Row],[Affceted Equipment]],'Basic Data'!$A$2:$B$108,2,0)</f>
        <v>8020.9</v>
      </c>
      <c r="N41" s="99" t="s">
        <v>305</v>
      </c>
      <c r="O41" s="99" t="s">
        <v>20</v>
      </c>
      <c r="P41" s="117">
        <f>IFERROR(VLOOKUP(Table19[[#This Row],[Affceted Equipment]],'Basic Data'!$A$2:$C$118,3,0),"")</f>
        <v>1</v>
      </c>
      <c r="Q41" s="101"/>
      <c r="R41" s="56" t="s">
        <v>306</v>
      </c>
      <c r="S41" s="102">
        <v>0.31944444444444442</v>
      </c>
      <c r="T41" s="102"/>
      <c r="U41" s="102"/>
      <c r="V41" s="102">
        <v>0.32500000000000001</v>
      </c>
      <c r="W41" s="73"/>
      <c r="X41" s="52"/>
      <c r="Y41" s="52">
        <f>(Table19[[#This Row],[Work Completiuon time on fualt]]-Table19[[#This Row],[Fault Time]])*24</f>
        <v>0.13333333333333419</v>
      </c>
      <c r="Z41" s="103" t="s">
        <v>4</v>
      </c>
      <c r="AA41" s="101" t="s">
        <v>81</v>
      </c>
      <c r="AB41" s="52">
        <f>IFERROR(Table19[[#This Row],[Plant Equivalent Weightage]]*Table19[[#This Row],[Resolution Time]],"")</f>
        <v>0.13333333333333419</v>
      </c>
      <c r="AC41" s="87">
        <v>0.02</v>
      </c>
      <c r="AD41" s="52">
        <f>Table19[[#This Row],[Lost POA (Wh/m2)]]*Table19[[#This Row],[DC Capacity Affceted (kW)]]</f>
        <v>160.41800000000001</v>
      </c>
    </row>
    <row r="42" spans="1:30" x14ac:dyDescent="0.3">
      <c r="A42" s="2">
        <v>40</v>
      </c>
      <c r="B42" s="101">
        <f>YEAR(Table19[[#This Row],[Date]])+IF(MONTH(Table19[[#This Row],[Date]])&gt;=4,1,0)</f>
        <v>2026</v>
      </c>
      <c r="C42" s="101">
        <f>YEAR(Table19[[#This Row],[Date]])</f>
        <v>2025</v>
      </c>
      <c r="D42" s="99" t="s">
        <v>1082</v>
      </c>
      <c r="E42" s="99" t="s">
        <v>1082</v>
      </c>
      <c r="F42" s="116" t="str">
        <f>TEXT(Table19[[#This Row],[Date]],"mmm-yy")</f>
        <v>Jun-25</v>
      </c>
      <c r="G42" s="2">
        <f>DAY(EOMONTH(Table19[[#This Row],[Month Year]],0))</f>
        <v>30</v>
      </c>
      <c r="H42" s="100">
        <v>45815</v>
      </c>
      <c r="I42" s="105">
        <f>IFERROR(VLOOKUP(Table19[[#This Row],[Date]],Table3[[#All],[Date]:[Sunset Time (POA&lt;20 W/m2)]],3,0),"")</f>
        <v>0.24444444444444444</v>
      </c>
      <c r="J42" s="107">
        <f>IFERROR(VLOOKUP(Table19[[#This Row],[Date]],Table3[[#All],[Date]:[Sunset Time (POA&lt;20 W/m2)]],4,0),"")</f>
        <v>0.78333333333333333</v>
      </c>
      <c r="K42" s="52">
        <f>IFERROR((Table19[[#This Row],[Sunset Time (POA&lt;20 W/m2)]]-Table19[[#This Row],[Sunrise Time (POA&gt;20 W/m2)]])*24,"")</f>
        <v>12.933333333333334</v>
      </c>
      <c r="L42" s="101" t="s">
        <v>304</v>
      </c>
      <c r="M42" s="7">
        <f>VLOOKUP(Table19[[#This Row],[Affceted Equipment]],'Basic Data'!$A$2:$B$108,2,0)</f>
        <v>8020.9</v>
      </c>
      <c r="N42" s="99" t="s">
        <v>305</v>
      </c>
      <c r="O42" s="99" t="s">
        <v>20</v>
      </c>
      <c r="P42" s="117">
        <f>IFERROR(VLOOKUP(Table19[[#This Row],[Affceted Equipment]],'Basic Data'!$A$2:$C$118,3,0),"")</f>
        <v>1</v>
      </c>
      <c r="Q42" s="101"/>
      <c r="R42" s="56" t="s">
        <v>306</v>
      </c>
      <c r="S42" s="102">
        <v>0.38958333333333334</v>
      </c>
      <c r="T42" s="102"/>
      <c r="U42" s="102"/>
      <c r="V42" s="102">
        <v>0.39374999999999999</v>
      </c>
      <c r="W42" s="73"/>
      <c r="X42" s="52"/>
      <c r="Y42" s="52">
        <f>(Table19[[#This Row],[Work Completiuon time on fualt]]-Table19[[#This Row],[Fault Time]])*24</f>
        <v>9.9999999999999645E-2</v>
      </c>
      <c r="Z42" s="103" t="s">
        <v>4</v>
      </c>
      <c r="AA42" s="101" t="s">
        <v>81</v>
      </c>
      <c r="AB42" s="52">
        <f>IFERROR(Table19[[#This Row],[Plant Equivalent Weightage]]*Table19[[#This Row],[Resolution Time]],"")</f>
        <v>9.9999999999999645E-2</v>
      </c>
      <c r="AC42" s="87">
        <v>7.0000000000000007E-2</v>
      </c>
      <c r="AD42" s="52">
        <f>Table19[[#This Row],[Lost POA (Wh/m2)]]*Table19[[#This Row],[DC Capacity Affceted (kW)]]</f>
        <v>561.46300000000008</v>
      </c>
    </row>
    <row r="43" spans="1:30" x14ac:dyDescent="0.3">
      <c r="A43" s="2">
        <v>41</v>
      </c>
      <c r="B43" s="101">
        <f>YEAR(Table19[[#This Row],[Date]])+IF(MONTH(Table19[[#This Row],[Date]])&gt;=4,1,0)</f>
        <v>2026</v>
      </c>
      <c r="C43" s="101">
        <f>YEAR(Table19[[#This Row],[Date]])</f>
        <v>2025</v>
      </c>
      <c r="D43" s="99" t="s">
        <v>1082</v>
      </c>
      <c r="E43" s="99" t="s">
        <v>1082</v>
      </c>
      <c r="F43" s="116" t="str">
        <f>TEXT(Table19[[#This Row],[Date]],"mmm-yy")</f>
        <v>Jun-25</v>
      </c>
      <c r="G43" s="2">
        <f>DAY(EOMONTH(Table19[[#This Row],[Month Year]],0))</f>
        <v>30</v>
      </c>
      <c r="H43" s="100">
        <v>45815</v>
      </c>
      <c r="I43" s="105">
        <f>IFERROR(VLOOKUP(Table19[[#This Row],[Date]],Table3[[#All],[Date]:[Sunset Time (POA&lt;20 W/m2)]],3,0),"")</f>
        <v>0.24444444444444444</v>
      </c>
      <c r="J43" s="107">
        <f>IFERROR(VLOOKUP(Table19[[#This Row],[Date]],Table3[[#All],[Date]:[Sunset Time (POA&lt;20 W/m2)]],4,0),"")</f>
        <v>0.78333333333333333</v>
      </c>
      <c r="K43" s="52">
        <f>IFERROR((Table19[[#This Row],[Sunset Time (POA&lt;20 W/m2)]]-Table19[[#This Row],[Sunrise Time (POA&gt;20 W/m2)]])*24,"")</f>
        <v>12.933333333333334</v>
      </c>
      <c r="L43" s="101" t="s">
        <v>304</v>
      </c>
      <c r="M43" s="7">
        <f>VLOOKUP(Table19[[#This Row],[Affceted Equipment]],'Basic Data'!$A$2:$B$108,2,0)</f>
        <v>8020.9</v>
      </c>
      <c r="N43" s="99" t="s">
        <v>305</v>
      </c>
      <c r="O43" s="99" t="s">
        <v>20</v>
      </c>
      <c r="P43" s="117">
        <f>IFERROR(VLOOKUP(Table19[[#This Row],[Affceted Equipment]],'Basic Data'!$A$2:$C$118,3,0),"")</f>
        <v>1</v>
      </c>
      <c r="Q43" s="101"/>
      <c r="R43" s="56" t="s">
        <v>306</v>
      </c>
      <c r="S43" s="102">
        <v>0.57777777777777772</v>
      </c>
      <c r="T43" s="102"/>
      <c r="U43" s="102"/>
      <c r="V43" s="102">
        <v>0.65138888888888891</v>
      </c>
      <c r="W43" s="73"/>
      <c r="X43" s="52"/>
      <c r="Y43" s="52">
        <f>(Table19[[#This Row],[Work Completiuon time on fualt]]-Table19[[#This Row],[Fault Time]])*24</f>
        <v>1.7666666666666684</v>
      </c>
      <c r="Z43" s="103" t="s">
        <v>4</v>
      </c>
      <c r="AA43" s="101" t="s">
        <v>81</v>
      </c>
      <c r="AB43" s="52">
        <f>IFERROR(Table19[[#This Row],[Plant Equivalent Weightage]]*Table19[[#This Row],[Resolution Time]],"")</f>
        <v>1.7666666666666684</v>
      </c>
      <c r="AC43" s="87">
        <v>0.27</v>
      </c>
      <c r="AD43" s="52">
        <f>Table19[[#This Row],[Lost POA (Wh/m2)]]*Table19[[#This Row],[DC Capacity Affceted (kW)]]</f>
        <v>2165.643</v>
      </c>
    </row>
    <row r="44" spans="1:30" x14ac:dyDescent="0.3">
      <c r="A44" s="2">
        <v>42</v>
      </c>
      <c r="B44" s="101">
        <f>YEAR(Table19[[#This Row],[Date]])+IF(MONTH(Table19[[#This Row],[Date]])&gt;=4,1,0)</f>
        <v>2026</v>
      </c>
      <c r="C44" s="101">
        <f>YEAR(Table19[[#This Row],[Date]])</f>
        <v>2025</v>
      </c>
      <c r="D44" s="99" t="s">
        <v>1082</v>
      </c>
      <c r="E44" s="99" t="s">
        <v>1082</v>
      </c>
      <c r="F44" s="116" t="str">
        <f>TEXT(Table19[[#This Row],[Date]],"mmm-yy")</f>
        <v>Jun-25</v>
      </c>
      <c r="G44" s="2">
        <f>DAY(EOMONTH(Table19[[#This Row],[Month Year]],0))</f>
        <v>30</v>
      </c>
      <c r="H44" s="100">
        <v>45817</v>
      </c>
      <c r="I44" s="58">
        <f>IFERROR(VLOOKUP(Table19[[#This Row],[Date]],Table3[[#All],[Date]:[Sunset Time (POA&lt;20 W/m2)]],3,0),"")</f>
        <v>0.27916666666666667</v>
      </c>
      <c r="J44" s="107">
        <f>IFERROR(VLOOKUP(Table19[[#This Row],[Date]],Table3[[#All],[Date]:[Sunset Time (POA&lt;20 W/m2)]],4,0),"")</f>
        <v>0.78333333333333333</v>
      </c>
      <c r="K44" s="52">
        <f>IFERROR((Table19[[#This Row],[Sunset Time (POA&lt;20 W/m2)]]-Table19[[#This Row],[Sunrise Time (POA&gt;20 W/m2)]])*24,"")</f>
        <v>12.1</v>
      </c>
      <c r="L44" s="101" t="s">
        <v>304</v>
      </c>
      <c r="M44" s="7">
        <f>VLOOKUP(Table19[[#This Row],[Affceted Equipment]],'Basic Data'!$A$2:$B$108,2,0)</f>
        <v>8020.9</v>
      </c>
      <c r="N44" s="99" t="s">
        <v>305</v>
      </c>
      <c r="O44" s="99" t="s">
        <v>20</v>
      </c>
      <c r="P44" s="117">
        <f>IFERROR(VLOOKUP(Table19[[#This Row],[Affceted Equipment]],'Basic Data'!$A$2:$C$118,3,0),"")</f>
        <v>1</v>
      </c>
      <c r="Q44" s="101"/>
      <c r="R44" s="56" t="s">
        <v>1203</v>
      </c>
      <c r="S44" s="102">
        <v>0.39930555555555558</v>
      </c>
      <c r="T44" s="102"/>
      <c r="U44" s="102"/>
      <c r="V44" s="102">
        <v>0.52013888888888893</v>
      </c>
      <c r="W44" s="73"/>
      <c r="X44" s="52"/>
      <c r="Y44" s="52">
        <f>(Table19[[#This Row],[Work Completiuon time on fualt]]-Table19[[#This Row],[Fault Time]])*24</f>
        <v>2.9000000000000004</v>
      </c>
      <c r="Z44" s="103" t="s">
        <v>4</v>
      </c>
      <c r="AA44" s="101" t="s">
        <v>81</v>
      </c>
      <c r="AB44" s="52">
        <f>IFERROR(Table19[[#This Row],[Plant Equivalent Weightage]]*Table19[[#This Row],[Resolution Time]],"")</f>
        <v>2.9000000000000004</v>
      </c>
      <c r="AC44" s="87">
        <v>0.36</v>
      </c>
      <c r="AD44" s="52">
        <f>Table19[[#This Row],[Lost POA (Wh/m2)]]*Table19[[#This Row],[DC Capacity Affceted (kW)]]</f>
        <v>2887.5239999999999</v>
      </c>
    </row>
    <row r="45" spans="1:30" x14ac:dyDescent="0.3">
      <c r="A45" s="2">
        <v>43</v>
      </c>
      <c r="B45" s="101">
        <f>YEAR(Table19[[#This Row],[Date]])+IF(MONTH(Table19[[#This Row],[Date]])&gt;=4,1,0)</f>
        <v>2026</v>
      </c>
      <c r="C45" s="101">
        <f>YEAR(Table19[[#This Row],[Date]])</f>
        <v>2025</v>
      </c>
      <c r="D45" s="99" t="s">
        <v>1082</v>
      </c>
      <c r="E45" s="99" t="s">
        <v>1082</v>
      </c>
      <c r="F45" s="116" t="str">
        <f>TEXT(Table19[[#This Row],[Date]],"mmm-yy")</f>
        <v>Jun-25</v>
      </c>
      <c r="G45" s="2">
        <f>DAY(EOMONTH(Table19[[#This Row],[Month Year]],0))</f>
        <v>30</v>
      </c>
      <c r="H45" s="100">
        <v>45817</v>
      </c>
      <c r="I45" s="58">
        <f>IFERROR(VLOOKUP(Table19[[#This Row],[Date]],Table3[[#All],[Date]:[Sunset Time (POA&lt;20 W/m2)]],3,0),"")</f>
        <v>0.27916666666666667</v>
      </c>
      <c r="J45" s="107">
        <f>IFERROR(VLOOKUP(Table19[[#This Row],[Date]],Table3[[#All],[Date]:[Sunset Time (POA&lt;20 W/m2)]],4,0),"")</f>
        <v>0.78333333333333333</v>
      </c>
      <c r="K45" s="52">
        <f>IFERROR((Table19[[#This Row],[Sunset Time (POA&lt;20 W/m2)]]-Table19[[#This Row],[Sunrise Time (POA&gt;20 W/m2)]])*24,"")</f>
        <v>12.1</v>
      </c>
      <c r="L45" s="101" t="s">
        <v>304</v>
      </c>
      <c r="M45" s="7">
        <f>VLOOKUP(Table19[[#This Row],[Affceted Equipment]],'Basic Data'!$A$2:$B$108,2,0)</f>
        <v>8020.9</v>
      </c>
      <c r="N45" s="99" t="s">
        <v>305</v>
      </c>
      <c r="O45" s="99" t="s">
        <v>20</v>
      </c>
      <c r="P45" s="117">
        <f>IFERROR(VLOOKUP(Table19[[#This Row],[Affceted Equipment]],'Basic Data'!$A$2:$C$118,3,0),"")</f>
        <v>1</v>
      </c>
      <c r="Q45" s="101"/>
      <c r="R45" s="56" t="s">
        <v>306</v>
      </c>
      <c r="S45" s="102">
        <v>0.66527777777777775</v>
      </c>
      <c r="T45" s="102"/>
      <c r="U45" s="102"/>
      <c r="V45" s="102">
        <v>0.67569444444444449</v>
      </c>
      <c r="W45" s="73"/>
      <c r="X45" s="52"/>
      <c r="Y45" s="52">
        <f>(Table19[[#This Row],[Work Completiuon time on fualt]]-Table19[[#This Row],[Fault Time]])*24</f>
        <v>0.25000000000000178</v>
      </c>
      <c r="Z45" s="103" t="s">
        <v>4</v>
      </c>
      <c r="AA45" s="101" t="s">
        <v>81</v>
      </c>
      <c r="AB45" s="52">
        <f>IFERROR(Table19[[#This Row],[Plant Equivalent Weightage]]*Table19[[#This Row],[Resolution Time]],"")</f>
        <v>0.25000000000000178</v>
      </c>
      <c r="AC45" s="87">
        <v>2.3E-2</v>
      </c>
      <c r="AD45" s="52">
        <f>Table19[[#This Row],[Lost POA (Wh/m2)]]*Table19[[#This Row],[DC Capacity Affceted (kW)]]</f>
        <v>184.48069999999998</v>
      </c>
    </row>
    <row r="46" spans="1:30" x14ac:dyDescent="0.3">
      <c r="A46" s="2">
        <v>44</v>
      </c>
      <c r="B46" s="101">
        <f>YEAR(Table19[[#This Row],[Date]])+IF(MONTH(Table19[[#This Row],[Date]])&gt;=4,1,0)</f>
        <v>2026</v>
      </c>
      <c r="C46" s="101">
        <f>YEAR(Table19[[#This Row],[Date]])</f>
        <v>2025</v>
      </c>
      <c r="D46" s="99" t="s">
        <v>1082</v>
      </c>
      <c r="E46" s="99" t="s">
        <v>1082</v>
      </c>
      <c r="F46" s="116" t="str">
        <f>TEXT(Table19[[#This Row],[Date]],"mmm-yy")</f>
        <v>Jun-25</v>
      </c>
      <c r="G46" s="2">
        <f>DAY(EOMONTH(Table19[[#This Row],[Month Year]],0))</f>
        <v>30</v>
      </c>
      <c r="H46" s="100">
        <v>45822</v>
      </c>
      <c r="I46" s="58">
        <f>IFERROR(VLOOKUP(Table19[[#This Row],[Date]],Table3[[#All],[Date]:[Sunset Time (POA&lt;20 W/m2)]],3,0),"")</f>
        <v>0.24513888888888888</v>
      </c>
      <c r="J46" s="107">
        <f>IFERROR(VLOOKUP(Table19[[#This Row],[Date]],Table3[[#All],[Date]:[Sunset Time (POA&lt;20 W/m2)]],4,0),"")</f>
        <v>0.78194444444444444</v>
      </c>
      <c r="K46" s="52">
        <f>IFERROR((Table19[[#This Row],[Sunset Time (POA&lt;20 W/m2)]]-Table19[[#This Row],[Sunrise Time (POA&gt;20 W/m2)]])*24,"")</f>
        <v>12.883333333333333</v>
      </c>
      <c r="L46" s="101" t="s">
        <v>304</v>
      </c>
      <c r="M46" s="7">
        <f>VLOOKUP(Table19[[#This Row],[Affceted Equipment]],'Basic Data'!$A$2:$B$108,2,0)</f>
        <v>8020.9</v>
      </c>
      <c r="N46" s="99" t="s">
        <v>305</v>
      </c>
      <c r="O46" s="99" t="s">
        <v>20</v>
      </c>
      <c r="P46" s="117">
        <f>IFERROR(VLOOKUP(Table19[[#This Row],[Affceted Equipment]],'Basic Data'!$A$2:$C$118,3,0),"")</f>
        <v>1</v>
      </c>
      <c r="Q46" s="101"/>
      <c r="R46" s="56" t="s">
        <v>1204</v>
      </c>
      <c r="S46" s="102">
        <v>0.62638888888888888</v>
      </c>
      <c r="T46" s="102"/>
      <c r="U46" s="102"/>
      <c r="V46" s="102">
        <v>0.80833333333333335</v>
      </c>
      <c r="W46" s="73"/>
      <c r="X46" s="52"/>
      <c r="Y46" s="52">
        <f>(Table19[[#This Row],[Work Completiuon time on fualt]]-Table19[[#This Row],[Fault Time]])*24</f>
        <v>4.3666666666666671</v>
      </c>
      <c r="Z46" s="103" t="s">
        <v>4</v>
      </c>
      <c r="AA46" s="101" t="s">
        <v>81</v>
      </c>
      <c r="AB46" s="52">
        <f>IFERROR(Table19[[#This Row],[Plant Equivalent Weightage]]*Table19[[#This Row],[Resolution Time]],"")</f>
        <v>4.3666666666666671</v>
      </c>
      <c r="AC46" s="87">
        <v>1.03</v>
      </c>
      <c r="AD46" s="52">
        <f>Table19[[#This Row],[Lost POA (Wh/m2)]]*Table19[[#This Row],[DC Capacity Affceted (kW)]]</f>
        <v>8261.527</v>
      </c>
    </row>
    <row r="47" spans="1:30" x14ac:dyDescent="0.3">
      <c r="A47" s="2">
        <v>45</v>
      </c>
      <c r="B47" s="101">
        <f>YEAR(Table19[[#This Row],[Date]])+IF(MONTH(Table19[[#This Row],[Date]])&gt;=4,1,0)</f>
        <v>2026</v>
      </c>
      <c r="C47" s="101">
        <f>YEAR(Table19[[#This Row],[Date]])</f>
        <v>2025</v>
      </c>
      <c r="D47" s="99" t="s">
        <v>1082</v>
      </c>
      <c r="E47" s="99" t="s">
        <v>1082</v>
      </c>
      <c r="F47" s="116" t="str">
        <f>TEXT(Table19[[#This Row],[Date]],"mmm-yy")</f>
        <v>Jun-25</v>
      </c>
      <c r="G47" s="2">
        <f>DAY(EOMONTH(Table19[[#This Row],[Month Year]],0))</f>
        <v>30</v>
      </c>
      <c r="H47" s="100">
        <v>45825</v>
      </c>
      <c r="I47" s="105">
        <f>IFERROR(VLOOKUP(Table19[[#This Row],[Date]],Table3[[#All],[Date]:[Sunset Time (POA&lt;20 W/m2)]],3,0),"")</f>
        <v>0.25277777777777777</v>
      </c>
      <c r="J47" s="107">
        <f>IFERROR(VLOOKUP(Table19[[#This Row],[Date]],Table3[[#All],[Date]:[Sunset Time (POA&lt;20 W/m2)]],4,0),"")</f>
        <v>0.78263888888888888</v>
      </c>
      <c r="K47" s="52">
        <f>IFERROR((Table19[[#This Row],[Sunset Time (POA&lt;20 W/m2)]]-Table19[[#This Row],[Sunrise Time (POA&gt;20 W/m2)]])*24,"")</f>
        <v>12.716666666666667</v>
      </c>
      <c r="L47" s="101" t="s">
        <v>304</v>
      </c>
      <c r="M47" s="7">
        <f>VLOOKUP(Table19[[#This Row],[Affceted Equipment]],'Basic Data'!$A$2:$B$108,2,0)</f>
        <v>8020.9</v>
      </c>
      <c r="N47" s="99" t="s">
        <v>305</v>
      </c>
      <c r="O47" s="99" t="s">
        <v>20</v>
      </c>
      <c r="P47" s="117">
        <f>IFERROR(VLOOKUP(Table19[[#This Row],[Affceted Equipment]],'Basic Data'!$A$2:$C$118,3,0),"")</f>
        <v>1</v>
      </c>
      <c r="Q47" s="101"/>
      <c r="R47" s="56" t="s">
        <v>306</v>
      </c>
      <c r="S47" s="102">
        <v>0.25694444444444442</v>
      </c>
      <c r="T47" s="102"/>
      <c r="U47" s="102"/>
      <c r="V47" s="102">
        <v>0.29305555555555557</v>
      </c>
      <c r="W47" s="73"/>
      <c r="X47" s="52"/>
      <c r="Y47" s="52">
        <f>(Table19[[#This Row],[Work Completiuon time on fualt]]-Table19[[#This Row],[Fault Time]])*24</f>
        <v>0.86666666666666758</v>
      </c>
      <c r="Z47" s="103" t="s">
        <v>4</v>
      </c>
      <c r="AA47" s="101" t="s">
        <v>81</v>
      </c>
      <c r="AB47" s="52">
        <f>IFERROR(Table19[[#This Row],[Plant Equivalent Weightage]]*Table19[[#This Row],[Resolution Time]],"")</f>
        <v>0.86666666666666758</v>
      </c>
      <c r="AC47" s="87">
        <v>0.04</v>
      </c>
      <c r="AD47" s="52">
        <f>Table19[[#This Row],[Lost POA (Wh/m2)]]*Table19[[#This Row],[DC Capacity Affceted (kW)]]</f>
        <v>320.83600000000001</v>
      </c>
    </row>
    <row r="48" spans="1:30" x14ac:dyDescent="0.3">
      <c r="A48" s="2">
        <v>46</v>
      </c>
      <c r="B48" s="101">
        <f>YEAR(Table19[[#This Row],[Date]])+IF(MONTH(Table19[[#This Row],[Date]])&gt;=4,1,0)</f>
        <v>2026</v>
      </c>
      <c r="C48" s="101">
        <f>YEAR(Table19[[#This Row],[Date]])</f>
        <v>2025</v>
      </c>
      <c r="D48" s="99" t="s">
        <v>1082</v>
      </c>
      <c r="E48" s="99" t="s">
        <v>1082</v>
      </c>
      <c r="F48" s="116" t="str">
        <f>TEXT(Table19[[#This Row],[Date]],"mmm-yy")</f>
        <v>Jun-25</v>
      </c>
      <c r="G48" s="2">
        <f>DAY(EOMONTH(Table19[[#This Row],[Month Year]],0))</f>
        <v>30</v>
      </c>
      <c r="H48" s="100">
        <v>45825</v>
      </c>
      <c r="I48" s="105">
        <f>IFERROR(VLOOKUP(Table19[[#This Row],[Date]],Table3[[#All],[Date]:[Sunset Time (POA&lt;20 W/m2)]],3,0),"")</f>
        <v>0.25277777777777777</v>
      </c>
      <c r="J48" s="107">
        <f>IFERROR(VLOOKUP(Table19[[#This Row],[Date]],Table3[[#All],[Date]:[Sunset Time (POA&lt;20 W/m2)]],4,0),"")</f>
        <v>0.78263888888888888</v>
      </c>
      <c r="K48" s="52">
        <f>IFERROR((Table19[[#This Row],[Sunset Time (POA&lt;20 W/m2)]]-Table19[[#This Row],[Sunrise Time (POA&gt;20 W/m2)]])*24,"")</f>
        <v>12.716666666666667</v>
      </c>
      <c r="L48" s="101" t="s">
        <v>304</v>
      </c>
      <c r="M48" s="7">
        <f>VLOOKUP(Table19[[#This Row],[Affceted Equipment]],'Basic Data'!$A$2:$B$108,2,0)</f>
        <v>8020.9</v>
      </c>
      <c r="N48" s="99" t="s">
        <v>305</v>
      </c>
      <c r="O48" s="99" t="s">
        <v>20</v>
      </c>
      <c r="P48" s="117">
        <f>IFERROR(VLOOKUP(Table19[[#This Row],[Affceted Equipment]],'Basic Data'!$A$2:$C$118,3,0),"")</f>
        <v>1</v>
      </c>
      <c r="Q48" s="101"/>
      <c r="R48" s="56" t="s">
        <v>306</v>
      </c>
      <c r="S48" s="102">
        <v>0.5131944444444444</v>
      </c>
      <c r="T48" s="102"/>
      <c r="U48" s="102"/>
      <c r="V48" s="102">
        <v>0.53194444444444444</v>
      </c>
      <c r="W48" s="73"/>
      <c r="X48" s="52"/>
      <c r="Y48" s="52">
        <f>(Table19[[#This Row],[Work Completiuon time on fualt]]-Table19[[#This Row],[Fault Time]])*24</f>
        <v>0.45000000000000107</v>
      </c>
      <c r="Z48" s="103" t="s">
        <v>4</v>
      </c>
      <c r="AA48" s="101" t="s">
        <v>81</v>
      </c>
      <c r="AB48" s="52">
        <f>IFERROR(Table19[[#This Row],[Plant Equivalent Weightage]]*Table19[[#This Row],[Resolution Time]],"")</f>
        <v>0.45000000000000107</v>
      </c>
      <c r="AC48" s="87">
        <v>0.32</v>
      </c>
      <c r="AD48" s="52">
        <f>Table19[[#This Row],[Lost POA (Wh/m2)]]*Table19[[#This Row],[DC Capacity Affceted (kW)]]</f>
        <v>2566.6880000000001</v>
      </c>
    </row>
    <row r="49" spans="1:30" x14ac:dyDescent="0.3">
      <c r="A49" s="2">
        <v>47</v>
      </c>
      <c r="B49" s="101">
        <f>YEAR(Table19[[#This Row],[Date]])+IF(MONTH(Table19[[#This Row],[Date]])&gt;=4,1,0)</f>
        <v>2026</v>
      </c>
      <c r="C49" s="101">
        <f>YEAR(Table19[[#This Row],[Date]])</f>
        <v>2025</v>
      </c>
      <c r="D49" s="99" t="s">
        <v>1082</v>
      </c>
      <c r="E49" s="99" t="s">
        <v>1082</v>
      </c>
      <c r="F49" s="116" t="str">
        <f>TEXT(Table19[[#This Row],[Date]],"mmm-yy")</f>
        <v>Jun-25</v>
      </c>
      <c r="G49" s="2">
        <f>DAY(EOMONTH(Table19[[#This Row],[Month Year]],0))</f>
        <v>30</v>
      </c>
      <c r="H49" s="100">
        <v>45825</v>
      </c>
      <c r="I49" s="58">
        <f>IFERROR(VLOOKUP(Table19[[#This Row],[Date]],Table3[[#All],[Date]:[Sunset Time (POA&lt;20 W/m2)]],3,0),"")</f>
        <v>0.25277777777777777</v>
      </c>
      <c r="J49" s="107">
        <f>IFERROR(VLOOKUP(Table19[[#This Row],[Date]],Table3[[#All],[Date]:[Sunset Time (POA&lt;20 W/m2)]],4,0),"")</f>
        <v>0.78263888888888888</v>
      </c>
      <c r="K49" s="52">
        <f>IFERROR((Table19[[#This Row],[Sunset Time (POA&lt;20 W/m2)]]-Table19[[#This Row],[Sunrise Time (POA&gt;20 W/m2)]])*24,"")</f>
        <v>12.716666666666667</v>
      </c>
      <c r="L49" s="101" t="s">
        <v>304</v>
      </c>
      <c r="M49" s="7">
        <f>VLOOKUP(Table19[[#This Row],[Affceted Equipment]],'Basic Data'!$A$2:$B$108,2,0)</f>
        <v>8020.9</v>
      </c>
      <c r="N49" s="99" t="s">
        <v>305</v>
      </c>
      <c r="O49" s="99" t="s">
        <v>20</v>
      </c>
      <c r="P49" s="117">
        <f>IFERROR(VLOOKUP(Table19[[#This Row],[Affceted Equipment]],'Basic Data'!$A$2:$C$118,3,0),"")</f>
        <v>1</v>
      </c>
      <c r="Q49" s="101"/>
      <c r="R49" s="56" t="s">
        <v>306</v>
      </c>
      <c r="S49" s="102">
        <v>0.62777777777777777</v>
      </c>
      <c r="T49" s="102"/>
      <c r="U49" s="102"/>
      <c r="V49" s="102">
        <v>0.63611111111111107</v>
      </c>
      <c r="W49" s="73"/>
      <c r="X49" s="52"/>
      <c r="Y49" s="52">
        <f>(Table19[[#This Row],[Work Completiuon time on fualt]]-Table19[[#This Row],[Fault Time]])*24</f>
        <v>0.19999999999999929</v>
      </c>
      <c r="Z49" s="103" t="s">
        <v>4</v>
      </c>
      <c r="AA49" s="101" t="s">
        <v>81</v>
      </c>
      <c r="AB49" s="52">
        <f>IFERROR(Table19[[#This Row],[Plant Equivalent Weightage]]*Table19[[#This Row],[Resolution Time]],"")</f>
        <v>0.19999999999999929</v>
      </c>
      <c r="AC49" s="87">
        <v>7.0000000000000007E-2</v>
      </c>
      <c r="AD49" s="52">
        <f>Table19[[#This Row],[Lost POA (Wh/m2)]]*Table19[[#This Row],[DC Capacity Affceted (kW)]]</f>
        <v>561.46300000000008</v>
      </c>
    </row>
    <row r="50" spans="1:30" x14ac:dyDescent="0.3">
      <c r="A50" s="2">
        <v>48</v>
      </c>
      <c r="B50" s="101">
        <f>YEAR(Table19[[#This Row],[Date]])+IF(MONTH(Table19[[#This Row],[Date]])&gt;=4,1,0)</f>
        <v>2026</v>
      </c>
      <c r="C50" s="101">
        <f>YEAR(Table19[[#This Row],[Date]])</f>
        <v>2025</v>
      </c>
      <c r="D50" s="99" t="s">
        <v>1082</v>
      </c>
      <c r="E50" s="99" t="s">
        <v>1082</v>
      </c>
      <c r="F50" s="116" t="str">
        <f>TEXT(Table19[[#This Row],[Date]],"mmm-yy")</f>
        <v>Jun-25</v>
      </c>
      <c r="G50" s="2">
        <f>DAY(EOMONTH(Table19[[#This Row],[Month Year]],0))</f>
        <v>30</v>
      </c>
      <c r="H50" s="100">
        <v>45826</v>
      </c>
      <c r="I50" s="58">
        <f>IFERROR(VLOOKUP(Table19[[#This Row],[Date]],Table3[[#All],[Date]:[Sunset Time (POA&lt;20 W/m2)]],3,0),"")</f>
        <v>0.24930555555555556</v>
      </c>
      <c r="J50" s="107">
        <f>IFERROR(VLOOKUP(Table19[[#This Row],[Date]],Table3[[#All],[Date]:[Sunset Time (POA&lt;20 W/m2)]],4,0),"")</f>
        <v>0.78472222222222221</v>
      </c>
      <c r="K50" s="52">
        <f>IFERROR((Table19[[#This Row],[Sunset Time (POA&lt;20 W/m2)]]-Table19[[#This Row],[Sunrise Time (POA&gt;20 W/m2)]])*24,"")</f>
        <v>12.85</v>
      </c>
      <c r="L50" s="101" t="s">
        <v>304</v>
      </c>
      <c r="M50" s="7">
        <f>VLOOKUP(Table19[[#This Row],[Affceted Equipment]],'Basic Data'!$A$2:$B$108,2,0)</f>
        <v>8020.9</v>
      </c>
      <c r="N50" s="99" t="s">
        <v>305</v>
      </c>
      <c r="O50" s="99" t="s">
        <v>20</v>
      </c>
      <c r="P50" s="117">
        <f>IFERROR(VLOOKUP(Table19[[#This Row],[Affceted Equipment]],'Basic Data'!$A$2:$C$118,3,0),"")</f>
        <v>1</v>
      </c>
      <c r="Q50" s="101"/>
      <c r="R50" s="56" t="s">
        <v>306</v>
      </c>
      <c r="S50" s="102">
        <v>0.72291666666666665</v>
      </c>
      <c r="T50" s="102"/>
      <c r="U50" s="102"/>
      <c r="V50" s="102">
        <v>0.79513888888888884</v>
      </c>
      <c r="W50" s="73"/>
      <c r="X50" s="52"/>
      <c r="Y50" s="52">
        <f>(Table19[[#This Row],[Work Completiuon time on fualt]]-Table19[[#This Row],[Fault Time]])*24</f>
        <v>1.7333333333333325</v>
      </c>
      <c r="Z50" s="103" t="s">
        <v>4</v>
      </c>
      <c r="AA50" s="101" t="s">
        <v>81</v>
      </c>
      <c r="AB50" s="52">
        <f>IFERROR(Table19[[#This Row],[Plant Equivalent Weightage]]*Table19[[#This Row],[Resolution Time]],"")</f>
        <v>1.7333333333333325</v>
      </c>
      <c r="AC50" s="87">
        <v>0.12</v>
      </c>
      <c r="AD50" s="52">
        <f>Table19[[#This Row],[Lost POA (Wh/m2)]]*Table19[[#This Row],[DC Capacity Affceted (kW)]]</f>
        <v>962.50799999999992</v>
      </c>
    </row>
    <row r="51" spans="1:30" x14ac:dyDescent="0.3">
      <c r="A51" s="2">
        <v>49</v>
      </c>
      <c r="B51" s="101">
        <f>YEAR(Table19[[#This Row],[Date]])+IF(MONTH(Table19[[#This Row],[Date]])&gt;=4,1,0)</f>
        <v>2026</v>
      </c>
      <c r="C51" s="101">
        <f>YEAR(Table19[[#This Row],[Date]])</f>
        <v>2025</v>
      </c>
      <c r="D51" s="99" t="s">
        <v>1082</v>
      </c>
      <c r="E51" s="99" t="s">
        <v>1082</v>
      </c>
      <c r="F51" s="116" t="str">
        <f>TEXT(Table19[[#This Row],[Date]],"mmm-yy")</f>
        <v>Jun-25</v>
      </c>
      <c r="G51" s="2">
        <f>DAY(EOMONTH(Table19[[#This Row],[Month Year]],0))</f>
        <v>30</v>
      </c>
      <c r="H51" s="100">
        <v>45827</v>
      </c>
      <c r="I51" s="58">
        <f>IFERROR(VLOOKUP(Table19[[#This Row],[Date]],Table3[[#All],[Date]:[Sunset Time (POA&lt;20 W/m2)]],3,0),"")</f>
        <v>0.24513888888888888</v>
      </c>
      <c r="J51" s="107">
        <f>IFERROR(VLOOKUP(Table19[[#This Row],[Date]],Table3[[#All],[Date]:[Sunset Time (POA&lt;20 W/m2)]],4,0),"")</f>
        <v>0.77986111111111112</v>
      </c>
      <c r="K51" s="52">
        <f>IFERROR((Table19[[#This Row],[Sunset Time (POA&lt;20 W/m2)]]-Table19[[#This Row],[Sunrise Time (POA&gt;20 W/m2)]])*24,"")</f>
        <v>12.833333333333332</v>
      </c>
      <c r="L51" s="101" t="s">
        <v>304</v>
      </c>
      <c r="M51" s="7">
        <f>VLOOKUP(Table19[[#This Row],[Affceted Equipment]],'Basic Data'!$A$2:$B$108,2,0)</f>
        <v>8020.9</v>
      </c>
      <c r="N51" s="99" t="s">
        <v>305</v>
      </c>
      <c r="O51" s="99" t="s">
        <v>20</v>
      </c>
      <c r="P51" s="117">
        <f>IFERROR(VLOOKUP(Table19[[#This Row],[Affceted Equipment]],'Basic Data'!$A$2:$C$118,3,0),"")</f>
        <v>1</v>
      </c>
      <c r="Q51" s="101"/>
      <c r="R51" s="56" t="s">
        <v>306</v>
      </c>
      <c r="S51" s="102">
        <v>0.47708333333333336</v>
      </c>
      <c r="T51" s="102"/>
      <c r="U51" s="102"/>
      <c r="V51" s="102">
        <v>0.53541666666666665</v>
      </c>
      <c r="W51" s="73"/>
      <c r="X51" s="52"/>
      <c r="Y51" s="52">
        <f>(Table19[[#This Row],[Work Completiuon time on fualt]]-Table19[[#This Row],[Fault Time]])*24</f>
        <v>1.399999999999999</v>
      </c>
      <c r="Z51" s="103" t="s">
        <v>4</v>
      </c>
      <c r="AA51" s="101" t="s">
        <v>81</v>
      </c>
      <c r="AB51" s="52">
        <f>IFERROR(Table19[[#This Row],[Plant Equivalent Weightage]]*Table19[[#This Row],[Resolution Time]],"")</f>
        <v>1.399999999999999</v>
      </c>
      <c r="AC51" s="87">
        <v>0.84</v>
      </c>
      <c r="AD51" s="52">
        <f>Table19[[#This Row],[Lost POA (Wh/m2)]]*Table19[[#This Row],[DC Capacity Affceted (kW)]]</f>
        <v>6737.5559999999996</v>
      </c>
    </row>
    <row r="52" spans="1:30" x14ac:dyDescent="0.3">
      <c r="A52" s="2">
        <v>50</v>
      </c>
      <c r="B52" s="101">
        <f>YEAR(Table19[[#This Row],[Date]])+IF(MONTH(Table19[[#This Row],[Date]])&gt;=4,1,0)</f>
        <v>2026</v>
      </c>
      <c r="C52" s="101">
        <f>YEAR(Table19[[#This Row],[Date]])</f>
        <v>2025</v>
      </c>
      <c r="D52" s="99" t="s">
        <v>1082</v>
      </c>
      <c r="E52" s="99" t="s">
        <v>1082</v>
      </c>
      <c r="F52" s="116" t="str">
        <f>TEXT(Table19[[#This Row],[Date]],"mmm-yy")</f>
        <v>Jun-25</v>
      </c>
      <c r="G52" s="2">
        <f>DAY(EOMONTH(Table19[[#This Row],[Month Year]],0))</f>
        <v>30</v>
      </c>
      <c r="H52" s="100">
        <v>45832</v>
      </c>
      <c r="I52" s="58">
        <f>IFERROR(VLOOKUP(Table19[[#This Row],[Date]],Table3[[#All],[Date]:[Sunset Time (POA&lt;20 W/m2)]],3,0),"")</f>
        <v>0.25</v>
      </c>
      <c r="J52" s="107">
        <f>IFERROR(VLOOKUP(Table19[[#This Row],[Date]],Table3[[#All],[Date]:[Sunset Time (POA&lt;20 W/m2)]],4,0),"")</f>
        <v>0.78125</v>
      </c>
      <c r="K52" s="52">
        <f>IFERROR((Table19[[#This Row],[Sunset Time (POA&lt;20 W/m2)]]-Table19[[#This Row],[Sunrise Time (POA&gt;20 W/m2)]])*24,"")</f>
        <v>12.75</v>
      </c>
      <c r="L52" s="101" t="s">
        <v>304</v>
      </c>
      <c r="M52" s="7">
        <f>VLOOKUP(Table19[[#This Row],[Affceted Equipment]],'Basic Data'!$A$2:$B$108,2,0)</f>
        <v>8020.9</v>
      </c>
      <c r="N52" s="99" t="s">
        <v>305</v>
      </c>
      <c r="O52" s="99" t="s">
        <v>20</v>
      </c>
      <c r="P52" s="117">
        <f>IFERROR(VLOOKUP(Table19[[#This Row],[Affceted Equipment]],'Basic Data'!$A$2:$C$118,3,0),"")</f>
        <v>1</v>
      </c>
      <c r="Q52" s="101"/>
      <c r="R52" s="56" t="s">
        <v>1205</v>
      </c>
      <c r="S52" s="102">
        <v>0.57777777777777772</v>
      </c>
      <c r="T52" s="102"/>
      <c r="U52" s="102"/>
      <c r="V52" s="102">
        <v>0.67847222222222225</v>
      </c>
      <c r="W52" s="73"/>
      <c r="X52" s="52"/>
      <c r="Y52" s="52">
        <f>(Table19[[#This Row],[Work Completiuon time on fualt]]-Table19[[#This Row],[Fault Time]])*24</f>
        <v>2.4166666666666687</v>
      </c>
      <c r="Z52" s="103" t="s">
        <v>4</v>
      </c>
      <c r="AA52" s="101" t="s">
        <v>81</v>
      </c>
      <c r="AB52" s="52">
        <f>IFERROR(Table19[[#This Row],[Plant Equivalent Weightage]]*Table19[[#This Row],[Resolution Time]],"")</f>
        <v>2.4166666666666687</v>
      </c>
      <c r="AC52" s="87">
        <v>0.87</v>
      </c>
      <c r="AD52" s="52">
        <f>Table19[[#This Row],[Lost POA (Wh/m2)]]*Table19[[#This Row],[DC Capacity Affceted (kW)]]</f>
        <v>6978.183</v>
      </c>
    </row>
    <row r="53" spans="1:30" x14ac:dyDescent="0.3">
      <c r="A53" s="2">
        <v>51</v>
      </c>
      <c r="B53" s="101">
        <f>YEAR(Table19[[#This Row],[Date]])+IF(MONTH(Table19[[#This Row],[Date]])&gt;=4,1,0)</f>
        <v>2026</v>
      </c>
      <c r="C53" s="101">
        <f>YEAR(Table19[[#This Row],[Date]])</f>
        <v>2025</v>
      </c>
      <c r="D53" s="99" t="s">
        <v>1082</v>
      </c>
      <c r="E53" s="99" t="s">
        <v>1082</v>
      </c>
      <c r="F53" s="116" t="str">
        <f>TEXT(Table19[[#This Row],[Date]],"mmm-yy")</f>
        <v>Jun-25</v>
      </c>
      <c r="G53" s="2">
        <f>DAY(EOMONTH(Table19[[#This Row],[Month Year]],0))</f>
        <v>30</v>
      </c>
      <c r="H53" s="100">
        <v>45833</v>
      </c>
      <c r="I53" s="58">
        <f>IFERROR(VLOOKUP(Table19[[#This Row],[Date]],Table3[[#All],[Date]:[Sunset Time (POA&lt;20 W/m2)]],3,0),"")</f>
        <v>0.25277777777777777</v>
      </c>
      <c r="J53" s="107">
        <f>IFERROR(VLOOKUP(Table19[[#This Row],[Date]],Table3[[#All],[Date]:[Sunset Time (POA&lt;20 W/m2)]],4,0),"")</f>
        <v>0.77777777777777779</v>
      </c>
      <c r="K53" s="52">
        <f>IFERROR((Table19[[#This Row],[Sunset Time (POA&lt;20 W/m2)]]-Table19[[#This Row],[Sunrise Time (POA&gt;20 W/m2)]])*24,"")</f>
        <v>12.600000000000001</v>
      </c>
      <c r="L53" s="101" t="s">
        <v>304</v>
      </c>
      <c r="M53" s="7">
        <f>VLOOKUP(Table19[[#This Row],[Affceted Equipment]],'Basic Data'!$A$2:$B$108,2,0)</f>
        <v>8020.9</v>
      </c>
      <c r="N53" s="99" t="s">
        <v>305</v>
      </c>
      <c r="O53" s="99" t="s">
        <v>20</v>
      </c>
      <c r="P53" s="117">
        <f>IFERROR(VLOOKUP(Table19[[#This Row],[Affceted Equipment]],'Basic Data'!$A$2:$C$118,3,0),"")</f>
        <v>1</v>
      </c>
      <c r="Q53" s="101"/>
      <c r="R53" s="56" t="s">
        <v>306</v>
      </c>
      <c r="S53" s="102">
        <v>0.52638888888888891</v>
      </c>
      <c r="T53" s="102"/>
      <c r="U53" s="102"/>
      <c r="V53" s="102">
        <v>0.5395833333333333</v>
      </c>
      <c r="W53" s="73"/>
      <c r="X53" s="52"/>
      <c r="Y53" s="52">
        <f>(Table19[[#This Row],[Work Completiuon time on fualt]]-Table19[[#This Row],[Fault Time]])*24</f>
        <v>0.31666666666666554</v>
      </c>
      <c r="Z53" s="103" t="s">
        <v>4</v>
      </c>
      <c r="AA53" s="101" t="s">
        <v>81</v>
      </c>
      <c r="AB53" s="52">
        <f>IFERROR(Table19[[#This Row],[Plant Equivalent Weightage]]*Table19[[#This Row],[Resolution Time]],"")</f>
        <v>0.31666666666666554</v>
      </c>
      <c r="AC53" s="87">
        <v>0.18</v>
      </c>
      <c r="AD53" s="52">
        <f>Table19[[#This Row],[Lost POA (Wh/m2)]]*Table19[[#This Row],[DC Capacity Affceted (kW)]]</f>
        <v>1443.7619999999999</v>
      </c>
    </row>
    <row r="54" spans="1:30" x14ac:dyDescent="0.3">
      <c r="A54" s="2">
        <v>52</v>
      </c>
      <c r="B54" s="101">
        <f>YEAR(Table19[[#This Row],[Date]])+IF(MONTH(Table19[[#This Row],[Date]])&gt;=4,1,0)</f>
        <v>2026</v>
      </c>
      <c r="C54" s="101">
        <f>YEAR(Table19[[#This Row],[Date]])</f>
        <v>2025</v>
      </c>
      <c r="D54" s="99" t="s">
        <v>1082</v>
      </c>
      <c r="E54" s="99" t="s">
        <v>1082</v>
      </c>
      <c r="F54" s="116" t="str">
        <f>TEXT(Table19[[#This Row],[Date]],"mmm-yy")</f>
        <v>Jun-25</v>
      </c>
      <c r="G54" s="2">
        <f>DAY(EOMONTH(Table19[[#This Row],[Month Year]],0))</f>
        <v>30</v>
      </c>
      <c r="H54" s="100">
        <v>45833</v>
      </c>
      <c r="I54" s="105">
        <f>IFERROR(VLOOKUP(Table19[[#This Row],[Date]],Table3[[#All],[Date]:[Sunset Time (POA&lt;20 W/m2)]],3,0),"")</f>
        <v>0.25277777777777777</v>
      </c>
      <c r="J54" s="107">
        <f>IFERROR(VLOOKUP(Table19[[#This Row],[Date]],Table3[[#All],[Date]:[Sunset Time (POA&lt;20 W/m2)]],4,0),"")</f>
        <v>0.77777777777777779</v>
      </c>
      <c r="K54" s="52">
        <f>IFERROR((Table19[[#This Row],[Sunset Time (POA&lt;20 W/m2)]]-Table19[[#This Row],[Sunrise Time (POA&gt;20 W/m2)]])*24,"")</f>
        <v>12.600000000000001</v>
      </c>
      <c r="L54" s="101" t="s">
        <v>304</v>
      </c>
      <c r="M54" s="7">
        <f>VLOOKUP(Table19[[#This Row],[Affceted Equipment]],'Basic Data'!$A$2:$B$108,2,0)</f>
        <v>8020.9</v>
      </c>
      <c r="N54" s="223" t="s">
        <v>305</v>
      </c>
      <c r="O54" s="223" t="s">
        <v>20</v>
      </c>
      <c r="P54" s="117">
        <f>IFERROR(VLOOKUP(Table19[[#This Row],[Affceted Equipment]],'Basic Data'!$A$2:$C$118,3,0),"")</f>
        <v>1</v>
      </c>
      <c r="Q54" s="101"/>
      <c r="R54" s="224" t="s">
        <v>306</v>
      </c>
      <c r="S54" s="102">
        <v>0.57777777777777772</v>
      </c>
      <c r="T54" s="102"/>
      <c r="U54" s="102"/>
      <c r="V54" s="102">
        <v>0.58263888888888893</v>
      </c>
      <c r="W54" s="73"/>
      <c r="X54" s="52"/>
      <c r="Y54" s="52">
        <f>(Table19[[#This Row],[Work Completiuon time on fualt]]-Table19[[#This Row],[Fault Time]])*24</f>
        <v>0.11666666666666892</v>
      </c>
      <c r="Z54" s="103" t="s">
        <v>4</v>
      </c>
      <c r="AA54" s="101" t="s">
        <v>81</v>
      </c>
      <c r="AB54" s="52">
        <f>IFERROR(Table19[[#This Row],[Plant Equivalent Weightage]]*Table19[[#This Row],[Resolution Time]],"")</f>
        <v>0.11666666666666892</v>
      </c>
      <c r="AC54" s="87">
        <v>0.1</v>
      </c>
      <c r="AD54" s="52">
        <f>Table19[[#This Row],[Lost POA (Wh/m2)]]*Table19[[#This Row],[DC Capacity Affceted (kW)]]</f>
        <v>802.09</v>
      </c>
    </row>
    <row r="55" spans="1:30" x14ac:dyDescent="0.3">
      <c r="A55" s="2">
        <v>53</v>
      </c>
      <c r="B55" s="101">
        <f>YEAR(Table19[[#This Row],[Date]])+IF(MONTH(Table19[[#This Row],[Date]])&gt;=4,1,0)</f>
        <v>2026</v>
      </c>
      <c r="C55" s="101">
        <f>YEAR(Table19[[#This Row],[Date]])</f>
        <v>2025</v>
      </c>
      <c r="D55" s="99" t="s">
        <v>1082</v>
      </c>
      <c r="E55" s="99" t="s">
        <v>1082</v>
      </c>
      <c r="F55" s="116" t="str">
        <f>TEXT(Table19[[#This Row],[Date]],"mmm-yy")</f>
        <v>Jun-25</v>
      </c>
      <c r="G55" s="2">
        <f>DAY(EOMONTH(Table19[[#This Row],[Month Year]],0))</f>
        <v>30</v>
      </c>
      <c r="H55" s="100">
        <v>45836</v>
      </c>
      <c r="I55" s="58">
        <f>IFERROR(VLOOKUP(Table19[[#This Row],[Date]],Table3[[#All],[Date]:[Sunset Time (POA&lt;20 W/m2)]],3,0),"")</f>
        <v>0.24930555555555556</v>
      </c>
      <c r="J55" s="107">
        <f>IFERROR(VLOOKUP(Table19[[#This Row],[Date]],Table3[[#All],[Date]:[Sunset Time (POA&lt;20 W/m2)]],4,0),"")</f>
        <v>0.78472222222222221</v>
      </c>
      <c r="K55" s="52">
        <f>IFERROR((Table19[[#This Row],[Sunset Time (POA&lt;20 W/m2)]]-Table19[[#This Row],[Sunrise Time (POA&gt;20 W/m2)]])*24,"")</f>
        <v>12.85</v>
      </c>
      <c r="L55" s="101" t="s">
        <v>304</v>
      </c>
      <c r="M55" s="7">
        <f>VLOOKUP(Table19[[#This Row],[Affceted Equipment]],'Basic Data'!$A$2:$B$108,2,0)</f>
        <v>8020.9</v>
      </c>
      <c r="N55" s="223" t="s">
        <v>305</v>
      </c>
      <c r="O55" s="223" t="s">
        <v>20</v>
      </c>
      <c r="P55" s="117">
        <f>IFERROR(VLOOKUP(Table19[[#This Row],[Affceted Equipment]],'Basic Data'!$A$2:$C$118,3,0),"")</f>
        <v>1</v>
      </c>
      <c r="Q55" s="101"/>
      <c r="R55" s="224" t="s">
        <v>306</v>
      </c>
      <c r="S55" s="102">
        <v>0.69930555555555551</v>
      </c>
      <c r="T55" s="102"/>
      <c r="U55" s="102"/>
      <c r="V55" s="102">
        <v>0.71111111111111114</v>
      </c>
      <c r="W55" s="73"/>
      <c r="X55" s="52"/>
      <c r="Y55" s="52">
        <f>(Table19[[#This Row],[Work Completiuon time on fualt]]-Table19[[#This Row],[Fault Time]])*24</f>
        <v>0.28333333333333499</v>
      </c>
      <c r="Z55" s="103" t="s">
        <v>4</v>
      </c>
      <c r="AA55" s="101" t="s">
        <v>81</v>
      </c>
      <c r="AB55" s="52">
        <f>IFERROR(Table19[[#This Row],[Plant Equivalent Weightage]]*Table19[[#This Row],[Resolution Time]],"")</f>
        <v>0.28333333333333499</v>
      </c>
      <c r="AC55" s="87">
        <v>0.06</v>
      </c>
      <c r="AD55" s="52">
        <f>Table19[[#This Row],[Lost POA (Wh/m2)]]*Table19[[#This Row],[DC Capacity Affceted (kW)]]</f>
        <v>481.25399999999996</v>
      </c>
    </row>
    <row r="56" spans="1:30" x14ac:dyDescent="0.3">
      <c r="A56" s="2">
        <v>54</v>
      </c>
      <c r="B56" s="101">
        <f>YEAR(Table19[[#This Row],[Date]])+IF(MONTH(Table19[[#This Row],[Date]])&gt;=4,1,0)</f>
        <v>2026</v>
      </c>
      <c r="C56" s="101">
        <f>YEAR(Table19[[#This Row],[Date]])</f>
        <v>2025</v>
      </c>
      <c r="D56" s="99" t="s">
        <v>1082</v>
      </c>
      <c r="E56" s="99" t="s">
        <v>1082</v>
      </c>
      <c r="F56" s="116" t="str">
        <f>TEXT(Table19[[#This Row],[Date]],"mmm-yy")</f>
        <v>Jul-25</v>
      </c>
      <c r="G56" s="2">
        <f>DAY(EOMONTH(Table19[[#This Row],[Month Year]],0))</f>
        <v>31</v>
      </c>
      <c r="H56" s="100">
        <v>45841</v>
      </c>
      <c r="I56" s="58">
        <f>IFERROR(VLOOKUP(Table19[[#This Row],[Date]],Table3[[#All],[Date]:[Sunset Time (POA&lt;20 W/m2)]],3,0),"")</f>
        <v>0.26944444444444443</v>
      </c>
      <c r="J56" s="107">
        <f>IFERROR(VLOOKUP(Table19[[#This Row],[Date]],Table3[[#All],[Date]:[Sunset Time (POA&lt;20 W/m2)]],4,0),"")</f>
        <v>0.77500000000000002</v>
      </c>
      <c r="K56" s="52">
        <f>IFERROR((Table19[[#This Row],[Sunset Time (POA&lt;20 W/m2)]]-Table19[[#This Row],[Sunrise Time (POA&gt;20 W/m2)]])*24,"")</f>
        <v>12.133333333333333</v>
      </c>
      <c r="L56" s="101" t="s">
        <v>304</v>
      </c>
      <c r="M56" s="7">
        <f>VLOOKUP(Table19[[#This Row],[Affceted Equipment]],'Basic Data'!$A$2:$B$108,2,0)</f>
        <v>8020.9</v>
      </c>
      <c r="N56" s="223" t="s">
        <v>305</v>
      </c>
      <c r="O56" s="223" t="s">
        <v>20</v>
      </c>
      <c r="P56" s="117">
        <f>IFERROR(VLOOKUP(Table19[[#This Row],[Affceted Equipment]],'Basic Data'!$A$2:$C$118,3,0),"")</f>
        <v>1</v>
      </c>
      <c r="Q56" s="101"/>
      <c r="R56" s="224" t="s">
        <v>306</v>
      </c>
      <c r="S56" s="102">
        <v>0.55069444444444449</v>
      </c>
      <c r="T56" s="102"/>
      <c r="U56" s="102"/>
      <c r="V56" s="102">
        <v>0.56319444444444444</v>
      </c>
      <c r="W56" s="73"/>
      <c r="X56" s="52"/>
      <c r="Y56" s="52">
        <f>(Table19[[#This Row],[Work Completiuon time on fualt]]-Table19[[#This Row],[Fault Time]])*24</f>
        <v>0.29999999999999893</v>
      </c>
      <c r="Z56" s="103" t="s">
        <v>4</v>
      </c>
      <c r="AA56" s="101" t="s">
        <v>81</v>
      </c>
      <c r="AB56" s="52">
        <f>IFERROR(Table19[[#This Row],[Plant Equivalent Weightage]]*Table19[[#This Row],[Resolution Time]],"")</f>
        <v>0.29999999999999893</v>
      </c>
      <c r="AC56" s="87">
        <v>0.06</v>
      </c>
      <c r="AD56" s="52">
        <f>Table19[[#This Row],[Lost POA (Wh/m2)]]*Table19[[#This Row],[DC Capacity Affceted (kW)]]</f>
        <v>481.25399999999996</v>
      </c>
    </row>
    <row r="57" spans="1:30" x14ac:dyDescent="0.3">
      <c r="A57" s="2">
        <v>55</v>
      </c>
      <c r="B57" s="101">
        <f>YEAR(Table19[[#This Row],[Date]])+IF(MONTH(Table19[[#This Row],[Date]])&gt;=4,1,0)</f>
        <v>2026</v>
      </c>
      <c r="C57" s="101">
        <f>YEAR(Table19[[#This Row],[Date]])</f>
        <v>2025</v>
      </c>
      <c r="D57" s="99" t="s">
        <v>1082</v>
      </c>
      <c r="E57" s="99" t="s">
        <v>1082</v>
      </c>
      <c r="F57" s="116" t="str">
        <f>TEXT(Table19[[#This Row],[Date]],"mmm-yy")</f>
        <v>Jul-25</v>
      </c>
      <c r="G57" s="2">
        <f>DAY(EOMONTH(Table19[[#This Row],[Month Year]],0))</f>
        <v>31</v>
      </c>
      <c r="H57" s="100">
        <v>45844</v>
      </c>
      <c r="I57" s="58">
        <f>IFERROR(VLOOKUP(Table19[[#This Row],[Date]],Table3[[#All],[Date]:[Sunset Time (POA&lt;20 W/m2)]],3,0),"")</f>
        <v>0.25486111111111109</v>
      </c>
      <c r="J57" s="107">
        <f>IFERROR(VLOOKUP(Table19[[#This Row],[Date]],Table3[[#All],[Date]:[Sunset Time (POA&lt;20 W/m2)]],4,0),"")</f>
        <v>0.78055555555555556</v>
      </c>
      <c r="K57" s="52">
        <f>IFERROR((Table19[[#This Row],[Sunset Time (POA&lt;20 W/m2)]]-Table19[[#This Row],[Sunrise Time (POA&gt;20 W/m2)]])*24,"")</f>
        <v>12.616666666666667</v>
      </c>
      <c r="L57" s="101" t="s">
        <v>304</v>
      </c>
      <c r="M57" s="7">
        <f>VLOOKUP(Table19[[#This Row],[Affceted Equipment]],'Basic Data'!$A$2:$B$108,2,0)</f>
        <v>8020.9</v>
      </c>
      <c r="N57" s="223" t="s">
        <v>305</v>
      </c>
      <c r="O57" s="223" t="s">
        <v>20</v>
      </c>
      <c r="P57" s="117">
        <f>IFERROR(VLOOKUP(Table19[[#This Row],[Affceted Equipment]],'Basic Data'!$A$2:$C$118,3,0),"")</f>
        <v>1</v>
      </c>
      <c r="Q57" s="101"/>
      <c r="R57" s="224" t="s">
        <v>306</v>
      </c>
      <c r="S57" s="102">
        <v>0.41041666666666665</v>
      </c>
      <c r="T57" s="102"/>
      <c r="U57" s="102"/>
      <c r="V57" s="102">
        <v>0.41736111111111113</v>
      </c>
      <c r="W57" s="73"/>
      <c r="X57" s="52"/>
      <c r="Y57" s="52">
        <f>(Table19[[#This Row],[Work Completiuon time on fualt]]-Table19[[#This Row],[Fault Time]])*24</f>
        <v>0.16666666666666741</v>
      </c>
      <c r="Z57" s="103" t="s">
        <v>4</v>
      </c>
      <c r="AA57" s="101" t="s">
        <v>81</v>
      </c>
      <c r="AB57" s="52">
        <f>IFERROR(Table19[[#This Row],[Plant Equivalent Weightage]]*Table19[[#This Row],[Resolution Time]],"")</f>
        <v>0.16666666666666741</v>
      </c>
      <c r="AC57" s="87">
        <v>0.13</v>
      </c>
      <c r="AD57" s="52">
        <f>Table19[[#This Row],[Lost POA (Wh/m2)]]*Table19[[#This Row],[DC Capacity Affceted (kW)]]</f>
        <v>1042.7170000000001</v>
      </c>
    </row>
    <row r="58" spans="1:30" x14ac:dyDescent="0.3">
      <c r="A58" s="2">
        <v>56</v>
      </c>
      <c r="B58" s="101">
        <f>YEAR(Table19[[#This Row],[Date]])+IF(MONTH(Table19[[#This Row],[Date]])&gt;=4,1,0)</f>
        <v>2026</v>
      </c>
      <c r="C58" s="101">
        <f>YEAR(Table19[[#This Row],[Date]])</f>
        <v>2025</v>
      </c>
      <c r="D58" s="99" t="s">
        <v>1082</v>
      </c>
      <c r="E58" s="99" t="s">
        <v>1082</v>
      </c>
      <c r="F58" s="116" t="str">
        <f>TEXT(Table19[[#This Row],[Date]],"mmm-yy")</f>
        <v>Jul-25</v>
      </c>
      <c r="G58" s="2">
        <f>DAY(EOMONTH(Table19[[#This Row],[Month Year]],0))</f>
        <v>31</v>
      </c>
      <c r="H58" s="100">
        <v>45849</v>
      </c>
      <c r="I58" s="58">
        <f>IFERROR(VLOOKUP(Table19[[#This Row],[Date]],Table3[[#All],[Date]:[Sunset Time (POA&lt;20 W/m2)]],3,0),"")</f>
        <v>0.25208333333333333</v>
      </c>
      <c r="J58" s="107">
        <f>IFERROR(VLOOKUP(Table19[[#This Row],[Date]],Table3[[#All],[Date]:[Sunset Time (POA&lt;20 W/m2)]],4,0),"")</f>
        <v>0.77708333333333335</v>
      </c>
      <c r="K58" s="52">
        <f>IFERROR((Table19[[#This Row],[Sunset Time (POA&lt;20 W/m2)]]-Table19[[#This Row],[Sunrise Time (POA&gt;20 W/m2)]])*24,"")</f>
        <v>12.600000000000001</v>
      </c>
      <c r="L58" s="101" t="s">
        <v>304</v>
      </c>
      <c r="M58" s="7">
        <f>VLOOKUP(Table19[[#This Row],[Affceted Equipment]],'Basic Data'!$A$2:$B$108,2,0)</f>
        <v>8020.9</v>
      </c>
      <c r="N58" s="223" t="s">
        <v>305</v>
      </c>
      <c r="O58" s="223" t="s">
        <v>20</v>
      </c>
      <c r="P58" s="117">
        <f>IFERROR(VLOOKUP(Table19[[#This Row],[Affceted Equipment]],'Basic Data'!$A$2:$C$118,3,0),"")</f>
        <v>1</v>
      </c>
      <c r="Q58" s="101"/>
      <c r="R58" s="224" t="s">
        <v>306</v>
      </c>
      <c r="S58" s="102">
        <v>0.55000000000000004</v>
      </c>
      <c r="T58" s="102"/>
      <c r="U58" s="102"/>
      <c r="V58" s="102">
        <v>0.55625000000000002</v>
      </c>
      <c r="W58" s="73"/>
      <c r="X58" s="52"/>
      <c r="Y58" s="52">
        <f>(Table19[[#This Row],[Work Completiuon time on fualt]]-Table19[[#This Row],[Fault Time]])*24</f>
        <v>0.14999999999999947</v>
      </c>
      <c r="Z58" s="103" t="s">
        <v>4</v>
      </c>
      <c r="AA58" s="101" t="s">
        <v>81</v>
      </c>
      <c r="AB58" s="52">
        <f>IFERROR(Table19[[#This Row],[Plant Equivalent Weightage]]*Table19[[#This Row],[Resolution Time]],"")</f>
        <v>0.14999999999999947</v>
      </c>
      <c r="AC58" s="87">
        <v>0.13</v>
      </c>
      <c r="AD58" s="52">
        <f>Table19[[#This Row],[Lost POA (Wh/m2)]]*Table19[[#This Row],[DC Capacity Affceted (kW)]]</f>
        <v>1042.7170000000001</v>
      </c>
    </row>
    <row r="59" spans="1:30" x14ac:dyDescent="0.3">
      <c r="A59" s="2">
        <v>57</v>
      </c>
      <c r="B59" s="101">
        <f>YEAR(Table19[[#This Row],[Date]])+IF(MONTH(Table19[[#This Row],[Date]])&gt;=4,1,0)</f>
        <v>2026</v>
      </c>
      <c r="C59" s="101">
        <f>YEAR(Table19[[#This Row],[Date]])</f>
        <v>2025</v>
      </c>
      <c r="D59" s="99" t="s">
        <v>1082</v>
      </c>
      <c r="E59" s="99" t="s">
        <v>1082</v>
      </c>
      <c r="F59" s="116" t="str">
        <f>TEXT(Table19[[#This Row],[Date]],"mmm-yy")</f>
        <v>Jul-25</v>
      </c>
      <c r="G59" s="2">
        <f>DAY(EOMONTH(Table19[[#This Row],[Month Year]],0))</f>
        <v>31</v>
      </c>
      <c r="H59" s="100">
        <v>45850</v>
      </c>
      <c r="I59" s="58">
        <f>IFERROR(VLOOKUP(Table19[[#This Row],[Date]],Table3[[#All],[Date]:[Sunset Time (POA&lt;20 W/m2)]],3,0),"")</f>
        <v>0.25555555555555554</v>
      </c>
      <c r="J59" s="107">
        <f>IFERROR(VLOOKUP(Table19[[#This Row],[Date]],Table3[[#All],[Date]:[Sunset Time (POA&lt;20 W/m2)]],4,0),"")</f>
        <v>0.78263888888888888</v>
      </c>
      <c r="K59" s="52">
        <f>IFERROR((Table19[[#This Row],[Sunset Time (POA&lt;20 W/m2)]]-Table19[[#This Row],[Sunrise Time (POA&gt;20 W/m2)]])*24,"")</f>
        <v>12.65</v>
      </c>
      <c r="L59" s="101" t="s">
        <v>304</v>
      </c>
      <c r="M59" s="7">
        <f>VLOOKUP(Table19[[#This Row],[Affceted Equipment]],'Basic Data'!$A$2:$B$108,2,0)</f>
        <v>8020.9</v>
      </c>
      <c r="N59" s="223" t="s">
        <v>305</v>
      </c>
      <c r="O59" s="223" t="s">
        <v>20</v>
      </c>
      <c r="P59" s="117">
        <f>IFERROR(VLOOKUP(Table19[[#This Row],[Affceted Equipment]],'Basic Data'!$A$2:$C$118,3,0),"")</f>
        <v>1</v>
      </c>
      <c r="Q59" s="101"/>
      <c r="R59" s="224" t="s">
        <v>306</v>
      </c>
      <c r="S59" s="102">
        <v>0.5493055555555556</v>
      </c>
      <c r="T59" s="102"/>
      <c r="U59" s="102"/>
      <c r="V59" s="102">
        <v>0.57291666666666663</v>
      </c>
      <c r="W59" s="73"/>
      <c r="X59" s="52"/>
      <c r="Y59" s="52">
        <f>(Table19[[#This Row],[Work Completiuon time on fualt]]-Table19[[#This Row],[Fault Time]])*24</f>
        <v>0.56666666666666465</v>
      </c>
      <c r="Z59" s="103" t="s">
        <v>4</v>
      </c>
      <c r="AA59" s="101" t="s">
        <v>81</v>
      </c>
      <c r="AB59" s="52">
        <f>IFERROR(Table19[[#This Row],[Plant Equivalent Weightage]]*Table19[[#This Row],[Resolution Time]],"")</f>
        <v>0.56666666666666465</v>
      </c>
      <c r="AC59" s="87">
        <v>0.26</v>
      </c>
      <c r="AD59" s="52">
        <f>Table19[[#This Row],[Lost POA (Wh/m2)]]*Table19[[#This Row],[DC Capacity Affceted (kW)]]</f>
        <v>2085.4340000000002</v>
      </c>
    </row>
  </sheetData>
  <phoneticPr fontId="16" type="noConversion"/>
  <pageMargins left="0.7" right="0.7" top="0.75" bottom="0.75" header="0.3" footer="0.3"/>
  <pageSetup paperSize="9" orientation="portrait" horizont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'Basic Data'!$A$2:$A$115</xm:f>
          </x14:formula1>
          <xm:sqref>L3:L59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504"/>
  <sheetViews>
    <sheetView topLeftCell="A2" workbookViewId="0">
      <pane xSplit="8" ySplit="1" topLeftCell="I65" activePane="bottomRight" state="frozen"/>
      <selection activeCell="A2" sqref="A2"/>
      <selection pane="topRight" activeCell="I2" sqref="I2"/>
      <selection pane="bottomLeft" activeCell="A3" sqref="A3"/>
      <selection pane="bottomRight" activeCell="U78" sqref="U78"/>
    </sheetView>
  </sheetViews>
  <sheetFormatPr defaultRowHeight="14.4" x14ac:dyDescent="0.3"/>
  <cols>
    <col min="1" max="1" width="6.109375" bestFit="1" customWidth="1"/>
    <col min="2" max="2" width="10.5546875" bestFit="1" customWidth="1"/>
    <col min="3" max="3" width="12" bestFit="1" customWidth="1"/>
    <col min="4" max="4" width="10" bestFit="1" customWidth="1"/>
    <col min="5" max="5" width="12.88671875" bestFit="1" customWidth="1"/>
    <col min="6" max="6" width="10.33203125" style="2" bestFit="1" customWidth="1"/>
    <col min="7" max="7" width="4.5546875" style="2" bestFit="1" customWidth="1"/>
    <col min="8" max="8" width="9.5546875" bestFit="1" customWidth="1"/>
    <col min="9" max="9" width="12" bestFit="1" customWidth="1"/>
    <col min="10" max="10" width="8.88671875" bestFit="1" customWidth="1"/>
    <col min="11" max="22" width="11.5546875" bestFit="1" customWidth="1"/>
    <col min="23" max="23" width="8.33203125" style="2" bestFit="1" customWidth="1"/>
    <col min="24" max="24" width="11.88671875" bestFit="1" customWidth="1"/>
    <col min="25" max="25" width="10.88671875" bestFit="1" customWidth="1"/>
    <col min="26" max="26" width="11.33203125" bestFit="1" customWidth="1"/>
    <col min="27" max="28" width="10.33203125" bestFit="1" customWidth="1"/>
    <col min="29" max="29" width="9.6640625" bestFit="1" customWidth="1"/>
    <col min="30" max="30" width="42.33203125" bestFit="1" customWidth="1"/>
  </cols>
  <sheetData>
    <row r="1" spans="1:30" hidden="1" x14ac:dyDescent="0.3"/>
    <row r="2" spans="1:30" s="14" customFormat="1" ht="55.2" x14ac:dyDescent="0.3">
      <c r="A2" s="71" t="s">
        <v>58</v>
      </c>
      <c r="B2" s="71" t="s">
        <v>52</v>
      </c>
      <c r="C2" s="71" t="s">
        <v>53</v>
      </c>
      <c r="D2" s="71" t="s">
        <v>54</v>
      </c>
      <c r="E2" s="71" t="s">
        <v>57</v>
      </c>
      <c r="F2" s="71" t="s">
        <v>40</v>
      </c>
      <c r="G2" s="71" t="s">
        <v>55</v>
      </c>
      <c r="H2" s="72" t="s">
        <v>41</v>
      </c>
      <c r="I2" s="71" t="s">
        <v>141</v>
      </c>
      <c r="J2" s="71" t="s">
        <v>142</v>
      </c>
      <c r="K2" s="71" t="s">
        <v>231</v>
      </c>
      <c r="L2" s="71" t="s">
        <v>232</v>
      </c>
      <c r="M2" s="71" t="s">
        <v>233</v>
      </c>
      <c r="N2" s="71" t="s">
        <v>234</v>
      </c>
      <c r="O2" s="71" t="s">
        <v>235</v>
      </c>
      <c r="P2" s="71" t="s">
        <v>236</v>
      </c>
      <c r="Q2" s="71" t="s">
        <v>237</v>
      </c>
      <c r="R2" s="71" t="s">
        <v>238</v>
      </c>
      <c r="S2" s="71" t="s">
        <v>240</v>
      </c>
      <c r="T2" s="71" t="s">
        <v>241</v>
      </c>
      <c r="U2" s="71" t="s">
        <v>242</v>
      </c>
      <c r="V2" s="71" t="s">
        <v>239</v>
      </c>
      <c r="W2" s="71" t="s">
        <v>320</v>
      </c>
      <c r="X2" s="71" t="s">
        <v>143</v>
      </c>
      <c r="Y2" s="71" t="s">
        <v>144</v>
      </c>
      <c r="Z2" s="71" t="s">
        <v>145</v>
      </c>
      <c r="AA2" s="71" t="s">
        <v>146</v>
      </c>
      <c r="AB2" s="71" t="s">
        <v>147</v>
      </c>
      <c r="AC2" s="71" t="s">
        <v>149</v>
      </c>
      <c r="AD2" s="71" t="s">
        <v>148</v>
      </c>
    </row>
    <row r="3" spans="1:30" x14ac:dyDescent="0.3">
      <c r="A3" s="53">
        <v>1</v>
      </c>
      <c r="B3" s="57">
        <f>YEAR(Mod_CL[[#This Row],[Date]])+IF(MONTH(Mod_CL[[#This Row],[Date]])&gt;=4,1,0)</f>
        <v>2025</v>
      </c>
      <c r="C3" s="57">
        <f>YEAR(Mod_CL[[#This Row],[Date]])</f>
        <v>2025</v>
      </c>
      <c r="D3" s="57" t="s">
        <v>1082</v>
      </c>
      <c r="E3" s="57" t="s">
        <v>1082</v>
      </c>
      <c r="F3" s="2" t="str">
        <f>TEXT(Mod_CL[[#This Row],[Date]],"mmm-yy")</f>
        <v>Mar-25</v>
      </c>
      <c r="G3" s="2">
        <f>DAY(EOMONTH(Mod_CL[[#This Row],[Month Year]],0))</f>
        <v>31</v>
      </c>
      <c r="H3" s="127">
        <v>45745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2">
        <f>SUM(Mod_CL[[#This Row],[Inv 1 (630kw) unit 1]:[Inv 3 (630kw) unit 4]])</f>
        <v>0</v>
      </c>
      <c r="X3" s="53"/>
      <c r="Y3" s="53"/>
      <c r="Z3" s="53"/>
      <c r="AA3" s="53"/>
      <c r="AB3" s="53"/>
      <c r="AC3" s="53"/>
      <c r="AD3" s="53" t="s">
        <v>1051</v>
      </c>
    </row>
    <row r="4" spans="1:30" x14ac:dyDescent="0.3">
      <c r="A4" s="53">
        <f>A3+1</f>
        <v>2</v>
      </c>
      <c r="B4" s="57">
        <f>YEAR(Mod_CL[[#This Row],[Date]])+IF(MONTH(Mod_CL[[#This Row],[Date]])&gt;=4,1,0)</f>
        <v>2025</v>
      </c>
      <c r="C4" s="57">
        <f>YEAR(Mod_CL[[#This Row],[Date]])</f>
        <v>2025</v>
      </c>
      <c r="D4" s="57" t="s">
        <v>1082</v>
      </c>
      <c r="E4" s="57" t="s">
        <v>1082</v>
      </c>
      <c r="F4" s="2" t="str">
        <f>TEXT(Mod_CL[[#This Row],[Date]],"mmm-yy")</f>
        <v>Mar-25</v>
      </c>
      <c r="G4" s="2">
        <f>DAY(EOMONTH(Mod_CL[[#This Row],[Month Year]],0))</f>
        <v>31</v>
      </c>
      <c r="H4" s="127">
        <f>H3+1</f>
        <v>45746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2">
        <f>SUM(Mod_CL[[#This Row],[Inv 1 (630kw) unit 1]:[Inv 3 (630kw) unit 4]])</f>
        <v>0</v>
      </c>
      <c r="X4" s="53"/>
      <c r="Y4" s="53"/>
      <c r="Z4" s="53"/>
      <c r="AA4" s="53"/>
      <c r="AB4" s="53"/>
      <c r="AC4" s="53"/>
      <c r="AD4" s="53" t="s">
        <v>1051</v>
      </c>
    </row>
    <row r="5" spans="1:30" x14ac:dyDescent="0.3">
      <c r="A5" s="53">
        <f t="shared" ref="A5:A41" si="0">A4+1</f>
        <v>3</v>
      </c>
      <c r="B5" s="57">
        <f>YEAR(Mod_CL[[#This Row],[Date]])+IF(MONTH(Mod_CL[[#This Row],[Date]])&gt;=4,1,0)</f>
        <v>2025</v>
      </c>
      <c r="C5" s="57">
        <f>YEAR(Mod_CL[[#This Row],[Date]])</f>
        <v>2025</v>
      </c>
      <c r="D5" s="57" t="s">
        <v>1082</v>
      </c>
      <c r="E5" s="57" t="s">
        <v>1082</v>
      </c>
      <c r="F5" s="2" t="str">
        <f>TEXT(Mod_CL[[#This Row],[Date]],"mmm-yy")</f>
        <v>Mar-25</v>
      </c>
      <c r="G5" s="2">
        <f>DAY(EOMONTH(Mod_CL[[#This Row],[Month Year]],0))</f>
        <v>31</v>
      </c>
      <c r="H5" s="127">
        <f t="shared" ref="H5:H68" si="1">H4+1</f>
        <v>45747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2">
        <f>SUM(Mod_CL[[#This Row],[Inv 1 (630kw) unit 1]:[Inv 3 (630kw) unit 4]])</f>
        <v>0</v>
      </c>
      <c r="X5" s="53"/>
      <c r="Y5" s="53"/>
      <c r="Z5" s="53"/>
      <c r="AA5" s="53"/>
      <c r="AB5" s="53"/>
      <c r="AC5" s="53"/>
      <c r="AD5" s="53" t="s">
        <v>1051</v>
      </c>
    </row>
    <row r="6" spans="1:30" x14ac:dyDescent="0.3">
      <c r="A6" s="53">
        <f t="shared" si="0"/>
        <v>4</v>
      </c>
      <c r="B6" s="57">
        <f>YEAR(Mod_CL[[#This Row],[Date]])+IF(MONTH(Mod_CL[[#This Row],[Date]])&gt;=4,1,0)</f>
        <v>2026</v>
      </c>
      <c r="C6" s="57">
        <f>YEAR(Mod_CL[[#This Row],[Date]])</f>
        <v>2025</v>
      </c>
      <c r="D6" s="57" t="s">
        <v>1082</v>
      </c>
      <c r="E6" s="57" t="s">
        <v>1082</v>
      </c>
      <c r="F6" s="2" t="str">
        <f>TEXT(Mod_CL[[#This Row],[Date]],"mmm-yy")</f>
        <v>Apr-25</v>
      </c>
      <c r="G6" s="2">
        <f>DAY(EOMONTH(Mod_CL[[#This Row],[Month Year]],0))</f>
        <v>30</v>
      </c>
      <c r="H6" s="127">
        <f t="shared" si="1"/>
        <v>45748</v>
      </c>
      <c r="I6" s="53">
        <v>1</v>
      </c>
      <c r="J6" s="53">
        <v>2</v>
      </c>
      <c r="K6" s="53">
        <v>2160</v>
      </c>
      <c r="L6" s="53">
        <v>2160</v>
      </c>
      <c r="M6" s="53">
        <v>2160</v>
      </c>
      <c r="N6" s="53">
        <v>2160</v>
      </c>
      <c r="O6" s="53"/>
      <c r="P6" s="53"/>
      <c r="Q6" s="53"/>
      <c r="R6" s="53"/>
      <c r="S6" s="53"/>
      <c r="T6" s="53"/>
      <c r="U6" s="53"/>
      <c r="V6" s="53"/>
      <c r="W6" s="2">
        <f>SUM(Mod_CL[[#This Row],[Inv 1 (630kw) unit 1]:[Inv 3 (630kw) unit 4]])</f>
        <v>8640</v>
      </c>
      <c r="X6" s="53"/>
      <c r="Y6" s="53"/>
      <c r="Z6" s="53"/>
      <c r="AA6" s="53"/>
      <c r="AB6" s="53"/>
      <c r="AC6" s="53"/>
      <c r="AD6" s="53"/>
    </row>
    <row r="7" spans="1:30" x14ac:dyDescent="0.3">
      <c r="A7" s="53">
        <f t="shared" si="0"/>
        <v>5</v>
      </c>
      <c r="B7" s="57">
        <f>YEAR(Mod_CL[[#This Row],[Date]])+IF(MONTH(Mod_CL[[#This Row],[Date]])&gt;=4,1,0)</f>
        <v>2026</v>
      </c>
      <c r="C7" s="57">
        <f>YEAR(Mod_CL[[#This Row],[Date]])</f>
        <v>2025</v>
      </c>
      <c r="D7" s="57" t="s">
        <v>1082</v>
      </c>
      <c r="E7" s="57" t="s">
        <v>1082</v>
      </c>
      <c r="F7" s="2" t="str">
        <f>TEXT(Mod_CL[[#This Row],[Date]],"mmm-yy")</f>
        <v>Apr-25</v>
      </c>
      <c r="G7" s="2">
        <f>DAY(EOMONTH(Mod_CL[[#This Row],[Month Year]],0))</f>
        <v>30</v>
      </c>
      <c r="H7" s="127">
        <f t="shared" si="1"/>
        <v>45749</v>
      </c>
      <c r="I7" s="53">
        <v>1</v>
      </c>
      <c r="J7" s="53">
        <v>2</v>
      </c>
      <c r="K7" s="53"/>
      <c r="L7" s="53"/>
      <c r="M7" s="53"/>
      <c r="N7" s="53"/>
      <c r="O7" s="53">
        <v>2160</v>
      </c>
      <c r="P7" s="53">
        <v>2160</v>
      </c>
      <c r="Q7" s="53">
        <v>2160</v>
      </c>
      <c r="R7" s="53">
        <v>2160</v>
      </c>
      <c r="S7" s="53"/>
      <c r="T7" s="53"/>
      <c r="U7" s="53"/>
      <c r="V7" s="53"/>
      <c r="W7" s="2">
        <f>SUM(Mod_CL[[#This Row],[Inv 1 (630kw) unit 1]:[Inv 3 (630kw) unit 4]])</f>
        <v>8640</v>
      </c>
      <c r="X7" s="53"/>
      <c r="Y7" s="53"/>
      <c r="Z7" s="53"/>
      <c r="AA7" s="53"/>
      <c r="AB7" s="53"/>
      <c r="AC7" s="53"/>
      <c r="AD7" s="53"/>
    </row>
    <row r="8" spans="1:30" x14ac:dyDescent="0.3">
      <c r="A8" s="53">
        <f t="shared" si="0"/>
        <v>6</v>
      </c>
      <c r="B8" s="57">
        <f>YEAR(Mod_CL[[#This Row],[Date]])+IF(MONTH(Mod_CL[[#This Row],[Date]])&gt;=4,1,0)</f>
        <v>2026</v>
      </c>
      <c r="C8" s="57">
        <f>YEAR(Mod_CL[[#This Row],[Date]])</f>
        <v>2025</v>
      </c>
      <c r="D8" s="57" t="s">
        <v>1082</v>
      </c>
      <c r="E8" s="57" t="s">
        <v>1082</v>
      </c>
      <c r="F8" s="2" t="str">
        <f>TEXT(Mod_CL[[#This Row],[Date]],"mmm-yy")</f>
        <v>Apr-25</v>
      </c>
      <c r="G8" s="2">
        <f>DAY(EOMONTH(Mod_CL[[#This Row],[Month Year]],0))</f>
        <v>30</v>
      </c>
      <c r="H8" s="127">
        <f t="shared" si="1"/>
        <v>45750</v>
      </c>
      <c r="I8" s="53">
        <v>1</v>
      </c>
      <c r="J8" s="53">
        <v>2</v>
      </c>
      <c r="K8" s="53"/>
      <c r="L8" s="53"/>
      <c r="M8" s="53"/>
      <c r="N8" s="53"/>
      <c r="O8" s="53"/>
      <c r="P8" s="53"/>
      <c r="Q8" s="53"/>
      <c r="R8" s="53"/>
      <c r="S8" s="53">
        <v>2160</v>
      </c>
      <c r="T8" s="53">
        <v>2160</v>
      </c>
      <c r="U8" s="53">
        <v>2160</v>
      </c>
      <c r="V8" s="53">
        <v>2160</v>
      </c>
      <c r="W8" s="2">
        <f>SUM(Mod_CL[[#This Row],[Inv 1 (630kw) unit 1]:[Inv 3 (630kw) unit 4]])</f>
        <v>8640</v>
      </c>
      <c r="X8" s="53"/>
      <c r="Y8" s="53"/>
      <c r="Z8" s="53"/>
      <c r="AA8" s="53"/>
      <c r="AB8" s="53"/>
      <c r="AC8" s="53"/>
      <c r="AD8" s="53"/>
    </row>
    <row r="9" spans="1:30" x14ac:dyDescent="0.3">
      <c r="A9" s="53">
        <f t="shared" si="0"/>
        <v>7</v>
      </c>
      <c r="B9" s="57">
        <f>YEAR(Mod_CL[[#This Row],[Date]])+IF(MONTH(Mod_CL[[#This Row],[Date]])&gt;=4,1,0)</f>
        <v>2026</v>
      </c>
      <c r="C9" s="57">
        <f>YEAR(Mod_CL[[#This Row],[Date]])</f>
        <v>2025</v>
      </c>
      <c r="D9" s="57" t="s">
        <v>1082</v>
      </c>
      <c r="E9" s="57" t="s">
        <v>1082</v>
      </c>
      <c r="F9" s="2" t="str">
        <f>TEXT(Mod_CL[[#This Row],[Date]],"mmm-yy")</f>
        <v>Apr-25</v>
      </c>
      <c r="G9" s="2">
        <f>DAY(EOMONTH(Mod_CL[[#This Row],[Month Year]],0))</f>
        <v>30</v>
      </c>
      <c r="H9" s="127">
        <f t="shared" si="1"/>
        <v>45751</v>
      </c>
      <c r="I9" s="53">
        <v>2</v>
      </c>
      <c r="J9" s="53">
        <v>2</v>
      </c>
      <c r="K9" s="53">
        <v>2160</v>
      </c>
      <c r="L9" s="53">
        <v>2160</v>
      </c>
      <c r="M9" s="53">
        <v>2160</v>
      </c>
      <c r="N9" s="53">
        <v>2160</v>
      </c>
      <c r="O9" s="53"/>
      <c r="P9" s="53"/>
      <c r="Q9" s="53"/>
      <c r="R9" s="53"/>
      <c r="S9" s="53"/>
      <c r="T9" s="53"/>
      <c r="U9" s="53"/>
      <c r="V9" s="53"/>
      <c r="W9" s="2">
        <f>SUM(Mod_CL[[#This Row],[Inv 1 (630kw) unit 1]:[Inv 3 (630kw) unit 4]])</f>
        <v>8640</v>
      </c>
      <c r="X9" s="53"/>
      <c r="Y9" s="53"/>
      <c r="Z9" s="53"/>
      <c r="AA9" s="53"/>
      <c r="AB9" s="53"/>
      <c r="AC9" s="53"/>
      <c r="AD9" s="53"/>
    </row>
    <row r="10" spans="1:30" x14ac:dyDescent="0.3">
      <c r="A10" s="53">
        <f t="shared" si="0"/>
        <v>8</v>
      </c>
      <c r="B10" s="57">
        <f>YEAR(Mod_CL[[#This Row],[Date]])+IF(MONTH(Mod_CL[[#This Row],[Date]])&gt;=4,1,0)</f>
        <v>2026</v>
      </c>
      <c r="C10" s="57">
        <f>YEAR(Mod_CL[[#This Row],[Date]])</f>
        <v>2025</v>
      </c>
      <c r="D10" s="57" t="s">
        <v>1082</v>
      </c>
      <c r="E10" s="57" t="s">
        <v>1082</v>
      </c>
      <c r="F10" s="2" t="str">
        <f>TEXT(Mod_CL[[#This Row],[Date]],"mmm-yy")</f>
        <v>Apr-25</v>
      </c>
      <c r="G10" s="2">
        <f>DAY(EOMONTH(Mod_CL[[#This Row],[Month Year]],0))</f>
        <v>30</v>
      </c>
      <c r="H10" s="127">
        <f t="shared" si="1"/>
        <v>45752</v>
      </c>
      <c r="I10" s="53">
        <v>2</v>
      </c>
      <c r="J10" s="53">
        <v>2</v>
      </c>
      <c r="K10" s="53"/>
      <c r="L10" s="53"/>
      <c r="M10" s="53"/>
      <c r="N10" s="53"/>
      <c r="O10" s="53">
        <v>2160</v>
      </c>
      <c r="P10" s="53">
        <v>2160</v>
      </c>
      <c r="Q10" s="53">
        <v>2160</v>
      </c>
      <c r="R10" s="53">
        <v>2160</v>
      </c>
      <c r="S10" s="53"/>
      <c r="T10" s="53"/>
      <c r="U10" s="53"/>
      <c r="V10" s="53"/>
      <c r="W10" s="2">
        <f>SUM(Mod_CL[[#This Row],[Inv 1 (630kw) unit 1]:[Inv 3 (630kw) unit 4]])</f>
        <v>8640</v>
      </c>
      <c r="X10" s="53"/>
      <c r="Y10" s="53"/>
      <c r="Z10" s="53"/>
      <c r="AA10" s="53"/>
      <c r="AB10" s="53"/>
      <c r="AC10" s="53"/>
      <c r="AD10" s="53"/>
    </row>
    <row r="11" spans="1:30" x14ac:dyDescent="0.3">
      <c r="A11" s="53">
        <f t="shared" si="0"/>
        <v>9</v>
      </c>
      <c r="B11" s="57">
        <f>YEAR(Mod_CL[[#This Row],[Date]])+IF(MONTH(Mod_CL[[#This Row],[Date]])&gt;=4,1,0)</f>
        <v>2026</v>
      </c>
      <c r="C11" s="57">
        <f>YEAR(Mod_CL[[#This Row],[Date]])</f>
        <v>2025</v>
      </c>
      <c r="D11" s="57" t="s">
        <v>1082</v>
      </c>
      <c r="E11" s="57" t="s">
        <v>1082</v>
      </c>
      <c r="F11" s="2" t="str">
        <f>TEXT(Mod_CL[[#This Row],[Date]],"mmm-yy")</f>
        <v>Apr-25</v>
      </c>
      <c r="G11" s="2">
        <f>DAY(EOMONTH(Mod_CL[[#This Row],[Month Year]],0))</f>
        <v>30</v>
      </c>
      <c r="H11" s="127">
        <f t="shared" si="1"/>
        <v>45753</v>
      </c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2">
        <f>SUM(Mod_CL[[#This Row],[Inv 1 (630kw) unit 1]:[Inv 3 (630kw) unit 4]])</f>
        <v>0</v>
      </c>
      <c r="X11" s="53"/>
      <c r="Y11" s="53"/>
      <c r="Z11" s="53"/>
      <c r="AA11" s="53"/>
      <c r="AB11" s="53"/>
      <c r="AC11" s="53"/>
      <c r="AD11" s="53" t="s">
        <v>1052</v>
      </c>
    </row>
    <row r="12" spans="1:30" x14ac:dyDescent="0.3">
      <c r="A12" s="53">
        <f t="shared" si="0"/>
        <v>10</v>
      </c>
      <c r="B12" s="57">
        <f>YEAR(Mod_CL[[#This Row],[Date]])+IF(MONTH(Mod_CL[[#This Row],[Date]])&gt;=4,1,0)</f>
        <v>2026</v>
      </c>
      <c r="C12" s="57">
        <f>YEAR(Mod_CL[[#This Row],[Date]])</f>
        <v>2025</v>
      </c>
      <c r="D12" s="57" t="s">
        <v>1082</v>
      </c>
      <c r="E12" s="57" t="s">
        <v>1082</v>
      </c>
      <c r="F12" s="2" t="str">
        <f>TEXT(Mod_CL[[#This Row],[Date]],"mmm-yy")</f>
        <v>Apr-25</v>
      </c>
      <c r="G12" s="2">
        <f>DAY(EOMONTH(Mod_CL[[#This Row],[Month Year]],0))</f>
        <v>30</v>
      </c>
      <c r="H12" s="127">
        <f t="shared" si="1"/>
        <v>45754</v>
      </c>
      <c r="I12" s="53">
        <v>2</v>
      </c>
      <c r="J12" s="53">
        <v>2</v>
      </c>
      <c r="K12" s="53"/>
      <c r="L12" s="53"/>
      <c r="M12" s="53"/>
      <c r="N12" s="53"/>
      <c r="O12" s="53"/>
      <c r="P12" s="53"/>
      <c r="Q12" s="53"/>
      <c r="R12" s="53"/>
      <c r="S12" s="53">
        <v>2160</v>
      </c>
      <c r="T12" s="53">
        <v>2160</v>
      </c>
      <c r="U12" s="53">
        <v>2160</v>
      </c>
      <c r="V12" s="53">
        <v>2160</v>
      </c>
      <c r="W12" s="2">
        <f>SUM(Mod_CL[[#This Row],[Inv 1 (630kw) unit 1]:[Inv 3 (630kw) unit 4]])</f>
        <v>8640</v>
      </c>
      <c r="X12" s="53"/>
      <c r="Y12" s="53"/>
      <c r="Z12" s="53"/>
      <c r="AA12" s="53"/>
      <c r="AB12" s="53"/>
      <c r="AC12" s="53"/>
      <c r="AD12" s="53"/>
    </row>
    <row r="13" spans="1:30" x14ac:dyDescent="0.3">
      <c r="A13" s="53">
        <f t="shared" si="0"/>
        <v>11</v>
      </c>
      <c r="B13" s="57">
        <f>YEAR(Mod_CL[[#This Row],[Date]])+IF(MONTH(Mod_CL[[#This Row],[Date]])&gt;=4,1,0)</f>
        <v>2026</v>
      </c>
      <c r="C13" s="57">
        <f>YEAR(Mod_CL[[#This Row],[Date]])</f>
        <v>2025</v>
      </c>
      <c r="D13" s="57" t="s">
        <v>1082</v>
      </c>
      <c r="E13" s="57" t="s">
        <v>1082</v>
      </c>
      <c r="F13" s="2" t="str">
        <f>TEXT(Mod_CL[[#This Row],[Date]],"mmm-yy")</f>
        <v>Apr-25</v>
      </c>
      <c r="G13" s="2">
        <f>DAY(EOMONTH(Mod_CL[[#This Row],[Month Year]],0))</f>
        <v>30</v>
      </c>
      <c r="H13" s="127">
        <f t="shared" si="1"/>
        <v>45755</v>
      </c>
      <c r="I13" s="53">
        <v>3</v>
      </c>
      <c r="J13" s="53">
        <v>2</v>
      </c>
      <c r="K13" s="53">
        <v>2160</v>
      </c>
      <c r="L13" s="53">
        <v>2160</v>
      </c>
      <c r="M13" s="53">
        <v>2160</v>
      </c>
      <c r="N13" s="53">
        <v>2160</v>
      </c>
      <c r="O13" s="53"/>
      <c r="P13" s="53"/>
      <c r="Q13" s="53"/>
      <c r="R13" s="53"/>
      <c r="S13" s="53"/>
      <c r="T13" s="53"/>
      <c r="U13" s="53"/>
      <c r="V13" s="53"/>
      <c r="W13" s="2">
        <f>SUM(Mod_CL[[#This Row],[Inv 1 (630kw) unit 1]:[Inv 3 (630kw) unit 4]])</f>
        <v>8640</v>
      </c>
      <c r="X13" s="53"/>
      <c r="Y13" s="53"/>
      <c r="Z13" s="53"/>
      <c r="AA13" s="53"/>
      <c r="AB13" s="53"/>
      <c r="AC13" s="53"/>
      <c r="AD13" s="53"/>
    </row>
    <row r="14" spans="1:30" x14ac:dyDescent="0.3">
      <c r="A14" s="53">
        <f t="shared" si="0"/>
        <v>12</v>
      </c>
      <c r="B14" s="57">
        <f>YEAR(Mod_CL[[#This Row],[Date]])+IF(MONTH(Mod_CL[[#This Row],[Date]])&gt;=4,1,0)</f>
        <v>2026</v>
      </c>
      <c r="C14" s="57">
        <f>YEAR(Mod_CL[[#This Row],[Date]])</f>
        <v>2025</v>
      </c>
      <c r="D14" s="57" t="s">
        <v>1082</v>
      </c>
      <c r="E14" s="57" t="s">
        <v>1082</v>
      </c>
      <c r="F14" s="2" t="str">
        <f>TEXT(Mod_CL[[#This Row],[Date]],"mmm-yy")</f>
        <v>Apr-25</v>
      </c>
      <c r="G14" s="2">
        <f>DAY(EOMONTH(Mod_CL[[#This Row],[Month Year]],0))</f>
        <v>30</v>
      </c>
      <c r="H14" s="127">
        <f t="shared" si="1"/>
        <v>45756</v>
      </c>
      <c r="I14" s="53">
        <v>3</v>
      </c>
      <c r="J14" s="53">
        <v>2</v>
      </c>
      <c r="K14" s="53"/>
      <c r="L14" s="53"/>
      <c r="M14" s="53"/>
      <c r="N14" s="53"/>
      <c r="O14" s="53">
        <v>2160</v>
      </c>
      <c r="P14" s="53">
        <v>2160</v>
      </c>
      <c r="Q14" s="53">
        <v>2160</v>
      </c>
      <c r="R14" s="53">
        <v>2160</v>
      </c>
      <c r="S14" s="53"/>
      <c r="T14" s="53"/>
      <c r="U14" s="53"/>
      <c r="V14" s="53"/>
      <c r="W14" s="2">
        <f>SUM(Mod_CL[[#This Row],[Inv 1 (630kw) unit 1]:[Inv 3 (630kw) unit 4]])</f>
        <v>8640</v>
      </c>
      <c r="X14" s="53"/>
      <c r="Y14" s="53"/>
      <c r="Z14" s="53"/>
      <c r="AA14" s="53"/>
      <c r="AB14" s="53"/>
      <c r="AC14" s="53"/>
      <c r="AD14" s="53"/>
    </row>
    <row r="15" spans="1:30" x14ac:dyDescent="0.3">
      <c r="A15" s="53">
        <f t="shared" si="0"/>
        <v>13</v>
      </c>
      <c r="B15" s="57">
        <f>YEAR(Mod_CL[[#This Row],[Date]])+IF(MONTH(Mod_CL[[#This Row],[Date]])&gt;=4,1,0)</f>
        <v>2026</v>
      </c>
      <c r="C15" s="57">
        <f>YEAR(Mod_CL[[#This Row],[Date]])</f>
        <v>2025</v>
      </c>
      <c r="D15" s="57" t="s">
        <v>1082</v>
      </c>
      <c r="E15" s="57" t="s">
        <v>1082</v>
      </c>
      <c r="F15" s="2" t="str">
        <f>TEXT(Mod_CL[[#This Row],[Date]],"mmm-yy")</f>
        <v>Apr-25</v>
      </c>
      <c r="G15" s="2">
        <f>DAY(EOMONTH(Mod_CL[[#This Row],[Month Year]],0))</f>
        <v>30</v>
      </c>
      <c r="H15" s="127">
        <f t="shared" si="1"/>
        <v>45757</v>
      </c>
      <c r="I15" s="53">
        <v>3</v>
      </c>
      <c r="J15" s="53">
        <v>2</v>
      </c>
      <c r="K15" s="53"/>
      <c r="L15" s="53"/>
      <c r="M15" s="53"/>
      <c r="N15" s="53"/>
      <c r="O15" s="53"/>
      <c r="P15" s="53"/>
      <c r="Q15" s="53"/>
      <c r="R15" s="53"/>
      <c r="S15" s="53">
        <v>2160</v>
      </c>
      <c r="T15" s="53">
        <v>2160</v>
      </c>
      <c r="U15" s="53">
        <v>2160</v>
      </c>
      <c r="V15" s="53">
        <v>2160</v>
      </c>
      <c r="W15" s="2">
        <f>SUM(Mod_CL[[#This Row],[Inv 1 (630kw) unit 1]:[Inv 3 (630kw) unit 4]])</f>
        <v>8640</v>
      </c>
      <c r="X15" s="53"/>
      <c r="Y15" s="53"/>
      <c r="Z15" s="53"/>
      <c r="AA15" s="53"/>
      <c r="AB15" s="53"/>
      <c r="AC15" s="53"/>
      <c r="AD15" s="53"/>
    </row>
    <row r="16" spans="1:30" x14ac:dyDescent="0.3">
      <c r="A16" s="53">
        <f t="shared" si="0"/>
        <v>14</v>
      </c>
      <c r="B16" s="57">
        <f>YEAR(Mod_CL[[#This Row],[Date]])+IF(MONTH(Mod_CL[[#This Row],[Date]])&gt;=4,1,0)</f>
        <v>2026</v>
      </c>
      <c r="C16" s="57">
        <f>YEAR(Mod_CL[[#This Row],[Date]])</f>
        <v>2025</v>
      </c>
      <c r="D16" s="57" t="s">
        <v>1082</v>
      </c>
      <c r="E16" s="57" t="s">
        <v>1082</v>
      </c>
      <c r="F16" s="2" t="str">
        <f>TEXT(Mod_CL[[#This Row],[Date]],"mmm-yy")</f>
        <v>Apr-25</v>
      </c>
      <c r="G16" s="2">
        <f>DAY(EOMONTH(Mod_CL[[#This Row],[Month Year]],0))</f>
        <v>30</v>
      </c>
      <c r="H16" s="127">
        <f t="shared" si="1"/>
        <v>45758</v>
      </c>
      <c r="I16" s="53">
        <v>4</v>
      </c>
      <c r="J16" s="53">
        <v>2</v>
      </c>
      <c r="K16" s="53">
        <v>2160</v>
      </c>
      <c r="L16" s="53">
        <v>2160</v>
      </c>
      <c r="M16" s="53">
        <v>2160</v>
      </c>
      <c r="N16" s="53">
        <v>2160</v>
      </c>
      <c r="O16" s="53"/>
      <c r="P16" s="53"/>
      <c r="Q16" s="53"/>
      <c r="R16" s="53"/>
      <c r="S16" s="53"/>
      <c r="T16" s="53"/>
      <c r="U16" s="53"/>
      <c r="V16" s="53"/>
      <c r="W16" s="2">
        <f>SUM(Mod_CL[[#This Row],[Inv 1 (630kw) unit 1]:[Inv 3 (630kw) unit 4]])</f>
        <v>8640</v>
      </c>
      <c r="X16" s="53"/>
      <c r="Y16" s="53"/>
      <c r="Z16" s="53"/>
      <c r="AA16" s="53"/>
      <c r="AB16" s="53"/>
      <c r="AC16" s="53"/>
      <c r="AD16" s="53"/>
    </row>
    <row r="17" spans="1:30" x14ac:dyDescent="0.3">
      <c r="A17" s="53">
        <f t="shared" si="0"/>
        <v>15</v>
      </c>
      <c r="B17" s="57">
        <f>YEAR(Mod_CL[[#This Row],[Date]])+IF(MONTH(Mod_CL[[#This Row],[Date]])&gt;=4,1,0)</f>
        <v>2026</v>
      </c>
      <c r="C17" s="57">
        <f>YEAR(Mod_CL[[#This Row],[Date]])</f>
        <v>2025</v>
      </c>
      <c r="D17" s="57" t="s">
        <v>1082</v>
      </c>
      <c r="E17" s="57" t="s">
        <v>1082</v>
      </c>
      <c r="F17" s="2" t="str">
        <f>TEXT(Mod_CL[[#This Row],[Date]],"mmm-yy")</f>
        <v>Apr-25</v>
      </c>
      <c r="G17" s="2">
        <f>DAY(EOMONTH(Mod_CL[[#This Row],[Month Year]],0))</f>
        <v>30</v>
      </c>
      <c r="H17" s="127">
        <f t="shared" si="1"/>
        <v>45759</v>
      </c>
      <c r="I17" s="53">
        <v>4</v>
      </c>
      <c r="J17" s="53">
        <v>2</v>
      </c>
      <c r="K17" s="53"/>
      <c r="L17" s="53"/>
      <c r="M17" s="53"/>
      <c r="N17" s="53"/>
      <c r="O17" s="53">
        <v>2160</v>
      </c>
      <c r="P17" s="53">
        <v>2160</v>
      </c>
      <c r="Q17" s="53">
        <v>2160</v>
      </c>
      <c r="R17" s="53">
        <v>2160</v>
      </c>
      <c r="S17" s="53"/>
      <c r="T17" s="53"/>
      <c r="U17" s="53"/>
      <c r="V17" s="53"/>
      <c r="W17" s="2">
        <f>SUM(Mod_CL[[#This Row],[Inv 1 (630kw) unit 1]:[Inv 3 (630kw) unit 4]])</f>
        <v>8640</v>
      </c>
      <c r="X17" s="53"/>
      <c r="Y17" s="53"/>
      <c r="Z17" s="53"/>
      <c r="AA17" s="53"/>
      <c r="AB17" s="53"/>
      <c r="AC17" s="53"/>
      <c r="AD17" s="53"/>
    </row>
    <row r="18" spans="1:30" x14ac:dyDescent="0.3">
      <c r="A18" s="53">
        <f t="shared" si="0"/>
        <v>16</v>
      </c>
      <c r="B18" s="57">
        <f>YEAR(Mod_CL[[#This Row],[Date]])+IF(MONTH(Mod_CL[[#This Row],[Date]])&gt;=4,1,0)</f>
        <v>2026</v>
      </c>
      <c r="C18" s="57">
        <f>YEAR(Mod_CL[[#This Row],[Date]])</f>
        <v>2025</v>
      </c>
      <c r="D18" s="57" t="s">
        <v>1082</v>
      </c>
      <c r="E18" s="57" t="s">
        <v>1082</v>
      </c>
      <c r="F18" s="2" t="str">
        <f>TEXT(Mod_CL[[#This Row],[Date]],"mmm-yy")</f>
        <v>Apr-25</v>
      </c>
      <c r="G18" s="2">
        <f>DAY(EOMONTH(Mod_CL[[#This Row],[Month Year]],0))</f>
        <v>30</v>
      </c>
      <c r="H18" s="127">
        <f t="shared" si="1"/>
        <v>45760</v>
      </c>
      <c r="I18" s="53">
        <v>4</v>
      </c>
      <c r="J18" s="53">
        <v>2</v>
      </c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2">
        <f>SUM(Mod_CL[[#This Row],[Inv 1 (630kw) unit 1]:[Inv 3 (630kw) unit 4]])</f>
        <v>0</v>
      </c>
      <c r="X18" s="53"/>
      <c r="Y18" s="53"/>
      <c r="Z18" s="53"/>
      <c r="AA18" s="53"/>
      <c r="AB18" s="53"/>
      <c r="AC18" s="53"/>
      <c r="AD18" s="53" t="s">
        <v>1052</v>
      </c>
    </row>
    <row r="19" spans="1:30" x14ac:dyDescent="0.3">
      <c r="A19" s="53">
        <f t="shared" si="0"/>
        <v>17</v>
      </c>
      <c r="B19" s="57">
        <f>YEAR(Mod_CL[[#This Row],[Date]])+IF(MONTH(Mod_CL[[#This Row],[Date]])&gt;=4,1,0)</f>
        <v>2026</v>
      </c>
      <c r="C19" s="57">
        <f>YEAR(Mod_CL[[#This Row],[Date]])</f>
        <v>2025</v>
      </c>
      <c r="D19" s="57" t="s">
        <v>1082</v>
      </c>
      <c r="E19" s="57" t="s">
        <v>1082</v>
      </c>
      <c r="F19" s="2" t="str">
        <f>TEXT(Mod_CL[[#This Row],[Date]],"mmm-yy")</f>
        <v>Apr-25</v>
      </c>
      <c r="G19" s="2">
        <f>DAY(EOMONTH(Mod_CL[[#This Row],[Month Year]],0))</f>
        <v>30</v>
      </c>
      <c r="H19" s="127">
        <f t="shared" si="1"/>
        <v>45761</v>
      </c>
      <c r="I19" s="53">
        <v>4</v>
      </c>
      <c r="J19" s="53">
        <v>2</v>
      </c>
      <c r="K19" s="53"/>
      <c r="L19" s="53"/>
      <c r="M19" s="53"/>
      <c r="N19" s="53"/>
      <c r="O19" s="53"/>
      <c r="P19" s="53"/>
      <c r="Q19" s="53"/>
      <c r="R19" s="53"/>
      <c r="S19" s="53">
        <v>2160</v>
      </c>
      <c r="T19" s="53">
        <v>2160</v>
      </c>
      <c r="U19" s="53">
        <v>2160</v>
      </c>
      <c r="V19" s="53">
        <v>2160</v>
      </c>
      <c r="W19" s="2">
        <f>SUM(Mod_CL[[#This Row],[Inv 1 (630kw) unit 1]:[Inv 3 (630kw) unit 4]])</f>
        <v>8640</v>
      </c>
      <c r="X19" s="53"/>
      <c r="Y19" s="53"/>
      <c r="Z19" s="53"/>
      <c r="AA19" s="53"/>
      <c r="AB19" s="53"/>
      <c r="AC19" s="53"/>
      <c r="AD19" s="53"/>
    </row>
    <row r="20" spans="1:30" x14ac:dyDescent="0.3">
      <c r="A20" s="53">
        <f t="shared" si="0"/>
        <v>18</v>
      </c>
      <c r="B20" s="57">
        <f>YEAR(Mod_CL[[#This Row],[Date]])+IF(MONTH(Mod_CL[[#This Row],[Date]])&gt;=4,1,0)</f>
        <v>2026</v>
      </c>
      <c r="C20" s="57">
        <f>YEAR(Mod_CL[[#This Row],[Date]])</f>
        <v>2025</v>
      </c>
      <c r="D20" s="57" t="s">
        <v>1082</v>
      </c>
      <c r="E20" s="57" t="s">
        <v>1082</v>
      </c>
      <c r="F20" s="2" t="str">
        <f>TEXT(Mod_CL[[#This Row],[Date]],"mmm-yy")</f>
        <v>Apr-25</v>
      </c>
      <c r="G20" s="2">
        <f>DAY(EOMONTH(Mod_CL[[#This Row],[Month Year]],0))</f>
        <v>30</v>
      </c>
      <c r="H20" s="127">
        <f t="shared" si="1"/>
        <v>45762</v>
      </c>
      <c r="I20" s="66">
        <v>5</v>
      </c>
      <c r="J20" s="66">
        <v>2</v>
      </c>
      <c r="K20" s="53">
        <v>2160</v>
      </c>
      <c r="L20" s="53">
        <v>2160</v>
      </c>
      <c r="M20" s="53">
        <v>2160</v>
      </c>
      <c r="N20" s="53">
        <v>2160</v>
      </c>
      <c r="O20" s="66"/>
      <c r="P20" s="66"/>
      <c r="Q20" s="66"/>
      <c r="R20" s="66"/>
      <c r="S20" s="66"/>
      <c r="T20" s="66"/>
      <c r="U20" s="66"/>
      <c r="V20" s="66"/>
      <c r="W20" s="2">
        <f>SUM(Mod_CL[[#This Row],[Inv 1 (630kw) unit 1]:[Inv 3 (630kw) unit 4]])</f>
        <v>8640</v>
      </c>
      <c r="X20" s="66"/>
      <c r="Y20" s="66"/>
      <c r="Z20" s="66"/>
      <c r="AA20" s="66"/>
      <c r="AB20" s="66"/>
      <c r="AC20" s="66"/>
      <c r="AD20" s="66"/>
    </row>
    <row r="21" spans="1:30" x14ac:dyDescent="0.3">
      <c r="A21" s="53">
        <f t="shared" si="0"/>
        <v>19</v>
      </c>
      <c r="B21" s="57">
        <f>YEAR(Mod_CL[[#This Row],[Date]])+IF(MONTH(Mod_CL[[#This Row],[Date]])&gt;=4,1,0)</f>
        <v>2026</v>
      </c>
      <c r="C21" s="57">
        <f>YEAR(Mod_CL[[#This Row],[Date]])</f>
        <v>2025</v>
      </c>
      <c r="D21" s="57" t="s">
        <v>1082</v>
      </c>
      <c r="E21" s="57" t="s">
        <v>1082</v>
      </c>
      <c r="F21" s="2" t="str">
        <f>TEXT(Mod_CL[[#This Row],[Date]],"mmm-yy")</f>
        <v>Apr-25</v>
      </c>
      <c r="G21" s="2">
        <f>DAY(EOMONTH(Mod_CL[[#This Row],[Month Year]],0))</f>
        <v>30</v>
      </c>
      <c r="H21" s="127">
        <f t="shared" si="1"/>
        <v>45763</v>
      </c>
      <c r="I21" s="53">
        <v>5</v>
      </c>
      <c r="J21" s="53">
        <v>2</v>
      </c>
      <c r="K21" s="53"/>
      <c r="L21" s="53"/>
      <c r="M21" s="53"/>
      <c r="N21" s="53"/>
      <c r="O21" s="53">
        <v>2160</v>
      </c>
      <c r="P21" s="53">
        <v>2160</v>
      </c>
      <c r="Q21" s="53">
        <v>2160</v>
      </c>
      <c r="R21" s="53">
        <v>2160</v>
      </c>
      <c r="S21" s="53"/>
      <c r="T21" s="53"/>
      <c r="U21" s="53"/>
      <c r="V21" s="53"/>
      <c r="W21" s="2">
        <f>SUM(Mod_CL[[#This Row],[Inv 1 (630kw) unit 1]:[Inv 3 (630kw) unit 4]])</f>
        <v>8640</v>
      </c>
      <c r="X21" s="53"/>
      <c r="Y21" s="53"/>
      <c r="Z21" s="53"/>
      <c r="AA21" s="53"/>
      <c r="AB21" s="53"/>
      <c r="AC21" s="53"/>
      <c r="AD21" s="53"/>
    </row>
    <row r="22" spans="1:30" x14ac:dyDescent="0.3">
      <c r="A22" s="53">
        <f t="shared" si="0"/>
        <v>20</v>
      </c>
      <c r="B22" s="57">
        <f>YEAR(Mod_CL[[#This Row],[Date]])+IF(MONTH(Mod_CL[[#This Row],[Date]])&gt;=4,1,0)</f>
        <v>2026</v>
      </c>
      <c r="C22" s="57">
        <f>YEAR(Mod_CL[[#This Row],[Date]])</f>
        <v>2025</v>
      </c>
      <c r="D22" s="57" t="s">
        <v>1082</v>
      </c>
      <c r="E22" s="57" t="s">
        <v>1082</v>
      </c>
      <c r="F22" s="2" t="str">
        <f>TEXT(Mod_CL[[#This Row],[Date]],"mmm-yy")</f>
        <v>Apr-25</v>
      </c>
      <c r="G22" s="2">
        <f>DAY(EOMONTH(Mod_CL[[#This Row],[Month Year]],0))</f>
        <v>30</v>
      </c>
      <c r="H22" s="127">
        <f t="shared" si="1"/>
        <v>45764</v>
      </c>
      <c r="I22" s="53">
        <v>5</v>
      </c>
      <c r="J22" s="53">
        <v>2</v>
      </c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2">
        <f>SUM(Mod_CL[[#This Row],[Inv 1 (630kw) unit 1]:[Inv 3 (630kw) unit 4]])</f>
        <v>0</v>
      </c>
      <c r="X22" s="53"/>
      <c r="Y22" s="53"/>
      <c r="Z22" s="53"/>
      <c r="AA22" s="53"/>
      <c r="AB22" s="53"/>
      <c r="AC22" s="53"/>
      <c r="AD22" s="53" t="s">
        <v>1195</v>
      </c>
    </row>
    <row r="23" spans="1:30" x14ac:dyDescent="0.3">
      <c r="A23" s="53">
        <f t="shared" si="0"/>
        <v>21</v>
      </c>
      <c r="B23" s="57">
        <f>YEAR(Mod_CL[[#This Row],[Date]])+IF(MONTH(Mod_CL[[#This Row],[Date]])&gt;=4,1,0)</f>
        <v>2026</v>
      </c>
      <c r="C23" s="57">
        <f>YEAR(Mod_CL[[#This Row],[Date]])</f>
        <v>2025</v>
      </c>
      <c r="D23" s="57" t="s">
        <v>1082</v>
      </c>
      <c r="E23" s="57" t="s">
        <v>1082</v>
      </c>
      <c r="F23" s="2" t="str">
        <f>TEXT(Mod_CL[[#This Row],[Date]],"mmm-yy")</f>
        <v>Apr-25</v>
      </c>
      <c r="G23" s="2">
        <f>DAY(EOMONTH(Mod_CL[[#This Row],[Month Year]],0))</f>
        <v>30</v>
      </c>
      <c r="H23" s="127">
        <f t="shared" si="1"/>
        <v>45765</v>
      </c>
      <c r="I23" s="53">
        <v>5</v>
      </c>
      <c r="J23" s="53">
        <v>2</v>
      </c>
      <c r="K23" s="53"/>
      <c r="L23" s="53"/>
      <c r="M23" s="53"/>
      <c r="N23" s="53"/>
      <c r="O23" s="53"/>
      <c r="P23" s="53"/>
      <c r="Q23" s="53"/>
      <c r="R23" s="53"/>
      <c r="S23" s="53">
        <v>2160</v>
      </c>
      <c r="T23" s="53">
        <v>2160</v>
      </c>
      <c r="U23" s="53">
        <v>2160</v>
      </c>
      <c r="V23" s="53">
        <v>2160</v>
      </c>
      <c r="W23" s="2">
        <f>SUM(Mod_CL[[#This Row],[Inv 1 (630kw) unit 1]:[Inv 3 (630kw) unit 4]])</f>
        <v>8640</v>
      </c>
      <c r="X23" s="53"/>
      <c r="Y23" s="53"/>
      <c r="Z23" s="53"/>
      <c r="AA23" s="53"/>
      <c r="AB23" s="53"/>
      <c r="AC23" s="53"/>
      <c r="AD23" s="53"/>
    </row>
    <row r="24" spans="1:30" x14ac:dyDescent="0.3">
      <c r="A24" s="53">
        <f t="shared" si="0"/>
        <v>22</v>
      </c>
      <c r="B24" s="57">
        <f>YEAR(Mod_CL[[#This Row],[Date]])+IF(MONTH(Mod_CL[[#This Row],[Date]])&gt;=4,1,0)</f>
        <v>2026</v>
      </c>
      <c r="C24" s="57">
        <f>YEAR(Mod_CL[[#This Row],[Date]])</f>
        <v>2025</v>
      </c>
      <c r="D24" s="57" t="s">
        <v>1082</v>
      </c>
      <c r="E24" s="57" t="s">
        <v>1082</v>
      </c>
      <c r="F24" s="2" t="str">
        <f>TEXT(Mod_CL[[#This Row],[Date]],"mmm-yy")</f>
        <v>Apr-25</v>
      </c>
      <c r="G24" s="2">
        <f>DAY(EOMONTH(Mod_CL[[#This Row],[Month Year]],0))</f>
        <v>30</v>
      </c>
      <c r="H24" s="127">
        <f t="shared" si="1"/>
        <v>45766</v>
      </c>
      <c r="I24" s="53">
        <v>6</v>
      </c>
      <c r="J24" s="53">
        <v>2</v>
      </c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2">
        <f>SUM(Mod_CL[[#This Row],[Inv 1 (630kw) unit 1]:[Inv 3 (630kw) unit 4]])</f>
        <v>0</v>
      </c>
      <c r="X24" s="53"/>
      <c r="Y24" s="53"/>
      <c r="Z24" s="53"/>
      <c r="AA24" s="53"/>
      <c r="AB24" s="53"/>
      <c r="AC24" s="53"/>
      <c r="AD24" s="53" t="s">
        <v>1195</v>
      </c>
    </row>
    <row r="25" spans="1:30" x14ac:dyDescent="0.3">
      <c r="A25" s="53">
        <f t="shared" si="0"/>
        <v>23</v>
      </c>
      <c r="B25" s="57">
        <f>YEAR(Mod_CL[[#This Row],[Date]])+IF(MONTH(Mod_CL[[#This Row],[Date]])&gt;=4,1,0)</f>
        <v>2026</v>
      </c>
      <c r="C25" s="57">
        <f>YEAR(Mod_CL[[#This Row],[Date]])</f>
        <v>2025</v>
      </c>
      <c r="D25" s="57" t="s">
        <v>1082</v>
      </c>
      <c r="E25" s="57" t="s">
        <v>1082</v>
      </c>
      <c r="F25" s="2" t="str">
        <f>TEXT(Mod_CL[[#This Row],[Date]],"mmm-yy")</f>
        <v>Apr-25</v>
      </c>
      <c r="G25" s="2">
        <f>DAY(EOMONTH(Mod_CL[[#This Row],[Month Year]],0))</f>
        <v>30</v>
      </c>
      <c r="H25" s="127">
        <f t="shared" si="1"/>
        <v>45767</v>
      </c>
      <c r="I25" s="53">
        <v>6</v>
      </c>
      <c r="J25" s="53">
        <v>2</v>
      </c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2">
        <f>SUM(Mod_CL[[#This Row],[Inv 1 (630kw) unit 1]:[Inv 3 (630kw) unit 4]])</f>
        <v>0</v>
      </c>
      <c r="X25" s="53"/>
      <c r="Y25" s="53"/>
      <c r="Z25" s="53"/>
      <c r="AA25" s="53"/>
      <c r="AB25" s="53"/>
      <c r="AC25" s="53"/>
      <c r="AD25" s="53"/>
    </row>
    <row r="26" spans="1:30" x14ac:dyDescent="0.3">
      <c r="A26" s="53">
        <f t="shared" si="0"/>
        <v>24</v>
      </c>
      <c r="B26" s="57">
        <f>YEAR(Mod_CL[[#This Row],[Date]])+IF(MONTH(Mod_CL[[#This Row],[Date]])&gt;=4,1,0)</f>
        <v>2026</v>
      </c>
      <c r="C26" s="57">
        <f>YEAR(Mod_CL[[#This Row],[Date]])</f>
        <v>2025</v>
      </c>
      <c r="D26" s="57" t="s">
        <v>1082</v>
      </c>
      <c r="E26" s="57" t="s">
        <v>1082</v>
      </c>
      <c r="F26" s="2" t="str">
        <f>TEXT(Mod_CL[[#This Row],[Date]],"mmm-yy")</f>
        <v>Apr-25</v>
      </c>
      <c r="G26" s="2">
        <f>DAY(EOMONTH(Mod_CL[[#This Row],[Month Year]],0))</f>
        <v>30</v>
      </c>
      <c r="H26" s="127">
        <f t="shared" si="1"/>
        <v>45768</v>
      </c>
      <c r="I26" s="53">
        <v>6</v>
      </c>
      <c r="J26" s="53">
        <v>2</v>
      </c>
      <c r="K26" s="53">
        <v>2160</v>
      </c>
      <c r="L26" s="53">
        <v>2160</v>
      </c>
      <c r="M26" s="53">
        <v>2160</v>
      </c>
      <c r="N26" s="53">
        <v>2160</v>
      </c>
      <c r="O26" s="53"/>
      <c r="P26" s="53"/>
      <c r="Q26" s="53"/>
      <c r="R26" s="53"/>
      <c r="S26" s="53"/>
      <c r="T26" s="53"/>
      <c r="U26" s="53"/>
      <c r="V26" s="53"/>
      <c r="W26" s="2">
        <f>SUM(Mod_CL[[#This Row],[Inv 1 (630kw) unit 1]:[Inv 3 (630kw) unit 4]])</f>
        <v>8640</v>
      </c>
      <c r="X26" s="53"/>
      <c r="Y26" s="53"/>
      <c r="Z26" s="53"/>
      <c r="AA26" s="53"/>
      <c r="AB26" s="53"/>
      <c r="AC26" s="53"/>
      <c r="AD26" s="53"/>
    </row>
    <row r="27" spans="1:30" x14ac:dyDescent="0.3">
      <c r="A27" s="53">
        <f t="shared" si="0"/>
        <v>25</v>
      </c>
      <c r="B27" s="57">
        <f>YEAR(Mod_CL[[#This Row],[Date]])+IF(MONTH(Mod_CL[[#This Row],[Date]])&gt;=4,1,0)</f>
        <v>2026</v>
      </c>
      <c r="C27" s="57">
        <f>YEAR(Mod_CL[[#This Row],[Date]])</f>
        <v>2025</v>
      </c>
      <c r="D27" s="57" t="s">
        <v>1082</v>
      </c>
      <c r="E27" s="57" t="s">
        <v>1082</v>
      </c>
      <c r="F27" s="2" t="str">
        <f>TEXT(Mod_CL[[#This Row],[Date]],"mmm-yy")</f>
        <v>Apr-25</v>
      </c>
      <c r="G27" s="2">
        <f>DAY(EOMONTH(Mod_CL[[#This Row],[Month Year]],0))</f>
        <v>30</v>
      </c>
      <c r="H27" s="127">
        <f t="shared" si="1"/>
        <v>45769</v>
      </c>
      <c r="I27" s="53">
        <v>6</v>
      </c>
      <c r="J27" s="53">
        <v>2</v>
      </c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2">
        <f>SUM(Mod_CL[[#This Row],[Inv 1 (630kw) unit 1]:[Inv 3 (630kw) unit 4]])</f>
        <v>0</v>
      </c>
      <c r="X27" s="53"/>
      <c r="Y27" s="53"/>
      <c r="Z27" s="53"/>
      <c r="AA27" s="53"/>
      <c r="AB27" s="53"/>
      <c r="AC27" s="53"/>
      <c r="AD27" s="53" t="s">
        <v>1195</v>
      </c>
    </row>
    <row r="28" spans="1:30" x14ac:dyDescent="0.3">
      <c r="A28" s="53">
        <f t="shared" si="0"/>
        <v>26</v>
      </c>
      <c r="B28" s="57">
        <f>YEAR(Mod_CL[[#This Row],[Date]])+IF(MONTH(Mod_CL[[#This Row],[Date]])&gt;=4,1,0)</f>
        <v>2026</v>
      </c>
      <c r="C28" s="57">
        <f>YEAR(Mod_CL[[#This Row],[Date]])</f>
        <v>2025</v>
      </c>
      <c r="D28" s="57" t="s">
        <v>1082</v>
      </c>
      <c r="E28" s="57" t="s">
        <v>1082</v>
      </c>
      <c r="F28" s="2" t="str">
        <f>TEXT(Mod_CL[[#This Row],[Date]],"mmm-yy")</f>
        <v>Apr-25</v>
      </c>
      <c r="G28" s="2">
        <f>DAY(EOMONTH(Mod_CL[[#This Row],[Month Year]],0))</f>
        <v>30</v>
      </c>
      <c r="H28" s="127">
        <f t="shared" si="1"/>
        <v>45770</v>
      </c>
      <c r="I28" s="53">
        <v>6</v>
      </c>
      <c r="J28" s="53">
        <v>2</v>
      </c>
      <c r="K28" s="53"/>
      <c r="L28" s="53"/>
      <c r="M28" s="53"/>
      <c r="N28" s="53"/>
      <c r="O28" s="53">
        <v>2160</v>
      </c>
      <c r="P28" s="53">
        <v>2160</v>
      </c>
      <c r="Q28" s="53">
        <v>2160</v>
      </c>
      <c r="R28" s="53">
        <v>2160</v>
      </c>
      <c r="S28" s="53"/>
      <c r="T28" s="53"/>
      <c r="U28" s="53"/>
      <c r="V28" s="53"/>
      <c r="W28" s="2">
        <f>SUM(Mod_CL[[#This Row],[Inv 1 (630kw) unit 1]:[Inv 3 (630kw) unit 4]])</f>
        <v>8640</v>
      </c>
      <c r="X28" s="53"/>
      <c r="Y28" s="53"/>
      <c r="Z28" s="53"/>
      <c r="AA28" s="53"/>
      <c r="AB28" s="53"/>
      <c r="AC28" s="53"/>
      <c r="AD28" s="53"/>
    </row>
    <row r="29" spans="1:30" x14ac:dyDescent="0.3">
      <c r="A29" s="53">
        <f t="shared" si="0"/>
        <v>27</v>
      </c>
      <c r="B29" s="57">
        <f>YEAR(Mod_CL[[#This Row],[Date]])+IF(MONTH(Mod_CL[[#This Row],[Date]])&gt;=4,1,0)</f>
        <v>2026</v>
      </c>
      <c r="C29" s="57">
        <f>YEAR(Mod_CL[[#This Row],[Date]])</f>
        <v>2025</v>
      </c>
      <c r="D29" s="57" t="s">
        <v>1082</v>
      </c>
      <c r="E29" s="57" t="s">
        <v>1082</v>
      </c>
      <c r="F29" s="2" t="str">
        <f>TEXT(Mod_CL[[#This Row],[Date]],"mmm-yy")</f>
        <v>Apr-25</v>
      </c>
      <c r="G29" s="2">
        <f>DAY(EOMONTH(Mod_CL[[#This Row],[Month Year]],0))</f>
        <v>30</v>
      </c>
      <c r="H29" s="127">
        <f t="shared" si="1"/>
        <v>45771</v>
      </c>
      <c r="I29" s="53">
        <v>6</v>
      </c>
      <c r="J29" s="53">
        <v>2</v>
      </c>
      <c r="K29" s="53"/>
      <c r="L29" s="53"/>
      <c r="M29" s="53"/>
      <c r="N29" s="53"/>
      <c r="O29" s="53"/>
      <c r="P29" s="53"/>
      <c r="Q29" s="53"/>
      <c r="R29" s="53"/>
      <c r="S29" s="53">
        <v>2160</v>
      </c>
      <c r="T29" s="53">
        <v>2160</v>
      </c>
      <c r="U29" s="53">
        <v>2160</v>
      </c>
      <c r="V29" s="53">
        <v>2160</v>
      </c>
      <c r="W29" s="2">
        <f>SUM(Mod_CL[[#This Row],[Inv 1 (630kw) unit 1]:[Inv 3 (630kw) unit 4]])</f>
        <v>8640</v>
      </c>
      <c r="X29" s="53"/>
      <c r="Y29" s="53"/>
      <c r="Z29" s="53"/>
      <c r="AA29" s="53"/>
      <c r="AB29" s="53"/>
      <c r="AC29" s="53"/>
      <c r="AD29" s="53"/>
    </row>
    <row r="30" spans="1:30" x14ac:dyDescent="0.3">
      <c r="A30" s="53">
        <f t="shared" si="0"/>
        <v>28</v>
      </c>
      <c r="B30" s="57">
        <f>YEAR(Mod_CL[[#This Row],[Date]])+IF(MONTH(Mod_CL[[#This Row],[Date]])&gt;=4,1,0)</f>
        <v>2026</v>
      </c>
      <c r="C30" s="57">
        <f>YEAR(Mod_CL[[#This Row],[Date]])</f>
        <v>2025</v>
      </c>
      <c r="D30" s="57" t="s">
        <v>1082</v>
      </c>
      <c r="E30" s="57" t="s">
        <v>1082</v>
      </c>
      <c r="F30" s="2" t="str">
        <f>TEXT(Mod_CL[[#This Row],[Date]],"mmm-yy")</f>
        <v>Apr-25</v>
      </c>
      <c r="G30" s="2">
        <f>DAY(EOMONTH(Mod_CL[[#This Row],[Month Year]],0))</f>
        <v>30</v>
      </c>
      <c r="H30" s="127">
        <f t="shared" si="1"/>
        <v>45772</v>
      </c>
      <c r="I30" s="53">
        <v>7</v>
      </c>
      <c r="J30" s="53">
        <v>2</v>
      </c>
      <c r="K30" s="53">
        <v>2160</v>
      </c>
      <c r="L30" s="53">
        <v>2160</v>
      </c>
      <c r="M30" s="53">
        <v>2160</v>
      </c>
      <c r="N30" s="53">
        <v>2160</v>
      </c>
      <c r="O30" s="53"/>
      <c r="P30" s="53"/>
      <c r="Q30" s="53"/>
      <c r="R30" s="53"/>
      <c r="S30" s="53"/>
      <c r="T30" s="53"/>
      <c r="U30" s="53"/>
      <c r="V30" s="53"/>
      <c r="W30" s="2">
        <f>SUM(Mod_CL[[#This Row],[Inv 1 (630kw) unit 1]:[Inv 3 (630kw) unit 4]])</f>
        <v>8640</v>
      </c>
      <c r="X30" s="53"/>
      <c r="Y30" s="53"/>
      <c r="Z30" s="53"/>
      <c r="AA30" s="53"/>
      <c r="AB30" s="53"/>
      <c r="AC30" s="53"/>
      <c r="AD30" s="53"/>
    </row>
    <row r="31" spans="1:30" x14ac:dyDescent="0.3">
      <c r="A31" s="53">
        <f t="shared" si="0"/>
        <v>29</v>
      </c>
      <c r="B31" s="57">
        <f>YEAR(Mod_CL[[#This Row],[Date]])+IF(MONTH(Mod_CL[[#This Row],[Date]])&gt;=4,1,0)</f>
        <v>2026</v>
      </c>
      <c r="C31" s="57">
        <f>YEAR(Mod_CL[[#This Row],[Date]])</f>
        <v>2025</v>
      </c>
      <c r="D31" s="57" t="s">
        <v>1082</v>
      </c>
      <c r="E31" s="57" t="s">
        <v>1082</v>
      </c>
      <c r="F31" s="2" t="str">
        <f>TEXT(Mod_CL[[#This Row],[Date]],"mmm-yy")</f>
        <v>Apr-25</v>
      </c>
      <c r="G31" s="2">
        <f>DAY(EOMONTH(Mod_CL[[#This Row],[Month Year]],0))</f>
        <v>30</v>
      </c>
      <c r="H31" s="127">
        <f t="shared" si="1"/>
        <v>45773</v>
      </c>
      <c r="I31" s="53">
        <v>7</v>
      </c>
      <c r="J31" s="53">
        <v>2</v>
      </c>
      <c r="K31" s="53"/>
      <c r="L31" s="53"/>
      <c r="M31" s="53"/>
      <c r="N31" s="53"/>
      <c r="O31" s="53">
        <v>2160</v>
      </c>
      <c r="P31" s="53">
        <v>2160</v>
      </c>
      <c r="Q31" s="53">
        <v>2160</v>
      </c>
      <c r="R31" s="53">
        <v>2160</v>
      </c>
      <c r="S31" s="53"/>
      <c r="T31" s="53"/>
      <c r="U31" s="53"/>
      <c r="V31" s="53"/>
      <c r="W31" s="2">
        <f>SUM(Mod_CL[[#This Row],[Inv 1 (630kw) unit 1]:[Inv 3 (630kw) unit 4]])</f>
        <v>8640</v>
      </c>
      <c r="X31" s="53"/>
      <c r="Y31" s="53"/>
      <c r="Z31" s="53"/>
      <c r="AA31" s="53"/>
      <c r="AB31" s="53"/>
      <c r="AC31" s="53"/>
      <c r="AD31" s="53"/>
    </row>
    <row r="32" spans="1:30" x14ac:dyDescent="0.3">
      <c r="A32" s="53">
        <f t="shared" si="0"/>
        <v>30</v>
      </c>
      <c r="B32" s="57">
        <f>YEAR(Mod_CL[[#This Row],[Date]])+IF(MONTH(Mod_CL[[#This Row],[Date]])&gt;=4,1,0)</f>
        <v>2026</v>
      </c>
      <c r="C32" s="57">
        <f>YEAR(Mod_CL[[#This Row],[Date]])</f>
        <v>2025</v>
      </c>
      <c r="D32" s="57" t="s">
        <v>1082</v>
      </c>
      <c r="E32" s="57" t="s">
        <v>1082</v>
      </c>
      <c r="F32" s="2" t="str">
        <f>TEXT(Mod_CL[[#This Row],[Date]],"mmm-yy")</f>
        <v>Apr-25</v>
      </c>
      <c r="G32" s="2">
        <f>DAY(EOMONTH(Mod_CL[[#This Row],[Month Year]],0))</f>
        <v>30</v>
      </c>
      <c r="H32" s="127">
        <f t="shared" si="1"/>
        <v>45774</v>
      </c>
      <c r="I32" s="53">
        <v>7</v>
      </c>
      <c r="J32" s="53">
        <v>2</v>
      </c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2">
        <f>SUM(Mod_CL[[#This Row],[Inv 1 (630kw) unit 1]:[Inv 3 (630kw) unit 4]])</f>
        <v>0</v>
      </c>
      <c r="X32" s="53"/>
      <c r="Y32" s="53"/>
      <c r="Z32" s="53"/>
      <c r="AA32" s="53"/>
      <c r="AB32" s="53"/>
      <c r="AC32" s="53"/>
      <c r="AD32" s="53" t="s">
        <v>1052</v>
      </c>
    </row>
    <row r="33" spans="1:30" x14ac:dyDescent="0.3">
      <c r="A33" s="53">
        <f t="shared" si="0"/>
        <v>31</v>
      </c>
      <c r="B33" s="57">
        <f>YEAR(Mod_CL[[#This Row],[Date]])+IF(MONTH(Mod_CL[[#This Row],[Date]])&gt;=4,1,0)</f>
        <v>2026</v>
      </c>
      <c r="C33" s="57">
        <f>YEAR(Mod_CL[[#This Row],[Date]])</f>
        <v>2025</v>
      </c>
      <c r="D33" s="57" t="s">
        <v>1082</v>
      </c>
      <c r="E33" s="57" t="s">
        <v>1082</v>
      </c>
      <c r="F33" s="2" t="str">
        <f>TEXT(Mod_CL[[#This Row],[Date]],"mmm-yy")</f>
        <v>Apr-25</v>
      </c>
      <c r="G33" s="2">
        <f>DAY(EOMONTH(Mod_CL[[#This Row],[Month Year]],0))</f>
        <v>30</v>
      </c>
      <c r="H33" s="127">
        <f t="shared" si="1"/>
        <v>45775</v>
      </c>
      <c r="I33" s="53">
        <v>7</v>
      </c>
      <c r="J33" s="53">
        <v>2</v>
      </c>
      <c r="K33" s="53"/>
      <c r="L33" s="53"/>
      <c r="M33" s="53"/>
      <c r="N33" s="53"/>
      <c r="O33" s="53"/>
      <c r="P33" s="53"/>
      <c r="Q33" s="53"/>
      <c r="R33" s="53"/>
      <c r="S33" s="53">
        <v>2160</v>
      </c>
      <c r="T33" s="53">
        <v>2160</v>
      </c>
      <c r="U33" s="53">
        <v>2160</v>
      </c>
      <c r="V33" s="53">
        <v>2160</v>
      </c>
      <c r="W33" s="2">
        <f>SUM(Mod_CL[[#This Row],[Inv 1 (630kw) unit 1]:[Inv 3 (630kw) unit 4]])</f>
        <v>8640</v>
      </c>
      <c r="X33" s="53"/>
      <c r="Y33" s="53"/>
      <c r="Z33" s="53"/>
      <c r="AA33" s="53"/>
      <c r="AB33" s="53"/>
      <c r="AC33" s="53"/>
      <c r="AD33" s="53"/>
    </row>
    <row r="34" spans="1:30" x14ac:dyDescent="0.3">
      <c r="A34" s="53">
        <f t="shared" si="0"/>
        <v>32</v>
      </c>
      <c r="B34" s="57">
        <f>YEAR(Mod_CL[[#This Row],[Date]])+IF(MONTH(Mod_CL[[#This Row],[Date]])&gt;=4,1,0)</f>
        <v>2026</v>
      </c>
      <c r="C34" s="57">
        <f>YEAR(Mod_CL[[#This Row],[Date]])</f>
        <v>2025</v>
      </c>
      <c r="D34" s="57" t="s">
        <v>1082</v>
      </c>
      <c r="E34" s="57" t="s">
        <v>1082</v>
      </c>
      <c r="F34" s="2" t="str">
        <f>TEXT(Mod_CL[[#This Row],[Date]],"mmm-yy")</f>
        <v>Apr-25</v>
      </c>
      <c r="G34" s="2">
        <f>DAY(EOMONTH(Mod_CL[[#This Row],[Month Year]],0))</f>
        <v>30</v>
      </c>
      <c r="H34" s="127">
        <f t="shared" si="1"/>
        <v>45776</v>
      </c>
      <c r="I34" s="53">
        <v>8</v>
      </c>
      <c r="J34" s="53">
        <v>2</v>
      </c>
      <c r="K34" s="53">
        <v>2160</v>
      </c>
      <c r="L34" s="53">
        <v>2160</v>
      </c>
      <c r="M34" s="53">
        <v>2160</v>
      </c>
      <c r="N34" s="53">
        <v>2160</v>
      </c>
      <c r="O34" s="53"/>
      <c r="P34" s="53"/>
      <c r="Q34" s="53"/>
      <c r="R34" s="53"/>
      <c r="S34" s="53"/>
      <c r="T34" s="53"/>
      <c r="U34" s="53"/>
      <c r="V34" s="53"/>
      <c r="W34" s="2">
        <f>SUM(Mod_CL[[#This Row],[Inv 1 (630kw) unit 1]:[Inv 3 (630kw) unit 4]])</f>
        <v>8640</v>
      </c>
      <c r="X34" s="53"/>
      <c r="Y34" s="53"/>
      <c r="Z34" s="53"/>
      <c r="AA34" s="53"/>
      <c r="AB34" s="53"/>
      <c r="AC34" s="53"/>
      <c r="AD34" s="53"/>
    </row>
    <row r="35" spans="1:30" x14ac:dyDescent="0.3">
      <c r="A35" s="53">
        <f t="shared" si="0"/>
        <v>33</v>
      </c>
      <c r="B35" s="57">
        <f>YEAR(Mod_CL[[#This Row],[Date]])+IF(MONTH(Mod_CL[[#This Row],[Date]])&gt;=4,1,0)</f>
        <v>2026</v>
      </c>
      <c r="C35" s="57">
        <f>YEAR(Mod_CL[[#This Row],[Date]])</f>
        <v>2025</v>
      </c>
      <c r="D35" s="57" t="s">
        <v>1082</v>
      </c>
      <c r="E35" s="57" t="s">
        <v>1082</v>
      </c>
      <c r="F35" s="2" t="str">
        <f>TEXT(Mod_CL[[#This Row],[Date]],"mmm-yy")</f>
        <v>Apr-25</v>
      </c>
      <c r="G35" s="2">
        <f>DAY(EOMONTH(Mod_CL[[#This Row],[Month Year]],0))</f>
        <v>30</v>
      </c>
      <c r="H35" s="127">
        <f t="shared" si="1"/>
        <v>45777</v>
      </c>
      <c r="I35" s="53">
        <v>8</v>
      </c>
      <c r="J35" s="53">
        <v>2</v>
      </c>
      <c r="K35" s="53"/>
      <c r="L35" s="53"/>
      <c r="M35" s="53"/>
      <c r="N35" s="53"/>
      <c r="O35" s="53">
        <v>2160</v>
      </c>
      <c r="P35" s="53">
        <v>2160</v>
      </c>
      <c r="Q35" s="53">
        <v>2160</v>
      </c>
      <c r="R35" s="53">
        <v>2160</v>
      </c>
      <c r="S35" s="53"/>
      <c r="T35" s="53"/>
      <c r="U35" s="53"/>
      <c r="V35" s="53"/>
      <c r="W35" s="2">
        <f>SUM(Mod_CL[[#This Row],[Inv 1 (630kw) unit 1]:[Inv 3 (630kw) unit 4]])</f>
        <v>8640</v>
      </c>
      <c r="X35" s="53"/>
      <c r="Y35" s="53"/>
      <c r="Z35" s="53"/>
      <c r="AA35" s="53"/>
      <c r="AB35" s="53"/>
      <c r="AC35" s="53"/>
      <c r="AD35" s="53"/>
    </row>
    <row r="36" spans="1:30" x14ac:dyDescent="0.3">
      <c r="A36" s="53">
        <f t="shared" si="0"/>
        <v>34</v>
      </c>
      <c r="B36" s="57">
        <f>YEAR(Mod_CL[[#This Row],[Date]])+IF(MONTH(Mod_CL[[#This Row],[Date]])&gt;=4,1,0)</f>
        <v>2026</v>
      </c>
      <c r="C36" s="57">
        <f>YEAR(Mod_CL[[#This Row],[Date]])</f>
        <v>2025</v>
      </c>
      <c r="D36" s="57" t="s">
        <v>1082</v>
      </c>
      <c r="E36" s="57" t="s">
        <v>1082</v>
      </c>
      <c r="F36" s="2" t="str">
        <f>TEXT(Mod_CL[[#This Row],[Date]],"mmm-yy")</f>
        <v>May-25</v>
      </c>
      <c r="G36" s="2">
        <f>DAY(EOMONTH(Mod_CL[[#This Row],[Month Year]],0))</f>
        <v>31</v>
      </c>
      <c r="H36" s="127">
        <f t="shared" si="1"/>
        <v>45778</v>
      </c>
      <c r="I36" s="53">
        <v>1</v>
      </c>
      <c r="J36" s="53">
        <v>2</v>
      </c>
      <c r="K36" s="53">
        <v>2160</v>
      </c>
      <c r="L36" s="53">
        <v>2160</v>
      </c>
      <c r="M36" s="53">
        <v>2160</v>
      </c>
      <c r="N36" s="53">
        <v>2160</v>
      </c>
      <c r="O36" s="53"/>
      <c r="P36" s="53"/>
      <c r="Q36" s="53"/>
      <c r="R36" s="53"/>
      <c r="S36" s="53"/>
      <c r="T36" s="53"/>
      <c r="U36" s="53"/>
      <c r="V36" s="53"/>
      <c r="W36" s="2">
        <f>SUM(Mod_CL[[#This Row],[Inv 1 (630kw) unit 1]:[Inv 3 (630kw) unit 4]])</f>
        <v>8640</v>
      </c>
      <c r="X36" s="53"/>
      <c r="Y36" s="53"/>
      <c r="Z36" s="53"/>
      <c r="AA36" s="53"/>
      <c r="AB36" s="53"/>
      <c r="AC36" s="53"/>
      <c r="AD36" s="53"/>
    </row>
    <row r="37" spans="1:30" x14ac:dyDescent="0.3">
      <c r="A37" s="53">
        <f t="shared" si="0"/>
        <v>35</v>
      </c>
      <c r="B37" s="57">
        <f>YEAR(Mod_CL[[#This Row],[Date]])+IF(MONTH(Mod_CL[[#This Row],[Date]])&gt;=4,1,0)</f>
        <v>2026</v>
      </c>
      <c r="C37" s="57">
        <f>YEAR(Mod_CL[[#This Row],[Date]])</f>
        <v>2025</v>
      </c>
      <c r="D37" s="57" t="s">
        <v>1082</v>
      </c>
      <c r="E37" s="57" t="s">
        <v>1082</v>
      </c>
      <c r="F37" s="2" t="str">
        <f>TEXT(Mod_CL[[#This Row],[Date]],"mmm-yy")</f>
        <v>May-25</v>
      </c>
      <c r="G37" s="2">
        <f>DAY(EOMONTH(Mod_CL[[#This Row],[Month Year]],0))</f>
        <v>31</v>
      </c>
      <c r="H37" s="127">
        <f t="shared" si="1"/>
        <v>45779</v>
      </c>
      <c r="I37" s="53">
        <v>1</v>
      </c>
      <c r="J37" s="53">
        <v>2</v>
      </c>
      <c r="K37" s="53"/>
      <c r="L37" s="53"/>
      <c r="M37" s="53"/>
      <c r="N37" s="53"/>
      <c r="O37" s="53">
        <v>2160</v>
      </c>
      <c r="P37" s="53">
        <v>2160</v>
      </c>
      <c r="Q37" s="53">
        <v>2160</v>
      </c>
      <c r="R37" s="53">
        <v>2160</v>
      </c>
      <c r="S37" s="53"/>
      <c r="T37" s="53"/>
      <c r="U37" s="53"/>
      <c r="V37" s="53"/>
      <c r="W37" s="2">
        <f>SUM(Mod_CL[[#This Row],[Inv 1 (630kw) unit 1]:[Inv 3 (630kw) unit 4]])</f>
        <v>8640</v>
      </c>
      <c r="X37" s="53"/>
      <c r="Y37" s="53"/>
      <c r="Z37" s="53"/>
      <c r="AA37" s="53"/>
      <c r="AB37" s="53"/>
      <c r="AC37" s="53"/>
      <c r="AD37" s="53"/>
    </row>
    <row r="38" spans="1:30" x14ac:dyDescent="0.3">
      <c r="A38" s="53">
        <f t="shared" si="0"/>
        <v>36</v>
      </c>
      <c r="B38" s="57">
        <f>YEAR(Mod_CL[[#This Row],[Date]])+IF(MONTH(Mod_CL[[#This Row],[Date]])&gt;=4,1,0)</f>
        <v>2026</v>
      </c>
      <c r="C38" s="57">
        <f>YEAR(Mod_CL[[#This Row],[Date]])</f>
        <v>2025</v>
      </c>
      <c r="D38" s="57" t="s">
        <v>1082</v>
      </c>
      <c r="E38" s="57" t="s">
        <v>1082</v>
      </c>
      <c r="F38" s="2" t="str">
        <f>TEXT(Mod_CL[[#This Row],[Date]],"mmm-yy")</f>
        <v>May-25</v>
      </c>
      <c r="G38" s="2">
        <f>DAY(EOMONTH(Mod_CL[[#This Row],[Month Year]],0))</f>
        <v>31</v>
      </c>
      <c r="H38" s="127">
        <f t="shared" si="1"/>
        <v>45780</v>
      </c>
      <c r="I38" s="53">
        <v>1</v>
      </c>
      <c r="J38" s="53">
        <v>2</v>
      </c>
      <c r="K38" s="53"/>
      <c r="L38" s="53"/>
      <c r="M38" s="53"/>
      <c r="N38" s="53"/>
      <c r="O38" s="53"/>
      <c r="P38" s="53"/>
      <c r="Q38" s="53"/>
      <c r="R38" s="53"/>
      <c r="S38" s="53">
        <v>2160</v>
      </c>
      <c r="T38" s="53">
        <v>2160</v>
      </c>
      <c r="U38" s="53">
        <v>2160</v>
      </c>
      <c r="V38" s="53">
        <v>2160</v>
      </c>
      <c r="W38" s="2">
        <f>SUM(Mod_CL[[#This Row],[Inv 1 (630kw) unit 1]:[Inv 3 (630kw) unit 4]])</f>
        <v>8640</v>
      </c>
      <c r="X38" s="53"/>
      <c r="Y38" s="53"/>
      <c r="Z38" s="53"/>
      <c r="AA38" s="53"/>
      <c r="AB38" s="53"/>
      <c r="AC38" s="53"/>
      <c r="AD38" s="53"/>
    </row>
    <row r="39" spans="1:30" x14ac:dyDescent="0.3">
      <c r="A39" s="53">
        <f t="shared" si="0"/>
        <v>37</v>
      </c>
      <c r="B39" s="57">
        <f>YEAR(Mod_CL[[#This Row],[Date]])+IF(MONTH(Mod_CL[[#This Row],[Date]])&gt;=4,1,0)</f>
        <v>2026</v>
      </c>
      <c r="C39" s="57">
        <f>YEAR(Mod_CL[[#This Row],[Date]])</f>
        <v>2025</v>
      </c>
      <c r="D39" s="57" t="s">
        <v>1082</v>
      </c>
      <c r="E39" s="57" t="s">
        <v>1082</v>
      </c>
      <c r="F39" s="2" t="str">
        <f>TEXT(Mod_CL[[#This Row],[Date]],"mmm-yy")</f>
        <v>May-25</v>
      </c>
      <c r="G39" s="2">
        <f>DAY(EOMONTH(Mod_CL[[#This Row],[Month Year]],0))</f>
        <v>31</v>
      </c>
      <c r="H39" s="127">
        <f t="shared" si="1"/>
        <v>45781</v>
      </c>
      <c r="I39" s="53">
        <v>2</v>
      </c>
      <c r="J39" s="53">
        <v>2</v>
      </c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2">
        <f>SUM(Mod_CL[[#This Row],[Inv 1 (630kw) unit 1]:[Inv 3 (630kw) unit 4]])</f>
        <v>0</v>
      </c>
      <c r="X39" s="53"/>
      <c r="Y39" s="53"/>
      <c r="Z39" s="53"/>
      <c r="AA39" s="53"/>
      <c r="AB39" s="53"/>
      <c r="AC39" s="53"/>
      <c r="AD39" s="53" t="s">
        <v>1052</v>
      </c>
    </row>
    <row r="40" spans="1:30" x14ac:dyDescent="0.3">
      <c r="A40" s="53">
        <f t="shared" si="0"/>
        <v>38</v>
      </c>
      <c r="B40" s="57">
        <f>YEAR(Mod_CL[[#This Row],[Date]])+IF(MONTH(Mod_CL[[#This Row],[Date]])&gt;=4,1,0)</f>
        <v>2026</v>
      </c>
      <c r="C40" s="57">
        <f>YEAR(Mod_CL[[#This Row],[Date]])</f>
        <v>2025</v>
      </c>
      <c r="D40" s="57" t="s">
        <v>1082</v>
      </c>
      <c r="E40" s="57" t="s">
        <v>1082</v>
      </c>
      <c r="F40" s="2" t="str">
        <f>TEXT(Mod_CL[[#This Row],[Date]],"mmm-yy")</f>
        <v>May-25</v>
      </c>
      <c r="G40" s="2">
        <f>DAY(EOMONTH(Mod_CL[[#This Row],[Month Year]],0))</f>
        <v>31</v>
      </c>
      <c r="H40" s="127">
        <f t="shared" si="1"/>
        <v>45782</v>
      </c>
      <c r="I40" s="53">
        <v>2</v>
      </c>
      <c r="J40" s="53">
        <v>2</v>
      </c>
      <c r="K40" s="53">
        <v>2160</v>
      </c>
      <c r="L40" s="53">
        <v>2160</v>
      </c>
      <c r="M40" s="53">
        <v>2160</v>
      </c>
      <c r="N40" s="53">
        <v>2160</v>
      </c>
      <c r="O40" s="53"/>
      <c r="P40" s="53"/>
      <c r="Q40" s="53"/>
      <c r="R40" s="53"/>
      <c r="S40" s="53"/>
      <c r="T40" s="53"/>
      <c r="U40" s="53"/>
      <c r="V40" s="53"/>
      <c r="W40" s="2">
        <f>SUM(Mod_CL[[#This Row],[Inv 1 (630kw) unit 1]:[Inv 3 (630kw) unit 4]])</f>
        <v>8640</v>
      </c>
      <c r="X40" s="53"/>
      <c r="Y40" s="53"/>
      <c r="Z40" s="53"/>
      <c r="AA40" s="53"/>
      <c r="AB40" s="53"/>
      <c r="AC40" s="53"/>
      <c r="AD40" s="53"/>
    </row>
    <row r="41" spans="1:30" x14ac:dyDescent="0.3">
      <c r="A41" s="53">
        <f t="shared" si="0"/>
        <v>39</v>
      </c>
      <c r="B41" s="57">
        <f>YEAR(Mod_CL[[#This Row],[Date]])+IF(MONTH(Mod_CL[[#This Row],[Date]])&gt;=4,1,0)</f>
        <v>2026</v>
      </c>
      <c r="C41" s="57">
        <f>YEAR(Mod_CL[[#This Row],[Date]])</f>
        <v>2025</v>
      </c>
      <c r="D41" s="57" t="s">
        <v>1082</v>
      </c>
      <c r="E41" s="57" t="s">
        <v>1082</v>
      </c>
      <c r="F41" s="2" t="str">
        <f>TEXT(Mod_CL[[#This Row],[Date]],"mmm-yy")</f>
        <v>May-25</v>
      </c>
      <c r="G41" s="2">
        <f>DAY(EOMONTH(Mod_CL[[#This Row],[Month Year]],0))</f>
        <v>31</v>
      </c>
      <c r="H41" s="127">
        <f t="shared" si="1"/>
        <v>45783</v>
      </c>
      <c r="I41" s="53">
        <v>2</v>
      </c>
      <c r="J41" s="53">
        <v>2</v>
      </c>
      <c r="K41" s="53"/>
      <c r="L41" s="53"/>
      <c r="M41" s="53"/>
      <c r="N41" s="53"/>
      <c r="O41" s="53">
        <v>2160</v>
      </c>
      <c r="P41" s="53">
        <v>2160</v>
      </c>
      <c r="Q41" s="53">
        <v>2160</v>
      </c>
      <c r="R41" s="53">
        <v>2160</v>
      </c>
      <c r="S41" s="53"/>
      <c r="T41" s="53"/>
      <c r="U41" s="53"/>
      <c r="V41" s="53"/>
      <c r="W41" s="2">
        <f>SUM(Mod_CL[[#This Row],[Inv 1 (630kw) unit 1]:[Inv 3 (630kw) unit 4]])</f>
        <v>8640</v>
      </c>
      <c r="X41" s="53"/>
      <c r="Y41" s="53"/>
      <c r="Z41" s="53"/>
      <c r="AA41" s="53"/>
      <c r="AB41" s="53"/>
      <c r="AC41" s="53"/>
      <c r="AD41" s="53"/>
    </row>
    <row r="42" spans="1:30" x14ac:dyDescent="0.3">
      <c r="A42" s="53">
        <v>40</v>
      </c>
      <c r="B42" s="53">
        <f>YEAR(Mod_CL[[#This Row],[Date]])+IF(MONTH(Mod_CL[[#This Row],[Date]])&gt;=4,1,0)</f>
        <v>2026</v>
      </c>
      <c r="C42" s="53">
        <f>YEAR(Mod_CL[[#This Row],[Date]])</f>
        <v>2025</v>
      </c>
      <c r="D42" s="57" t="s">
        <v>1082</v>
      </c>
      <c r="E42" s="57" t="s">
        <v>1082</v>
      </c>
      <c r="F42" s="2" t="str">
        <f>TEXT(Mod_CL[[#This Row],[Date]],"mmm-yy")</f>
        <v>May-25</v>
      </c>
      <c r="G42" s="2">
        <f>DAY(EOMONTH(Mod_CL[[#This Row],[Month Year]],0))</f>
        <v>31</v>
      </c>
      <c r="H42" s="127">
        <f t="shared" si="1"/>
        <v>45784</v>
      </c>
      <c r="I42" s="53">
        <v>2</v>
      </c>
      <c r="J42" s="53">
        <v>2</v>
      </c>
      <c r="K42" s="53"/>
      <c r="L42" s="53"/>
      <c r="M42" s="53"/>
      <c r="N42" s="53"/>
      <c r="O42" s="53"/>
      <c r="P42" s="53"/>
      <c r="Q42" s="53"/>
      <c r="R42" s="53"/>
      <c r="S42" s="53">
        <v>2160</v>
      </c>
      <c r="T42" s="53">
        <v>2160</v>
      </c>
      <c r="U42" s="53">
        <v>2160</v>
      </c>
      <c r="V42" s="53">
        <v>2160</v>
      </c>
      <c r="W42" s="2">
        <f>SUM(Mod_CL[[#This Row],[Inv 1 (630kw) unit 1]:[Inv 3 (630kw) unit 4]])</f>
        <v>8640</v>
      </c>
      <c r="X42" s="53"/>
      <c r="Y42" s="53"/>
      <c r="Z42" s="53"/>
      <c r="AA42" s="53"/>
      <c r="AB42" s="53"/>
      <c r="AC42" s="53"/>
      <c r="AD42" s="53"/>
    </row>
    <row r="43" spans="1:30" x14ac:dyDescent="0.3">
      <c r="A43" s="53">
        <v>41</v>
      </c>
      <c r="B43" s="53">
        <f>YEAR(Mod_CL[[#This Row],[Date]])+IF(MONTH(Mod_CL[[#This Row],[Date]])&gt;=4,1,0)</f>
        <v>2026</v>
      </c>
      <c r="C43" s="53">
        <f>YEAR(Mod_CL[[#This Row],[Date]])</f>
        <v>2025</v>
      </c>
      <c r="D43" s="57" t="s">
        <v>1082</v>
      </c>
      <c r="E43" s="57" t="s">
        <v>1082</v>
      </c>
      <c r="F43" s="2" t="str">
        <f>TEXT(Mod_CL[[#This Row],[Date]],"mmm-yy")</f>
        <v>May-25</v>
      </c>
      <c r="G43" s="2">
        <f>DAY(EOMONTH(Mod_CL[[#This Row],[Month Year]],0))</f>
        <v>31</v>
      </c>
      <c r="H43" s="127">
        <f t="shared" si="1"/>
        <v>45785</v>
      </c>
      <c r="I43" s="53">
        <v>3</v>
      </c>
      <c r="J43" s="53">
        <v>2</v>
      </c>
      <c r="K43" s="53">
        <v>2160</v>
      </c>
      <c r="L43" s="53">
        <v>2160</v>
      </c>
      <c r="M43" s="53">
        <v>2160</v>
      </c>
      <c r="N43" s="53">
        <v>2160</v>
      </c>
      <c r="O43" s="53"/>
      <c r="P43" s="53"/>
      <c r="Q43" s="53"/>
      <c r="R43" s="53"/>
      <c r="S43" s="53"/>
      <c r="T43" s="53"/>
      <c r="U43" s="53"/>
      <c r="V43" s="53"/>
      <c r="W43" s="2">
        <f>SUM(Mod_CL[[#This Row],[Inv 1 (630kw) unit 1]:[Inv 3 (630kw) unit 4]])</f>
        <v>8640</v>
      </c>
      <c r="X43" s="53"/>
      <c r="Y43" s="53"/>
      <c r="Z43" s="53"/>
      <c r="AA43" s="53"/>
      <c r="AB43" s="53"/>
      <c r="AC43" s="53"/>
      <c r="AD43" s="53"/>
    </row>
    <row r="44" spans="1:30" x14ac:dyDescent="0.3">
      <c r="A44" s="53">
        <v>42</v>
      </c>
      <c r="B44" s="53">
        <f>YEAR(Mod_CL[[#This Row],[Date]])+IF(MONTH(Mod_CL[[#This Row],[Date]])&gt;=4,1,0)</f>
        <v>2026</v>
      </c>
      <c r="C44" s="53">
        <f>YEAR(Mod_CL[[#This Row],[Date]])</f>
        <v>2025</v>
      </c>
      <c r="D44" s="57" t="s">
        <v>1082</v>
      </c>
      <c r="E44" s="57" t="s">
        <v>1082</v>
      </c>
      <c r="F44" s="2" t="str">
        <f>TEXT(Mod_CL[[#This Row],[Date]],"mmm-yy")</f>
        <v>May-25</v>
      </c>
      <c r="G44" s="2">
        <f>DAY(EOMONTH(Mod_CL[[#This Row],[Month Year]],0))</f>
        <v>31</v>
      </c>
      <c r="H44" s="127">
        <f t="shared" si="1"/>
        <v>45786</v>
      </c>
      <c r="I44" s="53">
        <v>3</v>
      </c>
      <c r="J44" s="53">
        <v>2</v>
      </c>
      <c r="K44" s="53"/>
      <c r="L44" s="53"/>
      <c r="M44" s="53"/>
      <c r="N44" s="53"/>
      <c r="O44" s="53">
        <v>2160</v>
      </c>
      <c r="P44" s="53">
        <v>2160</v>
      </c>
      <c r="Q44" s="53">
        <v>2160</v>
      </c>
      <c r="R44" s="53">
        <v>2160</v>
      </c>
      <c r="S44" s="53"/>
      <c r="T44" s="53"/>
      <c r="U44" s="53"/>
      <c r="V44" s="53"/>
      <c r="W44" s="2">
        <f>SUM(Mod_CL[[#This Row],[Inv 1 (630kw) unit 1]:[Inv 3 (630kw) unit 4]])</f>
        <v>8640</v>
      </c>
      <c r="X44" s="53"/>
      <c r="Y44" s="53"/>
      <c r="Z44" s="53"/>
      <c r="AA44" s="53"/>
      <c r="AB44" s="53"/>
      <c r="AC44" s="53"/>
      <c r="AD44" s="53"/>
    </row>
    <row r="45" spans="1:30" x14ac:dyDescent="0.3">
      <c r="A45" s="53">
        <v>43</v>
      </c>
      <c r="B45" s="53">
        <f>YEAR(Mod_CL[[#This Row],[Date]])+IF(MONTH(Mod_CL[[#This Row],[Date]])&gt;=4,1,0)</f>
        <v>2026</v>
      </c>
      <c r="C45" s="53">
        <f>YEAR(Mod_CL[[#This Row],[Date]])</f>
        <v>2025</v>
      </c>
      <c r="D45" s="57" t="s">
        <v>1082</v>
      </c>
      <c r="E45" s="57" t="s">
        <v>1082</v>
      </c>
      <c r="F45" s="2" t="str">
        <f>TEXT(Mod_CL[[#This Row],[Date]],"mmm-yy")</f>
        <v>May-25</v>
      </c>
      <c r="G45" s="2">
        <f>DAY(EOMONTH(Mod_CL[[#This Row],[Month Year]],0))</f>
        <v>31</v>
      </c>
      <c r="H45" s="127">
        <f t="shared" si="1"/>
        <v>45787</v>
      </c>
      <c r="I45" s="53">
        <v>3</v>
      </c>
      <c r="J45" s="53">
        <v>2</v>
      </c>
      <c r="K45" s="53"/>
      <c r="L45" s="53"/>
      <c r="M45" s="53"/>
      <c r="N45" s="53"/>
      <c r="O45" s="53"/>
      <c r="P45" s="53"/>
      <c r="Q45" s="53"/>
      <c r="R45" s="53"/>
      <c r="S45" s="53">
        <v>2160</v>
      </c>
      <c r="T45" s="53">
        <v>2160</v>
      </c>
      <c r="U45" s="53">
        <v>2160</v>
      </c>
      <c r="V45" s="53">
        <v>2160</v>
      </c>
      <c r="W45" s="2">
        <f>SUM(Mod_CL[[#This Row],[Inv 1 (630kw) unit 1]:[Inv 3 (630kw) unit 4]])</f>
        <v>8640</v>
      </c>
      <c r="X45" s="53"/>
      <c r="Y45" s="53"/>
      <c r="Z45" s="53"/>
      <c r="AA45" s="53"/>
      <c r="AB45" s="53"/>
      <c r="AC45" s="53"/>
      <c r="AD45" s="53"/>
    </row>
    <row r="46" spans="1:30" x14ac:dyDescent="0.3">
      <c r="A46" s="53">
        <v>44</v>
      </c>
      <c r="B46" s="53">
        <f>YEAR(Mod_CL[[#This Row],[Date]])+IF(MONTH(Mod_CL[[#This Row],[Date]])&gt;=4,1,0)</f>
        <v>2026</v>
      </c>
      <c r="C46" s="53">
        <f>YEAR(Mod_CL[[#This Row],[Date]])</f>
        <v>2025</v>
      </c>
      <c r="D46" s="57" t="s">
        <v>1082</v>
      </c>
      <c r="E46" s="57" t="s">
        <v>1082</v>
      </c>
      <c r="F46" s="2" t="str">
        <f>TEXT(Mod_CL[[#This Row],[Date]],"mmm-yy")</f>
        <v>May-25</v>
      </c>
      <c r="G46" s="2">
        <f>DAY(EOMONTH(Mod_CL[[#This Row],[Month Year]],0))</f>
        <v>31</v>
      </c>
      <c r="H46" s="127">
        <f t="shared" si="1"/>
        <v>45788</v>
      </c>
      <c r="I46" s="53">
        <v>4</v>
      </c>
      <c r="J46" s="53">
        <v>2</v>
      </c>
      <c r="K46" s="53">
        <v>2160</v>
      </c>
      <c r="L46" s="53">
        <v>2160</v>
      </c>
      <c r="M46" s="53">
        <v>2160</v>
      </c>
      <c r="N46" s="53">
        <v>2160</v>
      </c>
      <c r="O46" s="53"/>
      <c r="P46" s="53"/>
      <c r="Q46" s="53"/>
      <c r="R46" s="53"/>
      <c r="S46" s="53"/>
      <c r="T46" s="53"/>
      <c r="U46" s="53"/>
      <c r="V46" s="53"/>
      <c r="W46" s="2">
        <f>SUM(Mod_CL[[#This Row],[Inv 1 (630kw) unit 1]:[Inv 3 (630kw) unit 4]])</f>
        <v>8640</v>
      </c>
      <c r="X46" s="53"/>
      <c r="Y46" s="53"/>
      <c r="Z46" s="53"/>
      <c r="AA46" s="53"/>
      <c r="AB46" s="53"/>
      <c r="AC46" s="53"/>
      <c r="AD46" s="53"/>
    </row>
    <row r="47" spans="1:30" x14ac:dyDescent="0.3">
      <c r="A47" s="53">
        <v>45</v>
      </c>
      <c r="B47" s="53">
        <f>YEAR(Mod_CL[[#This Row],[Date]])+IF(MONTH(Mod_CL[[#This Row],[Date]])&gt;=4,1,0)</f>
        <v>2026</v>
      </c>
      <c r="C47" s="53">
        <f>YEAR(Mod_CL[[#This Row],[Date]])</f>
        <v>2025</v>
      </c>
      <c r="D47" s="57" t="s">
        <v>1082</v>
      </c>
      <c r="E47" s="57" t="s">
        <v>1082</v>
      </c>
      <c r="F47" s="2" t="str">
        <f>TEXT(Mod_CL[[#This Row],[Date]],"mmm-yy")</f>
        <v>May-25</v>
      </c>
      <c r="G47" s="2">
        <f>DAY(EOMONTH(Mod_CL[[#This Row],[Month Year]],0))</f>
        <v>31</v>
      </c>
      <c r="H47" s="127">
        <f t="shared" si="1"/>
        <v>45789</v>
      </c>
      <c r="I47" s="53">
        <v>4</v>
      </c>
      <c r="J47" s="53">
        <v>2</v>
      </c>
      <c r="K47" s="53"/>
      <c r="L47" s="53"/>
      <c r="M47" s="53"/>
      <c r="N47" s="53"/>
      <c r="O47" s="53">
        <v>2160</v>
      </c>
      <c r="P47" s="53">
        <v>2160</v>
      </c>
      <c r="Q47" s="53">
        <v>2160</v>
      </c>
      <c r="R47" s="53">
        <v>2160</v>
      </c>
      <c r="S47" s="53"/>
      <c r="T47" s="53"/>
      <c r="U47" s="53"/>
      <c r="V47" s="53"/>
      <c r="W47" s="2">
        <f>SUM(Mod_CL[[#This Row],[Inv 1 (630kw) unit 1]:[Inv 3 (630kw) unit 4]])</f>
        <v>8640</v>
      </c>
      <c r="X47" s="53"/>
      <c r="Y47" s="53"/>
      <c r="Z47" s="53"/>
      <c r="AA47" s="53"/>
      <c r="AB47" s="53"/>
      <c r="AC47" s="53"/>
      <c r="AD47" s="53"/>
    </row>
    <row r="48" spans="1:30" x14ac:dyDescent="0.3">
      <c r="A48" s="53">
        <v>46</v>
      </c>
      <c r="B48" s="53">
        <f>YEAR(Mod_CL[[#This Row],[Date]])+IF(MONTH(Mod_CL[[#This Row],[Date]])&gt;=4,1,0)</f>
        <v>2026</v>
      </c>
      <c r="C48" s="53">
        <f>YEAR(Mod_CL[[#This Row],[Date]])</f>
        <v>2025</v>
      </c>
      <c r="D48" s="57" t="s">
        <v>1082</v>
      </c>
      <c r="E48" s="57" t="s">
        <v>1082</v>
      </c>
      <c r="F48" s="2" t="str">
        <f>TEXT(Mod_CL[[#This Row],[Date]],"mmm-yy")</f>
        <v>May-25</v>
      </c>
      <c r="G48" s="2">
        <f>DAY(EOMONTH(Mod_CL[[#This Row],[Month Year]],0))</f>
        <v>31</v>
      </c>
      <c r="H48" s="127">
        <f t="shared" si="1"/>
        <v>45790</v>
      </c>
      <c r="I48" s="53">
        <v>4</v>
      </c>
      <c r="J48" s="53">
        <v>2</v>
      </c>
      <c r="K48" s="53"/>
      <c r="L48" s="53"/>
      <c r="M48" s="53"/>
      <c r="N48" s="53"/>
      <c r="O48" s="53"/>
      <c r="P48" s="53"/>
      <c r="Q48" s="53"/>
      <c r="R48" s="53"/>
      <c r="S48" s="53">
        <v>2160</v>
      </c>
      <c r="T48" s="53">
        <v>2160</v>
      </c>
      <c r="U48" s="53">
        <v>2160</v>
      </c>
      <c r="V48" s="53">
        <v>2160</v>
      </c>
      <c r="W48" s="2">
        <f>SUM(Mod_CL[[#This Row],[Inv 1 (630kw) unit 1]:[Inv 3 (630kw) unit 4]])</f>
        <v>8640</v>
      </c>
      <c r="X48" s="53"/>
      <c r="Y48" s="53"/>
      <c r="Z48" s="53"/>
      <c r="AA48" s="53"/>
      <c r="AB48" s="53"/>
      <c r="AC48" s="53"/>
      <c r="AD48" s="53"/>
    </row>
    <row r="49" spans="1:30" x14ac:dyDescent="0.3">
      <c r="A49" s="53">
        <v>47</v>
      </c>
      <c r="B49" s="53">
        <f>YEAR(Mod_CL[[#This Row],[Date]])+IF(MONTH(Mod_CL[[#This Row],[Date]])&gt;=4,1,0)</f>
        <v>2026</v>
      </c>
      <c r="C49" s="53">
        <f>YEAR(Mod_CL[[#This Row],[Date]])</f>
        <v>2025</v>
      </c>
      <c r="D49" s="57" t="s">
        <v>1082</v>
      </c>
      <c r="E49" s="57" t="s">
        <v>1082</v>
      </c>
      <c r="F49" s="2" t="str">
        <f>TEXT(Mod_CL[[#This Row],[Date]],"mmm-yy")</f>
        <v>May-25</v>
      </c>
      <c r="G49" s="2">
        <f>DAY(EOMONTH(Mod_CL[[#This Row],[Month Year]],0))</f>
        <v>31</v>
      </c>
      <c r="H49" s="127">
        <f t="shared" si="1"/>
        <v>45791</v>
      </c>
      <c r="I49" s="53">
        <v>5</v>
      </c>
      <c r="J49" s="53">
        <v>2</v>
      </c>
      <c r="K49" s="53">
        <v>2160</v>
      </c>
      <c r="L49" s="53">
        <v>2160</v>
      </c>
      <c r="M49" s="53">
        <v>2160</v>
      </c>
      <c r="N49" s="53">
        <v>2160</v>
      </c>
      <c r="O49" s="53"/>
      <c r="P49" s="53"/>
      <c r="Q49" s="53"/>
      <c r="R49" s="53"/>
      <c r="S49" s="53"/>
      <c r="T49" s="53"/>
      <c r="U49" s="53"/>
      <c r="V49" s="53"/>
      <c r="W49" s="2">
        <f>SUM(Mod_CL[[#This Row],[Inv 1 (630kw) unit 1]:[Inv 3 (630kw) unit 4]])</f>
        <v>8640</v>
      </c>
      <c r="X49" s="53"/>
      <c r="Y49" s="53"/>
      <c r="Z49" s="53"/>
      <c r="AA49" s="53"/>
      <c r="AB49" s="53"/>
      <c r="AC49" s="53"/>
      <c r="AD49" s="53"/>
    </row>
    <row r="50" spans="1:30" x14ac:dyDescent="0.3">
      <c r="A50" s="53">
        <v>48</v>
      </c>
      <c r="B50" s="53">
        <f>YEAR(Mod_CL[[#This Row],[Date]])+IF(MONTH(Mod_CL[[#This Row],[Date]])&gt;=4,1,0)</f>
        <v>2026</v>
      </c>
      <c r="C50" s="53">
        <f>YEAR(Mod_CL[[#This Row],[Date]])</f>
        <v>2025</v>
      </c>
      <c r="D50" s="57" t="s">
        <v>1082</v>
      </c>
      <c r="E50" s="57" t="s">
        <v>1082</v>
      </c>
      <c r="F50" s="2" t="str">
        <f>TEXT(Mod_CL[[#This Row],[Date]],"mmm-yy")</f>
        <v>May-25</v>
      </c>
      <c r="G50" s="2">
        <f>DAY(EOMONTH(Mod_CL[[#This Row],[Month Year]],0))</f>
        <v>31</v>
      </c>
      <c r="H50" s="127">
        <f t="shared" si="1"/>
        <v>45792</v>
      </c>
      <c r="I50" s="53">
        <v>5</v>
      </c>
      <c r="J50" s="53">
        <v>2</v>
      </c>
      <c r="K50" s="53"/>
      <c r="L50" s="53"/>
      <c r="M50" s="53"/>
      <c r="N50" s="53"/>
      <c r="O50" s="53">
        <v>2160</v>
      </c>
      <c r="P50" s="53">
        <v>2160</v>
      </c>
      <c r="Q50" s="53">
        <v>2160</v>
      </c>
      <c r="R50" s="53">
        <v>2160</v>
      </c>
      <c r="S50" s="53"/>
      <c r="T50" s="53"/>
      <c r="U50" s="53"/>
      <c r="V50" s="53"/>
      <c r="W50" s="2">
        <f>SUM(Mod_CL[[#This Row],[Inv 1 (630kw) unit 1]:[Inv 3 (630kw) unit 4]])</f>
        <v>8640</v>
      </c>
      <c r="X50" s="53"/>
      <c r="Y50" s="53"/>
      <c r="Z50" s="53"/>
      <c r="AA50" s="53"/>
      <c r="AB50" s="53"/>
      <c r="AC50" s="53"/>
      <c r="AD50" s="53"/>
    </row>
    <row r="51" spans="1:30" x14ac:dyDescent="0.3">
      <c r="A51" s="53">
        <v>49</v>
      </c>
      <c r="B51" s="53">
        <f>YEAR(Mod_CL[[#This Row],[Date]])+IF(MONTH(Mod_CL[[#This Row],[Date]])&gt;=4,1,0)</f>
        <v>2026</v>
      </c>
      <c r="C51" s="53">
        <f>YEAR(Mod_CL[[#This Row],[Date]])</f>
        <v>2025</v>
      </c>
      <c r="D51" s="57" t="s">
        <v>1082</v>
      </c>
      <c r="E51" s="57" t="s">
        <v>1082</v>
      </c>
      <c r="F51" s="2" t="str">
        <f>TEXT(Mod_CL[[#This Row],[Date]],"mmm-yy")</f>
        <v>May-25</v>
      </c>
      <c r="G51" s="2">
        <f>DAY(EOMONTH(Mod_CL[[#This Row],[Month Year]],0))</f>
        <v>31</v>
      </c>
      <c r="H51" s="127">
        <f t="shared" si="1"/>
        <v>45793</v>
      </c>
      <c r="I51" s="53">
        <v>5</v>
      </c>
      <c r="J51" s="53">
        <v>2</v>
      </c>
      <c r="K51" s="53"/>
      <c r="L51" s="53"/>
      <c r="M51" s="53"/>
      <c r="N51" s="53"/>
      <c r="O51" s="53"/>
      <c r="P51" s="53"/>
      <c r="Q51" s="53"/>
      <c r="R51" s="53"/>
      <c r="S51" s="53">
        <v>2160</v>
      </c>
      <c r="T51" s="53">
        <v>2160</v>
      </c>
      <c r="U51" s="53">
        <v>2160</v>
      </c>
      <c r="V51" s="53">
        <v>2160</v>
      </c>
      <c r="W51" s="2">
        <f>SUM(Mod_CL[[#This Row],[Inv 1 (630kw) unit 1]:[Inv 3 (630kw) unit 4]])</f>
        <v>8640</v>
      </c>
      <c r="X51" s="53"/>
      <c r="Y51" s="53"/>
      <c r="Z51" s="53"/>
      <c r="AA51" s="53"/>
      <c r="AB51" s="53"/>
      <c r="AC51" s="53"/>
      <c r="AD51" s="53"/>
    </row>
    <row r="52" spans="1:30" x14ac:dyDescent="0.3">
      <c r="A52" s="53">
        <v>50</v>
      </c>
      <c r="B52" s="53">
        <f>YEAR(Mod_CL[[#This Row],[Date]])+IF(MONTH(Mod_CL[[#This Row],[Date]])&gt;=4,1,0)</f>
        <v>2026</v>
      </c>
      <c r="C52" s="53">
        <f>YEAR(Mod_CL[[#This Row],[Date]])</f>
        <v>2025</v>
      </c>
      <c r="D52" s="57" t="s">
        <v>1082</v>
      </c>
      <c r="E52" s="57" t="s">
        <v>1082</v>
      </c>
      <c r="F52" s="2" t="str">
        <f>TEXT(Mod_CL[[#This Row],[Date]],"mmm-yy")</f>
        <v>May-25</v>
      </c>
      <c r="G52" s="2">
        <f>DAY(EOMONTH(Mod_CL[[#This Row],[Month Year]],0))</f>
        <v>31</v>
      </c>
      <c r="H52" s="127">
        <f t="shared" si="1"/>
        <v>45794</v>
      </c>
      <c r="I52" s="53">
        <v>6</v>
      </c>
      <c r="J52" s="53">
        <v>2</v>
      </c>
      <c r="K52" s="53">
        <v>2160</v>
      </c>
      <c r="L52" s="53">
        <v>2160</v>
      </c>
      <c r="M52" s="53">
        <v>2160</v>
      </c>
      <c r="N52" s="53">
        <v>2160</v>
      </c>
      <c r="O52" s="53"/>
      <c r="P52" s="53"/>
      <c r="Q52" s="53"/>
      <c r="R52" s="53"/>
      <c r="S52" s="53"/>
      <c r="T52" s="53"/>
      <c r="U52" s="53"/>
      <c r="V52" s="53"/>
      <c r="W52" s="2">
        <f>SUM(Mod_CL[[#This Row],[Inv 1 (630kw) unit 1]:[Inv 3 (630kw) unit 4]])</f>
        <v>8640</v>
      </c>
      <c r="X52" s="53"/>
      <c r="Y52" s="53"/>
      <c r="Z52" s="53"/>
      <c r="AA52" s="53"/>
      <c r="AB52" s="53"/>
      <c r="AC52" s="53"/>
      <c r="AD52" s="53"/>
    </row>
    <row r="53" spans="1:30" x14ac:dyDescent="0.3">
      <c r="A53" s="53">
        <v>51</v>
      </c>
      <c r="B53" s="53">
        <f>YEAR(Mod_CL[[#This Row],[Date]])+IF(MONTH(Mod_CL[[#This Row],[Date]])&gt;=4,1,0)</f>
        <v>2026</v>
      </c>
      <c r="C53" s="53">
        <f>YEAR(Mod_CL[[#This Row],[Date]])</f>
        <v>2025</v>
      </c>
      <c r="D53" s="57" t="s">
        <v>1082</v>
      </c>
      <c r="E53" s="57" t="s">
        <v>1082</v>
      </c>
      <c r="F53" s="2" t="str">
        <f>TEXT(Mod_CL[[#This Row],[Date]],"mmm-yy")</f>
        <v>May-25</v>
      </c>
      <c r="G53" s="2">
        <f>DAY(EOMONTH(Mod_CL[[#This Row],[Month Year]],0))</f>
        <v>31</v>
      </c>
      <c r="H53" s="127">
        <f t="shared" si="1"/>
        <v>45795</v>
      </c>
      <c r="I53" s="53">
        <v>6</v>
      </c>
      <c r="J53" s="53">
        <v>2</v>
      </c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2">
        <f>SUM(Mod_CL[[#This Row],[Inv 1 (630kw) unit 1]:[Inv 3 (630kw) unit 4]])</f>
        <v>0</v>
      </c>
      <c r="X53" s="53"/>
      <c r="Y53" s="53"/>
      <c r="Z53" s="53"/>
      <c r="AA53" s="53"/>
      <c r="AB53" s="53"/>
      <c r="AC53" s="53"/>
      <c r="AD53" s="53" t="s">
        <v>1052</v>
      </c>
    </row>
    <row r="54" spans="1:30" x14ac:dyDescent="0.3">
      <c r="A54" s="53">
        <v>52</v>
      </c>
      <c r="B54" s="53">
        <f>YEAR(Mod_CL[[#This Row],[Date]])+IF(MONTH(Mod_CL[[#This Row],[Date]])&gt;=4,1,0)</f>
        <v>2026</v>
      </c>
      <c r="C54" s="53">
        <f>YEAR(Mod_CL[[#This Row],[Date]])</f>
        <v>2025</v>
      </c>
      <c r="D54" s="57" t="s">
        <v>1082</v>
      </c>
      <c r="E54" s="57" t="s">
        <v>1082</v>
      </c>
      <c r="F54" s="2" t="str">
        <f>TEXT(Mod_CL[[#This Row],[Date]],"mmm-yy")</f>
        <v>May-25</v>
      </c>
      <c r="G54" s="2">
        <f>DAY(EOMONTH(Mod_CL[[#This Row],[Month Year]],0))</f>
        <v>31</v>
      </c>
      <c r="H54" s="127">
        <f t="shared" si="1"/>
        <v>45796</v>
      </c>
      <c r="I54" s="53">
        <v>6</v>
      </c>
      <c r="J54" s="53">
        <v>2</v>
      </c>
      <c r="K54" s="53"/>
      <c r="L54" s="53"/>
      <c r="M54" s="53"/>
      <c r="N54" s="53"/>
      <c r="O54" s="53">
        <v>2160</v>
      </c>
      <c r="P54" s="53">
        <v>2160</v>
      </c>
      <c r="Q54" s="53">
        <v>2160</v>
      </c>
      <c r="R54" s="53">
        <v>2160</v>
      </c>
      <c r="S54" s="53"/>
      <c r="T54" s="53"/>
      <c r="U54" s="53"/>
      <c r="V54" s="53"/>
      <c r="W54" s="2">
        <f>SUM(Mod_CL[[#This Row],[Inv 1 (630kw) unit 1]:[Inv 3 (630kw) unit 4]])</f>
        <v>8640</v>
      </c>
      <c r="X54" s="53"/>
      <c r="Y54" s="53"/>
      <c r="Z54" s="53"/>
      <c r="AA54" s="53"/>
      <c r="AB54" s="53"/>
      <c r="AC54" s="53"/>
      <c r="AD54" s="53"/>
    </row>
    <row r="55" spans="1:30" x14ac:dyDescent="0.3">
      <c r="A55" s="53">
        <v>53</v>
      </c>
      <c r="B55" s="53">
        <f>YEAR(Mod_CL[[#This Row],[Date]])+IF(MONTH(Mod_CL[[#This Row],[Date]])&gt;=4,1,0)</f>
        <v>2026</v>
      </c>
      <c r="C55" s="53">
        <f>YEAR(Mod_CL[[#This Row],[Date]])</f>
        <v>2025</v>
      </c>
      <c r="D55" s="57" t="s">
        <v>1082</v>
      </c>
      <c r="E55" s="57" t="s">
        <v>1082</v>
      </c>
      <c r="F55" s="2" t="str">
        <f>TEXT(Mod_CL[[#This Row],[Date]],"mmm-yy")</f>
        <v>May-25</v>
      </c>
      <c r="G55" s="2">
        <f>DAY(EOMONTH(Mod_CL[[#This Row],[Month Year]],0))</f>
        <v>31</v>
      </c>
      <c r="H55" s="127">
        <f t="shared" si="1"/>
        <v>45797</v>
      </c>
      <c r="I55" s="53">
        <v>6</v>
      </c>
      <c r="J55" s="53">
        <v>2</v>
      </c>
      <c r="K55" s="53"/>
      <c r="L55" s="53"/>
      <c r="M55" s="53"/>
      <c r="N55" s="53"/>
      <c r="O55" s="53"/>
      <c r="P55" s="53"/>
      <c r="Q55" s="53"/>
      <c r="R55" s="53"/>
      <c r="S55" s="53">
        <v>2160</v>
      </c>
      <c r="T55" s="53">
        <v>2160</v>
      </c>
      <c r="U55" s="53">
        <v>2160</v>
      </c>
      <c r="V55" s="53">
        <v>2160</v>
      </c>
      <c r="W55" s="2">
        <f>SUM(Mod_CL[[#This Row],[Inv 1 (630kw) unit 1]:[Inv 3 (630kw) unit 4]])</f>
        <v>8640</v>
      </c>
      <c r="X55" s="53"/>
      <c r="Y55" s="53"/>
      <c r="Z55" s="53"/>
      <c r="AA55" s="53"/>
      <c r="AB55" s="53"/>
      <c r="AC55" s="53"/>
      <c r="AD55" s="53"/>
    </row>
    <row r="56" spans="1:30" x14ac:dyDescent="0.3">
      <c r="A56" s="53">
        <v>54</v>
      </c>
      <c r="B56" s="53">
        <f>YEAR(Mod_CL[[#This Row],[Date]])+IF(MONTH(Mod_CL[[#This Row],[Date]])&gt;=4,1,0)</f>
        <v>2026</v>
      </c>
      <c r="C56" s="53">
        <f>YEAR(Mod_CL[[#This Row],[Date]])</f>
        <v>2025</v>
      </c>
      <c r="D56" s="57" t="s">
        <v>1082</v>
      </c>
      <c r="E56" s="57" t="s">
        <v>1082</v>
      </c>
      <c r="F56" s="2" t="str">
        <f>TEXT(Mod_CL[[#This Row],[Date]],"mmm-yy")</f>
        <v>May-25</v>
      </c>
      <c r="G56" s="2">
        <f>DAY(EOMONTH(Mod_CL[[#This Row],[Month Year]],0))</f>
        <v>31</v>
      </c>
      <c r="H56" s="127">
        <f t="shared" si="1"/>
        <v>45798</v>
      </c>
      <c r="I56" s="53">
        <v>7</v>
      </c>
      <c r="J56" s="53">
        <v>2</v>
      </c>
      <c r="K56" s="53">
        <v>2160</v>
      </c>
      <c r="L56" s="53">
        <v>2160</v>
      </c>
      <c r="M56" s="53">
        <v>2160</v>
      </c>
      <c r="N56" s="53">
        <v>2160</v>
      </c>
      <c r="O56" s="53"/>
      <c r="P56" s="53"/>
      <c r="Q56" s="53"/>
      <c r="R56" s="53"/>
      <c r="S56" s="53"/>
      <c r="T56" s="53"/>
      <c r="U56" s="53"/>
      <c r="V56" s="53"/>
      <c r="W56" s="2">
        <f>SUM(Mod_CL[[#This Row],[Inv 1 (630kw) unit 1]:[Inv 3 (630kw) unit 4]])</f>
        <v>8640</v>
      </c>
      <c r="X56" s="53"/>
      <c r="Y56" s="53"/>
      <c r="Z56" s="53"/>
      <c r="AA56" s="53"/>
      <c r="AB56" s="53"/>
      <c r="AC56" s="53"/>
      <c r="AD56" s="53"/>
    </row>
    <row r="57" spans="1:30" x14ac:dyDescent="0.3">
      <c r="A57" s="53">
        <v>55</v>
      </c>
      <c r="B57" s="53">
        <f>YEAR(Mod_CL[[#This Row],[Date]])+IF(MONTH(Mod_CL[[#This Row],[Date]])&gt;=4,1,0)</f>
        <v>2026</v>
      </c>
      <c r="C57" s="53">
        <f>YEAR(Mod_CL[[#This Row],[Date]])</f>
        <v>2025</v>
      </c>
      <c r="D57" s="57" t="s">
        <v>1082</v>
      </c>
      <c r="E57" s="57" t="s">
        <v>1082</v>
      </c>
      <c r="F57" s="2" t="str">
        <f>TEXT(Mod_CL[[#This Row],[Date]],"mmm-yy")</f>
        <v>May-25</v>
      </c>
      <c r="G57" s="2">
        <f>DAY(EOMONTH(Mod_CL[[#This Row],[Month Year]],0))</f>
        <v>31</v>
      </c>
      <c r="H57" s="127">
        <f t="shared" si="1"/>
        <v>45799</v>
      </c>
      <c r="I57" s="53">
        <v>7</v>
      </c>
      <c r="J57" s="53">
        <v>2</v>
      </c>
      <c r="K57" s="53"/>
      <c r="L57" s="53"/>
      <c r="M57" s="53"/>
      <c r="N57" s="53"/>
      <c r="O57" s="53">
        <v>2160</v>
      </c>
      <c r="P57" s="53">
        <v>2160</v>
      </c>
      <c r="Q57" s="53">
        <v>2160</v>
      </c>
      <c r="R57" s="53">
        <v>2160</v>
      </c>
      <c r="S57" s="53"/>
      <c r="T57" s="53"/>
      <c r="U57" s="53"/>
      <c r="V57" s="53"/>
      <c r="W57" s="2">
        <f>SUM(Mod_CL[[#This Row],[Inv 1 (630kw) unit 1]:[Inv 3 (630kw) unit 4]])</f>
        <v>8640</v>
      </c>
      <c r="X57" s="53"/>
      <c r="Y57" s="53"/>
      <c r="Z57" s="53"/>
      <c r="AA57" s="53"/>
      <c r="AB57" s="53"/>
      <c r="AC57" s="53"/>
      <c r="AD57" s="53"/>
    </row>
    <row r="58" spans="1:30" x14ac:dyDescent="0.3">
      <c r="A58" s="53">
        <v>56</v>
      </c>
      <c r="B58" s="53">
        <f>YEAR(Mod_CL[[#This Row],[Date]])+IF(MONTH(Mod_CL[[#This Row],[Date]])&gt;=4,1,0)</f>
        <v>2026</v>
      </c>
      <c r="C58" s="53">
        <f>YEAR(Mod_CL[[#This Row],[Date]])</f>
        <v>2025</v>
      </c>
      <c r="D58" s="57" t="s">
        <v>1082</v>
      </c>
      <c r="E58" s="57" t="s">
        <v>1082</v>
      </c>
      <c r="F58" s="2" t="str">
        <f>TEXT(Mod_CL[[#This Row],[Date]],"mmm-yy")</f>
        <v>May-25</v>
      </c>
      <c r="G58" s="2">
        <f>DAY(EOMONTH(Mod_CL[[#This Row],[Month Year]],0))</f>
        <v>31</v>
      </c>
      <c r="H58" s="127">
        <f t="shared" si="1"/>
        <v>45800</v>
      </c>
      <c r="I58" s="53">
        <v>7</v>
      </c>
      <c r="J58" s="53">
        <v>2</v>
      </c>
      <c r="K58" s="53"/>
      <c r="L58" s="53"/>
      <c r="M58" s="53"/>
      <c r="N58" s="53"/>
      <c r="O58" s="53"/>
      <c r="P58" s="53"/>
      <c r="Q58" s="53"/>
      <c r="R58" s="53"/>
      <c r="S58" s="53">
        <v>2160</v>
      </c>
      <c r="T58" s="53">
        <v>2160</v>
      </c>
      <c r="U58" s="53">
        <v>2160</v>
      </c>
      <c r="V58" s="53">
        <v>2160</v>
      </c>
      <c r="W58" s="2">
        <f>SUM(Mod_CL[[#This Row],[Inv 1 (630kw) unit 1]:[Inv 3 (630kw) unit 4]])</f>
        <v>8640</v>
      </c>
      <c r="X58" s="53"/>
      <c r="Y58" s="53"/>
      <c r="Z58" s="53"/>
      <c r="AA58" s="53"/>
      <c r="AB58" s="53"/>
      <c r="AC58" s="53"/>
      <c r="AD58" s="53"/>
    </row>
    <row r="59" spans="1:30" x14ac:dyDescent="0.3">
      <c r="A59" s="53">
        <v>57</v>
      </c>
      <c r="B59" s="53">
        <f>YEAR(Mod_CL[[#This Row],[Date]])+IF(MONTH(Mod_CL[[#This Row],[Date]])&gt;=4,1,0)</f>
        <v>2026</v>
      </c>
      <c r="C59" s="53">
        <f>YEAR(Mod_CL[[#This Row],[Date]])</f>
        <v>2025</v>
      </c>
      <c r="D59" s="57" t="s">
        <v>1082</v>
      </c>
      <c r="E59" s="57" t="s">
        <v>1082</v>
      </c>
      <c r="F59" s="2" t="str">
        <f>TEXT(Mod_CL[[#This Row],[Date]],"mmm-yy")</f>
        <v>May-25</v>
      </c>
      <c r="G59" s="2">
        <f>DAY(EOMONTH(Mod_CL[[#This Row],[Month Year]],0))</f>
        <v>31</v>
      </c>
      <c r="H59" s="127">
        <f t="shared" si="1"/>
        <v>45801</v>
      </c>
      <c r="I59" s="53">
        <v>8</v>
      </c>
      <c r="J59" s="53">
        <v>2</v>
      </c>
      <c r="K59" s="53">
        <v>2160</v>
      </c>
      <c r="L59" s="53">
        <v>2160</v>
      </c>
      <c r="M59" s="53">
        <v>2160</v>
      </c>
      <c r="N59" s="53">
        <v>2160</v>
      </c>
      <c r="O59" s="53"/>
      <c r="P59" s="53"/>
      <c r="Q59" s="53"/>
      <c r="R59" s="53"/>
      <c r="S59" s="53"/>
      <c r="T59" s="53"/>
      <c r="U59" s="53"/>
      <c r="V59" s="53"/>
      <c r="W59" s="2">
        <f>SUM(Mod_CL[[#This Row],[Inv 1 (630kw) unit 1]:[Inv 3 (630kw) unit 4]])</f>
        <v>8640</v>
      </c>
      <c r="X59" s="53"/>
      <c r="Y59" s="53"/>
      <c r="Z59" s="53"/>
      <c r="AA59" s="53"/>
      <c r="AB59" s="53"/>
      <c r="AC59" s="53"/>
      <c r="AD59" s="53"/>
    </row>
    <row r="60" spans="1:30" x14ac:dyDescent="0.3">
      <c r="A60" s="53">
        <v>58</v>
      </c>
      <c r="B60" s="53">
        <f>YEAR(Mod_CL[[#This Row],[Date]])+IF(MONTH(Mod_CL[[#This Row],[Date]])&gt;=4,1,0)</f>
        <v>2026</v>
      </c>
      <c r="C60" s="53">
        <f>YEAR(Mod_CL[[#This Row],[Date]])</f>
        <v>2025</v>
      </c>
      <c r="D60" s="57" t="s">
        <v>1082</v>
      </c>
      <c r="E60" s="57" t="s">
        <v>1082</v>
      </c>
      <c r="F60" s="2" t="str">
        <f>TEXT(Mod_CL[[#This Row],[Date]],"mmm-yy")</f>
        <v>May-25</v>
      </c>
      <c r="G60" s="2">
        <f>DAY(EOMONTH(Mod_CL[[#This Row],[Month Year]],0))</f>
        <v>31</v>
      </c>
      <c r="H60" s="127">
        <f t="shared" si="1"/>
        <v>45802</v>
      </c>
      <c r="I60" s="53">
        <v>8</v>
      </c>
      <c r="J60" s="53">
        <v>2</v>
      </c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2">
        <f>SUM(Mod_CL[[#This Row],[Inv 1 (630kw) unit 1]:[Inv 3 (630kw) unit 4]])</f>
        <v>0</v>
      </c>
      <c r="X60" s="53"/>
      <c r="Y60" s="53"/>
      <c r="Z60" s="53"/>
      <c r="AA60" s="53"/>
      <c r="AB60" s="53"/>
      <c r="AC60" s="53"/>
      <c r="AD60" s="53" t="s">
        <v>1052</v>
      </c>
    </row>
    <row r="61" spans="1:30" x14ac:dyDescent="0.3">
      <c r="A61" s="53">
        <v>59</v>
      </c>
      <c r="B61" s="53">
        <f>YEAR(Mod_CL[[#This Row],[Date]])+IF(MONTH(Mod_CL[[#This Row],[Date]])&gt;=4,1,0)</f>
        <v>2026</v>
      </c>
      <c r="C61" s="53">
        <f>YEAR(Mod_CL[[#This Row],[Date]])</f>
        <v>2025</v>
      </c>
      <c r="D61" s="57" t="s">
        <v>1082</v>
      </c>
      <c r="E61" s="57" t="s">
        <v>1082</v>
      </c>
      <c r="F61" s="2" t="str">
        <f>TEXT(Mod_CL[[#This Row],[Date]],"mmm-yy")</f>
        <v>May-25</v>
      </c>
      <c r="G61" s="2">
        <f>DAY(EOMONTH(Mod_CL[[#This Row],[Month Year]],0))</f>
        <v>31</v>
      </c>
      <c r="H61" s="127">
        <f t="shared" si="1"/>
        <v>45803</v>
      </c>
      <c r="I61" s="53">
        <v>8</v>
      </c>
      <c r="J61" s="53">
        <v>2</v>
      </c>
      <c r="K61" s="53"/>
      <c r="L61" s="53"/>
      <c r="M61" s="53"/>
      <c r="N61" s="53"/>
      <c r="O61" s="53">
        <v>2160</v>
      </c>
      <c r="P61" s="53">
        <v>2160</v>
      </c>
      <c r="Q61" s="53">
        <v>2160</v>
      </c>
      <c r="R61" s="53">
        <v>2160</v>
      </c>
      <c r="S61" s="53"/>
      <c r="T61" s="53"/>
      <c r="U61" s="53"/>
      <c r="V61" s="53"/>
      <c r="W61" s="2">
        <f>SUM(Mod_CL[[#This Row],[Inv 1 (630kw) unit 1]:[Inv 3 (630kw) unit 4]])</f>
        <v>8640</v>
      </c>
      <c r="X61" s="53"/>
      <c r="Y61" s="53"/>
      <c r="Z61" s="53"/>
      <c r="AA61" s="53"/>
      <c r="AB61" s="53"/>
      <c r="AC61" s="53"/>
      <c r="AD61" s="53"/>
    </row>
    <row r="62" spans="1:30" x14ac:dyDescent="0.3">
      <c r="A62" s="53">
        <v>60</v>
      </c>
      <c r="B62" s="53">
        <f>YEAR(Mod_CL[[#This Row],[Date]])+IF(MONTH(Mod_CL[[#This Row],[Date]])&gt;=4,1,0)</f>
        <v>2026</v>
      </c>
      <c r="C62" s="53">
        <f>YEAR(Mod_CL[[#This Row],[Date]])</f>
        <v>2025</v>
      </c>
      <c r="D62" s="57" t="s">
        <v>1082</v>
      </c>
      <c r="E62" s="57" t="s">
        <v>1082</v>
      </c>
      <c r="F62" s="2" t="str">
        <f>TEXT(Mod_CL[[#This Row],[Date]],"mmm-yy")</f>
        <v>May-25</v>
      </c>
      <c r="G62" s="2">
        <f>DAY(EOMONTH(Mod_CL[[#This Row],[Month Year]],0))</f>
        <v>31</v>
      </c>
      <c r="H62" s="127">
        <f t="shared" si="1"/>
        <v>45804</v>
      </c>
      <c r="I62" s="53">
        <v>8</v>
      </c>
      <c r="J62" s="53">
        <v>2</v>
      </c>
      <c r="K62" s="53"/>
      <c r="L62" s="53"/>
      <c r="M62" s="53"/>
      <c r="N62" s="53"/>
      <c r="O62" s="53"/>
      <c r="P62" s="53"/>
      <c r="Q62" s="53"/>
      <c r="R62" s="53"/>
      <c r="S62" s="53">
        <v>2160</v>
      </c>
      <c r="T62" s="53">
        <v>2160</v>
      </c>
      <c r="U62" s="53">
        <v>2160</v>
      </c>
      <c r="V62" s="53">
        <v>2160</v>
      </c>
      <c r="W62" s="2">
        <f>SUM(Mod_CL[[#This Row],[Inv 1 (630kw) unit 1]:[Inv 3 (630kw) unit 4]])</f>
        <v>8640</v>
      </c>
      <c r="X62" s="53"/>
      <c r="Y62" s="53"/>
      <c r="Z62" s="53"/>
      <c r="AA62" s="53"/>
      <c r="AB62" s="53"/>
      <c r="AC62" s="53"/>
      <c r="AD62" s="53"/>
    </row>
    <row r="63" spans="1:30" x14ac:dyDescent="0.3">
      <c r="A63" s="53">
        <v>61</v>
      </c>
      <c r="B63" s="53">
        <f>YEAR(Mod_CL[[#This Row],[Date]])+IF(MONTH(Mod_CL[[#This Row],[Date]])&gt;=4,1,0)</f>
        <v>2026</v>
      </c>
      <c r="C63" s="53">
        <f>YEAR(Mod_CL[[#This Row],[Date]])</f>
        <v>2025</v>
      </c>
      <c r="D63" s="57" t="s">
        <v>1082</v>
      </c>
      <c r="E63" s="57" t="s">
        <v>1082</v>
      </c>
      <c r="F63" s="2" t="str">
        <f>TEXT(Mod_CL[[#This Row],[Date]],"mmm-yy")</f>
        <v>May-25</v>
      </c>
      <c r="G63" s="2">
        <f>DAY(EOMONTH(Mod_CL[[#This Row],[Month Year]],0))</f>
        <v>31</v>
      </c>
      <c r="H63" s="127">
        <f t="shared" si="1"/>
        <v>45805</v>
      </c>
      <c r="I63" s="53">
        <v>9</v>
      </c>
      <c r="J63" s="53">
        <v>2</v>
      </c>
      <c r="K63" s="53">
        <v>2160</v>
      </c>
      <c r="L63" s="53">
        <v>2160</v>
      </c>
      <c r="M63" s="53">
        <v>2160</v>
      </c>
      <c r="N63" s="53">
        <v>2160</v>
      </c>
      <c r="O63" s="53"/>
      <c r="P63" s="53"/>
      <c r="Q63" s="53"/>
      <c r="R63" s="53"/>
      <c r="S63" s="53"/>
      <c r="T63" s="53"/>
      <c r="U63" s="53"/>
      <c r="V63" s="53"/>
      <c r="W63" s="2">
        <f>SUM(Mod_CL[[#This Row],[Inv 1 (630kw) unit 1]:[Inv 3 (630kw) unit 4]])</f>
        <v>8640</v>
      </c>
      <c r="X63" s="53"/>
      <c r="Y63" s="53"/>
      <c r="Z63" s="53"/>
      <c r="AA63" s="53"/>
      <c r="AB63" s="53"/>
      <c r="AC63" s="53"/>
      <c r="AD63" s="53"/>
    </row>
    <row r="64" spans="1:30" x14ac:dyDescent="0.3">
      <c r="A64" s="53">
        <v>62</v>
      </c>
      <c r="B64" s="53">
        <f>YEAR(Mod_CL[[#This Row],[Date]])+IF(MONTH(Mod_CL[[#This Row],[Date]])&gt;=4,1,0)</f>
        <v>2026</v>
      </c>
      <c r="C64" s="53">
        <f>YEAR(Mod_CL[[#This Row],[Date]])</f>
        <v>2025</v>
      </c>
      <c r="D64" s="57" t="s">
        <v>1082</v>
      </c>
      <c r="E64" s="57" t="s">
        <v>1082</v>
      </c>
      <c r="F64" s="2" t="str">
        <f>TEXT(Mod_CL[[#This Row],[Date]],"mmm-yy")</f>
        <v>May-25</v>
      </c>
      <c r="G64" s="2">
        <f>DAY(EOMONTH(Mod_CL[[#This Row],[Month Year]],0))</f>
        <v>31</v>
      </c>
      <c r="H64" s="127">
        <f t="shared" si="1"/>
        <v>45806</v>
      </c>
      <c r="I64" s="53">
        <v>9</v>
      </c>
      <c r="J64" s="53">
        <v>2</v>
      </c>
      <c r="K64" s="53"/>
      <c r="L64" s="53"/>
      <c r="M64" s="53"/>
      <c r="N64" s="53"/>
      <c r="O64" s="53">
        <v>2160</v>
      </c>
      <c r="P64" s="53">
        <v>2160</v>
      </c>
      <c r="Q64" s="53">
        <v>2160</v>
      </c>
      <c r="R64" s="53">
        <v>2160</v>
      </c>
      <c r="S64" s="53"/>
      <c r="T64" s="53"/>
      <c r="U64" s="53"/>
      <c r="V64" s="53"/>
      <c r="W64" s="2">
        <f>SUM(Mod_CL[[#This Row],[Inv 1 (630kw) unit 1]:[Inv 3 (630kw) unit 4]])</f>
        <v>8640</v>
      </c>
      <c r="X64" s="53"/>
      <c r="Y64" s="53"/>
      <c r="Z64" s="53"/>
      <c r="AA64" s="53"/>
      <c r="AB64" s="53"/>
      <c r="AC64" s="53"/>
      <c r="AD64" s="53"/>
    </row>
    <row r="65" spans="1:30" x14ac:dyDescent="0.3">
      <c r="A65" s="53">
        <v>63</v>
      </c>
      <c r="B65" s="53">
        <f>YEAR(Mod_CL[[#This Row],[Date]])+IF(MONTH(Mod_CL[[#This Row],[Date]])&gt;=4,1,0)</f>
        <v>2026</v>
      </c>
      <c r="C65" s="53">
        <f>YEAR(Mod_CL[[#This Row],[Date]])</f>
        <v>2025</v>
      </c>
      <c r="D65" s="57" t="s">
        <v>1082</v>
      </c>
      <c r="E65" s="57" t="s">
        <v>1082</v>
      </c>
      <c r="F65" s="2" t="str">
        <f>TEXT(Mod_CL[[#This Row],[Date]],"mmm-yy")</f>
        <v>May-25</v>
      </c>
      <c r="G65" s="2">
        <f>DAY(EOMONTH(Mod_CL[[#This Row],[Month Year]],0))</f>
        <v>31</v>
      </c>
      <c r="H65" s="127">
        <f t="shared" si="1"/>
        <v>45807</v>
      </c>
      <c r="I65" s="53">
        <v>9</v>
      </c>
      <c r="J65" s="53">
        <v>2</v>
      </c>
      <c r="K65" s="53"/>
      <c r="L65" s="53"/>
      <c r="M65" s="53"/>
      <c r="N65" s="53"/>
      <c r="O65" s="53"/>
      <c r="P65" s="53"/>
      <c r="Q65" s="53"/>
      <c r="R65" s="53"/>
      <c r="S65" s="53">
        <v>2160</v>
      </c>
      <c r="T65" s="53">
        <v>2160</v>
      </c>
      <c r="U65" s="53">
        <v>2160</v>
      </c>
      <c r="V65" s="53">
        <v>2160</v>
      </c>
      <c r="W65" s="2">
        <f>SUM(Mod_CL[[#This Row],[Inv 1 (630kw) unit 1]:[Inv 3 (630kw) unit 4]])</f>
        <v>8640</v>
      </c>
      <c r="X65" s="53"/>
      <c r="Y65" s="53"/>
      <c r="Z65" s="53"/>
      <c r="AA65" s="53"/>
      <c r="AB65" s="53"/>
      <c r="AC65" s="53"/>
      <c r="AD65" s="53"/>
    </row>
    <row r="66" spans="1:30" x14ac:dyDescent="0.3">
      <c r="A66" s="53">
        <v>64</v>
      </c>
      <c r="B66" s="53">
        <f>YEAR(Mod_CL[[#This Row],[Date]])+IF(MONTH(Mod_CL[[#This Row],[Date]])&gt;=4,1,0)</f>
        <v>2026</v>
      </c>
      <c r="C66" s="53">
        <f>YEAR(Mod_CL[[#This Row],[Date]])</f>
        <v>2025</v>
      </c>
      <c r="D66" s="57" t="s">
        <v>1082</v>
      </c>
      <c r="E66" s="57" t="s">
        <v>1082</v>
      </c>
      <c r="F66" s="2" t="str">
        <f>TEXT(Mod_CL[[#This Row],[Date]],"mmm-yy")</f>
        <v>May-25</v>
      </c>
      <c r="G66" s="2">
        <f>DAY(EOMONTH(Mod_CL[[#This Row],[Month Year]],0))</f>
        <v>31</v>
      </c>
      <c r="H66" s="127">
        <f t="shared" si="1"/>
        <v>45808</v>
      </c>
      <c r="I66" s="53">
        <v>10</v>
      </c>
      <c r="J66" s="53">
        <v>2</v>
      </c>
      <c r="K66" s="53">
        <v>2160</v>
      </c>
      <c r="L66" s="53">
        <v>2160</v>
      </c>
      <c r="M66" s="53">
        <v>2160</v>
      </c>
      <c r="N66" s="53">
        <v>2160</v>
      </c>
      <c r="O66" s="53"/>
      <c r="P66" s="53"/>
      <c r="Q66" s="53"/>
      <c r="R66" s="53"/>
      <c r="S66" s="53"/>
      <c r="T66" s="53"/>
      <c r="U66" s="53"/>
      <c r="V66" s="53"/>
      <c r="W66" s="2">
        <f>SUM(Mod_CL[[#This Row],[Inv 1 (630kw) unit 1]:[Inv 3 (630kw) unit 4]])</f>
        <v>8640</v>
      </c>
      <c r="X66" s="53"/>
      <c r="Y66" s="53"/>
      <c r="Z66" s="53"/>
      <c r="AA66" s="53"/>
      <c r="AB66" s="53"/>
      <c r="AC66" s="53"/>
      <c r="AD66" s="53"/>
    </row>
    <row r="67" spans="1:30" x14ac:dyDescent="0.3">
      <c r="A67" s="53">
        <v>65</v>
      </c>
      <c r="B67" s="53">
        <f>YEAR(Mod_CL[[#This Row],[Date]])+IF(MONTH(Mod_CL[[#This Row],[Date]])&gt;=4,1,0)</f>
        <v>2026</v>
      </c>
      <c r="C67" s="53">
        <f>YEAR(Mod_CL[[#This Row],[Date]])</f>
        <v>2025</v>
      </c>
      <c r="D67" s="57" t="s">
        <v>1082</v>
      </c>
      <c r="E67" s="57" t="s">
        <v>1082</v>
      </c>
      <c r="F67" s="2" t="str">
        <f>TEXT(Mod_CL[[#This Row],[Date]],"mmm-yy")</f>
        <v>Jun-25</v>
      </c>
      <c r="G67" s="2">
        <f>DAY(EOMONTH(Mod_CL[[#This Row],[Month Year]],0))</f>
        <v>30</v>
      </c>
      <c r="H67" s="127">
        <f t="shared" si="1"/>
        <v>45809</v>
      </c>
      <c r="I67" s="53">
        <v>1</v>
      </c>
      <c r="J67" s="53">
        <v>2</v>
      </c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2">
        <f>SUM(Mod_CL[[#This Row],[Inv 1 (630kw) unit 1]:[Inv 3 (630kw) unit 4]])</f>
        <v>0</v>
      </c>
      <c r="X67" s="53"/>
      <c r="Y67" s="53"/>
      <c r="Z67" s="53"/>
      <c r="AA67" s="53"/>
      <c r="AB67" s="53"/>
      <c r="AC67" s="53"/>
      <c r="AD67" s="53" t="s">
        <v>1052</v>
      </c>
    </row>
    <row r="68" spans="1:30" x14ac:dyDescent="0.3">
      <c r="A68" s="53">
        <v>66</v>
      </c>
      <c r="B68" s="53">
        <f>YEAR(Mod_CL[[#This Row],[Date]])+IF(MONTH(Mod_CL[[#This Row],[Date]])&gt;=4,1,0)</f>
        <v>2026</v>
      </c>
      <c r="C68" s="53">
        <f>YEAR(Mod_CL[[#This Row],[Date]])</f>
        <v>2025</v>
      </c>
      <c r="D68" s="57" t="s">
        <v>1082</v>
      </c>
      <c r="E68" s="57" t="s">
        <v>1082</v>
      </c>
      <c r="F68" s="2" t="str">
        <f>TEXT(Mod_CL[[#This Row],[Date]],"mmm-yy")</f>
        <v>Jun-25</v>
      </c>
      <c r="G68" s="2">
        <f>DAY(EOMONTH(Mod_CL[[#This Row],[Month Year]],0))</f>
        <v>30</v>
      </c>
      <c r="H68" s="127">
        <f t="shared" si="1"/>
        <v>45810</v>
      </c>
      <c r="I68" s="53">
        <v>1</v>
      </c>
      <c r="J68" s="53">
        <v>2</v>
      </c>
      <c r="K68" s="53">
        <v>2160</v>
      </c>
      <c r="L68" s="53">
        <v>2160</v>
      </c>
      <c r="M68" s="53">
        <v>2160</v>
      </c>
      <c r="N68" s="53">
        <v>2160</v>
      </c>
      <c r="O68" s="53"/>
      <c r="P68" s="53"/>
      <c r="Q68" s="53"/>
      <c r="R68" s="53"/>
      <c r="S68" s="53"/>
      <c r="T68" s="53"/>
      <c r="U68" s="53"/>
      <c r="V68" s="53"/>
      <c r="W68" s="2">
        <f>SUM(Mod_CL[[#This Row],[Inv 1 (630kw) unit 1]:[Inv 3 (630kw) unit 4]])</f>
        <v>8640</v>
      </c>
      <c r="X68" s="53"/>
      <c r="Y68" s="53"/>
      <c r="Z68" s="53"/>
      <c r="AA68" s="53"/>
      <c r="AB68" s="53"/>
      <c r="AC68" s="53"/>
      <c r="AD68" s="53"/>
    </row>
    <row r="69" spans="1:30" x14ac:dyDescent="0.3">
      <c r="A69" s="53">
        <v>67</v>
      </c>
      <c r="B69" s="53">
        <f>YEAR(Mod_CL[[#This Row],[Date]])+IF(MONTH(Mod_CL[[#This Row],[Date]])&gt;=4,1,0)</f>
        <v>2026</v>
      </c>
      <c r="C69" s="53">
        <f>YEAR(Mod_CL[[#This Row],[Date]])</f>
        <v>2025</v>
      </c>
      <c r="D69" s="57" t="s">
        <v>1082</v>
      </c>
      <c r="E69" s="57" t="s">
        <v>1082</v>
      </c>
      <c r="F69" s="2" t="str">
        <f>TEXT(Mod_CL[[#This Row],[Date]],"mmm-yy")</f>
        <v>Jun-25</v>
      </c>
      <c r="G69" s="2">
        <f>DAY(EOMONTH(Mod_CL[[#This Row],[Month Year]],0))</f>
        <v>30</v>
      </c>
      <c r="H69" s="127">
        <f t="shared" ref="H69:H80" si="2">H68+1</f>
        <v>45811</v>
      </c>
      <c r="I69" s="53">
        <v>1</v>
      </c>
      <c r="J69" s="53">
        <v>2</v>
      </c>
      <c r="K69" s="53"/>
      <c r="L69" s="53"/>
      <c r="M69" s="53"/>
      <c r="N69" s="53"/>
      <c r="O69" s="53">
        <v>2160</v>
      </c>
      <c r="P69" s="53">
        <v>2160</v>
      </c>
      <c r="Q69" s="53">
        <v>2160</v>
      </c>
      <c r="R69" s="53">
        <v>2160</v>
      </c>
      <c r="S69" s="53"/>
      <c r="T69" s="53"/>
      <c r="U69" s="53"/>
      <c r="V69" s="53"/>
      <c r="W69" s="2">
        <f>SUM(Mod_CL[[#This Row],[Inv 1 (630kw) unit 1]:[Inv 3 (630kw) unit 4]])</f>
        <v>8640</v>
      </c>
      <c r="X69" s="53"/>
      <c r="Y69" s="53"/>
      <c r="Z69" s="53"/>
      <c r="AA69" s="53"/>
      <c r="AB69" s="53"/>
      <c r="AC69" s="53"/>
      <c r="AD69" s="53"/>
    </row>
    <row r="70" spans="1:30" x14ac:dyDescent="0.3">
      <c r="A70" s="53">
        <v>68</v>
      </c>
      <c r="B70" s="53">
        <f>YEAR(Mod_CL[[#This Row],[Date]])+IF(MONTH(Mod_CL[[#This Row],[Date]])&gt;=4,1,0)</f>
        <v>2026</v>
      </c>
      <c r="C70" s="53">
        <f>YEAR(Mod_CL[[#This Row],[Date]])</f>
        <v>2025</v>
      </c>
      <c r="D70" s="57" t="s">
        <v>1082</v>
      </c>
      <c r="E70" s="57" t="s">
        <v>1082</v>
      </c>
      <c r="F70" s="2" t="str">
        <f>TEXT(Mod_CL[[#This Row],[Date]],"mmm-yy")</f>
        <v>Jun-25</v>
      </c>
      <c r="G70" s="2">
        <f>DAY(EOMONTH(Mod_CL[[#This Row],[Month Year]],0))</f>
        <v>30</v>
      </c>
      <c r="H70" s="127">
        <f t="shared" si="2"/>
        <v>45812</v>
      </c>
      <c r="I70" s="53">
        <v>2</v>
      </c>
      <c r="J70" s="53">
        <v>2</v>
      </c>
      <c r="K70" s="53">
        <v>2160</v>
      </c>
      <c r="L70" s="53">
        <v>2160</v>
      </c>
      <c r="M70" s="53">
        <v>2160</v>
      </c>
      <c r="N70" s="53">
        <v>2160</v>
      </c>
      <c r="O70" s="53"/>
      <c r="P70" s="53"/>
      <c r="Q70" s="53"/>
      <c r="R70" s="53"/>
      <c r="S70" s="53"/>
      <c r="T70" s="53"/>
      <c r="U70" s="53"/>
      <c r="V70" s="53"/>
      <c r="W70" s="2">
        <f>SUM(Mod_CL[[#This Row],[Inv 1 (630kw) unit 1]:[Inv 3 (630kw) unit 4]])</f>
        <v>8640</v>
      </c>
      <c r="X70" s="53"/>
      <c r="Y70" s="53"/>
      <c r="Z70" s="53"/>
      <c r="AA70" s="53"/>
      <c r="AB70" s="53"/>
      <c r="AC70" s="53"/>
      <c r="AD70" s="53"/>
    </row>
    <row r="71" spans="1:30" x14ac:dyDescent="0.3">
      <c r="A71" s="53">
        <v>69</v>
      </c>
      <c r="B71" s="53">
        <f>YEAR(Mod_CL[[#This Row],[Date]])+IF(MONTH(Mod_CL[[#This Row],[Date]])&gt;=4,1,0)</f>
        <v>2026</v>
      </c>
      <c r="C71" s="53">
        <f>YEAR(Mod_CL[[#This Row],[Date]])</f>
        <v>2025</v>
      </c>
      <c r="D71" s="57" t="s">
        <v>1082</v>
      </c>
      <c r="E71" s="57" t="s">
        <v>1082</v>
      </c>
      <c r="F71" s="2" t="str">
        <f>TEXT(Mod_CL[[#This Row],[Date]],"mmm-yy")</f>
        <v>Jun-25</v>
      </c>
      <c r="G71" s="2">
        <f>DAY(EOMONTH(Mod_CL[[#This Row],[Month Year]],0))</f>
        <v>30</v>
      </c>
      <c r="H71" s="127">
        <f t="shared" si="2"/>
        <v>45813</v>
      </c>
      <c r="I71" s="53">
        <v>2</v>
      </c>
      <c r="J71" s="53">
        <v>2</v>
      </c>
      <c r="K71" s="53"/>
      <c r="L71" s="53"/>
      <c r="M71" s="53"/>
      <c r="N71" s="53"/>
      <c r="O71" s="53">
        <v>2160</v>
      </c>
      <c r="P71" s="53">
        <v>2160</v>
      </c>
      <c r="Q71" s="53">
        <v>2160</v>
      </c>
      <c r="R71" s="53">
        <v>2160</v>
      </c>
      <c r="S71" s="53"/>
      <c r="T71" s="53"/>
      <c r="U71" s="53"/>
      <c r="V71" s="53"/>
      <c r="W71" s="2">
        <f>SUM(Mod_CL[[#This Row],[Inv 1 (630kw) unit 1]:[Inv 3 (630kw) unit 4]])</f>
        <v>8640</v>
      </c>
      <c r="X71" s="53"/>
      <c r="Y71" s="53"/>
      <c r="Z71" s="53"/>
      <c r="AA71" s="53"/>
      <c r="AB71" s="53"/>
      <c r="AC71" s="53"/>
      <c r="AD71" s="53"/>
    </row>
    <row r="72" spans="1:30" x14ac:dyDescent="0.3">
      <c r="A72" s="53">
        <v>70</v>
      </c>
      <c r="B72" s="53">
        <f>YEAR(Mod_CL[[#This Row],[Date]])+IF(MONTH(Mod_CL[[#This Row],[Date]])&gt;=4,1,0)</f>
        <v>2026</v>
      </c>
      <c r="C72" s="53">
        <f>YEAR(Mod_CL[[#This Row],[Date]])</f>
        <v>2025</v>
      </c>
      <c r="D72" s="57" t="s">
        <v>1082</v>
      </c>
      <c r="E72" s="57" t="s">
        <v>1082</v>
      </c>
      <c r="F72" s="2" t="str">
        <f>TEXT(Mod_CL[[#This Row],[Date]],"mmm-yy")</f>
        <v>Jun-25</v>
      </c>
      <c r="G72" s="2">
        <f>DAY(EOMONTH(Mod_CL[[#This Row],[Month Year]],0))</f>
        <v>30</v>
      </c>
      <c r="H72" s="127">
        <f t="shared" si="2"/>
        <v>45814</v>
      </c>
      <c r="I72" s="53">
        <v>2</v>
      </c>
      <c r="J72" s="53">
        <v>2</v>
      </c>
      <c r="K72" s="53"/>
      <c r="L72" s="53"/>
      <c r="M72" s="53"/>
      <c r="N72" s="53"/>
      <c r="O72" s="53"/>
      <c r="P72" s="53"/>
      <c r="Q72" s="53"/>
      <c r="R72" s="53"/>
      <c r="S72" s="53">
        <v>2160</v>
      </c>
      <c r="T72" s="53">
        <v>2160</v>
      </c>
      <c r="U72" s="53">
        <v>2160</v>
      </c>
      <c r="V72" s="53">
        <v>2160</v>
      </c>
      <c r="W72" s="2">
        <f>SUM(Mod_CL[[#This Row],[Inv 1 (630kw) unit 1]:[Inv 3 (630kw) unit 4]])</f>
        <v>8640</v>
      </c>
      <c r="X72" s="53"/>
      <c r="Y72" s="53"/>
      <c r="Z72" s="53"/>
      <c r="AA72" s="53"/>
      <c r="AB72" s="53"/>
      <c r="AC72" s="53"/>
      <c r="AD72" s="53"/>
    </row>
    <row r="73" spans="1:30" x14ac:dyDescent="0.3">
      <c r="A73" s="53">
        <v>71</v>
      </c>
      <c r="B73" s="53">
        <f>YEAR(Mod_CL[[#This Row],[Date]])+IF(MONTH(Mod_CL[[#This Row],[Date]])&gt;=4,1,0)</f>
        <v>2026</v>
      </c>
      <c r="C73" s="53">
        <f>YEAR(Mod_CL[[#This Row],[Date]])</f>
        <v>2025</v>
      </c>
      <c r="D73" s="57" t="s">
        <v>1082</v>
      </c>
      <c r="E73" s="57" t="s">
        <v>1082</v>
      </c>
      <c r="F73" s="2" t="str">
        <f>TEXT(Mod_CL[[#This Row],[Date]],"mmm-yy")</f>
        <v>Jun-25</v>
      </c>
      <c r="G73" s="2">
        <f>DAY(EOMONTH(Mod_CL[[#This Row],[Month Year]],0))</f>
        <v>30</v>
      </c>
      <c r="H73" s="127">
        <f t="shared" si="2"/>
        <v>45815</v>
      </c>
      <c r="I73" s="53">
        <v>3</v>
      </c>
      <c r="J73" s="53">
        <v>2</v>
      </c>
      <c r="K73" s="53">
        <v>2160</v>
      </c>
      <c r="L73" s="53">
        <v>2160</v>
      </c>
      <c r="M73" s="53">
        <v>2160</v>
      </c>
      <c r="N73" s="53">
        <v>2160</v>
      </c>
      <c r="O73" s="53"/>
      <c r="P73" s="53"/>
      <c r="Q73" s="53"/>
      <c r="R73" s="53"/>
      <c r="S73" s="53"/>
      <c r="T73" s="53"/>
      <c r="U73" s="53"/>
      <c r="V73" s="53"/>
      <c r="W73" s="2">
        <f>SUM(Mod_CL[[#This Row],[Inv 1 (630kw) unit 1]:[Inv 3 (630kw) unit 4]])</f>
        <v>8640</v>
      </c>
      <c r="X73" s="53"/>
      <c r="Y73" s="53"/>
      <c r="Z73" s="53"/>
      <c r="AA73" s="53"/>
      <c r="AB73" s="53"/>
      <c r="AC73" s="53"/>
      <c r="AD73" s="53"/>
    </row>
    <row r="74" spans="1:30" x14ac:dyDescent="0.3">
      <c r="A74" s="53">
        <v>72</v>
      </c>
      <c r="B74" s="53">
        <f>YEAR(Mod_CL[[#This Row],[Date]])+IF(MONTH(Mod_CL[[#This Row],[Date]])&gt;=4,1,0)</f>
        <v>2026</v>
      </c>
      <c r="C74" s="53">
        <f>YEAR(Mod_CL[[#This Row],[Date]])</f>
        <v>2025</v>
      </c>
      <c r="D74" s="57" t="s">
        <v>1082</v>
      </c>
      <c r="E74" s="57" t="s">
        <v>1082</v>
      </c>
      <c r="F74" s="2" t="str">
        <f>TEXT(Mod_CL[[#This Row],[Date]],"mmm-yy")</f>
        <v>Jun-25</v>
      </c>
      <c r="G74" s="2">
        <f>DAY(EOMONTH(Mod_CL[[#This Row],[Month Year]],0))</f>
        <v>30</v>
      </c>
      <c r="H74" s="127">
        <f t="shared" si="2"/>
        <v>45816</v>
      </c>
      <c r="I74" s="53">
        <v>3</v>
      </c>
      <c r="J74" s="53">
        <v>2</v>
      </c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2">
        <f>SUM(Mod_CL[[#This Row],[Inv 1 (630kw) unit 1]:[Inv 3 (630kw) unit 4]])</f>
        <v>0</v>
      </c>
      <c r="X74" s="53"/>
      <c r="Y74" s="53"/>
      <c r="Z74" s="53"/>
      <c r="AA74" s="53"/>
      <c r="AB74" s="53"/>
      <c r="AC74" s="53"/>
      <c r="AD74" s="53" t="s">
        <v>1052</v>
      </c>
    </row>
    <row r="75" spans="1:30" x14ac:dyDescent="0.3">
      <c r="A75" s="53">
        <v>73</v>
      </c>
      <c r="B75" s="53">
        <f>YEAR(Mod_CL[[#This Row],[Date]])+IF(MONTH(Mod_CL[[#This Row],[Date]])&gt;=4,1,0)</f>
        <v>2026</v>
      </c>
      <c r="C75" s="53">
        <f>YEAR(Mod_CL[[#This Row],[Date]])</f>
        <v>2025</v>
      </c>
      <c r="D75" s="57" t="s">
        <v>1082</v>
      </c>
      <c r="E75" s="57" t="s">
        <v>1082</v>
      </c>
      <c r="F75" s="2" t="str">
        <f>TEXT(Mod_CL[[#This Row],[Date]],"mmm-yy")</f>
        <v>Jun-25</v>
      </c>
      <c r="G75" s="2">
        <f>DAY(EOMONTH(Mod_CL[[#This Row],[Month Year]],0))</f>
        <v>30</v>
      </c>
      <c r="H75" s="127">
        <f t="shared" si="2"/>
        <v>45817</v>
      </c>
      <c r="I75" s="53">
        <v>3</v>
      </c>
      <c r="J75" s="53">
        <v>2</v>
      </c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2">
        <f>SUM(Mod_CL[[#This Row],[Inv 1 (630kw) unit 1]:[Inv 3 (630kw) unit 4]])</f>
        <v>0</v>
      </c>
      <c r="X75" s="53"/>
      <c r="Y75" s="53"/>
      <c r="Z75" s="53"/>
      <c r="AA75" s="53"/>
      <c r="AB75" s="53"/>
      <c r="AC75" s="53"/>
      <c r="AD75" s="53" t="s">
        <v>1195</v>
      </c>
    </row>
    <row r="76" spans="1:30" x14ac:dyDescent="0.3">
      <c r="A76" s="53">
        <v>74</v>
      </c>
      <c r="B76" s="53">
        <f>YEAR(Mod_CL[[#This Row],[Date]])+IF(MONTH(Mod_CL[[#This Row],[Date]])&gt;=4,1,0)</f>
        <v>2026</v>
      </c>
      <c r="C76" s="53">
        <f>YEAR(Mod_CL[[#This Row],[Date]])</f>
        <v>2025</v>
      </c>
      <c r="D76" s="57" t="s">
        <v>1082</v>
      </c>
      <c r="E76" s="57" t="s">
        <v>1082</v>
      </c>
      <c r="F76" s="2" t="str">
        <f>TEXT(Mod_CL[[#This Row],[Date]],"mmm-yy")</f>
        <v>Jun-25</v>
      </c>
      <c r="G76" s="2">
        <f>DAY(EOMONTH(Mod_CL[[#This Row],[Month Year]],0))</f>
        <v>30</v>
      </c>
      <c r="H76" s="127">
        <f t="shared" si="2"/>
        <v>45818</v>
      </c>
      <c r="I76" s="53">
        <v>3</v>
      </c>
      <c r="J76" s="53">
        <v>2</v>
      </c>
      <c r="K76" s="53"/>
      <c r="L76" s="53"/>
      <c r="M76" s="53"/>
      <c r="N76" s="53"/>
      <c r="O76" s="53">
        <v>2160</v>
      </c>
      <c r="P76" s="53">
        <v>2160</v>
      </c>
      <c r="Q76" s="53">
        <v>2160</v>
      </c>
      <c r="R76" s="53">
        <v>2160</v>
      </c>
      <c r="S76" s="53"/>
      <c r="T76" s="53"/>
      <c r="U76" s="53"/>
      <c r="V76" s="53"/>
      <c r="W76" s="2">
        <f>SUM(Mod_CL[[#This Row],[Inv 1 (630kw) unit 1]:[Inv 3 (630kw) unit 4]])</f>
        <v>8640</v>
      </c>
      <c r="X76" s="53"/>
      <c r="Y76" s="53"/>
      <c r="Z76" s="53"/>
      <c r="AA76" s="53"/>
      <c r="AB76" s="53"/>
      <c r="AC76" s="53"/>
      <c r="AD76" s="53"/>
    </row>
    <row r="77" spans="1:30" x14ac:dyDescent="0.3">
      <c r="A77" s="53">
        <v>76</v>
      </c>
      <c r="B77" s="53">
        <f>YEAR(Mod_CL[[#This Row],[Date]])+IF(MONTH(Mod_CL[[#This Row],[Date]])&gt;=4,1,0)</f>
        <v>2026</v>
      </c>
      <c r="C77" s="53">
        <f>YEAR(Mod_CL[[#This Row],[Date]])</f>
        <v>2025</v>
      </c>
      <c r="D77" s="57" t="s">
        <v>1082</v>
      </c>
      <c r="E77" s="57" t="s">
        <v>1082</v>
      </c>
      <c r="F77" s="2" t="str">
        <f>TEXT(Mod_CL[[#This Row],[Date]],"mmm-yy")</f>
        <v>Jun-25</v>
      </c>
      <c r="G77" s="2">
        <f>DAY(EOMONTH(Mod_CL[[#This Row],[Month Year]],0))</f>
        <v>30</v>
      </c>
      <c r="H77" s="127">
        <f t="shared" si="2"/>
        <v>45819</v>
      </c>
      <c r="I77" s="53">
        <v>3</v>
      </c>
      <c r="J77" s="53">
        <v>2</v>
      </c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2">
        <f>SUM(Mod_CL[[#This Row],[Inv 1 (630kw) unit 1]:[Inv 3 (630kw) unit 4]])</f>
        <v>0</v>
      </c>
      <c r="X77" s="53"/>
      <c r="Y77" s="53"/>
      <c r="Z77" s="53"/>
      <c r="AA77" s="53"/>
      <c r="AB77" s="53"/>
      <c r="AC77" s="53"/>
      <c r="AD77" s="53"/>
    </row>
    <row r="78" spans="1:30" x14ac:dyDescent="0.3">
      <c r="A78" s="53">
        <v>77</v>
      </c>
      <c r="B78" s="53">
        <f>YEAR(Mod_CL[[#This Row],[Date]])+IF(MONTH(Mod_CL[[#This Row],[Date]])&gt;=4,1,0)</f>
        <v>2026</v>
      </c>
      <c r="C78" s="53">
        <f>YEAR(Mod_CL[[#This Row],[Date]])</f>
        <v>2025</v>
      </c>
      <c r="D78" s="57" t="s">
        <v>1082</v>
      </c>
      <c r="E78" s="57" t="s">
        <v>1082</v>
      </c>
      <c r="F78" s="2" t="str">
        <f>TEXT(Mod_CL[[#This Row],[Date]],"mmm-yy")</f>
        <v>Jun-25</v>
      </c>
      <c r="G78" s="2">
        <f>DAY(EOMONTH(Mod_CL[[#This Row],[Month Year]],0))</f>
        <v>30</v>
      </c>
      <c r="H78" s="127">
        <f t="shared" si="2"/>
        <v>45820</v>
      </c>
      <c r="I78" s="53">
        <v>3</v>
      </c>
      <c r="J78" s="53">
        <v>2</v>
      </c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2">
        <f>SUM(Mod_CL[[#This Row],[Inv 1 (630kw) unit 1]:[Inv 3 (630kw) unit 4]])</f>
        <v>0</v>
      </c>
      <c r="X78" s="53"/>
      <c r="Y78" s="53"/>
      <c r="Z78" s="53"/>
      <c r="AA78" s="53"/>
      <c r="AB78" s="53"/>
      <c r="AC78" s="53"/>
      <c r="AD78" s="53"/>
    </row>
    <row r="79" spans="1:30" x14ac:dyDescent="0.3">
      <c r="A79" s="53">
        <v>78</v>
      </c>
      <c r="B79" s="53">
        <f>YEAR(Mod_CL[[#This Row],[Date]])+IF(MONTH(Mod_CL[[#This Row],[Date]])&gt;=4,1,0)</f>
        <v>2026</v>
      </c>
      <c r="C79" s="53">
        <f>YEAR(Mod_CL[[#This Row],[Date]])</f>
        <v>2025</v>
      </c>
      <c r="D79" s="57" t="s">
        <v>1082</v>
      </c>
      <c r="E79" s="57" t="s">
        <v>1082</v>
      </c>
      <c r="F79" s="2" t="str">
        <f>TEXT(Mod_CL[[#This Row],[Date]],"mmm-yy")</f>
        <v>Jun-25</v>
      </c>
      <c r="G79" s="2">
        <f>DAY(EOMONTH(Mod_CL[[#This Row],[Month Year]],0))</f>
        <v>30</v>
      </c>
      <c r="H79" s="127">
        <f t="shared" si="2"/>
        <v>45821</v>
      </c>
      <c r="I79" s="53">
        <v>3</v>
      </c>
      <c r="J79" s="53">
        <v>2</v>
      </c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2">
        <f>SUM(Mod_CL[[#This Row],[Inv 1 (630kw) unit 1]:[Inv 3 (630kw) unit 4]])</f>
        <v>0</v>
      </c>
      <c r="X79" s="53"/>
      <c r="Y79" s="53"/>
      <c r="Z79" s="53"/>
      <c r="AA79" s="53"/>
      <c r="AB79" s="53"/>
      <c r="AC79" s="53"/>
      <c r="AD79" s="53"/>
    </row>
    <row r="80" spans="1:30" x14ac:dyDescent="0.3">
      <c r="A80" s="53">
        <v>79</v>
      </c>
      <c r="B80" s="53">
        <f>YEAR(Mod_CL[[#This Row],[Date]])+IF(MONTH(Mod_CL[[#This Row],[Date]])&gt;=4,1,0)</f>
        <v>2026</v>
      </c>
      <c r="C80" s="53">
        <f>YEAR(Mod_CL[[#This Row],[Date]])</f>
        <v>2025</v>
      </c>
      <c r="D80" s="57" t="s">
        <v>1082</v>
      </c>
      <c r="E80" s="57" t="s">
        <v>1082</v>
      </c>
      <c r="F80" s="2" t="str">
        <f>TEXT(Mod_CL[[#This Row],[Date]],"mmm-yy")</f>
        <v>Jun-25</v>
      </c>
      <c r="G80" s="2">
        <f>DAY(EOMONTH(Mod_CL[[#This Row],[Month Year]],0))</f>
        <v>30</v>
      </c>
      <c r="H80" s="127">
        <f t="shared" si="2"/>
        <v>45822</v>
      </c>
      <c r="I80" s="53">
        <v>3</v>
      </c>
      <c r="J80" s="53">
        <v>2</v>
      </c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2">
        <f>SUM(Mod_CL[[#This Row],[Inv 1 (630kw) unit 1]:[Inv 3 (630kw) unit 4]])</f>
        <v>0</v>
      </c>
      <c r="X80" s="53"/>
      <c r="Y80" s="53"/>
      <c r="Z80" s="53"/>
      <c r="AA80" s="53"/>
      <c r="AB80" s="53"/>
      <c r="AC80" s="53"/>
      <c r="AD80" s="53"/>
    </row>
    <row r="81" spans="1:30" x14ac:dyDescent="0.3">
      <c r="A81" s="53"/>
      <c r="B81" s="53"/>
      <c r="C81" s="53"/>
      <c r="D81" s="53"/>
      <c r="E81" s="53"/>
      <c r="H81" s="54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X81" s="53"/>
      <c r="Y81" s="53"/>
      <c r="Z81" s="53"/>
      <c r="AA81" s="53"/>
      <c r="AB81" s="53"/>
      <c r="AC81" s="53"/>
      <c r="AD81" s="53"/>
    </row>
    <row r="82" spans="1:30" x14ac:dyDescent="0.3">
      <c r="A82" s="53"/>
      <c r="B82" s="53"/>
      <c r="C82" s="53"/>
      <c r="D82" s="53"/>
      <c r="E82" s="53"/>
      <c r="H82" s="54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X82" s="53"/>
      <c r="Y82" s="53"/>
      <c r="Z82" s="53"/>
      <c r="AA82" s="53"/>
      <c r="AB82" s="53"/>
      <c r="AC82" s="53"/>
      <c r="AD82" s="53"/>
    </row>
    <row r="83" spans="1:30" x14ac:dyDescent="0.3">
      <c r="A83" s="53"/>
      <c r="B83" s="53"/>
      <c r="C83" s="53"/>
      <c r="D83" s="53"/>
      <c r="E83" s="53"/>
      <c r="H83" s="54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X83" s="53"/>
      <c r="Y83" s="53"/>
      <c r="Z83" s="53"/>
      <c r="AA83" s="53"/>
      <c r="AB83" s="53"/>
      <c r="AC83" s="53"/>
      <c r="AD83" s="53"/>
    </row>
    <row r="84" spans="1:30" x14ac:dyDescent="0.3">
      <c r="A84" s="53"/>
      <c r="B84" s="53"/>
      <c r="C84" s="53"/>
      <c r="D84" s="53"/>
      <c r="E84" s="53"/>
      <c r="H84" s="54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X84" s="53"/>
      <c r="Y84" s="53"/>
      <c r="Z84" s="53"/>
      <c r="AA84" s="53"/>
      <c r="AB84" s="53"/>
      <c r="AC84" s="53"/>
      <c r="AD84" s="53"/>
    </row>
    <row r="85" spans="1:30" x14ac:dyDescent="0.3">
      <c r="A85" s="53"/>
      <c r="B85" s="53"/>
      <c r="C85" s="53"/>
      <c r="D85" s="53"/>
      <c r="E85" s="53"/>
      <c r="H85" s="54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X85" s="53"/>
      <c r="Y85" s="53"/>
      <c r="Z85" s="53"/>
      <c r="AA85" s="53"/>
      <c r="AB85" s="53"/>
      <c r="AC85" s="53"/>
      <c r="AD85" s="53"/>
    </row>
    <row r="86" spans="1:30" x14ac:dyDescent="0.3">
      <c r="A86" s="53"/>
      <c r="B86" s="53"/>
      <c r="C86" s="53"/>
      <c r="D86" s="53"/>
      <c r="E86" s="53"/>
      <c r="H86" s="54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X86" s="53"/>
      <c r="Y86" s="53"/>
      <c r="Z86" s="53"/>
      <c r="AA86" s="53"/>
      <c r="AB86" s="53"/>
      <c r="AC86" s="53"/>
      <c r="AD86" s="53"/>
    </row>
    <row r="87" spans="1:30" x14ac:dyDescent="0.3">
      <c r="A87" s="53"/>
      <c r="B87" s="53"/>
      <c r="C87" s="53"/>
      <c r="D87" s="53"/>
      <c r="E87" s="53"/>
      <c r="H87" s="54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X87" s="53"/>
      <c r="Y87" s="53"/>
      <c r="Z87" s="53"/>
      <c r="AA87" s="53"/>
      <c r="AB87" s="53"/>
      <c r="AC87" s="53"/>
      <c r="AD87" s="53"/>
    </row>
    <row r="88" spans="1:30" x14ac:dyDescent="0.3">
      <c r="A88" s="53"/>
      <c r="B88" s="53"/>
      <c r="C88" s="53"/>
      <c r="D88" s="53"/>
      <c r="E88" s="53"/>
      <c r="H88" s="54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X88" s="53"/>
      <c r="Y88" s="53"/>
      <c r="Z88" s="53"/>
      <c r="AA88" s="53"/>
      <c r="AB88" s="53"/>
      <c r="AC88" s="53"/>
      <c r="AD88" s="53"/>
    </row>
    <row r="89" spans="1:30" x14ac:dyDescent="0.3">
      <c r="A89" s="53"/>
      <c r="B89" s="53"/>
      <c r="C89" s="53"/>
      <c r="D89" s="53"/>
      <c r="E89" s="53"/>
      <c r="H89" s="54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X89" s="53"/>
      <c r="Y89" s="53"/>
      <c r="Z89" s="53"/>
      <c r="AA89" s="53"/>
      <c r="AB89" s="53"/>
      <c r="AC89" s="53"/>
      <c r="AD89" s="53"/>
    </row>
    <row r="90" spans="1:30" x14ac:dyDescent="0.3">
      <c r="A90" s="53"/>
      <c r="B90" s="53"/>
      <c r="C90" s="53"/>
      <c r="D90" s="53"/>
      <c r="E90" s="53"/>
      <c r="H90" s="54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X90" s="53"/>
      <c r="Y90" s="53"/>
      <c r="Z90" s="53"/>
      <c r="AA90" s="53"/>
      <c r="AB90" s="53"/>
      <c r="AC90" s="53"/>
      <c r="AD90" s="53"/>
    </row>
    <row r="91" spans="1:30" x14ac:dyDescent="0.3">
      <c r="A91" s="53"/>
      <c r="B91" s="53"/>
      <c r="C91" s="53"/>
      <c r="D91" s="53"/>
      <c r="E91" s="53"/>
      <c r="H91" s="54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X91" s="53"/>
      <c r="Y91" s="53"/>
      <c r="Z91" s="53"/>
      <c r="AA91" s="53"/>
      <c r="AB91" s="53"/>
      <c r="AC91" s="53"/>
      <c r="AD91" s="53"/>
    </row>
    <row r="92" spans="1:30" x14ac:dyDescent="0.3">
      <c r="A92" s="53"/>
      <c r="B92" s="53"/>
      <c r="C92" s="53"/>
      <c r="D92" s="53"/>
      <c r="E92" s="53"/>
      <c r="H92" s="54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X92" s="53"/>
      <c r="Y92" s="53"/>
      <c r="Z92" s="53"/>
      <c r="AA92" s="53"/>
      <c r="AB92" s="53"/>
      <c r="AC92" s="53"/>
      <c r="AD92" s="53"/>
    </row>
    <row r="93" spans="1:30" x14ac:dyDescent="0.3">
      <c r="A93" s="53"/>
      <c r="B93" s="53"/>
      <c r="C93" s="53"/>
      <c r="D93" s="53"/>
      <c r="E93" s="53"/>
      <c r="H93" s="54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X93" s="53"/>
      <c r="Y93" s="53"/>
      <c r="Z93" s="53"/>
      <c r="AA93" s="53"/>
      <c r="AB93" s="53"/>
      <c r="AC93" s="53"/>
      <c r="AD93" s="53"/>
    </row>
    <row r="94" spans="1:30" x14ac:dyDescent="0.3">
      <c r="A94" s="53"/>
      <c r="B94" s="53"/>
      <c r="C94" s="53"/>
      <c r="D94" s="53"/>
      <c r="E94" s="53"/>
      <c r="H94" s="54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X94" s="53"/>
      <c r="Y94" s="53"/>
      <c r="Z94" s="53"/>
      <c r="AA94" s="53"/>
      <c r="AB94" s="53"/>
      <c r="AC94" s="53"/>
      <c r="AD94" s="53"/>
    </row>
    <row r="95" spans="1:30" x14ac:dyDescent="0.3">
      <c r="A95" s="53"/>
      <c r="B95" s="53"/>
      <c r="C95" s="53"/>
      <c r="D95" s="53"/>
      <c r="E95" s="53"/>
      <c r="H95" s="54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X95" s="53"/>
      <c r="Y95" s="53"/>
      <c r="Z95" s="53"/>
      <c r="AA95" s="53"/>
      <c r="AB95" s="53"/>
      <c r="AC95" s="53"/>
      <c r="AD95" s="53"/>
    </row>
    <row r="96" spans="1:30" x14ac:dyDescent="0.3">
      <c r="A96" s="53"/>
      <c r="B96" s="53"/>
      <c r="C96" s="53"/>
      <c r="D96" s="53"/>
      <c r="E96" s="53"/>
      <c r="H96" s="54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X96" s="53"/>
      <c r="Y96" s="53"/>
      <c r="Z96" s="53"/>
      <c r="AA96" s="53"/>
      <c r="AB96" s="53"/>
      <c r="AC96" s="53"/>
      <c r="AD96" s="53"/>
    </row>
    <row r="97" spans="1:30" x14ac:dyDescent="0.3">
      <c r="A97" s="53"/>
      <c r="B97" s="53"/>
      <c r="C97" s="53"/>
      <c r="D97" s="53"/>
      <c r="E97" s="53"/>
      <c r="H97" s="54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X97" s="53"/>
      <c r="Y97" s="53"/>
      <c r="Z97" s="53"/>
      <c r="AA97" s="53"/>
      <c r="AB97" s="53"/>
      <c r="AC97" s="53"/>
      <c r="AD97" s="53"/>
    </row>
    <row r="98" spans="1:30" x14ac:dyDescent="0.3">
      <c r="A98" s="53"/>
      <c r="B98" s="53"/>
      <c r="C98" s="53"/>
      <c r="D98" s="53"/>
      <c r="E98" s="53"/>
      <c r="H98" s="54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X98" s="53"/>
      <c r="Y98" s="53"/>
      <c r="Z98" s="53"/>
      <c r="AA98" s="53"/>
      <c r="AB98" s="53"/>
      <c r="AC98" s="53"/>
      <c r="AD98" s="53"/>
    </row>
    <row r="99" spans="1:30" x14ac:dyDescent="0.3">
      <c r="A99" s="53"/>
      <c r="B99" s="53"/>
      <c r="C99" s="53"/>
      <c r="D99" s="53"/>
      <c r="E99" s="53"/>
      <c r="H99" s="54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X99" s="53"/>
      <c r="Y99" s="53"/>
      <c r="Z99" s="53"/>
      <c r="AA99" s="53"/>
      <c r="AB99" s="53"/>
      <c r="AC99" s="53"/>
      <c r="AD99" s="53"/>
    </row>
    <row r="100" spans="1:30" x14ac:dyDescent="0.3">
      <c r="A100" s="53"/>
      <c r="B100" s="53"/>
      <c r="C100" s="53"/>
      <c r="D100" s="53"/>
      <c r="E100" s="53"/>
      <c r="H100" s="54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X100" s="53"/>
      <c r="Y100" s="53"/>
      <c r="Z100" s="53"/>
      <c r="AA100" s="53"/>
      <c r="AB100" s="53"/>
      <c r="AC100" s="53"/>
      <c r="AD100" s="53"/>
    </row>
    <row r="101" spans="1:30" x14ac:dyDescent="0.3">
      <c r="A101" s="53"/>
      <c r="B101" s="53"/>
      <c r="C101" s="53"/>
      <c r="D101" s="53"/>
      <c r="E101" s="53"/>
      <c r="H101" s="54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X101" s="53"/>
      <c r="Y101" s="53"/>
      <c r="Z101" s="53"/>
      <c r="AA101" s="53"/>
      <c r="AB101" s="53"/>
      <c r="AC101" s="53"/>
      <c r="AD101" s="53"/>
    </row>
    <row r="102" spans="1:30" x14ac:dyDescent="0.3">
      <c r="A102" s="53"/>
      <c r="B102" s="53"/>
      <c r="C102" s="53"/>
      <c r="D102" s="53"/>
      <c r="E102" s="53"/>
      <c r="H102" s="54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X102" s="53"/>
      <c r="Y102" s="53"/>
      <c r="Z102" s="53"/>
      <c r="AA102" s="53"/>
      <c r="AB102" s="53"/>
      <c r="AC102" s="53"/>
      <c r="AD102" s="53"/>
    </row>
    <row r="103" spans="1:30" x14ac:dyDescent="0.3">
      <c r="A103" s="53"/>
      <c r="B103" s="53"/>
      <c r="C103" s="53"/>
      <c r="D103" s="53"/>
      <c r="E103" s="53"/>
      <c r="H103" s="54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X103" s="53"/>
      <c r="Y103" s="53"/>
      <c r="Z103" s="53"/>
      <c r="AA103" s="53"/>
      <c r="AB103" s="53"/>
      <c r="AC103" s="53"/>
      <c r="AD103" s="53"/>
    </row>
    <row r="104" spans="1:30" x14ac:dyDescent="0.3">
      <c r="A104" s="53"/>
      <c r="B104" s="53"/>
      <c r="C104" s="53"/>
      <c r="D104" s="53"/>
      <c r="E104" s="53"/>
      <c r="H104" s="54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X104" s="53"/>
      <c r="Y104" s="53"/>
      <c r="Z104" s="53"/>
      <c r="AA104" s="53"/>
      <c r="AB104" s="53"/>
      <c r="AC104" s="53"/>
      <c r="AD104" s="53"/>
    </row>
    <row r="105" spans="1:30" x14ac:dyDescent="0.3">
      <c r="A105" s="53"/>
      <c r="B105" s="53"/>
      <c r="C105" s="53"/>
      <c r="D105" s="53"/>
      <c r="E105" s="53"/>
      <c r="H105" s="54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X105" s="53"/>
      <c r="Y105" s="53"/>
      <c r="Z105" s="53"/>
      <c r="AA105" s="53"/>
      <c r="AB105" s="53"/>
      <c r="AC105" s="53"/>
      <c r="AD105" s="53"/>
    </row>
    <row r="106" spans="1:30" x14ac:dyDescent="0.3">
      <c r="A106" s="53"/>
      <c r="B106" s="53"/>
      <c r="C106" s="53"/>
      <c r="D106" s="53"/>
      <c r="E106" s="53"/>
      <c r="H106" s="54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X106" s="53"/>
      <c r="Y106" s="53"/>
      <c r="Z106" s="53"/>
      <c r="AA106" s="53"/>
      <c r="AB106" s="53"/>
      <c r="AC106" s="53"/>
      <c r="AD106" s="53"/>
    </row>
    <row r="107" spans="1:30" x14ac:dyDescent="0.3">
      <c r="A107" s="53"/>
      <c r="B107" s="53"/>
      <c r="C107" s="53"/>
      <c r="D107" s="53"/>
      <c r="E107" s="53"/>
      <c r="H107" s="54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X107" s="53"/>
      <c r="Y107" s="53"/>
      <c r="Z107" s="53"/>
      <c r="AA107" s="53"/>
      <c r="AB107" s="53"/>
      <c r="AC107" s="53"/>
      <c r="AD107" s="53"/>
    </row>
    <row r="108" spans="1:30" x14ac:dyDescent="0.3">
      <c r="A108" s="53"/>
      <c r="B108" s="53"/>
      <c r="C108" s="53"/>
      <c r="D108" s="53"/>
      <c r="E108" s="53"/>
      <c r="H108" s="54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X108" s="53"/>
      <c r="Y108" s="53"/>
      <c r="Z108" s="53"/>
      <c r="AA108" s="53"/>
      <c r="AB108" s="53"/>
      <c r="AC108" s="53"/>
      <c r="AD108" s="53"/>
    </row>
    <row r="109" spans="1:30" x14ac:dyDescent="0.3">
      <c r="A109" s="53"/>
      <c r="B109" s="53"/>
      <c r="C109" s="53"/>
      <c r="D109" s="53"/>
      <c r="E109" s="53"/>
      <c r="H109" s="54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X109" s="53"/>
      <c r="Y109" s="53"/>
      <c r="Z109" s="53"/>
      <c r="AA109" s="53"/>
      <c r="AB109" s="53"/>
      <c r="AC109" s="53"/>
      <c r="AD109" s="53"/>
    </row>
    <row r="110" spans="1:30" x14ac:dyDescent="0.3">
      <c r="A110" s="53"/>
      <c r="B110" s="53"/>
      <c r="C110" s="53"/>
      <c r="D110" s="53"/>
      <c r="E110" s="53"/>
      <c r="H110" s="54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X110" s="53"/>
      <c r="Y110" s="53"/>
      <c r="Z110" s="53"/>
      <c r="AA110" s="53"/>
      <c r="AB110" s="53"/>
      <c r="AC110" s="53"/>
      <c r="AD110" s="53"/>
    </row>
    <row r="111" spans="1:30" x14ac:dyDescent="0.3">
      <c r="A111" s="53"/>
      <c r="B111" s="53"/>
      <c r="C111" s="53"/>
      <c r="D111" s="53"/>
      <c r="E111" s="53"/>
      <c r="H111" s="54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X111" s="53"/>
      <c r="Y111" s="53"/>
      <c r="Z111" s="53"/>
      <c r="AA111" s="53"/>
      <c r="AB111" s="53"/>
      <c r="AC111" s="53"/>
      <c r="AD111" s="53"/>
    </row>
    <row r="112" spans="1:30" x14ac:dyDescent="0.3">
      <c r="A112" s="53"/>
      <c r="B112" s="53"/>
      <c r="C112" s="53"/>
      <c r="D112" s="53"/>
      <c r="E112" s="53"/>
      <c r="H112" s="54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X112" s="53"/>
      <c r="Y112" s="53"/>
      <c r="Z112" s="53"/>
      <c r="AA112" s="53"/>
      <c r="AB112" s="53"/>
      <c r="AC112" s="53"/>
      <c r="AD112" s="53"/>
    </row>
    <row r="113" spans="1:30" x14ac:dyDescent="0.3">
      <c r="A113" s="53"/>
      <c r="B113" s="53"/>
      <c r="C113" s="53"/>
      <c r="D113" s="53"/>
      <c r="E113" s="53"/>
      <c r="H113" s="54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X113" s="53"/>
      <c r="Y113" s="53"/>
      <c r="Z113" s="53"/>
      <c r="AA113" s="53"/>
      <c r="AB113" s="53"/>
      <c r="AC113" s="53"/>
      <c r="AD113" s="53"/>
    </row>
    <row r="114" spans="1:30" x14ac:dyDescent="0.3">
      <c r="A114" s="53"/>
      <c r="B114" s="53"/>
      <c r="C114" s="53"/>
      <c r="D114" s="53"/>
      <c r="E114" s="53"/>
      <c r="H114" s="54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X114" s="53"/>
      <c r="Y114" s="53"/>
      <c r="Z114" s="53"/>
      <c r="AA114" s="53"/>
      <c r="AB114" s="53"/>
      <c r="AC114" s="53"/>
      <c r="AD114" s="53"/>
    </row>
    <row r="115" spans="1:30" x14ac:dyDescent="0.3">
      <c r="A115" s="53"/>
      <c r="B115" s="53"/>
      <c r="C115" s="53"/>
      <c r="D115" s="53"/>
      <c r="E115" s="53"/>
      <c r="H115" s="54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X115" s="53"/>
      <c r="Y115" s="53"/>
      <c r="Z115" s="53"/>
      <c r="AA115" s="53"/>
      <c r="AB115" s="53"/>
      <c r="AC115" s="53"/>
      <c r="AD115" s="53"/>
    </row>
    <row r="116" spans="1:30" x14ac:dyDescent="0.3">
      <c r="A116" s="53"/>
      <c r="B116" s="53"/>
      <c r="C116" s="53"/>
      <c r="D116" s="53"/>
      <c r="E116" s="53"/>
      <c r="H116" s="54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X116" s="53"/>
      <c r="Y116" s="53"/>
      <c r="Z116" s="53"/>
      <c r="AA116" s="53"/>
      <c r="AB116" s="53"/>
      <c r="AC116" s="53"/>
      <c r="AD116" s="53"/>
    </row>
    <row r="117" spans="1:30" x14ac:dyDescent="0.3">
      <c r="A117" s="53"/>
      <c r="B117" s="53"/>
      <c r="C117" s="53"/>
      <c r="D117" s="53"/>
      <c r="E117" s="53"/>
      <c r="H117" s="54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X117" s="53"/>
      <c r="Y117" s="53"/>
      <c r="Z117" s="53"/>
      <c r="AA117" s="53"/>
      <c r="AB117" s="53"/>
      <c r="AC117" s="53"/>
      <c r="AD117" s="53"/>
    </row>
    <row r="118" spans="1:30" x14ac:dyDescent="0.3">
      <c r="A118" s="53"/>
      <c r="B118" s="53"/>
      <c r="C118" s="53"/>
      <c r="D118" s="53"/>
      <c r="E118" s="53"/>
      <c r="H118" s="54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X118" s="53"/>
      <c r="Y118" s="53"/>
      <c r="Z118" s="53"/>
      <c r="AA118" s="53"/>
      <c r="AB118" s="53"/>
      <c r="AC118" s="53"/>
      <c r="AD118" s="53"/>
    </row>
    <row r="119" spans="1:30" x14ac:dyDescent="0.3">
      <c r="A119" s="53"/>
      <c r="B119" s="53"/>
      <c r="C119" s="53"/>
      <c r="D119" s="53"/>
      <c r="E119" s="53"/>
      <c r="H119" s="54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X119" s="53"/>
      <c r="Y119" s="53"/>
      <c r="Z119" s="53"/>
      <c r="AA119" s="53"/>
      <c r="AB119" s="53"/>
      <c r="AC119" s="53"/>
      <c r="AD119" s="53"/>
    </row>
    <row r="120" spans="1:30" x14ac:dyDescent="0.3">
      <c r="A120" s="53"/>
      <c r="B120" s="53"/>
      <c r="C120" s="53"/>
      <c r="D120" s="53"/>
      <c r="E120" s="53"/>
      <c r="H120" s="54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X120" s="53"/>
      <c r="Y120" s="53"/>
      <c r="Z120" s="53"/>
      <c r="AA120" s="53"/>
      <c r="AB120" s="53"/>
      <c r="AC120" s="53"/>
      <c r="AD120" s="53"/>
    </row>
    <row r="121" spans="1:30" x14ac:dyDescent="0.3">
      <c r="A121" s="53"/>
      <c r="B121" s="53"/>
      <c r="C121" s="53"/>
      <c r="D121" s="53"/>
      <c r="E121" s="53"/>
      <c r="H121" s="54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X121" s="53"/>
      <c r="Y121" s="53"/>
      <c r="Z121" s="53"/>
      <c r="AA121" s="53"/>
      <c r="AB121" s="53"/>
      <c r="AC121" s="53"/>
      <c r="AD121" s="53"/>
    </row>
    <row r="122" spans="1:30" x14ac:dyDescent="0.3">
      <c r="A122" s="53"/>
      <c r="B122" s="53"/>
      <c r="C122" s="53"/>
      <c r="D122" s="53"/>
      <c r="E122" s="53"/>
      <c r="H122" s="54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X122" s="53"/>
      <c r="Y122" s="53"/>
      <c r="Z122" s="53"/>
      <c r="AA122" s="53"/>
      <c r="AB122" s="53"/>
      <c r="AC122" s="53"/>
      <c r="AD122" s="53"/>
    </row>
    <row r="123" spans="1:30" x14ac:dyDescent="0.3">
      <c r="A123" s="53"/>
      <c r="B123" s="53"/>
      <c r="C123" s="53"/>
      <c r="D123" s="53"/>
      <c r="E123" s="53"/>
      <c r="H123" s="54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X123" s="53"/>
      <c r="Y123" s="53"/>
      <c r="Z123" s="53"/>
      <c r="AA123" s="53"/>
      <c r="AB123" s="53"/>
      <c r="AC123" s="53"/>
      <c r="AD123" s="53"/>
    </row>
    <row r="124" spans="1:30" x14ac:dyDescent="0.3">
      <c r="A124" s="53"/>
      <c r="B124" s="53"/>
      <c r="C124" s="53"/>
      <c r="D124" s="53"/>
      <c r="E124" s="53"/>
      <c r="H124" s="54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X124" s="53"/>
      <c r="Y124" s="53"/>
      <c r="Z124" s="53"/>
      <c r="AA124" s="53"/>
      <c r="AB124" s="53"/>
      <c r="AC124" s="53"/>
      <c r="AD124" s="53"/>
    </row>
    <row r="125" spans="1:30" x14ac:dyDescent="0.3">
      <c r="A125" s="53"/>
      <c r="B125" s="53"/>
      <c r="C125" s="53"/>
      <c r="D125" s="53"/>
      <c r="E125" s="53"/>
      <c r="H125" s="54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X125" s="53"/>
      <c r="Y125" s="53"/>
      <c r="Z125" s="53"/>
      <c r="AA125" s="53"/>
      <c r="AB125" s="53"/>
      <c r="AC125" s="53"/>
      <c r="AD125" s="53"/>
    </row>
    <row r="126" spans="1:30" x14ac:dyDescent="0.3">
      <c r="A126" s="53"/>
      <c r="B126" s="53"/>
      <c r="C126" s="53"/>
      <c r="D126" s="53"/>
      <c r="E126" s="53"/>
      <c r="H126" s="54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X126" s="53"/>
      <c r="Y126" s="53"/>
      <c r="Z126" s="53"/>
      <c r="AA126" s="53"/>
      <c r="AB126" s="53"/>
      <c r="AC126" s="53"/>
      <c r="AD126" s="53"/>
    </row>
    <row r="127" spans="1:30" x14ac:dyDescent="0.3">
      <c r="A127" s="53"/>
      <c r="B127" s="53"/>
      <c r="C127" s="53"/>
      <c r="D127" s="53"/>
      <c r="E127" s="53"/>
      <c r="H127" s="54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X127" s="53"/>
      <c r="Y127" s="53"/>
      <c r="Z127" s="53"/>
      <c r="AA127" s="53"/>
      <c r="AB127" s="53"/>
      <c r="AC127" s="53"/>
      <c r="AD127" s="53"/>
    </row>
    <row r="128" spans="1:30" x14ac:dyDescent="0.3">
      <c r="A128" s="53"/>
      <c r="B128" s="53"/>
      <c r="C128" s="53"/>
      <c r="D128" s="53"/>
      <c r="E128" s="53"/>
      <c r="H128" s="54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X128" s="53"/>
      <c r="Y128" s="53"/>
      <c r="Z128" s="53"/>
      <c r="AA128" s="53"/>
      <c r="AB128" s="53"/>
      <c r="AC128" s="53"/>
      <c r="AD128" s="53"/>
    </row>
    <row r="129" spans="1:30" x14ac:dyDescent="0.3">
      <c r="A129" s="53"/>
      <c r="B129" s="53"/>
      <c r="C129" s="53"/>
      <c r="D129" s="53"/>
      <c r="E129" s="53"/>
      <c r="H129" s="54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X129" s="53"/>
      <c r="Y129" s="53"/>
      <c r="Z129" s="53"/>
      <c r="AA129" s="53"/>
      <c r="AB129" s="53"/>
      <c r="AC129" s="53"/>
      <c r="AD129" s="53"/>
    </row>
    <row r="130" spans="1:30" x14ac:dyDescent="0.3">
      <c r="A130" s="53"/>
      <c r="B130" s="53"/>
      <c r="C130" s="53"/>
      <c r="D130" s="53"/>
      <c r="E130" s="53"/>
      <c r="H130" s="54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X130" s="53"/>
      <c r="Y130" s="53"/>
      <c r="Z130" s="53"/>
      <c r="AA130" s="53"/>
      <c r="AB130" s="53"/>
      <c r="AC130" s="53"/>
      <c r="AD130" s="53"/>
    </row>
    <row r="131" spans="1:30" x14ac:dyDescent="0.3">
      <c r="A131" s="53"/>
      <c r="B131" s="53"/>
      <c r="C131" s="53"/>
      <c r="D131" s="53"/>
      <c r="E131" s="53"/>
      <c r="H131" s="54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X131" s="53"/>
      <c r="Y131" s="53"/>
      <c r="Z131" s="53"/>
      <c r="AA131" s="53"/>
      <c r="AB131" s="53"/>
      <c r="AC131" s="53"/>
      <c r="AD131" s="53"/>
    </row>
    <row r="132" spans="1:30" x14ac:dyDescent="0.3">
      <c r="A132" s="53"/>
      <c r="B132" s="53"/>
      <c r="C132" s="53"/>
      <c r="D132" s="53"/>
      <c r="E132" s="53"/>
      <c r="H132" s="54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X132" s="53"/>
      <c r="Y132" s="53"/>
      <c r="Z132" s="53"/>
      <c r="AA132" s="53"/>
      <c r="AB132" s="53"/>
      <c r="AC132" s="53"/>
      <c r="AD132" s="53"/>
    </row>
    <row r="133" spans="1:30" x14ac:dyDescent="0.3">
      <c r="A133" s="53"/>
      <c r="B133" s="53"/>
      <c r="C133" s="53"/>
      <c r="D133" s="53"/>
      <c r="E133" s="53"/>
      <c r="H133" s="54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X133" s="53"/>
      <c r="Y133" s="53"/>
      <c r="Z133" s="53"/>
      <c r="AA133" s="53"/>
      <c r="AB133" s="53"/>
      <c r="AC133" s="53"/>
      <c r="AD133" s="53"/>
    </row>
    <row r="134" spans="1:30" x14ac:dyDescent="0.3">
      <c r="A134" s="53"/>
      <c r="B134" s="53"/>
      <c r="C134" s="53"/>
      <c r="D134" s="53"/>
      <c r="E134" s="53"/>
      <c r="H134" s="54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X134" s="53"/>
      <c r="Y134" s="53"/>
      <c r="Z134" s="53"/>
      <c r="AA134" s="53"/>
      <c r="AB134" s="53"/>
      <c r="AC134" s="53"/>
      <c r="AD134" s="53"/>
    </row>
    <row r="135" spans="1:30" x14ac:dyDescent="0.3">
      <c r="A135" s="53"/>
      <c r="B135" s="53"/>
      <c r="C135" s="53"/>
      <c r="D135" s="53"/>
      <c r="E135" s="53"/>
      <c r="H135" s="54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X135" s="53"/>
      <c r="Y135" s="53"/>
      <c r="Z135" s="53"/>
      <c r="AA135" s="53"/>
      <c r="AB135" s="53"/>
      <c r="AC135" s="53"/>
      <c r="AD135" s="53"/>
    </row>
    <row r="136" spans="1:30" x14ac:dyDescent="0.3">
      <c r="A136" s="53"/>
      <c r="B136" s="53"/>
      <c r="C136" s="53"/>
      <c r="D136" s="53"/>
      <c r="E136" s="53"/>
      <c r="H136" s="54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X136" s="53"/>
      <c r="Y136" s="53"/>
      <c r="Z136" s="53"/>
      <c r="AA136" s="53"/>
      <c r="AB136" s="53"/>
      <c r="AC136" s="53"/>
      <c r="AD136" s="53"/>
    </row>
    <row r="137" spans="1:30" x14ac:dyDescent="0.3">
      <c r="A137" s="53"/>
      <c r="B137" s="53"/>
      <c r="C137" s="53"/>
      <c r="D137" s="53"/>
      <c r="E137" s="53"/>
      <c r="H137" s="54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X137" s="53"/>
      <c r="Y137" s="53"/>
      <c r="Z137" s="53"/>
      <c r="AA137" s="53"/>
      <c r="AB137" s="53"/>
      <c r="AC137" s="53"/>
      <c r="AD137" s="53"/>
    </row>
    <row r="138" spans="1:30" x14ac:dyDescent="0.3">
      <c r="A138" s="53"/>
      <c r="B138" s="53"/>
      <c r="C138" s="53"/>
      <c r="D138" s="53"/>
      <c r="E138" s="53"/>
      <c r="H138" s="54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X138" s="53"/>
      <c r="Y138" s="53"/>
      <c r="Z138" s="53"/>
      <c r="AA138" s="53"/>
      <c r="AB138" s="53"/>
      <c r="AC138" s="53"/>
      <c r="AD138" s="53"/>
    </row>
    <row r="139" spans="1:30" x14ac:dyDescent="0.3">
      <c r="A139" s="53"/>
      <c r="B139" s="53"/>
      <c r="C139" s="53"/>
      <c r="D139" s="53"/>
      <c r="E139" s="53"/>
      <c r="H139" s="54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X139" s="53"/>
      <c r="Y139" s="53"/>
      <c r="Z139" s="53"/>
      <c r="AA139" s="53"/>
      <c r="AB139" s="53"/>
      <c r="AC139" s="53"/>
      <c r="AD139" s="53"/>
    </row>
    <row r="140" spans="1:30" x14ac:dyDescent="0.3">
      <c r="A140" s="53"/>
      <c r="B140" s="53"/>
      <c r="C140" s="53"/>
      <c r="D140" s="53"/>
      <c r="E140" s="53"/>
      <c r="H140" s="54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X140" s="53"/>
      <c r="Y140" s="53"/>
      <c r="Z140" s="53"/>
      <c r="AA140" s="53"/>
      <c r="AB140" s="53"/>
      <c r="AC140" s="53"/>
      <c r="AD140" s="53"/>
    </row>
    <row r="141" spans="1:30" x14ac:dyDescent="0.3">
      <c r="A141" s="53"/>
      <c r="B141" s="53"/>
      <c r="C141" s="53"/>
      <c r="D141" s="53"/>
      <c r="E141" s="53"/>
      <c r="H141" s="54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X141" s="53"/>
      <c r="Y141" s="53"/>
      <c r="Z141" s="53"/>
      <c r="AA141" s="53"/>
      <c r="AB141" s="53"/>
      <c r="AC141" s="53"/>
      <c r="AD141" s="53"/>
    </row>
    <row r="142" spans="1:30" x14ac:dyDescent="0.3">
      <c r="A142" s="53"/>
      <c r="B142" s="53"/>
      <c r="C142" s="53"/>
      <c r="D142" s="53"/>
      <c r="E142" s="53"/>
      <c r="H142" s="54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X142" s="53"/>
      <c r="Y142" s="53"/>
      <c r="Z142" s="53"/>
      <c r="AA142" s="53"/>
      <c r="AB142" s="53"/>
      <c r="AC142" s="53"/>
      <c r="AD142" s="53"/>
    </row>
    <row r="143" spans="1:30" x14ac:dyDescent="0.3">
      <c r="A143" s="53"/>
      <c r="B143" s="53"/>
      <c r="C143" s="53"/>
      <c r="D143" s="53"/>
      <c r="E143" s="53"/>
      <c r="H143" s="54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X143" s="53"/>
      <c r="Y143" s="53"/>
      <c r="Z143" s="53"/>
      <c r="AA143" s="53"/>
      <c r="AB143" s="53"/>
      <c r="AC143" s="53"/>
      <c r="AD143" s="53"/>
    </row>
    <row r="144" spans="1:30" x14ac:dyDescent="0.3">
      <c r="A144" s="53"/>
      <c r="B144" s="53"/>
      <c r="C144" s="53"/>
      <c r="D144" s="53"/>
      <c r="E144" s="53"/>
      <c r="H144" s="54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X144" s="53"/>
      <c r="Y144" s="53"/>
      <c r="Z144" s="53"/>
      <c r="AA144" s="53"/>
      <c r="AB144" s="53"/>
      <c r="AC144" s="53"/>
      <c r="AD144" s="53"/>
    </row>
    <row r="145" spans="1:30" x14ac:dyDescent="0.3">
      <c r="A145" s="53"/>
      <c r="B145" s="53"/>
      <c r="C145" s="53"/>
      <c r="D145" s="53"/>
      <c r="E145" s="53"/>
      <c r="H145" s="54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X145" s="53"/>
      <c r="Y145" s="53"/>
      <c r="Z145" s="53"/>
      <c r="AA145" s="53"/>
      <c r="AB145" s="53"/>
      <c r="AC145" s="53"/>
      <c r="AD145" s="53"/>
    </row>
    <row r="146" spans="1:30" x14ac:dyDescent="0.3">
      <c r="A146" s="53"/>
      <c r="B146" s="53"/>
      <c r="C146" s="53"/>
      <c r="D146" s="53"/>
      <c r="E146" s="53"/>
      <c r="H146" s="54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X146" s="53"/>
      <c r="Y146" s="53"/>
      <c r="Z146" s="53"/>
      <c r="AA146" s="53"/>
      <c r="AB146" s="53"/>
      <c r="AC146" s="53"/>
      <c r="AD146" s="53"/>
    </row>
    <row r="147" spans="1:30" x14ac:dyDescent="0.3">
      <c r="A147" s="53"/>
      <c r="B147" s="53"/>
      <c r="C147" s="53"/>
      <c r="D147" s="53"/>
      <c r="E147" s="53"/>
      <c r="H147" s="54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X147" s="53"/>
      <c r="Y147" s="53"/>
      <c r="Z147" s="53"/>
      <c r="AA147" s="53"/>
      <c r="AB147" s="53"/>
      <c r="AC147" s="53"/>
      <c r="AD147" s="53"/>
    </row>
    <row r="148" spans="1:30" x14ac:dyDescent="0.3">
      <c r="A148" s="53"/>
      <c r="B148" s="53"/>
      <c r="C148" s="53"/>
      <c r="D148" s="53"/>
      <c r="E148" s="53"/>
      <c r="H148" s="54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X148" s="53"/>
      <c r="Y148" s="53"/>
      <c r="Z148" s="53"/>
      <c r="AA148" s="53"/>
      <c r="AB148" s="53"/>
      <c r="AC148" s="53"/>
      <c r="AD148" s="53"/>
    </row>
    <row r="149" spans="1:30" x14ac:dyDescent="0.3">
      <c r="A149" s="53"/>
      <c r="B149" s="53"/>
      <c r="C149" s="53"/>
      <c r="D149" s="53"/>
      <c r="E149" s="53"/>
      <c r="H149" s="54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X149" s="53"/>
      <c r="Y149" s="53"/>
      <c r="Z149" s="53"/>
      <c r="AA149" s="53"/>
      <c r="AB149" s="53"/>
      <c r="AC149" s="53"/>
      <c r="AD149" s="53"/>
    </row>
    <row r="150" spans="1:30" x14ac:dyDescent="0.3">
      <c r="A150" s="53"/>
      <c r="B150" s="53"/>
      <c r="C150" s="53"/>
      <c r="D150" s="53"/>
      <c r="E150" s="53"/>
      <c r="H150" s="54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X150" s="53"/>
      <c r="Y150" s="53"/>
      <c r="Z150" s="53"/>
      <c r="AA150" s="53"/>
      <c r="AB150" s="53"/>
      <c r="AC150" s="53"/>
      <c r="AD150" s="53"/>
    </row>
    <row r="151" spans="1:30" x14ac:dyDescent="0.3">
      <c r="A151" s="53"/>
      <c r="B151" s="53"/>
      <c r="C151" s="53"/>
      <c r="D151" s="53"/>
      <c r="E151" s="53"/>
      <c r="H151" s="54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X151" s="53"/>
      <c r="Y151" s="53"/>
      <c r="Z151" s="53"/>
      <c r="AA151" s="53"/>
      <c r="AB151" s="53"/>
      <c r="AC151" s="53"/>
      <c r="AD151" s="53"/>
    </row>
    <row r="152" spans="1:30" x14ac:dyDescent="0.3">
      <c r="A152" s="53"/>
      <c r="B152" s="53"/>
      <c r="C152" s="53"/>
      <c r="D152" s="53"/>
      <c r="E152" s="53"/>
      <c r="H152" s="54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X152" s="53"/>
      <c r="Y152" s="53"/>
      <c r="Z152" s="53"/>
      <c r="AA152" s="53"/>
      <c r="AB152" s="53"/>
      <c r="AC152" s="53"/>
      <c r="AD152" s="53"/>
    </row>
    <row r="153" spans="1:30" x14ac:dyDescent="0.3">
      <c r="A153" s="53"/>
      <c r="B153" s="53"/>
      <c r="C153" s="53"/>
      <c r="D153" s="53"/>
      <c r="E153" s="53"/>
      <c r="H153" s="54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X153" s="53"/>
      <c r="Y153" s="53"/>
      <c r="Z153" s="53"/>
      <c r="AA153" s="53"/>
      <c r="AB153" s="53"/>
      <c r="AC153" s="53"/>
      <c r="AD153" s="53"/>
    </row>
    <row r="154" spans="1:30" x14ac:dyDescent="0.3">
      <c r="A154" s="53"/>
      <c r="B154" s="53"/>
      <c r="C154" s="53"/>
      <c r="D154" s="53"/>
      <c r="E154" s="53"/>
      <c r="H154" s="54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X154" s="53"/>
      <c r="Y154" s="53"/>
      <c r="Z154" s="53"/>
      <c r="AA154" s="53"/>
      <c r="AB154" s="53"/>
      <c r="AC154" s="53"/>
      <c r="AD154" s="53"/>
    </row>
    <row r="155" spans="1:30" x14ac:dyDescent="0.3">
      <c r="A155" s="53"/>
      <c r="B155" s="53"/>
      <c r="C155" s="53"/>
      <c r="D155" s="53"/>
      <c r="E155" s="53"/>
      <c r="H155" s="54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X155" s="53"/>
      <c r="Y155" s="53"/>
      <c r="Z155" s="53"/>
      <c r="AA155" s="53"/>
      <c r="AB155" s="53"/>
      <c r="AC155" s="53"/>
      <c r="AD155" s="53"/>
    </row>
    <row r="156" spans="1:30" x14ac:dyDescent="0.3">
      <c r="A156" s="53"/>
      <c r="B156" s="53"/>
      <c r="C156" s="53"/>
      <c r="D156" s="53"/>
      <c r="E156" s="53"/>
      <c r="H156" s="54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X156" s="53"/>
      <c r="Y156" s="53"/>
      <c r="Z156" s="53"/>
      <c r="AA156" s="53"/>
      <c r="AB156" s="53"/>
      <c r="AC156" s="53"/>
      <c r="AD156" s="53"/>
    </row>
    <row r="157" spans="1:30" x14ac:dyDescent="0.3">
      <c r="A157" s="53"/>
      <c r="B157" s="53"/>
      <c r="C157" s="53"/>
      <c r="D157" s="53"/>
      <c r="E157" s="53"/>
      <c r="H157" s="54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X157" s="53"/>
      <c r="Y157" s="53"/>
      <c r="Z157" s="53"/>
      <c r="AA157" s="53"/>
      <c r="AB157" s="53"/>
      <c r="AC157" s="53"/>
      <c r="AD157" s="53"/>
    </row>
    <row r="158" spans="1:30" x14ac:dyDescent="0.3">
      <c r="A158" s="53"/>
      <c r="B158" s="53"/>
      <c r="C158" s="53"/>
      <c r="D158" s="53"/>
      <c r="E158" s="53"/>
      <c r="H158" s="54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X158" s="53"/>
      <c r="Y158" s="53"/>
      <c r="Z158" s="53"/>
      <c r="AA158" s="53"/>
      <c r="AB158" s="53"/>
      <c r="AC158" s="53"/>
      <c r="AD158" s="53"/>
    </row>
    <row r="159" spans="1:30" x14ac:dyDescent="0.3">
      <c r="A159" s="53"/>
      <c r="B159" s="53"/>
      <c r="C159" s="53"/>
      <c r="D159" s="53"/>
      <c r="E159" s="53"/>
      <c r="H159" s="54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X159" s="53"/>
      <c r="Y159" s="53"/>
      <c r="Z159" s="53"/>
      <c r="AA159" s="53"/>
      <c r="AB159" s="53"/>
      <c r="AC159" s="53"/>
      <c r="AD159" s="53"/>
    </row>
    <row r="160" spans="1:30" x14ac:dyDescent="0.3">
      <c r="A160" s="53"/>
      <c r="B160" s="53"/>
      <c r="C160" s="53"/>
      <c r="D160" s="53"/>
      <c r="E160" s="53"/>
      <c r="H160" s="54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X160" s="53"/>
      <c r="Y160" s="53"/>
      <c r="Z160" s="53"/>
      <c r="AA160" s="53"/>
      <c r="AB160" s="53"/>
      <c r="AC160" s="53"/>
      <c r="AD160" s="53"/>
    </row>
    <row r="161" spans="1:30" x14ac:dyDescent="0.3">
      <c r="A161" s="53"/>
      <c r="B161" s="53"/>
      <c r="C161" s="53"/>
      <c r="D161" s="53"/>
      <c r="E161" s="53"/>
      <c r="H161" s="54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X161" s="53"/>
      <c r="Y161" s="53"/>
      <c r="Z161" s="53"/>
      <c r="AA161" s="53"/>
      <c r="AB161" s="53"/>
      <c r="AC161" s="53"/>
      <c r="AD161" s="53"/>
    </row>
    <row r="162" spans="1:30" x14ac:dyDescent="0.3">
      <c r="A162" s="53"/>
      <c r="B162" s="53"/>
      <c r="C162" s="53"/>
      <c r="D162" s="53"/>
      <c r="E162" s="53"/>
      <c r="H162" s="54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X162" s="53"/>
      <c r="Y162" s="53"/>
      <c r="Z162" s="53"/>
      <c r="AA162" s="53"/>
      <c r="AB162" s="53"/>
      <c r="AC162" s="53"/>
      <c r="AD162" s="53"/>
    </row>
    <row r="163" spans="1:30" x14ac:dyDescent="0.3">
      <c r="A163" s="53"/>
      <c r="B163" s="53"/>
      <c r="C163" s="53"/>
      <c r="D163" s="53"/>
      <c r="E163" s="53"/>
      <c r="H163" s="54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X163" s="53"/>
      <c r="Y163" s="53"/>
      <c r="Z163" s="53"/>
      <c r="AA163" s="53"/>
      <c r="AB163" s="53"/>
      <c r="AC163" s="53"/>
      <c r="AD163" s="53"/>
    </row>
    <row r="164" spans="1:30" x14ac:dyDescent="0.3">
      <c r="A164" s="53"/>
      <c r="B164" s="53"/>
      <c r="C164" s="53"/>
      <c r="D164" s="53"/>
      <c r="E164" s="53"/>
      <c r="H164" s="54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X164" s="53"/>
      <c r="Y164" s="53"/>
      <c r="Z164" s="53"/>
      <c r="AA164" s="53"/>
      <c r="AB164" s="53"/>
      <c r="AC164" s="53"/>
      <c r="AD164" s="53"/>
    </row>
    <row r="165" spans="1:30" x14ac:dyDescent="0.3">
      <c r="A165" s="53"/>
      <c r="B165" s="53"/>
      <c r="C165" s="53"/>
      <c r="D165" s="53"/>
      <c r="E165" s="53"/>
      <c r="H165" s="54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X165" s="53"/>
      <c r="Y165" s="53"/>
      <c r="Z165" s="53"/>
      <c r="AA165" s="53"/>
      <c r="AB165" s="53"/>
      <c r="AC165" s="53"/>
      <c r="AD165" s="53"/>
    </row>
    <row r="166" spans="1:30" x14ac:dyDescent="0.3">
      <c r="A166" s="53"/>
      <c r="B166" s="53"/>
      <c r="C166" s="53"/>
      <c r="D166" s="53"/>
      <c r="E166" s="53"/>
      <c r="H166" s="54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X166" s="53"/>
      <c r="Y166" s="53"/>
      <c r="Z166" s="53"/>
      <c r="AA166" s="53"/>
      <c r="AB166" s="53"/>
      <c r="AC166" s="53"/>
      <c r="AD166" s="53"/>
    </row>
    <row r="167" spans="1:30" x14ac:dyDescent="0.3">
      <c r="A167" s="53"/>
      <c r="B167" s="53"/>
      <c r="C167" s="53"/>
      <c r="D167" s="53"/>
      <c r="E167" s="53"/>
      <c r="H167" s="54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X167" s="53"/>
      <c r="Y167" s="53"/>
      <c r="Z167" s="53"/>
      <c r="AA167" s="53"/>
      <c r="AB167" s="53"/>
      <c r="AC167" s="53"/>
      <c r="AD167" s="53"/>
    </row>
    <row r="168" spans="1:30" x14ac:dyDescent="0.3">
      <c r="A168" s="53"/>
      <c r="B168" s="53"/>
      <c r="C168" s="53"/>
      <c r="D168" s="53"/>
      <c r="E168" s="53"/>
      <c r="H168" s="54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X168" s="53"/>
      <c r="Y168" s="53"/>
      <c r="Z168" s="53"/>
      <c r="AA168" s="53"/>
      <c r="AB168" s="53"/>
      <c r="AC168" s="53"/>
      <c r="AD168" s="53"/>
    </row>
    <row r="169" spans="1:30" x14ac:dyDescent="0.3">
      <c r="A169" s="53"/>
      <c r="B169" s="53"/>
      <c r="C169" s="53"/>
      <c r="D169" s="53"/>
      <c r="E169" s="53"/>
      <c r="H169" s="54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X169" s="53"/>
      <c r="Y169" s="53"/>
      <c r="Z169" s="53"/>
      <c r="AA169" s="53"/>
      <c r="AB169" s="53"/>
      <c r="AC169" s="53"/>
      <c r="AD169" s="53"/>
    </row>
    <row r="170" spans="1:30" x14ac:dyDescent="0.3">
      <c r="A170" s="53"/>
      <c r="B170" s="53"/>
      <c r="C170" s="53"/>
      <c r="D170" s="53"/>
      <c r="E170" s="53"/>
      <c r="H170" s="54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X170" s="53"/>
      <c r="Y170" s="53"/>
      <c r="Z170" s="53"/>
      <c r="AA170" s="53"/>
      <c r="AB170" s="53"/>
      <c r="AC170" s="53"/>
      <c r="AD170" s="53"/>
    </row>
    <row r="171" spans="1:30" x14ac:dyDescent="0.3">
      <c r="A171" s="53"/>
      <c r="B171" s="53"/>
      <c r="C171" s="53"/>
      <c r="D171" s="53"/>
      <c r="E171" s="53"/>
      <c r="H171" s="54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X171" s="53"/>
      <c r="Y171" s="53"/>
      <c r="Z171" s="53"/>
      <c r="AA171" s="53"/>
      <c r="AB171" s="53"/>
      <c r="AC171" s="53"/>
      <c r="AD171" s="53"/>
    </row>
    <row r="172" spans="1:30" x14ac:dyDescent="0.3">
      <c r="A172" s="53"/>
      <c r="B172" s="53"/>
      <c r="C172" s="53"/>
      <c r="D172" s="53"/>
      <c r="E172" s="53"/>
      <c r="H172" s="54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X172" s="53"/>
      <c r="Y172" s="53"/>
      <c r="Z172" s="53"/>
      <c r="AA172" s="53"/>
      <c r="AB172" s="53"/>
      <c r="AC172" s="53"/>
      <c r="AD172" s="53"/>
    </row>
    <row r="173" spans="1:30" x14ac:dyDescent="0.3">
      <c r="A173" s="53"/>
      <c r="B173" s="53"/>
      <c r="C173" s="53"/>
      <c r="D173" s="53"/>
      <c r="E173" s="53"/>
      <c r="H173" s="54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X173" s="53"/>
      <c r="Y173" s="53"/>
      <c r="Z173" s="53"/>
      <c r="AA173" s="53"/>
      <c r="AB173" s="53"/>
      <c r="AC173" s="53"/>
      <c r="AD173" s="53"/>
    </row>
    <row r="174" spans="1:30" x14ac:dyDescent="0.3">
      <c r="A174" s="53"/>
      <c r="B174" s="53"/>
      <c r="C174" s="53"/>
      <c r="D174" s="53"/>
      <c r="E174" s="53"/>
      <c r="H174" s="54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X174" s="53"/>
      <c r="Y174" s="53"/>
      <c r="Z174" s="53"/>
      <c r="AA174" s="53"/>
      <c r="AB174" s="53"/>
      <c r="AC174" s="53"/>
      <c r="AD174" s="53"/>
    </row>
    <row r="175" spans="1:30" x14ac:dyDescent="0.3">
      <c r="A175" s="53"/>
      <c r="B175" s="53"/>
      <c r="C175" s="53"/>
      <c r="D175" s="53"/>
      <c r="E175" s="53"/>
      <c r="H175" s="54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X175" s="53"/>
      <c r="Y175" s="53"/>
      <c r="Z175" s="53"/>
      <c r="AA175" s="53"/>
      <c r="AB175" s="53"/>
      <c r="AC175" s="53"/>
      <c r="AD175" s="53"/>
    </row>
    <row r="176" spans="1:30" x14ac:dyDescent="0.3">
      <c r="A176" s="53"/>
      <c r="B176" s="53"/>
      <c r="C176" s="53"/>
      <c r="D176" s="53"/>
      <c r="E176" s="53"/>
      <c r="H176" s="54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X176" s="53"/>
      <c r="Y176" s="53"/>
      <c r="Z176" s="53"/>
      <c r="AA176" s="53"/>
      <c r="AB176" s="53"/>
      <c r="AC176" s="53"/>
      <c r="AD176" s="53"/>
    </row>
    <row r="177" spans="1:30" x14ac:dyDescent="0.3">
      <c r="A177" s="53"/>
      <c r="B177" s="53"/>
      <c r="C177" s="53"/>
      <c r="D177" s="53"/>
      <c r="E177" s="53"/>
      <c r="H177" s="54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X177" s="53"/>
      <c r="Y177" s="53"/>
      <c r="Z177" s="53"/>
      <c r="AA177" s="53"/>
      <c r="AB177" s="53"/>
      <c r="AC177" s="53"/>
      <c r="AD177" s="53"/>
    </row>
    <row r="178" spans="1:30" x14ac:dyDescent="0.3">
      <c r="A178" s="53"/>
      <c r="B178" s="53"/>
      <c r="C178" s="53"/>
      <c r="D178" s="53"/>
      <c r="E178" s="53"/>
      <c r="H178" s="54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X178" s="53"/>
      <c r="Y178" s="53"/>
      <c r="Z178" s="53"/>
      <c r="AA178" s="53"/>
      <c r="AB178" s="53"/>
      <c r="AC178" s="53"/>
      <c r="AD178" s="53"/>
    </row>
    <row r="179" spans="1:30" x14ac:dyDescent="0.3">
      <c r="A179" s="53"/>
      <c r="B179" s="53"/>
      <c r="C179" s="53"/>
      <c r="D179" s="53"/>
      <c r="E179" s="53"/>
      <c r="H179" s="54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X179" s="53"/>
      <c r="Y179" s="53"/>
      <c r="Z179" s="53"/>
      <c r="AA179" s="53"/>
      <c r="AB179" s="53"/>
      <c r="AC179" s="53"/>
      <c r="AD179" s="53"/>
    </row>
    <row r="180" spans="1:30" x14ac:dyDescent="0.3">
      <c r="A180" s="53"/>
      <c r="B180" s="53"/>
      <c r="C180" s="53"/>
      <c r="D180" s="53"/>
      <c r="E180" s="53"/>
      <c r="H180" s="54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X180" s="53"/>
      <c r="Y180" s="53"/>
      <c r="Z180" s="53"/>
      <c r="AA180" s="53"/>
      <c r="AB180" s="53"/>
      <c r="AC180" s="53"/>
      <c r="AD180" s="53"/>
    </row>
    <row r="181" spans="1:30" x14ac:dyDescent="0.3">
      <c r="A181" s="53"/>
      <c r="B181" s="53"/>
      <c r="C181" s="53"/>
      <c r="D181" s="53"/>
      <c r="E181" s="53"/>
      <c r="H181" s="54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X181" s="53"/>
      <c r="Y181" s="53"/>
      <c r="Z181" s="53"/>
      <c r="AA181" s="53"/>
      <c r="AB181" s="53"/>
      <c r="AC181" s="53"/>
      <c r="AD181" s="53"/>
    </row>
    <row r="182" spans="1:30" x14ac:dyDescent="0.3">
      <c r="A182" s="53"/>
      <c r="B182" s="53"/>
      <c r="C182" s="53"/>
      <c r="D182" s="53"/>
      <c r="E182" s="53"/>
      <c r="H182" s="54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X182" s="53"/>
      <c r="Y182" s="53"/>
      <c r="Z182" s="53"/>
      <c r="AA182" s="53"/>
      <c r="AB182" s="53"/>
      <c r="AC182" s="53"/>
      <c r="AD182" s="53"/>
    </row>
    <row r="183" spans="1:30" x14ac:dyDescent="0.3">
      <c r="A183" s="53"/>
      <c r="B183" s="53"/>
      <c r="C183" s="53"/>
      <c r="D183" s="53"/>
      <c r="E183" s="53"/>
      <c r="H183" s="54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X183" s="53"/>
      <c r="Y183" s="53"/>
      <c r="Z183" s="53"/>
      <c r="AA183" s="53"/>
      <c r="AB183" s="53"/>
      <c r="AC183" s="53"/>
      <c r="AD183" s="53"/>
    </row>
    <row r="184" spans="1:30" x14ac:dyDescent="0.3">
      <c r="A184" s="53"/>
      <c r="B184" s="53"/>
      <c r="C184" s="53"/>
      <c r="D184" s="53"/>
      <c r="E184" s="53"/>
      <c r="H184" s="54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X184" s="53"/>
      <c r="Y184" s="53"/>
      <c r="Z184" s="53"/>
      <c r="AA184" s="53"/>
      <c r="AB184" s="53"/>
      <c r="AC184" s="53"/>
      <c r="AD184" s="53"/>
    </row>
    <row r="185" spans="1:30" x14ac:dyDescent="0.3">
      <c r="A185" s="53"/>
      <c r="B185" s="53"/>
      <c r="C185" s="53"/>
      <c r="D185" s="53"/>
      <c r="E185" s="53"/>
      <c r="H185" s="54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X185" s="53"/>
      <c r="Y185" s="53"/>
      <c r="Z185" s="53"/>
      <c r="AA185" s="53"/>
      <c r="AB185" s="53"/>
      <c r="AC185" s="53"/>
      <c r="AD185" s="53"/>
    </row>
    <row r="186" spans="1:30" x14ac:dyDescent="0.3">
      <c r="A186" s="53"/>
      <c r="B186" s="53"/>
      <c r="C186" s="53"/>
      <c r="D186" s="53"/>
      <c r="E186" s="53"/>
      <c r="H186" s="54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X186" s="53"/>
      <c r="Y186" s="53"/>
      <c r="Z186" s="53"/>
      <c r="AA186" s="53"/>
      <c r="AB186" s="53"/>
      <c r="AC186" s="53"/>
      <c r="AD186" s="53"/>
    </row>
    <row r="187" spans="1:30" x14ac:dyDescent="0.3">
      <c r="A187" s="53"/>
      <c r="B187" s="53"/>
      <c r="C187" s="53"/>
      <c r="D187" s="53"/>
      <c r="E187" s="53"/>
      <c r="H187" s="54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X187" s="53"/>
      <c r="Y187" s="53"/>
      <c r="Z187" s="53"/>
      <c r="AA187" s="53"/>
      <c r="AB187" s="53"/>
      <c r="AC187" s="53"/>
      <c r="AD187" s="53"/>
    </row>
    <row r="188" spans="1:30" x14ac:dyDescent="0.3">
      <c r="A188" s="53"/>
      <c r="B188" s="53"/>
      <c r="C188" s="53"/>
      <c r="D188" s="53"/>
      <c r="E188" s="53"/>
      <c r="H188" s="54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X188" s="53"/>
      <c r="Y188" s="53"/>
      <c r="Z188" s="53"/>
      <c r="AA188" s="53"/>
      <c r="AB188" s="53"/>
      <c r="AC188" s="53"/>
      <c r="AD188" s="53"/>
    </row>
    <row r="189" spans="1:30" x14ac:dyDescent="0.3">
      <c r="A189" s="53"/>
      <c r="B189" s="53"/>
      <c r="C189" s="53"/>
      <c r="D189" s="53"/>
      <c r="E189" s="53"/>
      <c r="H189" s="54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X189" s="53"/>
      <c r="Y189" s="53"/>
      <c r="Z189" s="53"/>
      <c r="AA189" s="53"/>
      <c r="AB189" s="53"/>
      <c r="AC189" s="53"/>
      <c r="AD189" s="53"/>
    </row>
    <row r="190" spans="1:30" x14ac:dyDescent="0.3">
      <c r="A190" s="53"/>
      <c r="B190" s="53"/>
      <c r="C190" s="53"/>
      <c r="D190" s="53"/>
      <c r="E190" s="53"/>
      <c r="H190" s="54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X190" s="53"/>
      <c r="Y190" s="53"/>
      <c r="Z190" s="53"/>
      <c r="AA190" s="53"/>
      <c r="AB190" s="53"/>
      <c r="AC190" s="53"/>
      <c r="AD190" s="53"/>
    </row>
    <row r="191" spans="1:30" x14ac:dyDescent="0.3">
      <c r="A191" s="53"/>
      <c r="B191" s="53"/>
      <c r="C191" s="53"/>
      <c r="D191" s="53"/>
      <c r="E191" s="53"/>
      <c r="H191" s="54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X191" s="53"/>
      <c r="Y191" s="53"/>
      <c r="Z191" s="53"/>
      <c r="AA191" s="53"/>
      <c r="AB191" s="53"/>
      <c r="AC191" s="53"/>
      <c r="AD191" s="53"/>
    </row>
    <row r="192" spans="1:30" x14ac:dyDescent="0.3">
      <c r="A192" s="53"/>
      <c r="B192" s="53"/>
      <c r="C192" s="53"/>
      <c r="D192" s="53"/>
      <c r="E192" s="53"/>
      <c r="H192" s="54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X192" s="53"/>
      <c r="Y192" s="53"/>
      <c r="Z192" s="53"/>
      <c r="AA192" s="53"/>
      <c r="AB192" s="53"/>
      <c r="AC192" s="53"/>
      <c r="AD192" s="53"/>
    </row>
    <row r="193" spans="1:30" x14ac:dyDescent="0.3">
      <c r="A193" s="53"/>
      <c r="B193" s="53"/>
      <c r="C193" s="53"/>
      <c r="D193" s="53"/>
      <c r="E193" s="53"/>
      <c r="H193" s="54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X193" s="53"/>
      <c r="Y193" s="53"/>
      <c r="Z193" s="53"/>
      <c r="AA193" s="53"/>
      <c r="AB193" s="53"/>
      <c r="AC193" s="53"/>
      <c r="AD193" s="53"/>
    </row>
    <row r="194" spans="1:30" x14ac:dyDescent="0.3">
      <c r="A194" s="53"/>
      <c r="B194" s="53"/>
      <c r="C194" s="53"/>
      <c r="D194" s="53"/>
      <c r="E194" s="53"/>
      <c r="H194" s="54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X194" s="53"/>
      <c r="Y194" s="53"/>
      <c r="Z194" s="53"/>
      <c r="AA194" s="53"/>
      <c r="AB194" s="53"/>
      <c r="AC194" s="53"/>
      <c r="AD194" s="53"/>
    </row>
    <row r="195" spans="1:30" x14ac:dyDescent="0.3">
      <c r="A195" s="53"/>
      <c r="B195" s="53"/>
      <c r="C195" s="53"/>
      <c r="D195" s="53"/>
      <c r="E195" s="53"/>
      <c r="H195" s="54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X195" s="53"/>
      <c r="Y195" s="53"/>
      <c r="Z195" s="53"/>
      <c r="AA195" s="53"/>
      <c r="AB195" s="53"/>
      <c r="AC195" s="53"/>
      <c r="AD195" s="53"/>
    </row>
    <row r="196" spans="1:30" x14ac:dyDescent="0.3">
      <c r="A196" s="53"/>
      <c r="B196" s="53"/>
      <c r="C196" s="53"/>
      <c r="D196" s="53"/>
      <c r="E196" s="53"/>
      <c r="H196" s="54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X196" s="53"/>
      <c r="Y196" s="53"/>
      <c r="Z196" s="53"/>
      <c r="AA196" s="53"/>
      <c r="AB196" s="53"/>
      <c r="AC196" s="53"/>
      <c r="AD196" s="53"/>
    </row>
    <row r="197" spans="1:30" x14ac:dyDescent="0.3">
      <c r="A197" s="53"/>
      <c r="B197" s="53"/>
      <c r="C197" s="53"/>
      <c r="D197" s="53"/>
      <c r="E197" s="53"/>
      <c r="H197" s="54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X197" s="53"/>
      <c r="Y197" s="53"/>
      <c r="Z197" s="53"/>
      <c r="AA197" s="53"/>
      <c r="AB197" s="53"/>
      <c r="AC197" s="53"/>
      <c r="AD197" s="53"/>
    </row>
    <row r="198" spans="1:30" x14ac:dyDescent="0.3">
      <c r="A198" s="53"/>
      <c r="B198" s="53"/>
      <c r="C198" s="53"/>
      <c r="D198" s="53"/>
      <c r="E198" s="53"/>
      <c r="H198" s="54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X198" s="53"/>
      <c r="Y198" s="53"/>
      <c r="Z198" s="53"/>
      <c r="AA198" s="53"/>
      <c r="AB198" s="53"/>
      <c r="AC198" s="53"/>
      <c r="AD198" s="53"/>
    </row>
    <row r="199" spans="1:30" x14ac:dyDescent="0.3">
      <c r="A199" s="53"/>
      <c r="B199" s="53"/>
      <c r="C199" s="53"/>
      <c r="D199" s="53"/>
      <c r="E199" s="53"/>
      <c r="H199" s="54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X199" s="53"/>
      <c r="Y199" s="53"/>
      <c r="Z199" s="53"/>
      <c r="AA199" s="53"/>
      <c r="AB199" s="53"/>
      <c r="AC199" s="53"/>
      <c r="AD199" s="53"/>
    </row>
    <row r="200" spans="1:30" x14ac:dyDescent="0.3">
      <c r="A200" s="53"/>
      <c r="B200" s="53"/>
      <c r="C200" s="53"/>
      <c r="D200" s="53"/>
      <c r="E200" s="53"/>
      <c r="H200" s="54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X200" s="53"/>
      <c r="Y200" s="53"/>
      <c r="Z200" s="53"/>
      <c r="AA200" s="53"/>
      <c r="AB200" s="53"/>
      <c r="AC200" s="53"/>
      <c r="AD200" s="53"/>
    </row>
    <row r="201" spans="1:30" x14ac:dyDescent="0.3">
      <c r="A201" s="53"/>
      <c r="B201" s="53"/>
      <c r="C201" s="53"/>
      <c r="D201" s="53"/>
      <c r="E201" s="53"/>
      <c r="H201" s="54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X201" s="53"/>
      <c r="Y201" s="53"/>
      <c r="Z201" s="53"/>
      <c r="AA201" s="53"/>
      <c r="AB201" s="53"/>
      <c r="AC201" s="53"/>
      <c r="AD201" s="53"/>
    </row>
    <row r="202" spans="1:30" x14ac:dyDescent="0.3">
      <c r="A202" s="53"/>
      <c r="B202" s="53"/>
      <c r="C202" s="53"/>
      <c r="D202" s="53"/>
      <c r="E202" s="53"/>
      <c r="H202" s="54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X202" s="53"/>
      <c r="Y202" s="53"/>
      <c r="Z202" s="53"/>
      <c r="AA202" s="53"/>
      <c r="AB202" s="53"/>
      <c r="AC202" s="53"/>
      <c r="AD202" s="53"/>
    </row>
    <row r="203" spans="1:30" x14ac:dyDescent="0.3">
      <c r="A203" s="53"/>
      <c r="B203" s="53"/>
      <c r="C203" s="53"/>
      <c r="D203" s="53"/>
      <c r="E203" s="53"/>
      <c r="H203" s="54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X203" s="53"/>
      <c r="Y203" s="53"/>
      <c r="Z203" s="53"/>
      <c r="AA203" s="53"/>
      <c r="AB203" s="53"/>
      <c r="AC203" s="53"/>
      <c r="AD203" s="53"/>
    </row>
    <row r="204" spans="1:30" x14ac:dyDescent="0.3">
      <c r="A204" s="53"/>
      <c r="B204" s="53"/>
      <c r="C204" s="53"/>
      <c r="D204" s="53"/>
      <c r="E204" s="53"/>
      <c r="H204" s="54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X204" s="53"/>
      <c r="Y204" s="53"/>
      <c r="Z204" s="53"/>
      <c r="AA204" s="53"/>
      <c r="AB204" s="53"/>
      <c r="AC204" s="53"/>
      <c r="AD204" s="53"/>
    </row>
    <row r="205" spans="1:30" x14ac:dyDescent="0.3">
      <c r="A205" s="53"/>
      <c r="B205" s="53"/>
      <c r="C205" s="53"/>
      <c r="D205" s="53"/>
      <c r="E205" s="53"/>
      <c r="H205" s="54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X205" s="53"/>
      <c r="Y205" s="53"/>
      <c r="Z205" s="53"/>
      <c r="AA205" s="53"/>
      <c r="AB205" s="53"/>
      <c r="AC205" s="53"/>
      <c r="AD205" s="53"/>
    </row>
    <row r="206" spans="1:30" x14ac:dyDescent="0.3">
      <c r="A206" s="53"/>
      <c r="B206" s="53"/>
      <c r="C206" s="53"/>
      <c r="D206" s="53"/>
      <c r="E206" s="53"/>
      <c r="H206" s="54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X206" s="53"/>
      <c r="Y206" s="53"/>
      <c r="Z206" s="53"/>
      <c r="AA206" s="53"/>
      <c r="AB206" s="53"/>
      <c r="AC206" s="53"/>
      <c r="AD206" s="53"/>
    </row>
    <row r="207" spans="1:30" x14ac:dyDescent="0.3">
      <c r="A207" s="53"/>
      <c r="B207" s="53"/>
      <c r="C207" s="53"/>
      <c r="D207" s="53"/>
      <c r="E207" s="53"/>
      <c r="H207" s="54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X207" s="53"/>
      <c r="Y207" s="53"/>
      <c r="Z207" s="53"/>
      <c r="AA207" s="53"/>
      <c r="AB207" s="53"/>
      <c r="AC207" s="53"/>
      <c r="AD207" s="53"/>
    </row>
    <row r="208" spans="1:30" x14ac:dyDescent="0.3">
      <c r="A208" s="53"/>
      <c r="B208" s="53"/>
      <c r="C208" s="53"/>
      <c r="D208" s="53"/>
      <c r="E208" s="53"/>
      <c r="H208" s="54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X208" s="53"/>
      <c r="Y208" s="53"/>
      <c r="Z208" s="53"/>
      <c r="AA208" s="53"/>
      <c r="AB208" s="53"/>
      <c r="AC208" s="53"/>
      <c r="AD208" s="53"/>
    </row>
    <row r="209" spans="1:30" x14ac:dyDescent="0.3">
      <c r="A209" s="53"/>
      <c r="B209" s="53"/>
      <c r="C209" s="53"/>
      <c r="D209" s="53"/>
      <c r="E209" s="53"/>
      <c r="H209" s="54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X209" s="53"/>
      <c r="Y209" s="53"/>
      <c r="Z209" s="53"/>
      <c r="AA209" s="53"/>
      <c r="AB209" s="53"/>
      <c r="AC209" s="53"/>
      <c r="AD209" s="53"/>
    </row>
    <row r="210" spans="1:30" x14ac:dyDescent="0.3">
      <c r="A210" s="53"/>
      <c r="B210" s="53"/>
      <c r="C210" s="53"/>
      <c r="D210" s="53"/>
      <c r="E210" s="53"/>
      <c r="H210" s="54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X210" s="53"/>
      <c r="Y210" s="53"/>
      <c r="Z210" s="53"/>
      <c r="AA210" s="53"/>
      <c r="AB210" s="53"/>
      <c r="AC210" s="53"/>
      <c r="AD210" s="53"/>
    </row>
    <row r="211" spans="1:30" x14ac:dyDescent="0.3">
      <c r="A211" s="53"/>
      <c r="B211" s="53"/>
      <c r="C211" s="53"/>
      <c r="D211" s="53"/>
      <c r="E211" s="53"/>
      <c r="H211" s="54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X211" s="53"/>
      <c r="Y211" s="53"/>
      <c r="Z211" s="53"/>
      <c r="AA211" s="53"/>
      <c r="AB211" s="53"/>
      <c r="AC211" s="53"/>
      <c r="AD211" s="53"/>
    </row>
    <row r="212" spans="1:30" x14ac:dyDescent="0.3">
      <c r="A212" s="53"/>
      <c r="B212" s="53"/>
      <c r="C212" s="53"/>
      <c r="D212" s="53"/>
      <c r="E212" s="53"/>
      <c r="H212" s="54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X212" s="53"/>
      <c r="Y212" s="53"/>
      <c r="Z212" s="53"/>
      <c r="AA212" s="53"/>
      <c r="AB212" s="53"/>
      <c r="AC212" s="53"/>
      <c r="AD212" s="53"/>
    </row>
    <row r="213" spans="1:30" x14ac:dyDescent="0.3">
      <c r="A213" s="53"/>
      <c r="B213" s="53"/>
      <c r="C213" s="53"/>
      <c r="D213" s="53"/>
      <c r="E213" s="53"/>
      <c r="H213" s="54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X213" s="53"/>
      <c r="Y213" s="53"/>
      <c r="Z213" s="53"/>
      <c r="AA213" s="53"/>
      <c r="AB213" s="53"/>
      <c r="AC213" s="53"/>
      <c r="AD213" s="53"/>
    </row>
    <row r="214" spans="1:30" x14ac:dyDescent="0.3">
      <c r="A214" s="53"/>
      <c r="B214" s="53"/>
      <c r="C214" s="53"/>
      <c r="D214" s="53"/>
      <c r="E214" s="53"/>
      <c r="H214" s="54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X214" s="53"/>
      <c r="Y214" s="53"/>
      <c r="Z214" s="53"/>
      <c r="AA214" s="53"/>
      <c r="AB214" s="53"/>
      <c r="AC214" s="53"/>
      <c r="AD214" s="53"/>
    </row>
    <row r="215" spans="1:30" x14ac:dyDescent="0.3">
      <c r="A215" s="53"/>
      <c r="B215" s="53"/>
      <c r="C215" s="53"/>
      <c r="D215" s="53"/>
      <c r="E215" s="53"/>
      <c r="H215" s="54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X215" s="53"/>
      <c r="Y215" s="53"/>
      <c r="Z215" s="53"/>
      <c r="AA215" s="53"/>
      <c r="AB215" s="53"/>
      <c r="AC215" s="53"/>
      <c r="AD215" s="53"/>
    </row>
    <row r="216" spans="1:30" x14ac:dyDescent="0.3">
      <c r="A216" s="53"/>
      <c r="B216" s="53"/>
      <c r="C216" s="53"/>
      <c r="D216" s="53"/>
      <c r="E216" s="53"/>
      <c r="H216" s="54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X216" s="53"/>
      <c r="Y216" s="53"/>
      <c r="Z216" s="53"/>
      <c r="AA216" s="53"/>
      <c r="AB216" s="53"/>
      <c r="AC216" s="53"/>
      <c r="AD216" s="53"/>
    </row>
    <row r="217" spans="1:30" x14ac:dyDescent="0.3">
      <c r="A217" s="53"/>
      <c r="B217" s="53"/>
      <c r="C217" s="53"/>
      <c r="D217" s="53"/>
      <c r="E217" s="53"/>
      <c r="H217" s="54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X217" s="53"/>
      <c r="Y217" s="53"/>
      <c r="Z217" s="53"/>
      <c r="AA217" s="53"/>
      <c r="AB217" s="53"/>
      <c r="AC217" s="53"/>
      <c r="AD217" s="53"/>
    </row>
    <row r="218" spans="1:30" x14ac:dyDescent="0.3">
      <c r="A218" s="53"/>
      <c r="B218" s="53"/>
      <c r="C218" s="53"/>
      <c r="D218" s="53"/>
      <c r="E218" s="53"/>
      <c r="H218" s="54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X218" s="53"/>
      <c r="Y218" s="53"/>
      <c r="Z218" s="53"/>
      <c r="AA218" s="53"/>
      <c r="AB218" s="53"/>
      <c r="AC218" s="53"/>
      <c r="AD218" s="53"/>
    </row>
    <row r="219" spans="1:30" x14ac:dyDescent="0.3">
      <c r="A219" s="53"/>
      <c r="B219" s="53"/>
      <c r="C219" s="53"/>
      <c r="D219" s="53"/>
      <c r="E219" s="53"/>
      <c r="H219" s="54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X219" s="53"/>
      <c r="Y219" s="53"/>
      <c r="Z219" s="53"/>
      <c r="AA219" s="53"/>
      <c r="AB219" s="53"/>
      <c r="AC219" s="53"/>
      <c r="AD219" s="53"/>
    </row>
    <row r="220" spans="1:30" x14ac:dyDescent="0.3">
      <c r="A220" s="53"/>
      <c r="B220" s="53"/>
      <c r="C220" s="53"/>
      <c r="D220" s="53"/>
      <c r="E220" s="53"/>
      <c r="H220" s="54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X220" s="53"/>
      <c r="Y220" s="53"/>
      <c r="Z220" s="53"/>
      <c r="AA220" s="53"/>
      <c r="AB220" s="53"/>
      <c r="AC220" s="53"/>
      <c r="AD220" s="53"/>
    </row>
    <row r="221" spans="1:30" x14ac:dyDescent="0.3">
      <c r="A221" s="53"/>
      <c r="B221" s="53"/>
      <c r="C221" s="53"/>
      <c r="D221" s="53"/>
      <c r="E221" s="53"/>
      <c r="H221" s="54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X221" s="53"/>
      <c r="Y221" s="53"/>
      <c r="Z221" s="53"/>
      <c r="AA221" s="53"/>
      <c r="AB221" s="53"/>
      <c r="AC221" s="53"/>
      <c r="AD221" s="53"/>
    </row>
    <row r="222" spans="1:30" x14ac:dyDescent="0.3">
      <c r="A222" s="53"/>
      <c r="B222" s="53"/>
      <c r="C222" s="53"/>
      <c r="D222" s="53"/>
      <c r="E222" s="53"/>
      <c r="H222" s="54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X222" s="53"/>
      <c r="Y222" s="53"/>
      <c r="Z222" s="53"/>
      <c r="AA222" s="53"/>
      <c r="AB222" s="53"/>
      <c r="AC222" s="53"/>
      <c r="AD222" s="53"/>
    </row>
    <row r="223" spans="1:30" x14ac:dyDescent="0.3">
      <c r="A223" s="53"/>
      <c r="B223" s="53"/>
      <c r="C223" s="53"/>
      <c r="D223" s="53"/>
      <c r="E223" s="53"/>
      <c r="H223" s="54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X223" s="53"/>
      <c r="Y223" s="53"/>
      <c r="Z223" s="53"/>
      <c r="AA223" s="53"/>
      <c r="AB223" s="53"/>
      <c r="AC223" s="53"/>
      <c r="AD223" s="53"/>
    </row>
    <row r="224" spans="1:30" x14ac:dyDescent="0.3">
      <c r="A224" s="53"/>
      <c r="B224" s="53"/>
      <c r="C224" s="53"/>
      <c r="D224" s="53"/>
      <c r="E224" s="53"/>
      <c r="H224" s="54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X224" s="53"/>
      <c r="Y224" s="53"/>
      <c r="Z224" s="53"/>
      <c r="AA224" s="53"/>
      <c r="AB224" s="53"/>
      <c r="AC224" s="53"/>
      <c r="AD224" s="53"/>
    </row>
    <row r="225" spans="1:30" x14ac:dyDescent="0.3">
      <c r="A225" s="53"/>
      <c r="B225" s="53"/>
      <c r="C225" s="53"/>
      <c r="D225" s="53"/>
      <c r="E225" s="53"/>
      <c r="H225" s="54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X225" s="53"/>
      <c r="Y225" s="53"/>
      <c r="Z225" s="53"/>
      <c r="AA225" s="53"/>
      <c r="AB225" s="53"/>
      <c r="AC225" s="53"/>
      <c r="AD225" s="53"/>
    </row>
    <row r="226" spans="1:30" x14ac:dyDescent="0.3">
      <c r="A226" s="53"/>
      <c r="B226" s="53"/>
      <c r="C226" s="53"/>
      <c r="D226" s="53"/>
      <c r="E226" s="53"/>
      <c r="H226" s="54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X226" s="53"/>
      <c r="Y226" s="53"/>
      <c r="Z226" s="53"/>
      <c r="AA226" s="53"/>
      <c r="AB226" s="53"/>
      <c r="AC226" s="53"/>
      <c r="AD226" s="53"/>
    </row>
    <row r="227" spans="1:30" x14ac:dyDescent="0.3">
      <c r="A227" s="53"/>
      <c r="B227" s="53"/>
      <c r="C227" s="53"/>
      <c r="D227" s="53"/>
      <c r="E227" s="53"/>
      <c r="H227" s="54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X227" s="53"/>
      <c r="Y227" s="53"/>
      <c r="Z227" s="53"/>
      <c r="AA227" s="53"/>
      <c r="AB227" s="53"/>
      <c r="AC227" s="53"/>
      <c r="AD227" s="53"/>
    </row>
    <row r="228" spans="1:30" x14ac:dyDescent="0.3">
      <c r="A228" s="53"/>
      <c r="B228" s="53"/>
      <c r="C228" s="53"/>
      <c r="D228" s="53"/>
      <c r="E228" s="53"/>
      <c r="H228" s="54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X228" s="53"/>
      <c r="Y228" s="53"/>
      <c r="Z228" s="53"/>
      <c r="AA228" s="53"/>
      <c r="AB228" s="53"/>
      <c r="AC228" s="53"/>
      <c r="AD228" s="53"/>
    </row>
    <row r="229" spans="1:30" x14ac:dyDescent="0.3">
      <c r="A229" s="53"/>
      <c r="B229" s="53"/>
      <c r="C229" s="53"/>
      <c r="D229" s="53"/>
      <c r="E229" s="53"/>
      <c r="H229" s="54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X229" s="53"/>
      <c r="Y229" s="53"/>
      <c r="Z229" s="53"/>
      <c r="AA229" s="53"/>
      <c r="AB229" s="53"/>
      <c r="AC229" s="53"/>
      <c r="AD229" s="53"/>
    </row>
    <row r="230" spans="1:30" x14ac:dyDescent="0.3">
      <c r="A230" s="53"/>
      <c r="B230" s="53"/>
      <c r="C230" s="53"/>
      <c r="D230" s="53"/>
      <c r="E230" s="53"/>
      <c r="H230" s="54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X230" s="53"/>
      <c r="Y230" s="53"/>
      <c r="Z230" s="53"/>
      <c r="AA230" s="53"/>
      <c r="AB230" s="53"/>
      <c r="AC230" s="53"/>
      <c r="AD230" s="53"/>
    </row>
    <row r="231" spans="1:30" x14ac:dyDescent="0.3">
      <c r="A231" s="53"/>
      <c r="B231" s="53"/>
      <c r="C231" s="53"/>
      <c r="D231" s="53"/>
      <c r="E231" s="53"/>
      <c r="H231" s="54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X231" s="53"/>
      <c r="Y231" s="53"/>
      <c r="Z231" s="53"/>
      <c r="AA231" s="53"/>
      <c r="AB231" s="53"/>
      <c r="AC231" s="53"/>
      <c r="AD231" s="53"/>
    </row>
    <row r="232" spans="1:30" x14ac:dyDescent="0.3">
      <c r="A232" s="53"/>
      <c r="B232" s="53"/>
      <c r="C232" s="53"/>
      <c r="D232" s="53"/>
      <c r="E232" s="53"/>
      <c r="H232" s="54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X232" s="53"/>
      <c r="Y232" s="53"/>
      <c r="Z232" s="53"/>
      <c r="AA232" s="53"/>
      <c r="AB232" s="53"/>
      <c r="AC232" s="53"/>
      <c r="AD232" s="53"/>
    </row>
    <row r="233" spans="1:30" x14ac:dyDescent="0.3">
      <c r="A233" s="53"/>
      <c r="B233" s="53"/>
      <c r="C233" s="53"/>
      <c r="D233" s="53"/>
      <c r="E233" s="53"/>
      <c r="H233" s="54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X233" s="53"/>
      <c r="Y233" s="53"/>
      <c r="Z233" s="53"/>
      <c r="AA233" s="53"/>
      <c r="AB233" s="53"/>
      <c r="AC233" s="53"/>
      <c r="AD233" s="53"/>
    </row>
    <row r="234" spans="1:30" x14ac:dyDescent="0.3">
      <c r="A234" s="53"/>
      <c r="B234" s="53"/>
      <c r="C234" s="53"/>
      <c r="D234" s="53"/>
      <c r="E234" s="53"/>
      <c r="H234" s="54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X234" s="53"/>
      <c r="Y234" s="53"/>
      <c r="Z234" s="53"/>
      <c r="AA234" s="53"/>
      <c r="AB234" s="53"/>
      <c r="AC234" s="53"/>
      <c r="AD234" s="53"/>
    </row>
    <row r="235" spans="1:30" x14ac:dyDescent="0.3">
      <c r="A235" s="53"/>
      <c r="B235" s="53"/>
      <c r="C235" s="53"/>
      <c r="D235" s="53"/>
      <c r="E235" s="53"/>
      <c r="H235" s="54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X235" s="53"/>
      <c r="Y235" s="53"/>
      <c r="Z235" s="53"/>
      <c r="AA235" s="53"/>
      <c r="AB235" s="53"/>
      <c r="AC235" s="53"/>
      <c r="AD235" s="53"/>
    </row>
    <row r="236" spans="1:30" x14ac:dyDescent="0.3">
      <c r="A236" s="53"/>
      <c r="B236" s="53"/>
      <c r="C236" s="53"/>
      <c r="D236" s="53"/>
      <c r="E236" s="53"/>
      <c r="H236" s="54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X236" s="53"/>
      <c r="Y236" s="53"/>
      <c r="Z236" s="53"/>
      <c r="AA236" s="53"/>
      <c r="AB236" s="53"/>
      <c r="AC236" s="53"/>
      <c r="AD236" s="53"/>
    </row>
    <row r="237" spans="1:30" x14ac:dyDescent="0.3">
      <c r="A237" s="53"/>
      <c r="B237" s="53"/>
      <c r="C237" s="53"/>
      <c r="D237" s="53"/>
      <c r="E237" s="53"/>
      <c r="H237" s="54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X237" s="53"/>
      <c r="Y237" s="53"/>
      <c r="Z237" s="53"/>
      <c r="AA237" s="53"/>
      <c r="AB237" s="53"/>
      <c r="AC237" s="53"/>
      <c r="AD237" s="53"/>
    </row>
    <row r="238" spans="1:30" x14ac:dyDescent="0.3">
      <c r="A238" s="53"/>
      <c r="B238" s="53"/>
      <c r="C238" s="53"/>
      <c r="D238" s="53"/>
      <c r="E238" s="53"/>
      <c r="H238" s="54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X238" s="53"/>
      <c r="Y238" s="53"/>
      <c r="Z238" s="53"/>
      <c r="AA238" s="53"/>
      <c r="AB238" s="53"/>
      <c r="AC238" s="53"/>
      <c r="AD238" s="53"/>
    </row>
    <row r="239" spans="1:30" x14ac:dyDescent="0.3">
      <c r="A239" s="53"/>
      <c r="B239" s="53"/>
      <c r="C239" s="53"/>
      <c r="D239" s="53"/>
      <c r="E239" s="53"/>
      <c r="H239" s="54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X239" s="53"/>
      <c r="Y239" s="53"/>
      <c r="Z239" s="53"/>
      <c r="AA239" s="53"/>
      <c r="AB239" s="53"/>
      <c r="AC239" s="53"/>
      <c r="AD239" s="53"/>
    </row>
    <row r="240" spans="1:30" x14ac:dyDescent="0.3">
      <c r="A240" s="53"/>
      <c r="B240" s="53"/>
      <c r="C240" s="53"/>
      <c r="D240" s="53"/>
      <c r="E240" s="53"/>
      <c r="H240" s="54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X240" s="53"/>
      <c r="Y240" s="53"/>
      <c r="Z240" s="53"/>
      <c r="AA240" s="53"/>
      <c r="AB240" s="53"/>
      <c r="AC240" s="53"/>
      <c r="AD240" s="53"/>
    </row>
    <row r="241" spans="1:30" x14ac:dyDescent="0.3">
      <c r="A241" s="53"/>
      <c r="B241" s="53"/>
      <c r="C241" s="53"/>
      <c r="D241" s="53"/>
      <c r="E241" s="53"/>
      <c r="H241" s="54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X241" s="53"/>
      <c r="Y241" s="53"/>
      <c r="Z241" s="53"/>
      <c r="AA241" s="53"/>
      <c r="AB241" s="53"/>
      <c r="AC241" s="53"/>
      <c r="AD241" s="53"/>
    </row>
    <row r="242" spans="1:30" x14ac:dyDescent="0.3">
      <c r="A242" s="53"/>
      <c r="B242" s="53"/>
      <c r="C242" s="53"/>
      <c r="D242" s="53"/>
      <c r="E242" s="53"/>
      <c r="H242" s="54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X242" s="53"/>
      <c r="Y242" s="53"/>
      <c r="Z242" s="53"/>
      <c r="AA242" s="53"/>
      <c r="AB242" s="53"/>
      <c r="AC242" s="53"/>
      <c r="AD242" s="53"/>
    </row>
    <row r="243" spans="1:30" x14ac:dyDescent="0.3">
      <c r="A243" s="53"/>
      <c r="B243" s="53"/>
      <c r="C243" s="53"/>
      <c r="D243" s="53"/>
      <c r="E243" s="53"/>
      <c r="H243" s="54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X243" s="53"/>
      <c r="Y243" s="53"/>
      <c r="Z243" s="53"/>
      <c r="AA243" s="53"/>
      <c r="AB243" s="53"/>
      <c r="AC243" s="53"/>
      <c r="AD243" s="53"/>
    </row>
    <row r="244" spans="1:30" x14ac:dyDescent="0.3">
      <c r="A244" s="53"/>
      <c r="B244" s="53"/>
      <c r="C244" s="53"/>
      <c r="D244" s="53"/>
      <c r="E244" s="53"/>
      <c r="H244" s="54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X244" s="53"/>
      <c r="Y244" s="53"/>
      <c r="Z244" s="53"/>
      <c r="AA244" s="53"/>
      <c r="AB244" s="53"/>
      <c r="AC244" s="53"/>
      <c r="AD244" s="53"/>
    </row>
    <row r="245" spans="1:30" x14ac:dyDescent="0.3">
      <c r="A245" s="53"/>
      <c r="B245" s="53"/>
      <c r="C245" s="53"/>
      <c r="D245" s="53"/>
      <c r="E245" s="53"/>
      <c r="H245" s="54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X245" s="53"/>
      <c r="Y245" s="53"/>
      <c r="Z245" s="53"/>
      <c r="AA245" s="53"/>
      <c r="AB245" s="53"/>
      <c r="AC245" s="53"/>
      <c r="AD245" s="53"/>
    </row>
    <row r="246" spans="1:30" x14ac:dyDescent="0.3">
      <c r="A246" s="53"/>
      <c r="B246" s="53"/>
      <c r="C246" s="53"/>
      <c r="D246" s="53"/>
      <c r="E246" s="53"/>
      <c r="H246" s="54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X246" s="53"/>
      <c r="Y246" s="53"/>
      <c r="Z246" s="53"/>
      <c r="AA246" s="53"/>
      <c r="AB246" s="53"/>
      <c r="AC246" s="53"/>
      <c r="AD246" s="53"/>
    </row>
    <row r="247" spans="1:30" x14ac:dyDescent="0.3">
      <c r="A247" s="53"/>
      <c r="B247" s="53"/>
      <c r="C247" s="53"/>
      <c r="D247" s="53"/>
      <c r="E247" s="53"/>
      <c r="H247" s="54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X247" s="53"/>
      <c r="Y247" s="53"/>
      <c r="Z247" s="53"/>
      <c r="AA247" s="53"/>
      <c r="AB247" s="53"/>
      <c r="AC247" s="53"/>
      <c r="AD247" s="53"/>
    </row>
    <row r="248" spans="1:30" x14ac:dyDescent="0.3">
      <c r="A248" s="53"/>
      <c r="B248" s="53"/>
      <c r="C248" s="53"/>
      <c r="D248" s="53"/>
      <c r="E248" s="53"/>
      <c r="H248" s="54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X248" s="53"/>
      <c r="Y248" s="53"/>
      <c r="Z248" s="53"/>
      <c r="AA248" s="53"/>
      <c r="AB248" s="53"/>
      <c r="AC248" s="53"/>
      <c r="AD248" s="53"/>
    </row>
    <row r="249" spans="1:30" x14ac:dyDescent="0.3">
      <c r="A249" s="53"/>
      <c r="B249" s="53"/>
      <c r="C249" s="53"/>
      <c r="D249" s="53"/>
      <c r="E249" s="53"/>
      <c r="H249" s="54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X249" s="53"/>
      <c r="Y249" s="53"/>
      <c r="Z249" s="53"/>
      <c r="AA249" s="53"/>
      <c r="AB249" s="53"/>
      <c r="AC249" s="53"/>
      <c r="AD249" s="53"/>
    </row>
    <row r="250" spans="1:30" x14ac:dyDescent="0.3">
      <c r="A250" s="53"/>
      <c r="B250" s="53"/>
      <c r="C250" s="53"/>
      <c r="D250" s="53"/>
      <c r="E250" s="53"/>
      <c r="H250" s="54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X250" s="53"/>
      <c r="Y250" s="53"/>
      <c r="Z250" s="53"/>
      <c r="AA250" s="53"/>
      <c r="AB250" s="53"/>
      <c r="AC250" s="53"/>
      <c r="AD250" s="53"/>
    </row>
    <row r="251" spans="1:30" x14ac:dyDescent="0.3">
      <c r="A251" s="53"/>
      <c r="B251" s="53"/>
      <c r="C251" s="53"/>
      <c r="D251" s="53"/>
      <c r="E251" s="53"/>
      <c r="H251" s="54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X251" s="53"/>
      <c r="Y251" s="53"/>
      <c r="Z251" s="53"/>
      <c r="AA251" s="53"/>
      <c r="AB251" s="53"/>
      <c r="AC251" s="53"/>
      <c r="AD251" s="53"/>
    </row>
    <row r="252" spans="1:30" x14ac:dyDescent="0.3">
      <c r="A252" s="53"/>
      <c r="B252" s="53"/>
      <c r="C252" s="53"/>
      <c r="D252" s="53"/>
      <c r="E252" s="53"/>
      <c r="H252" s="54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X252" s="53"/>
      <c r="Y252" s="53"/>
      <c r="Z252" s="53"/>
      <c r="AA252" s="53"/>
      <c r="AB252" s="53"/>
      <c r="AC252" s="53"/>
      <c r="AD252" s="53"/>
    </row>
    <row r="253" spans="1:30" x14ac:dyDescent="0.3">
      <c r="A253" s="53"/>
      <c r="B253" s="53"/>
      <c r="C253" s="53"/>
      <c r="D253" s="53"/>
      <c r="E253" s="53"/>
      <c r="H253" s="54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X253" s="53"/>
      <c r="Y253" s="53"/>
      <c r="Z253" s="53"/>
      <c r="AA253" s="53"/>
      <c r="AB253" s="53"/>
      <c r="AC253" s="53"/>
      <c r="AD253" s="53"/>
    </row>
    <row r="254" spans="1:30" x14ac:dyDescent="0.3">
      <c r="A254" s="53"/>
      <c r="B254" s="53"/>
      <c r="C254" s="53"/>
      <c r="D254" s="53"/>
      <c r="E254" s="53"/>
      <c r="H254" s="54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X254" s="53"/>
      <c r="Y254" s="53"/>
      <c r="Z254" s="53"/>
      <c r="AA254" s="53"/>
      <c r="AB254" s="53"/>
      <c r="AC254" s="53"/>
      <c r="AD254" s="53"/>
    </row>
    <row r="255" spans="1:30" x14ac:dyDescent="0.3">
      <c r="A255" s="53"/>
      <c r="B255" s="53"/>
      <c r="C255" s="53"/>
      <c r="D255" s="53"/>
      <c r="E255" s="53"/>
      <c r="H255" s="54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X255" s="53"/>
      <c r="Y255" s="53"/>
      <c r="Z255" s="53"/>
      <c r="AA255" s="53"/>
      <c r="AB255" s="53"/>
      <c r="AC255" s="53"/>
      <c r="AD255" s="53"/>
    </row>
    <row r="256" spans="1:30" x14ac:dyDescent="0.3">
      <c r="A256" s="53"/>
      <c r="B256" s="53"/>
      <c r="C256" s="53"/>
      <c r="D256" s="53"/>
      <c r="E256" s="53"/>
      <c r="H256" s="54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X256" s="53"/>
      <c r="Y256" s="53"/>
      <c r="Z256" s="53"/>
      <c r="AA256" s="53"/>
      <c r="AB256" s="53"/>
      <c r="AC256" s="53"/>
      <c r="AD256" s="53"/>
    </row>
    <row r="257" spans="1:30" x14ac:dyDescent="0.3">
      <c r="A257" s="53"/>
      <c r="B257" s="53"/>
      <c r="C257" s="53"/>
      <c r="D257" s="53"/>
      <c r="E257" s="53"/>
      <c r="H257" s="54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X257" s="53"/>
      <c r="Y257" s="53"/>
      <c r="Z257" s="53"/>
      <c r="AA257" s="53"/>
      <c r="AB257" s="53"/>
      <c r="AC257" s="53"/>
      <c r="AD257" s="53"/>
    </row>
    <row r="258" spans="1:30" x14ac:dyDescent="0.3">
      <c r="A258" s="53"/>
      <c r="B258" s="53"/>
      <c r="C258" s="53"/>
      <c r="D258" s="53"/>
      <c r="E258" s="53"/>
      <c r="H258" s="54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X258" s="53"/>
      <c r="Y258" s="53"/>
      <c r="Z258" s="53"/>
      <c r="AA258" s="53"/>
      <c r="AB258" s="53"/>
      <c r="AC258" s="53"/>
      <c r="AD258" s="53"/>
    </row>
    <row r="259" spans="1:30" x14ac:dyDescent="0.3">
      <c r="A259" s="53"/>
      <c r="B259" s="53"/>
      <c r="C259" s="53"/>
      <c r="D259" s="53"/>
      <c r="E259" s="53"/>
      <c r="H259" s="54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X259" s="53"/>
      <c r="Y259" s="53"/>
      <c r="Z259" s="53"/>
      <c r="AA259" s="53"/>
      <c r="AB259" s="53"/>
      <c r="AC259" s="53"/>
      <c r="AD259" s="53"/>
    </row>
    <row r="260" spans="1:30" x14ac:dyDescent="0.3">
      <c r="A260" s="53"/>
      <c r="B260" s="53"/>
      <c r="C260" s="53"/>
      <c r="D260" s="53"/>
      <c r="E260" s="53"/>
      <c r="H260" s="54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X260" s="53"/>
      <c r="Y260" s="53"/>
      <c r="Z260" s="53"/>
      <c r="AA260" s="53"/>
      <c r="AB260" s="53"/>
      <c r="AC260" s="53"/>
      <c r="AD260" s="53"/>
    </row>
    <row r="261" spans="1:30" x14ac:dyDescent="0.3">
      <c r="A261" s="53"/>
      <c r="B261" s="53"/>
      <c r="C261" s="53"/>
      <c r="D261" s="53"/>
      <c r="E261" s="53"/>
      <c r="H261" s="54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X261" s="53"/>
      <c r="Y261" s="53"/>
      <c r="Z261" s="53"/>
      <c r="AA261" s="53"/>
      <c r="AB261" s="53"/>
      <c r="AC261" s="53"/>
      <c r="AD261" s="53"/>
    </row>
    <row r="262" spans="1:30" x14ac:dyDescent="0.3">
      <c r="A262" s="53"/>
      <c r="B262" s="53"/>
      <c r="C262" s="53"/>
      <c r="D262" s="53"/>
      <c r="E262" s="53"/>
      <c r="H262" s="54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X262" s="53"/>
      <c r="Y262" s="53"/>
      <c r="Z262" s="53"/>
      <c r="AA262" s="53"/>
      <c r="AB262" s="53"/>
      <c r="AC262" s="53"/>
      <c r="AD262" s="53"/>
    </row>
    <row r="263" spans="1:30" x14ac:dyDescent="0.3">
      <c r="A263" s="53"/>
      <c r="B263" s="53"/>
      <c r="C263" s="53"/>
      <c r="D263" s="53"/>
      <c r="E263" s="53"/>
      <c r="H263" s="54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X263" s="53"/>
      <c r="Y263" s="53"/>
      <c r="Z263" s="53"/>
      <c r="AA263" s="53"/>
      <c r="AB263" s="53"/>
      <c r="AC263" s="53"/>
      <c r="AD263" s="53"/>
    </row>
    <row r="264" spans="1:30" x14ac:dyDescent="0.3">
      <c r="A264" s="53"/>
      <c r="B264" s="53"/>
      <c r="C264" s="53"/>
      <c r="D264" s="53"/>
      <c r="E264" s="53"/>
      <c r="H264" s="54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X264" s="53"/>
      <c r="Y264" s="53"/>
      <c r="Z264" s="53"/>
      <c r="AA264" s="53"/>
      <c r="AB264" s="53"/>
      <c r="AC264" s="53"/>
      <c r="AD264" s="53"/>
    </row>
    <row r="265" spans="1:30" x14ac:dyDescent="0.3">
      <c r="A265" s="53"/>
      <c r="B265" s="53"/>
      <c r="C265" s="53"/>
      <c r="D265" s="53"/>
      <c r="E265" s="53"/>
      <c r="H265" s="54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X265" s="53"/>
      <c r="Y265" s="53"/>
      <c r="Z265" s="53"/>
      <c r="AA265" s="53"/>
      <c r="AB265" s="53"/>
      <c r="AC265" s="53"/>
      <c r="AD265" s="53"/>
    </row>
    <row r="266" spans="1:30" x14ac:dyDescent="0.3">
      <c r="A266" s="53"/>
      <c r="B266" s="53"/>
      <c r="C266" s="53"/>
      <c r="D266" s="53"/>
      <c r="E266" s="53"/>
      <c r="H266" s="54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X266" s="53"/>
      <c r="Y266" s="53"/>
      <c r="Z266" s="53"/>
      <c r="AA266" s="53"/>
      <c r="AB266" s="53"/>
      <c r="AC266" s="53"/>
      <c r="AD266" s="53"/>
    </row>
    <row r="267" spans="1:30" x14ac:dyDescent="0.3">
      <c r="A267" s="53"/>
      <c r="B267" s="53"/>
      <c r="C267" s="53"/>
      <c r="D267" s="53"/>
      <c r="E267" s="53"/>
      <c r="H267" s="54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X267" s="53"/>
      <c r="Y267" s="53"/>
      <c r="Z267" s="53"/>
      <c r="AA267" s="53"/>
      <c r="AB267" s="53"/>
      <c r="AC267" s="53"/>
      <c r="AD267" s="53"/>
    </row>
    <row r="268" spans="1:30" x14ac:dyDescent="0.3">
      <c r="A268" s="53"/>
      <c r="B268" s="53"/>
      <c r="C268" s="53"/>
      <c r="D268" s="53"/>
      <c r="E268" s="53"/>
      <c r="H268" s="54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X268" s="53"/>
      <c r="Y268" s="53"/>
      <c r="Z268" s="53"/>
      <c r="AA268" s="53"/>
      <c r="AB268" s="53"/>
      <c r="AC268" s="53"/>
      <c r="AD268" s="53"/>
    </row>
    <row r="269" spans="1:30" x14ac:dyDescent="0.3">
      <c r="A269" s="53"/>
      <c r="B269" s="53"/>
      <c r="C269" s="53"/>
      <c r="D269" s="53"/>
      <c r="E269" s="53"/>
      <c r="H269" s="54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X269" s="53"/>
      <c r="Y269" s="53"/>
      <c r="Z269" s="53"/>
      <c r="AA269" s="53"/>
      <c r="AB269" s="53"/>
      <c r="AC269" s="53"/>
      <c r="AD269" s="53"/>
    </row>
    <row r="270" spans="1:30" x14ac:dyDescent="0.3">
      <c r="A270" s="53"/>
      <c r="B270" s="53"/>
      <c r="C270" s="53"/>
      <c r="D270" s="53"/>
      <c r="E270" s="53"/>
      <c r="H270" s="54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X270" s="53"/>
      <c r="Y270" s="53"/>
      <c r="Z270" s="53"/>
      <c r="AA270" s="53"/>
      <c r="AB270" s="53"/>
      <c r="AC270" s="53"/>
      <c r="AD270" s="53"/>
    </row>
    <row r="271" spans="1:30" x14ac:dyDescent="0.3">
      <c r="A271" s="53"/>
      <c r="B271" s="53"/>
      <c r="C271" s="53"/>
      <c r="D271" s="53"/>
      <c r="E271" s="53"/>
      <c r="H271" s="54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X271" s="53"/>
      <c r="Y271" s="53"/>
      <c r="Z271" s="53"/>
      <c r="AA271" s="53"/>
      <c r="AB271" s="53"/>
      <c r="AC271" s="53"/>
      <c r="AD271" s="53"/>
    </row>
    <row r="272" spans="1:30" x14ac:dyDescent="0.3">
      <c r="A272" s="53"/>
      <c r="B272" s="53"/>
      <c r="C272" s="53"/>
      <c r="D272" s="53"/>
      <c r="E272" s="53"/>
      <c r="H272" s="54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X272" s="53"/>
      <c r="Y272" s="53"/>
      <c r="Z272" s="53"/>
      <c r="AA272" s="53"/>
      <c r="AB272" s="53"/>
      <c r="AC272" s="53"/>
      <c r="AD272" s="53"/>
    </row>
    <row r="273" spans="1:30" x14ac:dyDescent="0.3">
      <c r="A273" s="53"/>
      <c r="B273" s="53"/>
      <c r="C273" s="53"/>
      <c r="D273" s="53"/>
      <c r="E273" s="53"/>
      <c r="H273" s="54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X273" s="53"/>
      <c r="Y273" s="53"/>
      <c r="Z273" s="53"/>
      <c r="AA273" s="53"/>
      <c r="AB273" s="53"/>
      <c r="AC273" s="53"/>
      <c r="AD273" s="53"/>
    </row>
    <row r="274" spans="1:30" x14ac:dyDescent="0.3">
      <c r="A274" s="53"/>
      <c r="B274" s="53"/>
      <c r="C274" s="53"/>
      <c r="D274" s="53"/>
      <c r="E274" s="53"/>
      <c r="H274" s="54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X274" s="53"/>
      <c r="Y274" s="53"/>
      <c r="Z274" s="53"/>
      <c r="AA274" s="53"/>
      <c r="AB274" s="53"/>
      <c r="AC274" s="53"/>
      <c r="AD274" s="53"/>
    </row>
    <row r="275" spans="1:30" x14ac:dyDescent="0.3">
      <c r="A275" s="53"/>
      <c r="B275" s="53"/>
      <c r="C275" s="53"/>
      <c r="D275" s="53"/>
      <c r="E275" s="53"/>
      <c r="H275" s="54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X275" s="53"/>
      <c r="Y275" s="53"/>
      <c r="Z275" s="53"/>
      <c r="AA275" s="53"/>
      <c r="AB275" s="53"/>
      <c r="AC275" s="53"/>
      <c r="AD275" s="53"/>
    </row>
    <row r="276" spans="1:30" x14ac:dyDescent="0.3">
      <c r="A276" s="53"/>
      <c r="B276" s="53"/>
      <c r="C276" s="53"/>
      <c r="D276" s="53"/>
      <c r="E276" s="53"/>
      <c r="H276" s="54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X276" s="53"/>
      <c r="Y276" s="53"/>
      <c r="Z276" s="53"/>
      <c r="AA276" s="53"/>
      <c r="AB276" s="53"/>
      <c r="AC276" s="53"/>
      <c r="AD276" s="53"/>
    </row>
    <row r="277" spans="1:30" x14ac:dyDescent="0.3">
      <c r="A277" s="53"/>
      <c r="B277" s="53"/>
      <c r="C277" s="53"/>
      <c r="D277" s="53"/>
      <c r="E277" s="53"/>
      <c r="H277" s="54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X277" s="53"/>
      <c r="Y277" s="53"/>
      <c r="Z277" s="53"/>
      <c r="AA277" s="53"/>
      <c r="AB277" s="53"/>
      <c r="AC277" s="53"/>
      <c r="AD277" s="53"/>
    </row>
    <row r="278" spans="1:30" x14ac:dyDescent="0.3">
      <c r="A278" s="53"/>
      <c r="B278" s="53"/>
      <c r="C278" s="53"/>
      <c r="D278" s="53"/>
      <c r="E278" s="53"/>
      <c r="H278" s="54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X278" s="53"/>
      <c r="Y278" s="53"/>
      <c r="Z278" s="53"/>
      <c r="AA278" s="53"/>
      <c r="AB278" s="53"/>
      <c r="AC278" s="53"/>
      <c r="AD278" s="53"/>
    </row>
    <row r="279" spans="1:30" x14ac:dyDescent="0.3">
      <c r="A279" s="53"/>
      <c r="B279" s="53"/>
      <c r="C279" s="53"/>
      <c r="D279" s="53"/>
      <c r="E279" s="53"/>
      <c r="H279" s="54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X279" s="53"/>
      <c r="Y279" s="53"/>
      <c r="Z279" s="53"/>
      <c r="AA279" s="53"/>
      <c r="AB279" s="53"/>
      <c r="AC279" s="53"/>
      <c r="AD279" s="53"/>
    </row>
    <row r="280" spans="1:30" x14ac:dyDescent="0.3">
      <c r="A280" s="53"/>
      <c r="B280" s="53"/>
      <c r="C280" s="53"/>
      <c r="D280" s="53"/>
      <c r="E280" s="53"/>
      <c r="H280" s="54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X280" s="53"/>
      <c r="Y280" s="53"/>
      <c r="Z280" s="53"/>
      <c r="AA280" s="53"/>
      <c r="AB280" s="53"/>
      <c r="AC280" s="53"/>
      <c r="AD280" s="53"/>
    </row>
    <row r="281" spans="1:30" x14ac:dyDescent="0.3">
      <c r="A281" s="53"/>
      <c r="B281" s="53"/>
      <c r="C281" s="53"/>
      <c r="D281" s="53"/>
      <c r="E281" s="53"/>
      <c r="H281" s="54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X281" s="53"/>
      <c r="Y281" s="53"/>
      <c r="Z281" s="53"/>
      <c r="AA281" s="53"/>
      <c r="AB281" s="53"/>
      <c r="AC281" s="53"/>
      <c r="AD281" s="53"/>
    </row>
    <row r="282" spans="1:30" x14ac:dyDescent="0.3">
      <c r="A282" s="53"/>
      <c r="B282" s="53"/>
      <c r="C282" s="53"/>
      <c r="D282" s="53"/>
      <c r="E282" s="53"/>
      <c r="H282" s="54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X282" s="53"/>
      <c r="Y282" s="53"/>
      <c r="Z282" s="53"/>
      <c r="AA282" s="53"/>
      <c r="AB282" s="53"/>
      <c r="AC282" s="53"/>
      <c r="AD282" s="53"/>
    </row>
    <row r="283" spans="1:30" x14ac:dyDescent="0.3">
      <c r="A283" s="53"/>
      <c r="B283" s="53"/>
      <c r="C283" s="53"/>
      <c r="D283" s="53"/>
      <c r="E283" s="53"/>
      <c r="H283" s="54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X283" s="53"/>
      <c r="Y283" s="53"/>
      <c r="Z283" s="53"/>
      <c r="AA283" s="53"/>
      <c r="AB283" s="53"/>
      <c r="AC283" s="53"/>
      <c r="AD283" s="53"/>
    </row>
    <row r="284" spans="1:30" x14ac:dyDescent="0.3">
      <c r="A284" s="53"/>
      <c r="B284" s="53"/>
      <c r="C284" s="53"/>
      <c r="D284" s="53"/>
      <c r="E284" s="53"/>
      <c r="H284" s="54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X284" s="53"/>
      <c r="Y284" s="53"/>
      <c r="Z284" s="53"/>
      <c r="AA284" s="53"/>
      <c r="AB284" s="53"/>
      <c r="AC284" s="53"/>
      <c r="AD284" s="53"/>
    </row>
    <row r="285" spans="1:30" x14ac:dyDescent="0.3">
      <c r="A285" s="53"/>
      <c r="B285" s="53"/>
      <c r="C285" s="53"/>
      <c r="D285" s="53"/>
      <c r="E285" s="53"/>
      <c r="H285" s="54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X285" s="53"/>
      <c r="Y285" s="53"/>
      <c r="Z285" s="53"/>
      <c r="AA285" s="53"/>
      <c r="AB285" s="53"/>
      <c r="AC285" s="53"/>
      <c r="AD285" s="53"/>
    </row>
    <row r="286" spans="1:30" x14ac:dyDescent="0.3">
      <c r="A286" s="53"/>
      <c r="B286" s="53"/>
      <c r="C286" s="53"/>
      <c r="D286" s="53"/>
      <c r="E286" s="53"/>
      <c r="H286" s="54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X286" s="53"/>
      <c r="Y286" s="53"/>
      <c r="Z286" s="53"/>
      <c r="AA286" s="53"/>
      <c r="AB286" s="53"/>
      <c r="AC286" s="53"/>
      <c r="AD286" s="53"/>
    </row>
    <row r="287" spans="1:30" x14ac:dyDescent="0.3">
      <c r="A287" s="53"/>
      <c r="B287" s="53"/>
      <c r="C287" s="53"/>
      <c r="D287" s="53"/>
      <c r="E287" s="53"/>
      <c r="H287" s="54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X287" s="53"/>
      <c r="Y287" s="53"/>
      <c r="Z287" s="53"/>
      <c r="AA287" s="53"/>
      <c r="AB287" s="53"/>
      <c r="AC287" s="53"/>
      <c r="AD287" s="53"/>
    </row>
    <row r="288" spans="1:30" x14ac:dyDescent="0.3">
      <c r="A288" s="53"/>
      <c r="B288" s="53"/>
      <c r="C288" s="53"/>
      <c r="D288" s="53"/>
      <c r="E288" s="53"/>
      <c r="H288" s="54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X288" s="53"/>
      <c r="Y288" s="53"/>
      <c r="Z288" s="53"/>
      <c r="AA288" s="53"/>
      <c r="AB288" s="53"/>
      <c r="AC288" s="53"/>
      <c r="AD288" s="53"/>
    </row>
    <row r="289" spans="1:30" x14ac:dyDescent="0.3">
      <c r="A289" s="53"/>
      <c r="B289" s="53"/>
      <c r="C289" s="53"/>
      <c r="D289" s="53"/>
      <c r="E289" s="53"/>
      <c r="H289" s="54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X289" s="53"/>
      <c r="Y289" s="53"/>
      <c r="Z289" s="53"/>
      <c r="AA289" s="53"/>
      <c r="AB289" s="53"/>
      <c r="AC289" s="53"/>
      <c r="AD289" s="53"/>
    </row>
    <row r="290" spans="1:30" x14ac:dyDescent="0.3">
      <c r="A290" s="53"/>
      <c r="B290" s="53"/>
      <c r="C290" s="53"/>
      <c r="D290" s="53"/>
      <c r="E290" s="53"/>
      <c r="H290" s="54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X290" s="53"/>
      <c r="Y290" s="53"/>
      <c r="Z290" s="53"/>
      <c r="AA290" s="53"/>
      <c r="AB290" s="53"/>
      <c r="AC290" s="53"/>
      <c r="AD290" s="53"/>
    </row>
    <row r="291" spans="1:30" x14ac:dyDescent="0.3">
      <c r="A291" s="53"/>
      <c r="B291" s="53"/>
      <c r="C291" s="53"/>
      <c r="D291" s="53"/>
      <c r="E291" s="53"/>
      <c r="H291" s="54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X291" s="53"/>
      <c r="Y291" s="53"/>
      <c r="Z291" s="53"/>
      <c r="AA291" s="53"/>
      <c r="AB291" s="53"/>
      <c r="AC291" s="53"/>
      <c r="AD291" s="53"/>
    </row>
    <row r="292" spans="1:30" x14ac:dyDescent="0.3">
      <c r="A292" s="53"/>
      <c r="B292" s="53"/>
      <c r="C292" s="53"/>
      <c r="D292" s="53"/>
      <c r="E292" s="53"/>
      <c r="H292" s="54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X292" s="53"/>
      <c r="Y292" s="53"/>
      <c r="Z292" s="53"/>
      <c r="AA292" s="53"/>
      <c r="AB292" s="53"/>
      <c r="AC292" s="53"/>
      <c r="AD292" s="53"/>
    </row>
    <row r="293" spans="1:30" x14ac:dyDescent="0.3">
      <c r="A293" s="53"/>
      <c r="B293" s="53"/>
      <c r="C293" s="53"/>
      <c r="D293" s="53"/>
      <c r="E293" s="53"/>
      <c r="H293" s="54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X293" s="53"/>
      <c r="Y293" s="53"/>
      <c r="Z293" s="53"/>
      <c r="AA293" s="53"/>
      <c r="AB293" s="53"/>
      <c r="AC293" s="53"/>
      <c r="AD293" s="53"/>
    </row>
    <row r="294" spans="1:30" x14ac:dyDescent="0.3">
      <c r="A294" s="53"/>
      <c r="B294" s="53"/>
      <c r="C294" s="53"/>
      <c r="D294" s="53"/>
      <c r="E294" s="53"/>
      <c r="H294" s="54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X294" s="53"/>
      <c r="Y294" s="53"/>
      <c r="Z294" s="53"/>
      <c r="AA294" s="53"/>
      <c r="AB294" s="53"/>
      <c r="AC294" s="53"/>
      <c r="AD294" s="53"/>
    </row>
    <row r="295" spans="1:30" x14ac:dyDescent="0.3">
      <c r="A295" s="53"/>
      <c r="B295" s="53"/>
      <c r="C295" s="53"/>
      <c r="D295" s="53"/>
      <c r="E295" s="53"/>
      <c r="H295" s="54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X295" s="53"/>
      <c r="Y295" s="53"/>
      <c r="Z295" s="53"/>
      <c r="AA295" s="53"/>
      <c r="AB295" s="53"/>
      <c r="AC295" s="53"/>
      <c r="AD295" s="53"/>
    </row>
    <row r="296" spans="1:30" x14ac:dyDescent="0.3">
      <c r="A296" s="53"/>
      <c r="B296" s="53"/>
      <c r="C296" s="53"/>
      <c r="D296" s="53"/>
      <c r="E296" s="53"/>
      <c r="H296" s="54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X296" s="53"/>
      <c r="Y296" s="53"/>
      <c r="Z296" s="53"/>
      <c r="AA296" s="53"/>
      <c r="AB296" s="53"/>
      <c r="AC296" s="53"/>
      <c r="AD296" s="53"/>
    </row>
    <row r="297" spans="1:30" x14ac:dyDescent="0.3">
      <c r="A297" s="53"/>
      <c r="B297" s="53"/>
      <c r="C297" s="53"/>
      <c r="D297" s="53"/>
      <c r="E297" s="53"/>
      <c r="H297" s="54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X297" s="53"/>
      <c r="Y297" s="53"/>
      <c r="Z297" s="53"/>
      <c r="AA297" s="53"/>
      <c r="AB297" s="53"/>
      <c r="AC297" s="53"/>
      <c r="AD297" s="53"/>
    </row>
    <row r="298" spans="1:30" x14ac:dyDescent="0.3">
      <c r="A298" s="53"/>
      <c r="B298" s="53"/>
      <c r="C298" s="53"/>
      <c r="D298" s="53"/>
      <c r="E298" s="53"/>
      <c r="H298" s="54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X298" s="53"/>
      <c r="Y298" s="53"/>
      <c r="Z298" s="53"/>
      <c r="AA298" s="53"/>
      <c r="AB298" s="53"/>
      <c r="AC298" s="53"/>
      <c r="AD298" s="53"/>
    </row>
    <row r="299" spans="1:30" x14ac:dyDescent="0.3">
      <c r="A299" s="53"/>
      <c r="B299" s="53"/>
      <c r="C299" s="53"/>
      <c r="D299" s="53"/>
      <c r="E299" s="53"/>
      <c r="H299" s="54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X299" s="53"/>
      <c r="Y299" s="53"/>
      <c r="Z299" s="53"/>
      <c r="AA299" s="53"/>
      <c r="AB299" s="53"/>
      <c r="AC299" s="53"/>
      <c r="AD299" s="53"/>
    </row>
    <row r="300" spans="1:30" x14ac:dyDescent="0.3">
      <c r="A300" s="53"/>
      <c r="B300" s="53"/>
      <c r="C300" s="53"/>
      <c r="D300" s="53"/>
      <c r="E300" s="53"/>
      <c r="H300" s="54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X300" s="53"/>
      <c r="Y300" s="53"/>
      <c r="Z300" s="53"/>
      <c r="AA300" s="53"/>
      <c r="AB300" s="53"/>
      <c r="AC300" s="53"/>
      <c r="AD300" s="53"/>
    </row>
    <row r="301" spans="1:30" x14ac:dyDescent="0.3">
      <c r="A301" s="53"/>
      <c r="B301" s="53"/>
      <c r="C301" s="53"/>
      <c r="D301" s="53"/>
      <c r="E301" s="53"/>
      <c r="H301" s="54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X301" s="53"/>
      <c r="Y301" s="53"/>
      <c r="Z301" s="53"/>
      <c r="AA301" s="53"/>
      <c r="AB301" s="53"/>
      <c r="AC301" s="53"/>
      <c r="AD301" s="53"/>
    </row>
    <row r="302" spans="1:30" x14ac:dyDescent="0.3">
      <c r="A302" s="53"/>
      <c r="B302" s="53"/>
      <c r="C302" s="53"/>
      <c r="D302" s="53"/>
      <c r="E302" s="53"/>
      <c r="H302" s="54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X302" s="53"/>
      <c r="Y302" s="53"/>
      <c r="Z302" s="53"/>
      <c r="AA302" s="53"/>
      <c r="AB302" s="53"/>
      <c r="AC302" s="53"/>
      <c r="AD302" s="53"/>
    </row>
    <row r="303" spans="1:30" x14ac:dyDescent="0.3">
      <c r="A303" s="53"/>
      <c r="B303" s="53"/>
      <c r="C303" s="53"/>
      <c r="D303" s="53"/>
      <c r="E303" s="53"/>
      <c r="H303" s="54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X303" s="53"/>
      <c r="Y303" s="53"/>
      <c r="Z303" s="53"/>
      <c r="AA303" s="53"/>
      <c r="AB303" s="53"/>
      <c r="AC303" s="53"/>
      <c r="AD303" s="53"/>
    </row>
    <row r="304" spans="1:30" x14ac:dyDescent="0.3">
      <c r="A304" s="53"/>
      <c r="B304" s="53"/>
      <c r="C304" s="53"/>
      <c r="D304" s="53"/>
      <c r="E304" s="53"/>
      <c r="H304" s="54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X304" s="53"/>
      <c r="Y304" s="53"/>
      <c r="Z304" s="53"/>
      <c r="AA304" s="53"/>
      <c r="AB304" s="53"/>
      <c r="AC304" s="53"/>
      <c r="AD304" s="53"/>
    </row>
    <row r="305" spans="1:30" x14ac:dyDescent="0.3">
      <c r="A305" s="53"/>
      <c r="B305" s="53"/>
      <c r="C305" s="53"/>
      <c r="D305" s="53"/>
      <c r="E305" s="53"/>
      <c r="H305" s="54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X305" s="53"/>
      <c r="Y305" s="53"/>
      <c r="Z305" s="53"/>
      <c r="AA305" s="53"/>
      <c r="AB305" s="53"/>
      <c r="AC305" s="53"/>
      <c r="AD305" s="53"/>
    </row>
    <row r="306" spans="1:30" x14ac:dyDescent="0.3">
      <c r="A306" s="53"/>
      <c r="B306" s="53"/>
      <c r="C306" s="53"/>
      <c r="D306" s="53"/>
      <c r="E306" s="53"/>
      <c r="H306" s="54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X306" s="53"/>
      <c r="Y306" s="53"/>
      <c r="Z306" s="53"/>
      <c r="AA306" s="53"/>
      <c r="AB306" s="53"/>
      <c r="AC306" s="53"/>
      <c r="AD306" s="53"/>
    </row>
    <row r="307" spans="1:30" x14ac:dyDescent="0.3">
      <c r="A307" s="53"/>
      <c r="B307" s="53"/>
      <c r="C307" s="53"/>
      <c r="D307" s="53"/>
      <c r="E307" s="53"/>
      <c r="H307" s="54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X307" s="53"/>
      <c r="Y307" s="53"/>
      <c r="Z307" s="53"/>
      <c r="AA307" s="53"/>
      <c r="AB307" s="53"/>
      <c r="AC307" s="53"/>
      <c r="AD307" s="53"/>
    </row>
    <row r="308" spans="1:30" x14ac:dyDescent="0.3">
      <c r="A308" s="53"/>
      <c r="B308" s="53"/>
      <c r="C308" s="53"/>
      <c r="D308" s="53"/>
      <c r="E308" s="53"/>
      <c r="H308" s="54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X308" s="53"/>
      <c r="Y308" s="53"/>
      <c r="Z308" s="53"/>
      <c r="AA308" s="53"/>
      <c r="AB308" s="53"/>
      <c r="AC308" s="53"/>
      <c r="AD308" s="53"/>
    </row>
    <row r="309" spans="1:30" x14ac:dyDescent="0.3">
      <c r="A309" s="53"/>
      <c r="B309" s="53"/>
      <c r="C309" s="53"/>
      <c r="D309" s="53"/>
      <c r="E309" s="53"/>
      <c r="H309" s="54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X309" s="53"/>
      <c r="Y309" s="53"/>
      <c r="Z309" s="53"/>
      <c r="AA309" s="53"/>
      <c r="AB309" s="53"/>
      <c r="AC309" s="53"/>
      <c r="AD309" s="53"/>
    </row>
    <row r="310" spans="1:30" x14ac:dyDescent="0.3">
      <c r="A310" s="53"/>
      <c r="B310" s="53"/>
      <c r="C310" s="53"/>
      <c r="D310" s="53"/>
      <c r="E310" s="53"/>
      <c r="H310" s="54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X310" s="53"/>
      <c r="Y310" s="53"/>
      <c r="Z310" s="53"/>
      <c r="AA310" s="53"/>
      <c r="AB310" s="53"/>
      <c r="AC310" s="53"/>
      <c r="AD310" s="53"/>
    </row>
    <row r="311" spans="1:30" x14ac:dyDescent="0.3">
      <c r="A311" s="53"/>
      <c r="B311" s="53"/>
      <c r="C311" s="53"/>
      <c r="D311" s="53"/>
      <c r="E311" s="53"/>
      <c r="H311" s="54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X311" s="53"/>
      <c r="Y311" s="53"/>
      <c r="Z311" s="53"/>
      <c r="AA311" s="53"/>
      <c r="AB311" s="53"/>
      <c r="AC311" s="53"/>
      <c r="AD311" s="53"/>
    </row>
    <row r="312" spans="1:30" x14ac:dyDescent="0.3">
      <c r="A312" s="53"/>
      <c r="B312" s="53"/>
      <c r="C312" s="53"/>
      <c r="D312" s="53"/>
      <c r="E312" s="53"/>
      <c r="H312" s="54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X312" s="53"/>
      <c r="Y312" s="53"/>
      <c r="Z312" s="53"/>
      <c r="AA312" s="53"/>
      <c r="AB312" s="53"/>
      <c r="AC312" s="53"/>
      <c r="AD312" s="53"/>
    </row>
    <row r="313" spans="1:30" x14ac:dyDescent="0.3">
      <c r="A313" s="53"/>
      <c r="B313" s="53"/>
      <c r="C313" s="53"/>
      <c r="D313" s="53"/>
      <c r="E313" s="53"/>
      <c r="H313" s="54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X313" s="53"/>
      <c r="Y313" s="53"/>
      <c r="Z313" s="53"/>
      <c r="AA313" s="53"/>
      <c r="AB313" s="53"/>
      <c r="AC313" s="53"/>
      <c r="AD313" s="53"/>
    </row>
    <row r="314" spans="1:30" x14ac:dyDescent="0.3">
      <c r="A314" s="53"/>
      <c r="B314" s="53"/>
      <c r="C314" s="53"/>
      <c r="D314" s="53"/>
      <c r="E314" s="53"/>
      <c r="H314" s="54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X314" s="53"/>
      <c r="Y314" s="53"/>
      <c r="Z314" s="53"/>
      <c r="AA314" s="53"/>
      <c r="AB314" s="53"/>
      <c r="AC314" s="53"/>
      <c r="AD314" s="53"/>
    </row>
    <row r="315" spans="1:30" x14ac:dyDescent="0.3">
      <c r="A315" s="53"/>
      <c r="B315" s="53"/>
      <c r="C315" s="53"/>
      <c r="D315" s="53"/>
      <c r="E315" s="53"/>
      <c r="H315" s="54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X315" s="53"/>
      <c r="Y315" s="53"/>
      <c r="Z315" s="53"/>
      <c r="AA315" s="53"/>
      <c r="AB315" s="53"/>
      <c r="AC315" s="53"/>
      <c r="AD315" s="53"/>
    </row>
    <row r="316" spans="1:30" x14ac:dyDescent="0.3">
      <c r="A316" s="53"/>
      <c r="B316" s="53"/>
      <c r="C316" s="53"/>
      <c r="D316" s="53"/>
      <c r="E316" s="53"/>
      <c r="H316" s="54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X316" s="53"/>
      <c r="Y316" s="53"/>
      <c r="Z316" s="53"/>
      <c r="AA316" s="53"/>
      <c r="AB316" s="53"/>
      <c r="AC316" s="53"/>
      <c r="AD316" s="53"/>
    </row>
    <row r="317" spans="1:30" x14ac:dyDescent="0.3">
      <c r="A317" s="53"/>
      <c r="B317" s="53"/>
      <c r="C317" s="53"/>
      <c r="D317" s="53"/>
      <c r="E317" s="53"/>
      <c r="H317" s="54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X317" s="53"/>
      <c r="Y317" s="53"/>
      <c r="Z317" s="53"/>
      <c r="AA317" s="53"/>
      <c r="AB317" s="53"/>
      <c r="AC317" s="53"/>
      <c r="AD317" s="53"/>
    </row>
    <row r="318" spans="1:30" x14ac:dyDescent="0.3">
      <c r="A318" s="53"/>
      <c r="B318" s="53"/>
      <c r="C318" s="53"/>
      <c r="D318" s="53"/>
      <c r="E318" s="53"/>
      <c r="H318" s="54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X318" s="53"/>
      <c r="Y318" s="53"/>
      <c r="Z318" s="53"/>
      <c r="AA318" s="53"/>
      <c r="AB318" s="53"/>
      <c r="AC318" s="53"/>
      <c r="AD318" s="53"/>
    </row>
    <row r="319" spans="1:30" x14ac:dyDescent="0.3">
      <c r="A319" s="53"/>
      <c r="B319" s="53"/>
      <c r="C319" s="53"/>
      <c r="D319" s="53"/>
      <c r="E319" s="53"/>
      <c r="H319" s="54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X319" s="53"/>
      <c r="Y319" s="53"/>
      <c r="Z319" s="53"/>
      <c r="AA319" s="53"/>
      <c r="AB319" s="53"/>
      <c r="AC319" s="53"/>
      <c r="AD319" s="53"/>
    </row>
    <row r="320" spans="1:30" x14ac:dyDescent="0.3">
      <c r="A320" s="53"/>
      <c r="B320" s="53"/>
      <c r="C320" s="53"/>
      <c r="D320" s="53"/>
      <c r="E320" s="53"/>
      <c r="H320" s="54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X320" s="53"/>
      <c r="Y320" s="53"/>
      <c r="Z320" s="53"/>
      <c r="AA320" s="53"/>
      <c r="AB320" s="53"/>
      <c r="AC320" s="53"/>
      <c r="AD320" s="53"/>
    </row>
    <row r="321" spans="1:30" x14ac:dyDescent="0.3">
      <c r="A321" s="53"/>
      <c r="B321" s="53"/>
      <c r="C321" s="53"/>
      <c r="D321" s="53"/>
      <c r="E321" s="53"/>
      <c r="H321" s="54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X321" s="53"/>
      <c r="Y321" s="53"/>
      <c r="Z321" s="53"/>
      <c r="AA321" s="53"/>
      <c r="AB321" s="53"/>
      <c r="AC321" s="53"/>
      <c r="AD321" s="53"/>
    </row>
    <row r="322" spans="1:30" x14ac:dyDescent="0.3">
      <c r="A322" s="53"/>
      <c r="B322" s="53"/>
      <c r="C322" s="53"/>
      <c r="D322" s="53"/>
      <c r="E322" s="53"/>
      <c r="H322" s="54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X322" s="53"/>
      <c r="Y322" s="53"/>
      <c r="Z322" s="53"/>
      <c r="AA322" s="53"/>
      <c r="AB322" s="53"/>
      <c r="AC322" s="53"/>
      <c r="AD322" s="53"/>
    </row>
    <row r="323" spans="1:30" x14ac:dyDescent="0.3">
      <c r="A323" s="53"/>
      <c r="B323" s="53"/>
      <c r="C323" s="53"/>
      <c r="D323" s="53"/>
      <c r="E323" s="53"/>
      <c r="H323" s="54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X323" s="53"/>
      <c r="Y323" s="53"/>
      <c r="Z323" s="53"/>
      <c r="AA323" s="53"/>
      <c r="AB323" s="53"/>
      <c r="AC323" s="53"/>
      <c r="AD323" s="53"/>
    </row>
    <row r="324" spans="1:30" x14ac:dyDescent="0.3">
      <c r="A324" s="53"/>
      <c r="B324" s="53"/>
      <c r="C324" s="53"/>
      <c r="D324" s="53"/>
      <c r="E324" s="53"/>
      <c r="H324" s="54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X324" s="53"/>
      <c r="Y324" s="53"/>
      <c r="Z324" s="53"/>
      <c r="AA324" s="53"/>
      <c r="AB324" s="53"/>
      <c r="AC324" s="53"/>
      <c r="AD324" s="53"/>
    </row>
    <row r="325" spans="1:30" x14ac:dyDescent="0.3">
      <c r="A325" s="53"/>
      <c r="B325" s="53"/>
      <c r="C325" s="53"/>
      <c r="D325" s="53"/>
      <c r="E325" s="53"/>
      <c r="H325" s="54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X325" s="53"/>
      <c r="Y325" s="53"/>
      <c r="Z325" s="53"/>
      <c r="AA325" s="53"/>
      <c r="AB325" s="53"/>
      <c r="AC325" s="53"/>
      <c r="AD325" s="53"/>
    </row>
    <row r="326" spans="1:30" x14ac:dyDescent="0.3">
      <c r="A326" s="53"/>
      <c r="B326" s="53"/>
      <c r="C326" s="53"/>
      <c r="D326" s="53"/>
      <c r="E326" s="53"/>
      <c r="H326" s="54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X326" s="53"/>
      <c r="Y326" s="53"/>
      <c r="Z326" s="53"/>
      <c r="AA326" s="53"/>
      <c r="AB326" s="53"/>
      <c r="AC326" s="53"/>
      <c r="AD326" s="53"/>
    </row>
    <row r="327" spans="1:30" x14ac:dyDescent="0.3">
      <c r="A327" s="53"/>
      <c r="B327" s="53"/>
      <c r="C327" s="53"/>
      <c r="D327" s="53"/>
      <c r="E327" s="53"/>
      <c r="H327" s="54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X327" s="53"/>
      <c r="Y327" s="53"/>
      <c r="Z327" s="53"/>
      <c r="AA327" s="53"/>
      <c r="AB327" s="53"/>
      <c r="AC327" s="53"/>
      <c r="AD327" s="53"/>
    </row>
    <row r="328" spans="1:30" x14ac:dyDescent="0.3">
      <c r="A328" s="53"/>
      <c r="B328" s="53"/>
      <c r="C328" s="53"/>
      <c r="D328" s="53"/>
      <c r="E328" s="53"/>
      <c r="H328" s="54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X328" s="53"/>
      <c r="Y328" s="53"/>
      <c r="Z328" s="53"/>
      <c r="AA328" s="53"/>
      <c r="AB328" s="53"/>
      <c r="AC328" s="53"/>
      <c r="AD328" s="53"/>
    </row>
    <row r="329" spans="1:30" x14ac:dyDescent="0.3">
      <c r="A329" s="53"/>
      <c r="B329" s="53"/>
      <c r="C329" s="53"/>
      <c r="D329" s="53"/>
      <c r="E329" s="53"/>
      <c r="H329" s="54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X329" s="53"/>
      <c r="Y329" s="53"/>
      <c r="Z329" s="53"/>
      <c r="AA329" s="53"/>
      <c r="AB329" s="53"/>
      <c r="AC329" s="53"/>
      <c r="AD329" s="53"/>
    </row>
    <row r="330" spans="1:30" x14ac:dyDescent="0.3">
      <c r="A330" s="53"/>
      <c r="B330" s="53"/>
      <c r="C330" s="53"/>
      <c r="D330" s="53"/>
      <c r="E330" s="53"/>
      <c r="H330" s="54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X330" s="53"/>
      <c r="Y330" s="53"/>
      <c r="Z330" s="53"/>
      <c r="AA330" s="53"/>
      <c r="AB330" s="53"/>
      <c r="AC330" s="53"/>
      <c r="AD330" s="53"/>
    </row>
    <row r="331" spans="1:30" x14ac:dyDescent="0.3">
      <c r="A331" s="53"/>
      <c r="B331" s="53"/>
      <c r="C331" s="53"/>
      <c r="D331" s="53"/>
      <c r="E331" s="53"/>
      <c r="H331" s="54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X331" s="53"/>
      <c r="Y331" s="53"/>
      <c r="Z331" s="53"/>
      <c r="AA331" s="53"/>
      <c r="AB331" s="53"/>
      <c r="AC331" s="53"/>
      <c r="AD331" s="53"/>
    </row>
    <row r="332" spans="1:30" x14ac:dyDescent="0.3">
      <c r="A332" s="53"/>
      <c r="B332" s="53"/>
      <c r="C332" s="53"/>
      <c r="D332" s="53"/>
      <c r="E332" s="53"/>
      <c r="H332" s="54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X332" s="53"/>
      <c r="Y332" s="53"/>
      <c r="Z332" s="53"/>
      <c r="AA332" s="53"/>
      <c r="AB332" s="53"/>
      <c r="AC332" s="53"/>
      <c r="AD332" s="53"/>
    </row>
    <row r="333" spans="1:30" x14ac:dyDescent="0.3">
      <c r="A333" s="53"/>
      <c r="B333" s="53"/>
      <c r="C333" s="53"/>
      <c r="D333" s="53"/>
      <c r="E333" s="53"/>
      <c r="H333" s="54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X333" s="53"/>
      <c r="Y333" s="53"/>
      <c r="Z333" s="53"/>
      <c r="AA333" s="53"/>
      <c r="AB333" s="53"/>
      <c r="AC333" s="53"/>
      <c r="AD333" s="53"/>
    </row>
    <row r="334" spans="1:30" x14ac:dyDescent="0.3">
      <c r="A334" s="53"/>
      <c r="B334" s="53"/>
      <c r="C334" s="53"/>
      <c r="D334" s="53"/>
      <c r="E334" s="53"/>
      <c r="H334" s="54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X334" s="53"/>
      <c r="Y334" s="53"/>
      <c r="Z334" s="53"/>
      <c r="AA334" s="53"/>
      <c r="AB334" s="53"/>
      <c r="AC334" s="53"/>
      <c r="AD334" s="53"/>
    </row>
    <row r="335" spans="1:30" x14ac:dyDescent="0.3">
      <c r="A335" s="53"/>
      <c r="B335" s="53"/>
      <c r="C335" s="53"/>
      <c r="D335" s="53"/>
      <c r="E335" s="53"/>
      <c r="H335" s="54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X335" s="53"/>
      <c r="Y335" s="53"/>
      <c r="Z335" s="53"/>
      <c r="AA335" s="53"/>
      <c r="AB335" s="53"/>
      <c r="AC335" s="53"/>
      <c r="AD335" s="53"/>
    </row>
    <row r="336" spans="1:30" x14ac:dyDescent="0.3">
      <c r="A336" s="53"/>
      <c r="B336" s="53"/>
      <c r="C336" s="53"/>
      <c r="D336" s="53"/>
      <c r="E336" s="53"/>
      <c r="H336" s="54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X336" s="53"/>
      <c r="Y336" s="53"/>
      <c r="Z336" s="53"/>
      <c r="AA336" s="53"/>
      <c r="AB336" s="53"/>
      <c r="AC336" s="53"/>
      <c r="AD336" s="53"/>
    </row>
    <row r="337" spans="1:30" x14ac:dyDescent="0.3">
      <c r="A337" s="53"/>
      <c r="B337" s="53"/>
      <c r="C337" s="53"/>
      <c r="D337" s="53"/>
      <c r="E337" s="53"/>
      <c r="H337" s="54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X337" s="53"/>
      <c r="Y337" s="53"/>
      <c r="Z337" s="53"/>
      <c r="AA337" s="53"/>
      <c r="AB337" s="53"/>
      <c r="AC337" s="53"/>
      <c r="AD337" s="53"/>
    </row>
    <row r="338" spans="1:30" x14ac:dyDescent="0.3">
      <c r="A338" s="53"/>
      <c r="B338" s="53"/>
      <c r="C338" s="53"/>
      <c r="D338" s="53"/>
      <c r="E338" s="53"/>
      <c r="H338" s="54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X338" s="53"/>
      <c r="Y338" s="53"/>
      <c r="Z338" s="53"/>
      <c r="AA338" s="53"/>
      <c r="AB338" s="53"/>
      <c r="AC338" s="53"/>
      <c r="AD338" s="53"/>
    </row>
    <row r="339" spans="1:30" x14ac:dyDescent="0.3">
      <c r="A339" s="53"/>
      <c r="B339" s="53"/>
      <c r="C339" s="53"/>
      <c r="D339" s="53"/>
      <c r="E339" s="53"/>
      <c r="H339" s="54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X339" s="53"/>
      <c r="Y339" s="53"/>
      <c r="Z339" s="53"/>
      <c r="AA339" s="53"/>
      <c r="AB339" s="53"/>
      <c r="AC339" s="53"/>
      <c r="AD339" s="53"/>
    </row>
    <row r="340" spans="1:30" x14ac:dyDescent="0.3">
      <c r="A340" s="53"/>
      <c r="B340" s="53"/>
      <c r="C340" s="53"/>
      <c r="D340" s="53"/>
      <c r="E340" s="53"/>
      <c r="H340" s="54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X340" s="53"/>
      <c r="Y340" s="53"/>
      <c r="Z340" s="53"/>
      <c r="AA340" s="53"/>
      <c r="AB340" s="53"/>
      <c r="AC340" s="53"/>
      <c r="AD340" s="53"/>
    </row>
    <row r="341" spans="1:30" x14ac:dyDescent="0.3">
      <c r="A341" s="53"/>
      <c r="B341" s="53"/>
      <c r="C341" s="53"/>
      <c r="D341" s="53"/>
      <c r="E341" s="53"/>
      <c r="H341" s="54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X341" s="53"/>
      <c r="Y341" s="53"/>
      <c r="Z341" s="53"/>
      <c r="AA341" s="53"/>
      <c r="AB341" s="53"/>
      <c r="AC341" s="53"/>
      <c r="AD341" s="53"/>
    </row>
    <row r="342" spans="1:30" x14ac:dyDescent="0.3">
      <c r="A342" s="53"/>
      <c r="B342" s="53"/>
      <c r="C342" s="53"/>
      <c r="D342" s="53"/>
      <c r="E342" s="53"/>
      <c r="H342" s="54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X342" s="53"/>
      <c r="Y342" s="53"/>
      <c r="Z342" s="53"/>
      <c r="AA342" s="53"/>
      <c r="AB342" s="53"/>
      <c r="AC342" s="53"/>
      <c r="AD342" s="53"/>
    </row>
    <row r="343" spans="1:30" x14ac:dyDescent="0.3">
      <c r="A343" s="53"/>
      <c r="B343" s="53"/>
      <c r="C343" s="53"/>
      <c r="D343" s="53"/>
      <c r="E343" s="53"/>
      <c r="H343" s="54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X343" s="53"/>
      <c r="Y343" s="53"/>
      <c r="Z343" s="53"/>
      <c r="AA343" s="53"/>
      <c r="AB343" s="53"/>
      <c r="AC343" s="53"/>
      <c r="AD343" s="53"/>
    </row>
    <row r="344" spans="1:30" x14ac:dyDescent="0.3">
      <c r="A344" s="53"/>
      <c r="B344" s="53"/>
      <c r="C344" s="53"/>
      <c r="D344" s="53"/>
      <c r="E344" s="53"/>
      <c r="H344" s="54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X344" s="53"/>
      <c r="Y344" s="53"/>
      <c r="Z344" s="53"/>
      <c r="AA344" s="53"/>
      <c r="AB344" s="53"/>
      <c r="AC344" s="53"/>
      <c r="AD344" s="53"/>
    </row>
    <row r="345" spans="1:30" x14ac:dyDescent="0.3">
      <c r="A345" s="53"/>
      <c r="B345" s="53"/>
      <c r="C345" s="53"/>
      <c r="D345" s="53"/>
      <c r="E345" s="53"/>
      <c r="H345" s="54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X345" s="53"/>
      <c r="Y345" s="53"/>
      <c r="Z345" s="53"/>
      <c r="AA345" s="53"/>
      <c r="AB345" s="53"/>
      <c r="AC345" s="53"/>
      <c r="AD345" s="53"/>
    </row>
    <row r="346" spans="1:30" x14ac:dyDescent="0.3">
      <c r="A346" s="53"/>
      <c r="B346" s="53"/>
      <c r="C346" s="53"/>
      <c r="D346" s="53"/>
      <c r="E346" s="53"/>
      <c r="H346" s="54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X346" s="53"/>
      <c r="Y346" s="53"/>
      <c r="Z346" s="53"/>
      <c r="AA346" s="53"/>
      <c r="AB346" s="53"/>
      <c r="AC346" s="53"/>
      <c r="AD346" s="53"/>
    </row>
    <row r="347" spans="1:30" x14ac:dyDescent="0.3">
      <c r="A347" s="53"/>
      <c r="B347" s="53"/>
      <c r="C347" s="53"/>
      <c r="D347" s="53"/>
      <c r="E347" s="53"/>
      <c r="H347" s="54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X347" s="53"/>
      <c r="Y347" s="53"/>
      <c r="Z347" s="53"/>
      <c r="AA347" s="53"/>
      <c r="AB347" s="53"/>
      <c r="AC347" s="53"/>
      <c r="AD347" s="53"/>
    </row>
    <row r="348" spans="1:30" x14ac:dyDescent="0.3">
      <c r="A348" s="53"/>
      <c r="B348" s="53"/>
      <c r="C348" s="53"/>
      <c r="D348" s="53"/>
      <c r="E348" s="53"/>
      <c r="H348" s="54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X348" s="53"/>
      <c r="Y348" s="53"/>
      <c r="Z348" s="53"/>
      <c r="AA348" s="53"/>
      <c r="AB348" s="53"/>
      <c r="AC348" s="53"/>
      <c r="AD348" s="53"/>
    </row>
    <row r="349" spans="1:30" x14ac:dyDescent="0.3">
      <c r="A349" s="53"/>
      <c r="B349" s="53"/>
      <c r="C349" s="53"/>
      <c r="D349" s="53"/>
      <c r="E349" s="53"/>
      <c r="H349" s="54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X349" s="53"/>
      <c r="Y349" s="53"/>
      <c r="Z349" s="53"/>
      <c r="AA349" s="53"/>
      <c r="AB349" s="53"/>
      <c r="AC349" s="53"/>
      <c r="AD349" s="53"/>
    </row>
    <row r="350" spans="1:30" x14ac:dyDescent="0.3">
      <c r="A350" s="53"/>
      <c r="B350" s="53"/>
      <c r="C350" s="53"/>
      <c r="D350" s="53"/>
      <c r="E350" s="53"/>
      <c r="H350" s="54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X350" s="53"/>
      <c r="Y350" s="53"/>
      <c r="Z350" s="53"/>
      <c r="AA350" s="53"/>
      <c r="AB350" s="53"/>
      <c r="AC350" s="53"/>
      <c r="AD350" s="53"/>
    </row>
    <row r="351" spans="1:30" x14ac:dyDescent="0.3">
      <c r="A351" s="53"/>
      <c r="B351" s="53"/>
      <c r="C351" s="53"/>
      <c r="D351" s="53"/>
      <c r="E351" s="53"/>
      <c r="H351" s="54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X351" s="53"/>
      <c r="Y351" s="53"/>
      <c r="Z351" s="53"/>
      <c r="AA351" s="53"/>
      <c r="AB351" s="53"/>
      <c r="AC351" s="53"/>
      <c r="AD351" s="53"/>
    </row>
    <row r="352" spans="1:30" x14ac:dyDescent="0.3">
      <c r="A352" s="53"/>
      <c r="B352" s="53"/>
      <c r="C352" s="53"/>
      <c r="D352" s="53"/>
      <c r="E352" s="53"/>
      <c r="H352" s="54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X352" s="53"/>
      <c r="Y352" s="53"/>
      <c r="Z352" s="53"/>
      <c r="AA352" s="53"/>
      <c r="AB352" s="53"/>
      <c r="AC352" s="53"/>
      <c r="AD352" s="53"/>
    </row>
    <row r="353" spans="1:30" x14ac:dyDescent="0.3">
      <c r="A353" s="53"/>
      <c r="B353" s="53"/>
      <c r="C353" s="53"/>
      <c r="D353" s="53"/>
      <c r="E353" s="53"/>
      <c r="H353" s="54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X353" s="53"/>
      <c r="Y353" s="53"/>
      <c r="Z353" s="53"/>
      <c r="AA353" s="53"/>
      <c r="AB353" s="53"/>
      <c r="AC353" s="53"/>
      <c r="AD353" s="53"/>
    </row>
    <row r="354" spans="1:30" x14ac:dyDescent="0.3">
      <c r="A354" s="53"/>
      <c r="B354" s="53"/>
      <c r="C354" s="53"/>
      <c r="D354" s="53"/>
      <c r="E354" s="53"/>
      <c r="H354" s="54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X354" s="53"/>
      <c r="Y354" s="53"/>
      <c r="Z354" s="53"/>
      <c r="AA354" s="53"/>
      <c r="AB354" s="53"/>
      <c r="AC354" s="53"/>
      <c r="AD354" s="53"/>
    </row>
    <row r="355" spans="1:30" x14ac:dyDescent="0.3">
      <c r="A355" s="53"/>
      <c r="B355" s="53"/>
      <c r="C355" s="53"/>
      <c r="D355" s="53"/>
      <c r="E355" s="53"/>
      <c r="H355" s="54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X355" s="53"/>
      <c r="Y355" s="53"/>
      <c r="Z355" s="53"/>
      <c r="AA355" s="53"/>
      <c r="AB355" s="53"/>
      <c r="AC355" s="53"/>
      <c r="AD355" s="53"/>
    </row>
    <row r="356" spans="1:30" x14ac:dyDescent="0.3">
      <c r="A356" s="53"/>
      <c r="B356" s="53"/>
      <c r="C356" s="53"/>
      <c r="D356" s="53"/>
      <c r="E356" s="53"/>
      <c r="H356" s="54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X356" s="53"/>
      <c r="Y356" s="53"/>
      <c r="Z356" s="53"/>
      <c r="AA356" s="53"/>
      <c r="AB356" s="53"/>
      <c r="AC356" s="53"/>
      <c r="AD356" s="53"/>
    </row>
    <row r="357" spans="1:30" x14ac:dyDescent="0.3">
      <c r="A357" s="53"/>
      <c r="B357" s="53"/>
      <c r="C357" s="53"/>
      <c r="D357" s="53"/>
      <c r="E357" s="53"/>
      <c r="H357" s="54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X357" s="53"/>
      <c r="Y357" s="53"/>
      <c r="Z357" s="53"/>
      <c r="AA357" s="53"/>
      <c r="AB357" s="53"/>
      <c r="AC357" s="53"/>
      <c r="AD357" s="53"/>
    </row>
    <row r="358" spans="1:30" x14ac:dyDescent="0.3">
      <c r="A358" s="53"/>
      <c r="B358" s="53"/>
      <c r="C358" s="53"/>
      <c r="D358" s="53"/>
      <c r="E358" s="53"/>
      <c r="H358" s="54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X358" s="53"/>
      <c r="Y358" s="53"/>
      <c r="Z358" s="53"/>
      <c r="AA358" s="53"/>
      <c r="AB358" s="53"/>
      <c r="AC358" s="53"/>
      <c r="AD358" s="53"/>
    </row>
    <row r="359" spans="1:30" x14ac:dyDescent="0.3">
      <c r="A359" s="53"/>
      <c r="B359" s="53"/>
      <c r="C359" s="53"/>
      <c r="D359" s="53"/>
      <c r="E359" s="53"/>
      <c r="H359" s="54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X359" s="53"/>
      <c r="Y359" s="53"/>
      <c r="Z359" s="53"/>
      <c r="AA359" s="53"/>
      <c r="AB359" s="53"/>
      <c r="AC359" s="53"/>
      <c r="AD359" s="53"/>
    </row>
    <row r="360" spans="1:30" x14ac:dyDescent="0.3">
      <c r="A360" s="53"/>
      <c r="B360" s="53"/>
      <c r="C360" s="53"/>
      <c r="D360" s="53"/>
      <c r="E360" s="53"/>
      <c r="H360" s="54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X360" s="53"/>
      <c r="Y360" s="53"/>
      <c r="Z360" s="53"/>
      <c r="AA360" s="53"/>
      <c r="AB360" s="53"/>
      <c r="AC360" s="53"/>
      <c r="AD360" s="53"/>
    </row>
    <row r="361" spans="1:30" x14ac:dyDescent="0.3">
      <c r="A361" s="53"/>
      <c r="B361" s="53"/>
      <c r="C361" s="53"/>
      <c r="D361" s="53"/>
      <c r="E361" s="53"/>
      <c r="H361" s="54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X361" s="53"/>
      <c r="Y361" s="53"/>
      <c r="Z361" s="53"/>
      <c r="AA361" s="53"/>
      <c r="AB361" s="53"/>
      <c r="AC361" s="53"/>
      <c r="AD361" s="53"/>
    </row>
    <row r="362" spans="1:30" x14ac:dyDescent="0.3">
      <c r="A362" s="53"/>
      <c r="B362" s="53"/>
      <c r="C362" s="53"/>
      <c r="D362" s="53"/>
      <c r="E362" s="53"/>
      <c r="H362" s="54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X362" s="53"/>
      <c r="Y362" s="53"/>
      <c r="Z362" s="53"/>
      <c r="AA362" s="53"/>
      <c r="AB362" s="53"/>
      <c r="AC362" s="53"/>
      <c r="AD362" s="53"/>
    </row>
    <row r="363" spans="1:30" x14ac:dyDescent="0.3">
      <c r="A363" s="53"/>
      <c r="B363" s="53"/>
      <c r="C363" s="53"/>
      <c r="D363" s="53"/>
      <c r="E363" s="53"/>
      <c r="H363" s="54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X363" s="53"/>
      <c r="Y363" s="53"/>
      <c r="Z363" s="53"/>
      <c r="AA363" s="53"/>
      <c r="AB363" s="53"/>
      <c r="AC363" s="53"/>
      <c r="AD363" s="53"/>
    </row>
    <row r="364" spans="1:30" x14ac:dyDescent="0.3">
      <c r="A364" s="53"/>
      <c r="B364" s="53"/>
      <c r="C364" s="53"/>
      <c r="D364" s="53"/>
      <c r="E364" s="53"/>
      <c r="H364" s="54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X364" s="53"/>
      <c r="Y364" s="53"/>
      <c r="Z364" s="53"/>
      <c r="AA364" s="53"/>
      <c r="AB364" s="53"/>
      <c r="AC364" s="53"/>
      <c r="AD364" s="53"/>
    </row>
    <row r="365" spans="1:30" x14ac:dyDescent="0.3">
      <c r="A365" s="53"/>
      <c r="B365" s="53"/>
      <c r="C365" s="53"/>
      <c r="D365" s="53"/>
      <c r="E365" s="53"/>
      <c r="H365" s="54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X365" s="53"/>
      <c r="Y365" s="53"/>
      <c r="Z365" s="53"/>
      <c r="AA365" s="53"/>
      <c r="AB365" s="53"/>
      <c r="AC365" s="53"/>
      <c r="AD365" s="53"/>
    </row>
    <row r="366" spans="1:30" x14ac:dyDescent="0.3">
      <c r="A366" s="53"/>
      <c r="B366" s="53"/>
      <c r="C366" s="53"/>
      <c r="D366" s="53"/>
      <c r="E366" s="53"/>
      <c r="H366" s="54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X366" s="53"/>
      <c r="Y366" s="53"/>
      <c r="Z366" s="53"/>
      <c r="AA366" s="53"/>
      <c r="AB366" s="53"/>
      <c r="AC366" s="53"/>
      <c r="AD366" s="53"/>
    </row>
    <row r="367" spans="1:30" x14ac:dyDescent="0.3">
      <c r="A367" s="53"/>
      <c r="B367" s="53"/>
      <c r="C367" s="53"/>
      <c r="D367" s="53"/>
      <c r="E367" s="53"/>
      <c r="H367" s="54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X367" s="53"/>
      <c r="Y367" s="53"/>
      <c r="Z367" s="53"/>
      <c r="AA367" s="53"/>
      <c r="AB367" s="53"/>
      <c r="AC367" s="53"/>
      <c r="AD367" s="53"/>
    </row>
    <row r="368" spans="1:30" x14ac:dyDescent="0.3">
      <c r="A368" s="53"/>
      <c r="B368" s="53"/>
      <c r="C368" s="53"/>
      <c r="D368" s="53"/>
      <c r="E368" s="53"/>
      <c r="H368" s="54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X368" s="53"/>
      <c r="Y368" s="53"/>
      <c r="Z368" s="53"/>
      <c r="AA368" s="53"/>
      <c r="AB368" s="53"/>
      <c r="AC368" s="53"/>
      <c r="AD368" s="53"/>
    </row>
    <row r="369" spans="1:30" x14ac:dyDescent="0.3">
      <c r="A369" s="53"/>
      <c r="B369" s="53"/>
      <c r="C369" s="53"/>
      <c r="D369" s="53"/>
      <c r="E369" s="53"/>
      <c r="H369" s="54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X369" s="53"/>
      <c r="Y369" s="53"/>
      <c r="Z369" s="53"/>
      <c r="AA369" s="53"/>
      <c r="AB369" s="53"/>
      <c r="AC369" s="53"/>
      <c r="AD369" s="53"/>
    </row>
    <row r="370" spans="1:30" x14ac:dyDescent="0.3">
      <c r="A370" s="53"/>
      <c r="B370" s="53"/>
      <c r="C370" s="53"/>
      <c r="D370" s="53"/>
      <c r="E370" s="53"/>
      <c r="H370" s="54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X370" s="53"/>
      <c r="Y370" s="53"/>
      <c r="Z370" s="53"/>
      <c r="AA370" s="53"/>
      <c r="AB370" s="53"/>
      <c r="AC370" s="53"/>
      <c r="AD370" s="53"/>
    </row>
    <row r="371" spans="1:30" x14ac:dyDescent="0.3">
      <c r="A371" s="53"/>
      <c r="B371" s="53"/>
      <c r="C371" s="53"/>
      <c r="D371" s="53"/>
      <c r="E371" s="53"/>
      <c r="H371" s="54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X371" s="53"/>
      <c r="Y371" s="53"/>
      <c r="Z371" s="53"/>
      <c r="AA371" s="53"/>
      <c r="AB371" s="53"/>
      <c r="AC371" s="53"/>
      <c r="AD371" s="53"/>
    </row>
    <row r="372" spans="1:30" x14ac:dyDescent="0.3">
      <c r="A372" s="53"/>
      <c r="B372" s="53"/>
      <c r="C372" s="53"/>
      <c r="D372" s="53"/>
      <c r="E372" s="53"/>
      <c r="H372" s="54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X372" s="53"/>
      <c r="Y372" s="53"/>
      <c r="Z372" s="53"/>
      <c r="AA372" s="53"/>
      <c r="AB372" s="53"/>
      <c r="AC372" s="53"/>
      <c r="AD372" s="53"/>
    </row>
    <row r="373" spans="1:30" x14ac:dyDescent="0.3">
      <c r="A373" s="53"/>
      <c r="B373" s="53"/>
      <c r="C373" s="53"/>
      <c r="D373" s="53"/>
      <c r="E373" s="53"/>
      <c r="H373" s="54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X373" s="53"/>
      <c r="Y373" s="53"/>
      <c r="Z373" s="53"/>
      <c r="AA373" s="53"/>
      <c r="AB373" s="53"/>
      <c r="AC373" s="53"/>
      <c r="AD373" s="53"/>
    </row>
    <row r="374" spans="1:30" x14ac:dyDescent="0.3">
      <c r="A374" s="53"/>
      <c r="B374" s="53"/>
      <c r="C374" s="53"/>
      <c r="D374" s="53"/>
      <c r="E374" s="53"/>
      <c r="H374" s="54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X374" s="53"/>
      <c r="Y374" s="53"/>
      <c r="Z374" s="53"/>
      <c r="AA374" s="53"/>
      <c r="AB374" s="53"/>
      <c r="AC374" s="53"/>
      <c r="AD374" s="53"/>
    </row>
    <row r="375" spans="1:30" x14ac:dyDescent="0.3">
      <c r="A375" s="53"/>
      <c r="B375" s="53"/>
      <c r="C375" s="53"/>
      <c r="D375" s="53"/>
      <c r="E375" s="53"/>
      <c r="H375" s="54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X375" s="53"/>
      <c r="Y375" s="53"/>
      <c r="Z375" s="53"/>
      <c r="AA375" s="53"/>
      <c r="AB375" s="53"/>
      <c r="AC375" s="53"/>
      <c r="AD375" s="53"/>
    </row>
    <row r="376" spans="1:30" x14ac:dyDescent="0.3">
      <c r="A376" s="53"/>
      <c r="B376" s="53"/>
      <c r="C376" s="53"/>
      <c r="D376" s="53"/>
      <c r="E376" s="53"/>
      <c r="H376" s="54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X376" s="53"/>
      <c r="Y376" s="53"/>
      <c r="Z376" s="53"/>
      <c r="AA376" s="53"/>
      <c r="AB376" s="53"/>
      <c r="AC376" s="53"/>
      <c r="AD376" s="53"/>
    </row>
    <row r="377" spans="1:30" x14ac:dyDescent="0.3">
      <c r="A377" s="53"/>
      <c r="B377" s="53"/>
      <c r="C377" s="53"/>
      <c r="D377" s="53"/>
      <c r="E377" s="53"/>
      <c r="H377" s="54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X377" s="53"/>
      <c r="Y377" s="53"/>
      <c r="Z377" s="53"/>
      <c r="AA377" s="53"/>
      <c r="AB377" s="53"/>
      <c r="AC377" s="53"/>
      <c r="AD377" s="53"/>
    </row>
    <row r="378" spans="1:30" x14ac:dyDescent="0.3">
      <c r="A378" s="53"/>
      <c r="B378" s="53"/>
      <c r="C378" s="53"/>
      <c r="D378" s="53"/>
      <c r="E378" s="53"/>
      <c r="H378" s="54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X378" s="53"/>
      <c r="Y378" s="53"/>
      <c r="Z378" s="53"/>
      <c r="AA378" s="53"/>
      <c r="AB378" s="53"/>
      <c r="AC378" s="53"/>
      <c r="AD378" s="53"/>
    </row>
    <row r="379" spans="1:30" x14ac:dyDescent="0.3">
      <c r="A379" s="53"/>
      <c r="B379" s="53"/>
      <c r="C379" s="53"/>
      <c r="D379" s="53"/>
      <c r="E379" s="53"/>
      <c r="H379" s="54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X379" s="53"/>
      <c r="Y379" s="53"/>
      <c r="Z379" s="53"/>
      <c r="AA379" s="53"/>
      <c r="AB379" s="53"/>
      <c r="AC379" s="53"/>
      <c r="AD379" s="53"/>
    </row>
    <row r="380" spans="1:30" x14ac:dyDescent="0.3">
      <c r="A380" s="53"/>
      <c r="B380" s="53"/>
      <c r="C380" s="53"/>
      <c r="D380" s="53"/>
      <c r="E380" s="53"/>
      <c r="H380" s="54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X380" s="53"/>
      <c r="Y380" s="53"/>
      <c r="Z380" s="53"/>
      <c r="AA380" s="53"/>
      <c r="AB380" s="53"/>
      <c r="AC380" s="53"/>
      <c r="AD380" s="53"/>
    </row>
    <row r="381" spans="1:30" x14ac:dyDescent="0.3">
      <c r="A381" s="53"/>
      <c r="B381" s="53"/>
      <c r="C381" s="53"/>
      <c r="D381" s="53"/>
      <c r="E381" s="53"/>
      <c r="H381" s="54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X381" s="53"/>
      <c r="Y381" s="53"/>
      <c r="Z381" s="53"/>
      <c r="AA381" s="53"/>
      <c r="AB381" s="53"/>
      <c r="AC381" s="53"/>
      <c r="AD381" s="53"/>
    </row>
    <row r="382" spans="1:30" x14ac:dyDescent="0.3">
      <c r="A382" s="53"/>
      <c r="B382" s="53"/>
      <c r="C382" s="53"/>
      <c r="D382" s="53"/>
      <c r="E382" s="53"/>
      <c r="H382" s="54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X382" s="53"/>
      <c r="Y382" s="53"/>
      <c r="Z382" s="53"/>
      <c r="AA382" s="53"/>
      <c r="AB382" s="53"/>
      <c r="AC382" s="53"/>
      <c r="AD382" s="53"/>
    </row>
    <row r="383" spans="1:30" x14ac:dyDescent="0.3">
      <c r="A383" s="53"/>
      <c r="B383" s="53"/>
      <c r="C383" s="53"/>
      <c r="D383" s="53"/>
      <c r="E383" s="53"/>
      <c r="H383" s="54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X383" s="53"/>
      <c r="Y383" s="53"/>
      <c r="Z383" s="53"/>
      <c r="AA383" s="53"/>
      <c r="AB383" s="53"/>
      <c r="AC383" s="53"/>
      <c r="AD383" s="53"/>
    </row>
    <row r="384" spans="1:30" x14ac:dyDescent="0.3">
      <c r="A384" s="53"/>
      <c r="B384" s="53"/>
      <c r="C384" s="53"/>
      <c r="D384" s="53"/>
      <c r="E384" s="53"/>
      <c r="H384" s="54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X384" s="53"/>
      <c r="Y384" s="53"/>
      <c r="Z384" s="53"/>
      <c r="AA384" s="53"/>
      <c r="AB384" s="53"/>
      <c r="AC384" s="53"/>
      <c r="AD384" s="53"/>
    </row>
    <row r="385" spans="1:30" x14ac:dyDescent="0.3">
      <c r="A385" s="53"/>
      <c r="B385" s="53"/>
      <c r="C385" s="53"/>
      <c r="D385" s="53"/>
      <c r="E385" s="53"/>
      <c r="H385" s="54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X385" s="53"/>
      <c r="Y385" s="53"/>
      <c r="Z385" s="53"/>
      <c r="AA385" s="53"/>
      <c r="AB385" s="53"/>
      <c r="AC385" s="53"/>
      <c r="AD385" s="53"/>
    </row>
    <row r="386" spans="1:30" x14ac:dyDescent="0.3">
      <c r="A386" s="53"/>
      <c r="B386" s="53"/>
      <c r="C386" s="53"/>
      <c r="D386" s="53"/>
      <c r="E386" s="53"/>
      <c r="H386" s="54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X386" s="53"/>
      <c r="Y386" s="53"/>
      <c r="Z386" s="53"/>
      <c r="AA386" s="53"/>
      <c r="AB386" s="53"/>
      <c r="AC386" s="53"/>
      <c r="AD386" s="53"/>
    </row>
    <row r="387" spans="1:30" x14ac:dyDescent="0.3">
      <c r="A387" s="53"/>
      <c r="B387" s="53"/>
      <c r="C387" s="53"/>
      <c r="D387" s="53"/>
      <c r="E387" s="53"/>
      <c r="H387" s="54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X387" s="53"/>
      <c r="Y387" s="53"/>
      <c r="Z387" s="53"/>
      <c r="AA387" s="53"/>
      <c r="AB387" s="53"/>
      <c r="AC387" s="53"/>
      <c r="AD387" s="53"/>
    </row>
    <row r="388" spans="1:30" x14ac:dyDescent="0.3">
      <c r="A388" s="53"/>
      <c r="B388" s="53"/>
      <c r="C388" s="53"/>
      <c r="D388" s="53"/>
      <c r="E388" s="53"/>
      <c r="H388" s="54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X388" s="53"/>
      <c r="Y388" s="53"/>
      <c r="Z388" s="53"/>
      <c r="AA388" s="53"/>
      <c r="AB388" s="53"/>
      <c r="AC388" s="53"/>
      <c r="AD388" s="53"/>
    </row>
    <row r="389" spans="1:30" x14ac:dyDescent="0.3">
      <c r="A389" s="53"/>
      <c r="B389" s="53"/>
      <c r="C389" s="53"/>
      <c r="D389" s="53"/>
      <c r="E389" s="53"/>
      <c r="H389" s="54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X389" s="53"/>
      <c r="Y389" s="53"/>
      <c r="Z389" s="53"/>
      <c r="AA389" s="53"/>
      <c r="AB389" s="53"/>
      <c r="AC389" s="53"/>
      <c r="AD389" s="53"/>
    </row>
    <row r="390" spans="1:30" x14ac:dyDescent="0.3">
      <c r="A390" s="53"/>
      <c r="B390" s="53"/>
      <c r="C390" s="53"/>
      <c r="D390" s="53"/>
      <c r="E390" s="53"/>
      <c r="H390" s="54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X390" s="53"/>
      <c r="Y390" s="53"/>
      <c r="Z390" s="53"/>
      <c r="AA390" s="53"/>
      <c r="AB390" s="53"/>
      <c r="AC390" s="53"/>
      <c r="AD390" s="53"/>
    </row>
    <row r="391" spans="1:30" x14ac:dyDescent="0.3">
      <c r="A391" s="53"/>
      <c r="B391" s="53"/>
      <c r="C391" s="53"/>
      <c r="D391" s="53"/>
      <c r="E391" s="53"/>
      <c r="H391" s="54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X391" s="53"/>
      <c r="Y391" s="53"/>
      <c r="Z391" s="53"/>
      <c r="AA391" s="53"/>
      <c r="AB391" s="53"/>
      <c r="AC391" s="53"/>
      <c r="AD391" s="53"/>
    </row>
    <row r="392" spans="1:30" x14ac:dyDescent="0.3">
      <c r="A392" s="53"/>
      <c r="B392" s="53"/>
      <c r="C392" s="53"/>
      <c r="D392" s="53"/>
      <c r="E392" s="53"/>
      <c r="H392" s="54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X392" s="53"/>
      <c r="Y392" s="53"/>
      <c r="Z392" s="53"/>
      <c r="AA392" s="53"/>
      <c r="AB392" s="53"/>
      <c r="AC392" s="53"/>
      <c r="AD392" s="53"/>
    </row>
    <row r="393" spans="1:30" x14ac:dyDescent="0.3">
      <c r="A393" s="53"/>
      <c r="B393" s="53"/>
      <c r="C393" s="53"/>
      <c r="D393" s="53"/>
      <c r="E393" s="53"/>
      <c r="H393" s="54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X393" s="53"/>
      <c r="Y393" s="53"/>
      <c r="Z393" s="53"/>
      <c r="AA393" s="53"/>
      <c r="AB393" s="53"/>
      <c r="AC393" s="53"/>
      <c r="AD393" s="53"/>
    </row>
    <row r="394" spans="1:30" x14ac:dyDescent="0.3">
      <c r="A394" s="53"/>
      <c r="B394" s="53"/>
      <c r="C394" s="53"/>
      <c r="D394" s="53"/>
      <c r="E394" s="53"/>
      <c r="H394" s="54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X394" s="53"/>
      <c r="Y394" s="53"/>
      <c r="Z394" s="53"/>
      <c r="AA394" s="53"/>
      <c r="AB394" s="53"/>
      <c r="AC394" s="53"/>
      <c r="AD394" s="53"/>
    </row>
    <row r="395" spans="1:30" x14ac:dyDescent="0.3">
      <c r="A395" s="53"/>
      <c r="B395" s="53"/>
      <c r="C395" s="53"/>
      <c r="D395" s="53"/>
      <c r="E395" s="53"/>
      <c r="H395" s="54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X395" s="53"/>
      <c r="Y395" s="53"/>
      <c r="Z395" s="53"/>
      <c r="AA395" s="53"/>
      <c r="AB395" s="53"/>
      <c r="AC395" s="53"/>
      <c r="AD395" s="53"/>
    </row>
    <row r="396" spans="1:30" x14ac:dyDescent="0.3">
      <c r="A396" s="53"/>
      <c r="B396" s="53"/>
      <c r="C396" s="53"/>
      <c r="D396" s="53"/>
      <c r="E396" s="53"/>
      <c r="H396" s="54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X396" s="53"/>
      <c r="Y396" s="53"/>
      <c r="Z396" s="53"/>
      <c r="AA396" s="53"/>
      <c r="AB396" s="53"/>
      <c r="AC396" s="53"/>
      <c r="AD396" s="53"/>
    </row>
    <row r="397" spans="1:30" x14ac:dyDescent="0.3">
      <c r="A397" s="53"/>
      <c r="B397" s="53"/>
      <c r="C397" s="53"/>
      <c r="D397" s="53"/>
      <c r="E397" s="53"/>
      <c r="H397" s="54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X397" s="53"/>
      <c r="Y397" s="53"/>
      <c r="Z397" s="53"/>
      <c r="AA397" s="53"/>
      <c r="AB397" s="53"/>
      <c r="AC397" s="53"/>
      <c r="AD397" s="53"/>
    </row>
    <row r="398" spans="1:30" x14ac:dyDescent="0.3">
      <c r="A398" s="53"/>
      <c r="B398" s="53"/>
      <c r="C398" s="53"/>
      <c r="D398" s="53"/>
      <c r="E398" s="53"/>
      <c r="H398" s="54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X398" s="53"/>
      <c r="Y398" s="53"/>
      <c r="Z398" s="53"/>
      <c r="AA398" s="53"/>
      <c r="AB398" s="53"/>
      <c r="AC398" s="53"/>
      <c r="AD398" s="53"/>
    </row>
    <row r="399" spans="1:30" x14ac:dyDescent="0.3">
      <c r="A399" s="53"/>
      <c r="B399" s="53"/>
      <c r="C399" s="53"/>
      <c r="D399" s="53"/>
      <c r="E399" s="53"/>
      <c r="H399" s="54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X399" s="53"/>
      <c r="Y399" s="53"/>
      <c r="Z399" s="53"/>
      <c r="AA399" s="53"/>
      <c r="AB399" s="53"/>
      <c r="AC399" s="53"/>
      <c r="AD399" s="53"/>
    </row>
    <row r="400" spans="1:30" x14ac:dyDescent="0.3">
      <c r="A400" s="53"/>
      <c r="B400" s="53"/>
      <c r="C400" s="53"/>
      <c r="D400" s="53"/>
      <c r="E400" s="53"/>
      <c r="H400" s="54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X400" s="53"/>
      <c r="Y400" s="53"/>
      <c r="Z400" s="53"/>
      <c r="AA400" s="53"/>
      <c r="AB400" s="53"/>
      <c r="AC400" s="53"/>
      <c r="AD400" s="53"/>
    </row>
    <row r="401" spans="1:30" x14ac:dyDescent="0.3">
      <c r="A401" s="53"/>
      <c r="B401" s="53"/>
      <c r="C401" s="53"/>
      <c r="D401" s="53"/>
      <c r="E401" s="53"/>
      <c r="H401" s="54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X401" s="53"/>
      <c r="Y401" s="53"/>
      <c r="Z401" s="53"/>
      <c r="AA401" s="53"/>
      <c r="AB401" s="53"/>
      <c r="AC401" s="53"/>
      <c r="AD401" s="53"/>
    </row>
    <row r="402" spans="1:30" x14ac:dyDescent="0.3">
      <c r="A402" s="53"/>
      <c r="B402" s="53"/>
      <c r="C402" s="53"/>
      <c r="D402" s="53"/>
      <c r="E402" s="53"/>
      <c r="H402" s="54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X402" s="53"/>
      <c r="Y402" s="53"/>
      <c r="Z402" s="53"/>
      <c r="AA402" s="53"/>
      <c r="AB402" s="53"/>
      <c r="AC402" s="53"/>
      <c r="AD402" s="53"/>
    </row>
    <row r="403" spans="1:30" x14ac:dyDescent="0.3">
      <c r="A403" s="53"/>
      <c r="B403" s="53"/>
      <c r="C403" s="53"/>
      <c r="D403" s="53"/>
      <c r="E403" s="53"/>
      <c r="H403" s="54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X403" s="53"/>
      <c r="Y403" s="53"/>
      <c r="Z403" s="53"/>
      <c r="AA403" s="53"/>
      <c r="AB403" s="53"/>
      <c r="AC403" s="53"/>
      <c r="AD403" s="53"/>
    </row>
    <row r="404" spans="1:30" x14ac:dyDescent="0.3">
      <c r="A404" s="53"/>
      <c r="B404" s="53"/>
      <c r="C404" s="53"/>
      <c r="D404" s="53"/>
      <c r="E404" s="53"/>
      <c r="H404" s="54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X404" s="53"/>
      <c r="Y404" s="53"/>
      <c r="Z404" s="53"/>
      <c r="AA404" s="53"/>
      <c r="AB404" s="53"/>
      <c r="AC404" s="53"/>
      <c r="AD404" s="53"/>
    </row>
    <row r="405" spans="1:30" x14ac:dyDescent="0.3">
      <c r="A405" s="53"/>
      <c r="B405" s="53"/>
      <c r="C405" s="53"/>
      <c r="D405" s="53"/>
      <c r="E405" s="53"/>
      <c r="H405" s="54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X405" s="53"/>
      <c r="Y405" s="53"/>
      <c r="Z405" s="53"/>
      <c r="AA405" s="53"/>
      <c r="AB405" s="53"/>
      <c r="AC405" s="53"/>
      <c r="AD405" s="53"/>
    </row>
    <row r="406" spans="1:30" x14ac:dyDescent="0.3">
      <c r="A406" s="53"/>
      <c r="B406" s="53"/>
      <c r="C406" s="53"/>
      <c r="D406" s="53"/>
      <c r="E406" s="53"/>
      <c r="H406" s="54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X406" s="53"/>
      <c r="Y406" s="53"/>
      <c r="Z406" s="53"/>
      <c r="AA406" s="53"/>
      <c r="AB406" s="53"/>
      <c r="AC406" s="53"/>
      <c r="AD406" s="53"/>
    </row>
    <row r="407" spans="1:30" x14ac:dyDescent="0.3">
      <c r="A407" s="66"/>
      <c r="B407" s="66"/>
      <c r="C407" s="66"/>
      <c r="D407" s="66"/>
      <c r="E407" s="66"/>
      <c r="H407" s="69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X407" s="66"/>
      <c r="Y407" s="66"/>
      <c r="Z407" s="66"/>
      <c r="AA407" s="66"/>
      <c r="AB407" s="66"/>
      <c r="AC407" s="66"/>
      <c r="AD407" s="66"/>
    </row>
    <row r="408" spans="1:30" x14ac:dyDescent="0.3">
      <c r="A408" s="53"/>
      <c r="B408" s="53"/>
      <c r="C408" s="53"/>
      <c r="D408" s="53"/>
      <c r="E408" s="53"/>
      <c r="H408" s="54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X408" s="53"/>
      <c r="Y408" s="53"/>
      <c r="Z408" s="53"/>
      <c r="AA408" s="53"/>
      <c r="AB408" s="53"/>
      <c r="AC408" s="53"/>
      <c r="AD408" s="53"/>
    </row>
    <row r="409" spans="1:30" x14ac:dyDescent="0.3">
      <c r="A409" s="53"/>
      <c r="B409" s="53"/>
      <c r="C409" s="53"/>
      <c r="D409" s="53"/>
      <c r="E409" s="53"/>
      <c r="H409" s="54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X409" s="53"/>
      <c r="Y409" s="53"/>
      <c r="Z409" s="53"/>
      <c r="AA409" s="53"/>
      <c r="AB409" s="53"/>
      <c r="AC409" s="53"/>
      <c r="AD409" s="53"/>
    </row>
    <row r="410" spans="1:30" x14ac:dyDescent="0.3">
      <c r="A410" s="53"/>
      <c r="B410" s="53"/>
      <c r="C410" s="53"/>
      <c r="D410" s="53"/>
      <c r="E410" s="53"/>
      <c r="H410" s="54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X410" s="53"/>
      <c r="Y410" s="53"/>
      <c r="Z410" s="53"/>
      <c r="AA410" s="53"/>
      <c r="AB410" s="53"/>
      <c r="AC410" s="53"/>
      <c r="AD410" s="53"/>
    </row>
    <row r="411" spans="1:30" x14ac:dyDescent="0.3">
      <c r="A411" s="53"/>
      <c r="B411" s="53"/>
      <c r="C411" s="53"/>
      <c r="D411" s="53"/>
      <c r="E411" s="53"/>
      <c r="H411" s="54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X411" s="53"/>
      <c r="Y411" s="53"/>
      <c r="Z411" s="53"/>
      <c r="AA411" s="53"/>
      <c r="AB411" s="53"/>
      <c r="AC411" s="53"/>
      <c r="AD411" s="53"/>
    </row>
    <row r="412" spans="1:30" x14ac:dyDescent="0.3">
      <c r="A412" s="53"/>
      <c r="B412" s="53"/>
      <c r="C412" s="53"/>
      <c r="D412" s="53"/>
      <c r="E412" s="53"/>
      <c r="H412" s="54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X412" s="53"/>
      <c r="Y412" s="53"/>
      <c r="Z412" s="53"/>
      <c r="AA412" s="53"/>
      <c r="AB412" s="53"/>
      <c r="AC412" s="53"/>
      <c r="AD412" s="53"/>
    </row>
    <row r="413" spans="1:30" x14ac:dyDescent="0.3">
      <c r="A413" s="53"/>
      <c r="B413" s="53"/>
      <c r="C413" s="53"/>
      <c r="D413" s="53"/>
      <c r="E413" s="53"/>
      <c r="H413" s="54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X413" s="53"/>
      <c r="Y413" s="53"/>
      <c r="Z413" s="53"/>
      <c r="AA413" s="53"/>
      <c r="AB413" s="53"/>
      <c r="AC413" s="53"/>
      <c r="AD413" s="53"/>
    </row>
    <row r="414" spans="1:30" x14ac:dyDescent="0.3">
      <c r="A414" s="53"/>
      <c r="B414" s="53"/>
      <c r="C414" s="53"/>
      <c r="D414" s="53"/>
      <c r="E414" s="53"/>
      <c r="H414" s="54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X414" s="53"/>
      <c r="Y414" s="53"/>
      <c r="Z414" s="53"/>
      <c r="AA414" s="53"/>
      <c r="AB414" s="53"/>
      <c r="AC414" s="53"/>
      <c r="AD414" s="53"/>
    </row>
    <row r="415" spans="1:30" x14ac:dyDescent="0.3">
      <c r="A415" s="53"/>
      <c r="B415" s="53"/>
      <c r="C415" s="53"/>
      <c r="D415" s="53"/>
      <c r="E415" s="53"/>
      <c r="H415" s="54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X415" s="53"/>
      <c r="Y415" s="53"/>
      <c r="Z415" s="53"/>
      <c r="AA415" s="53"/>
      <c r="AB415" s="53"/>
      <c r="AC415" s="53"/>
      <c r="AD415" s="53"/>
    </row>
    <row r="416" spans="1:30" x14ac:dyDescent="0.3">
      <c r="A416" s="53"/>
      <c r="B416" s="53"/>
      <c r="C416" s="53"/>
      <c r="D416" s="53"/>
      <c r="E416" s="53"/>
      <c r="H416" s="54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X416" s="53"/>
      <c r="Y416" s="53"/>
      <c r="Z416" s="53"/>
      <c r="AA416" s="53"/>
      <c r="AB416" s="53"/>
      <c r="AC416" s="53"/>
      <c r="AD416" s="53"/>
    </row>
    <row r="417" spans="1:30" x14ac:dyDescent="0.3">
      <c r="A417" s="53"/>
      <c r="B417" s="53"/>
      <c r="C417" s="53"/>
      <c r="D417" s="53"/>
      <c r="E417" s="53"/>
      <c r="H417" s="54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X417" s="53"/>
      <c r="Y417" s="53"/>
      <c r="Z417" s="53"/>
      <c r="AA417" s="53"/>
      <c r="AB417" s="53"/>
      <c r="AC417" s="53"/>
      <c r="AD417" s="53"/>
    </row>
    <row r="418" spans="1:30" x14ac:dyDescent="0.3">
      <c r="A418" s="53"/>
      <c r="B418" s="53"/>
      <c r="C418" s="53"/>
      <c r="D418" s="53"/>
      <c r="E418" s="53"/>
      <c r="H418" s="54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X418" s="53"/>
      <c r="Y418" s="53"/>
      <c r="Z418" s="53"/>
      <c r="AA418" s="53"/>
      <c r="AB418" s="53"/>
      <c r="AC418" s="53"/>
      <c r="AD418" s="53"/>
    </row>
    <row r="419" spans="1:30" x14ac:dyDescent="0.3">
      <c r="A419" s="53"/>
      <c r="B419" s="53"/>
      <c r="C419" s="53"/>
      <c r="D419" s="53"/>
      <c r="E419" s="53"/>
      <c r="H419" s="54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X419" s="53"/>
      <c r="Y419" s="53"/>
      <c r="Z419" s="53"/>
      <c r="AA419" s="53"/>
      <c r="AB419" s="53"/>
      <c r="AC419" s="53"/>
      <c r="AD419" s="53"/>
    </row>
    <row r="420" spans="1:30" x14ac:dyDescent="0.3">
      <c r="A420" s="53"/>
      <c r="B420" s="53"/>
      <c r="C420" s="53"/>
      <c r="D420" s="53"/>
      <c r="E420" s="53"/>
      <c r="H420" s="54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X420" s="53"/>
      <c r="Y420" s="53"/>
      <c r="Z420" s="53"/>
      <c r="AA420" s="53"/>
      <c r="AB420" s="53"/>
      <c r="AC420" s="53"/>
      <c r="AD420" s="53"/>
    </row>
    <row r="421" spans="1:30" x14ac:dyDescent="0.3">
      <c r="A421" s="53"/>
      <c r="B421" s="53"/>
      <c r="C421" s="53"/>
      <c r="D421" s="53"/>
      <c r="E421" s="53"/>
      <c r="H421" s="54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X421" s="53"/>
      <c r="Y421" s="53"/>
      <c r="Z421" s="53"/>
      <c r="AA421" s="53"/>
      <c r="AB421" s="53"/>
      <c r="AC421" s="53"/>
      <c r="AD421" s="53"/>
    </row>
    <row r="422" spans="1:30" x14ac:dyDescent="0.3">
      <c r="A422" s="53"/>
      <c r="B422" s="53"/>
      <c r="C422" s="53"/>
      <c r="D422" s="53"/>
      <c r="E422" s="53"/>
      <c r="H422" s="54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X422" s="53"/>
      <c r="Y422" s="53"/>
      <c r="Z422" s="53"/>
      <c r="AA422" s="53"/>
      <c r="AB422" s="53"/>
      <c r="AC422" s="53"/>
      <c r="AD422" s="53"/>
    </row>
    <row r="423" spans="1:30" x14ac:dyDescent="0.3">
      <c r="A423" s="53"/>
      <c r="B423" s="53"/>
      <c r="C423" s="53"/>
      <c r="D423" s="53"/>
      <c r="E423" s="53"/>
      <c r="H423" s="54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X423" s="53"/>
      <c r="Y423" s="53"/>
      <c r="Z423" s="53"/>
      <c r="AA423" s="53"/>
      <c r="AB423" s="53"/>
      <c r="AC423" s="53"/>
      <c r="AD423" s="53"/>
    </row>
    <row r="424" spans="1:30" x14ac:dyDescent="0.3">
      <c r="A424" s="53"/>
      <c r="B424" s="53"/>
      <c r="C424" s="53"/>
      <c r="D424" s="53"/>
      <c r="E424" s="53"/>
      <c r="H424" s="54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X424" s="53"/>
      <c r="Y424" s="53"/>
      <c r="Z424" s="53"/>
      <c r="AA424" s="53"/>
      <c r="AB424" s="53"/>
      <c r="AC424" s="53"/>
      <c r="AD424" s="53"/>
    </row>
    <row r="425" spans="1:30" x14ac:dyDescent="0.3">
      <c r="A425" s="53"/>
      <c r="B425" s="53"/>
      <c r="C425" s="53"/>
      <c r="D425" s="53"/>
      <c r="E425" s="53"/>
      <c r="H425" s="54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X425" s="53"/>
      <c r="Y425" s="53"/>
      <c r="Z425" s="53"/>
      <c r="AA425" s="53"/>
      <c r="AB425" s="53"/>
      <c r="AC425" s="53"/>
      <c r="AD425" s="53"/>
    </row>
    <row r="426" spans="1:30" x14ac:dyDescent="0.3">
      <c r="A426" s="53"/>
      <c r="B426" s="53"/>
      <c r="C426" s="53"/>
      <c r="D426" s="53"/>
      <c r="E426" s="53"/>
      <c r="H426" s="54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X426" s="53"/>
      <c r="Y426" s="53"/>
      <c r="Z426" s="53"/>
      <c r="AA426" s="53"/>
      <c r="AB426" s="53"/>
      <c r="AC426" s="53"/>
      <c r="AD426" s="53"/>
    </row>
    <row r="427" spans="1:30" x14ac:dyDescent="0.3">
      <c r="A427" s="53"/>
      <c r="B427" s="53"/>
      <c r="C427" s="53"/>
      <c r="D427" s="53"/>
      <c r="E427" s="53"/>
      <c r="H427" s="54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X427" s="53"/>
      <c r="Y427" s="53"/>
      <c r="Z427" s="53"/>
      <c r="AA427" s="53"/>
      <c r="AB427" s="53"/>
      <c r="AC427" s="53"/>
      <c r="AD427" s="53"/>
    </row>
    <row r="428" spans="1:30" x14ac:dyDescent="0.3">
      <c r="A428" s="53"/>
      <c r="B428" s="53"/>
      <c r="C428" s="53"/>
      <c r="D428" s="53"/>
      <c r="E428" s="53"/>
      <c r="H428" s="54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X428" s="53"/>
      <c r="Y428" s="53"/>
      <c r="Z428" s="53"/>
      <c r="AA428" s="53"/>
      <c r="AB428" s="53"/>
      <c r="AC428" s="53"/>
      <c r="AD428" s="53"/>
    </row>
    <row r="429" spans="1:30" x14ac:dyDescent="0.3">
      <c r="A429" s="53"/>
      <c r="B429" s="53"/>
      <c r="C429" s="53"/>
      <c r="D429" s="53"/>
      <c r="E429" s="53"/>
      <c r="H429" s="54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X429" s="53"/>
      <c r="Y429" s="53"/>
      <c r="Z429" s="53"/>
      <c r="AA429" s="53"/>
      <c r="AB429" s="53"/>
      <c r="AC429" s="53"/>
      <c r="AD429" s="53"/>
    </row>
    <row r="430" spans="1:30" x14ac:dyDescent="0.3">
      <c r="A430" s="53"/>
      <c r="B430" s="53"/>
      <c r="C430" s="53"/>
      <c r="D430" s="53"/>
      <c r="E430" s="53"/>
      <c r="H430" s="54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X430" s="53"/>
      <c r="Y430" s="53"/>
      <c r="Z430" s="53"/>
      <c r="AA430" s="53"/>
      <c r="AB430" s="53"/>
      <c r="AC430" s="53"/>
      <c r="AD430" s="53"/>
    </row>
    <row r="431" spans="1:30" x14ac:dyDescent="0.3">
      <c r="A431" s="53"/>
      <c r="B431" s="53"/>
      <c r="C431" s="53"/>
      <c r="D431" s="53"/>
      <c r="E431" s="53"/>
      <c r="H431" s="54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X431" s="53"/>
      <c r="Y431" s="53"/>
      <c r="Z431" s="53"/>
      <c r="AA431" s="53"/>
      <c r="AB431" s="53"/>
      <c r="AC431" s="53"/>
      <c r="AD431" s="53"/>
    </row>
    <row r="432" spans="1:30" x14ac:dyDescent="0.3">
      <c r="A432" s="53"/>
      <c r="B432" s="53"/>
      <c r="C432" s="53"/>
      <c r="D432" s="53"/>
      <c r="E432" s="53"/>
      <c r="H432" s="54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X432" s="53"/>
      <c r="Y432" s="53"/>
      <c r="Z432" s="53"/>
      <c r="AA432" s="53"/>
      <c r="AB432" s="53"/>
      <c r="AC432" s="53"/>
      <c r="AD432" s="53"/>
    </row>
    <row r="433" spans="1:30" x14ac:dyDescent="0.3">
      <c r="A433" s="53"/>
      <c r="B433" s="53"/>
      <c r="C433" s="53"/>
      <c r="D433" s="53"/>
      <c r="E433" s="53"/>
      <c r="H433" s="54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X433" s="53"/>
      <c r="Y433" s="53"/>
      <c r="Z433" s="53"/>
      <c r="AA433" s="53"/>
      <c r="AB433" s="53"/>
      <c r="AC433" s="53"/>
      <c r="AD433" s="53"/>
    </row>
    <row r="434" spans="1:30" x14ac:dyDescent="0.3">
      <c r="A434" s="53"/>
      <c r="B434" s="53"/>
      <c r="C434" s="53"/>
      <c r="D434" s="53"/>
      <c r="E434" s="53"/>
      <c r="H434" s="54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X434" s="53"/>
      <c r="Y434" s="53"/>
      <c r="Z434" s="53"/>
      <c r="AA434" s="53"/>
      <c r="AB434" s="53"/>
      <c r="AC434" s="53"/>
      <c r="AD434" s="53"/>
    </row>
    <row r="435" spans="1:30" x14ac:dyDescent="0.3">
      <c r="A435" s="53"/>
      <c r="B435" s="53"/>
      <c r="C435" s="53"/>
      <c r="D435" s="53"/>
      <c r="E435" s="53"/>
      <c r="H435" s="54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X435" s="53"/>
      <c r="Y435" s="53"/>
      <c r="Z435" s="53"/>
      <c r="AA435" s="53"/>
      <c r="AB435" s="53"/>
      <c r="AC435" s="53"/>
      <c r="AD435" s="53"/>
    </row>
    <row r="436" spans="1:30" x14ac:dyDescent="0.3">
      <c r="A436" s="53"/>
      <c r="B436" s="53"/>
      <c r="C436" s="53"/>
      <c r="D436" s="53"/>
      <c r="E436" s="53"/>
      <c r="H436" s="54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X436" s="53"/>
      <c r="Y436" s="53"/>
      <c r="Z436" s="53"/>
      <c r="AA436" s="53"/>
      <c r="AB436" s="53"/>
      <c r="AC436" s="53"/>
      <c r="AD436" s="53"/>
    </row>
    <row r="437" spans="1:30" x14ac:dyDescent="0.3">
      <c r="A437" s="53"/>
      <c r="B437" s="53"/>
      <c r="C437" s="53"/>
      <c r="D437" s="53"/>
      <c r="E437" s="53"/>
      <c r="H437" s="54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X437" s="53"/>
      <c r="Y437" s="53"/>
      <c r="Z437" s="53"/>
      <c r="AA437" s="53"/>
      <c r="AB437" s="53"/>
      <c r="AC437" s="53"/>
      <c r="AD437" s="53"/>
    </row>
    <row r="438" spans="1:30" x14ac:dyDescent="0.3">
      <c r="A438" s="53"/>
      <c r="B438" s="53"/>
      <c r="C438" s="53"/>
      <c r="D438" s="53"/>
      <c r="E438" s="53"/>
      <c r="H438" s="54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X438" s="53"/>
      <c r="Y438" s="53"/>
      <c r="Z438" s="53"/>
      <c r="AA438" s="53"/>
      <c r="AB438" s="53"/>
      <c r="AC438" s="53"/>
      <c r="AD438" s="53"/>
    </row>
    <row r="439" spans="1:30" x14ac:dyDescent="0.3">
      <c r="A439" s="53"/>
      <c r="B439" s="53"/>
      <c r="C439" s="53"/>
      <c r="D439" s="53"/>
      <c r="E439" s="53"/>
      <c r="H439" s="54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X439" s="53"/>
      <c r="Y439" s="53"/>
      <c r="Z439" s="53"/>
      <c r="AA439" s="53"/>
      <c r="AB439" s="53"/>
      <c r="AC439" s="53"/>
      <c r="AD439" s="53"/>
    </row>
    <row r="440" spans="1:30" x14ac:dyDescent="0.3">
      <c r="A440" s="53"/>
      <c r="B440" s="53"/>
      <c r="C440" s="53"/>
      <c r="D440" s="53"/>
      <c r="E440" s="53"/>
      <c r="H440" s="54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X440" s="53"/>
      <c r="Y440" s="53"/>
      <c r="Z440" s="53"/>
      <c r="AA440" s="53"/>
      <c r="AB440" s="53"/>
      <c r="AC440" s="53"/>
      <c r="AD440" s="53"/>
    </row>
    <row r="441" spans="1:30" x14ac:dyDescent="0.3">
      <c r="A441" s="53"/>
      <c r="B441" s="53"/>
      <c r="C441" s="53"/>
      <c r="D441" s="53"/>
      <c r="E441" s="53"/>
      <c r="H441" s="54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X441" s="53"/>
      <c r="Y441" s="53"/>
      <c r="Z441" s="53"/>
      <c r="AA441" s="53"/>
      <c r="AB441" s="53"/>
      <c r="AC441" s="53"/>
      <c r="AD441" s="53"/>
    </row>
    <row r="442" spans="1:30" x14ac:dyDescent="0.3">
      <c r="A442" s="53"/>
      <c r="B442" s="53"/>
      <c r="C442" s="53"/>
      <c r="D442" s="53"/>
      <c r="E442" s="53"/>
      <c r="H442" s="54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X442" s="53"/>
      <c r="Y442" s="53"/>
      <c r="Z442" s="53"/>
      <c r="AA442" s="53"/>
      <c r="AB442" s="53"/>
      <c r="AC442" s="53"/>
      <c r="AD442" s="53"/>
    </row>
    <row r="443" spans="1:30" x14ac:dyDescent="0.3">
      <c r="A443" s="53"/>
      <c r="B443" s="53"/>
      <c r="C443" s="53"/>
      <c r="D443" s="53"/>
      <c r="E443" s="53"/>
      <c r="H443" s="54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X443" s="53"/>
      <c r="Y443" s="53"/>
      <c r="Z443" s="53"/>
      <c r="AA443" s="53"/>
      <c r="AB443" s="53"/>
      <c r="AC443" s="53"/>
      <c r="AD443" s="53"/>
    </row>
    <row r="444" spans="1:30" x14ac:dyDescent="0.3">
      <c r="A444" s="53"/>
      <c r="B444" s="53"/>
      <c r="C444" s="53"/>
      <c r="D444" s="53"/>
      <c r="E444" s="53"/>
      <c r="H444" s="54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X444" s="53"/>
      <c r="Y444" s="53"/>
      <c r="Z444" s="53"/>
      <c r="AA444" s="53"/>
      <c r="AB444" s="53"/>
      <c r="AC444" s="53"/>
      <c r="AD444" s="53"/>
    </row>
    <row r="445" spans="1:30" x14ac:dyDescent="0.3">
      <c r="A445" s="53"/>
      <c r="B445" s="53"/>
      <c r="C445" s="53"/>
      <c r="D445" s="53"/>
      <c r="E445" s="53"/>
      <c r="H445" s="54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X445" s="53"/>
      <c r="Y445" s="53"/>
      <c r="Z445" s="53"/>
      <c r="AA445" s="53"/>
      <c r="AB445" s="53"/>
      <c r="AC445" s="53"/>
      <c r="AD445" s="53"/>
    </row>
    <row r="446" spans="1:30" x14ac:dyDescent="0.3">
      <c r="A446" s="53"/>
      <c r="B446" s="53"/>
      <c r="C446" s="53"/>
      <c r="D446" s="53"/>
      <c r="E446" s="53"/>
      <c r="H446" s="54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X446" s="53"/>
      <c r="Y446" s="53"/>
      <c r="Z446" s="53"/>
      <c r="AA446" s="53"/>
      <c r="AB446" s="53"/>
      <c r="AC446" s="53"/>
      <c r="AD446" s="53"/>
    </row>
    <row r="447" spans="1:30" x14ac:dyDescent="0.3">
      <c r="A447" s="53"/>
      <c r="B447" s="53"/>
      <c r="C447" s="53"/>
      <c r="D447" s="53"/>
      <c r="E447" s="53"/>
      <c r="H447" s="54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X447" s="53"/>
      <c r="Y447" s="53"/>
      <c r="Z447" s="53"/>
      <c r="AA447" s="53"/>
      <c r="AB447" s="53"/>
      <c r="AC447" s="53"/>
      <c r="AD447" s="53"/>
    </row>
    <row r="448" spans="1:30" x14ac:dyDescent="0.3">
      <c r="A448" s="53"/>
      <c r="B448" s="53"/>
      <c r="C448" s="53"/>
      <c r="D448" s="53"/>
      <c r="E448" s="53"/>
      <c r="H448" s="54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X448" s="53"/>
      <c r="Y448" s="53"/>
      <c r="Z448" s="53"/>
      <c r="AA448" s="53"/>
      <c r="AB448" s="53"/>
      <c r="AC448" s="53"/>
      <c r="AD448" s="53"/>
    </row>
    <row r="449" spans="1:30" x14ac:dyDescent="0.3">
      <c r="A449" s="53"/>
      <c r="B449" s="53"/>
      <c r="C449" s="53"/>
      <c r="D449" s="53"/>
      <c r="E449" s="53"/>
      <c r="H449" s="54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X449" s="53"/>
      <c r="Y449" s="53"/>
      <c r="Z449" s="53"/>
      <c r="AA449" s="53"/>
      <c r="AB449" s="53"/>
      <c r="AC449" s="53"/>
      <c r="AD449" s="53"/>
    </row>
    <row r="450" spans="1:30" x14ac:dyDescent="0.3">
      <c r="A450" s="53"/>
      <c r="B450" s="53"/>
      <c r="C450" s="53"/>
      <c r="D450" s="53"/>
      <c r="E450" s="53"/>
      <c r="H450" s="54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X450" s="53"/>
      <c r="Y450" s="53"/>
      <c r="Z450" s="53"/>
      <c r="AA450" s="53"/>
      <c r="AB450" s="53"/>
      <c r="AC450" s="53"/>
      <c r="AD450" s="53"/>
    </row>
    <row r="451" spans="1:30" x14ac:dyDescent="0.3">
      <c r="A451" s="53"/>
      <c r="B451" s="53"/>
      <c r="C451" s="53"/>
      <c r="D451" s="53"/>
      <c r="E451" s="53"/>
      <c r="H451" s="54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X451" s="53"/>
      <c r="Y451" s="53"/>
      <c r="Z451" s="53"/>
      <c r="AA451" s="53"/>
      <c r="AB451" s="53"/>
      <c r="AC451" s="53"/>
      <c r="AD451" s="53"/>
    </row>
    <row r="452" spans="1:30" x14ac:dyDescent="0.3">
      <c r="A452" s="53"/>
      <c r="B452" s="53"/>
      <c r="C452" s="53"/>
      <c r="D452" s="53"/>
      <c r="E452" s="53"/>
      <c r="H452" s="54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X452" s="53"/>
      <c r="Y452" s="53"/>
      <c r="Z452" s="53"/>
      <c r="AA452" s="53"/>
      <c r="AB452" s="53"/>
      <c r="AC452" s="53"/>
      <c r="AD452" s="53"/>
    </row>
    <row r="453" spans="1:30" x14ac:dyDescent="0.3">
      <c r="A453" s="53"/>
      <c r="B453" s="53"/>
      <c r="C453" s="53"/>
      <c r="D453" s="53"/>
      <c r="E453" s="53"/>
      <c r="H453" s="54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X453" s="53"/>
      <c r="Y453" s="53"/>
      <c r="Z453" s="53"/>
      <c r="AA453" s="53"/>
      <c r="AB453" s="53"/>
      <c r="AC453" s="53"/>
      <c r="AD453" s="53"/>
    </row>
    <row r="454" spans="1:30" x14ac:dyDescent="0.3">
      <c r="A454" s="53"/>
      <c r="B454" s="53"/>
      <c r="C454" s="53"/>
      <c r="D454" s="53"/>
      <c r="E454" s="53"/>
      <c r="H454" s="54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X454" s="53"/>
      <c r="Y454" s="53"/>
      <c r="Z454" s="53"/>
      <c r="AA454" s="53"/>
      <c r="AB454" s="53"/>
      <c r="AC454" s="53"/>
      <c r="AD454" s="53"/>
    </row>
    <row r="455" spans="1:30" x14ac:dyDescent="0.3">
      <c r="A455" s="53"/>
      <c r="B455" s="53"/>
      <c r="C455" s="53"/>
      <c r="D455" s="53"/>
      <c r="E455" s="53"/>
      <c r="H455" s="54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X455" s="53"/>
      <c r="Y455" s="53"/>
      <c r="Z455" s="53"/>
      <c r="AA455" s="53"/>
      <c r="AB455" s="53"/>
      <c r="AC455" s="53"/>
      <c r="AD455" s="53"/>
    </row>
    <row r="456" spans="1:30" x14ac:dyDescent="0.3">
      <c r="A456" s="53"/>
      <c r="B456" s="53"/>
      <c r="C456" s="53"/>
      <c r="D456" s="53"/>
      <c r="E456" s="53"/>
      <c r="H456" s="54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X456" s="53"/>
      <c r="Y456" s="53"/>
      <c r="Z456" s="53"/>
      <c r="AA456" s="53"/>
      <c r="AB456" s="53"/>
      <c r="AC456" s="53"/>
      <c r="AD456" s="53"/>
    </row>
    <row r="457" spans="1:30" x14ac:dyDescent="0.3">
      <c r="A457" s="53"/>
      <c r="B457" s="53"/>
      <c r="C457" s="53"/>
      <c r="D457" s="53"/>
      <c r="E457" s="53"/>
      <c r="H457" s="54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X457" s="53"/>
      <c r="Y457" s="53"/>
      <c r="Z457" s="53"/>
      <c r="AA457" s="53"/>
      <c r="AB457" s="53"/>
      <c r="AC457" s="53"/>
      <c r="AD457" s="53"/>
    </row>
    <row r="458" spans="1:30" x14ac:dyDescent="0.3">
      <c r="A458" s="53"/>
      <c r="B458" s="53"/>
      <c r="C458" s="53"/>
      <c r="D458" s="53"/>
      <c r="E458" s="53"/>
      <c r="H458" s="54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X458" s="53"/>
      <c r="Y458" s="53"/>
      <c r="Z458" s="53"/>
      <c r="AA458" s="53"/>
      <c r="AB458" s="53"/>
      <c r="AC458" s="53"/>
      <c r="AD458" s="53"/>
    </row>
    <row r="459" spans="1:30" x14ac:dyDescent="0.3">
      <c r="A459" s="53"/>
      <c r="B459" s="53"/>
      <c r="C459" s="53"/>
      <c r="D459" s="53"/>
      <c r="E459" s="53"/>
      <c r="H459" s="54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X459" s="53"/>
      <c r="Y459" s="53"/>
      <c r="Z459" s="53"/>
      <c r="AA459" s="53"/>
      <c r="AB459" s="53"/>
      <c r="AC459" s="53"/>
      <c r="AD459" s="53"/>
    </row>
    <row r="460" spans="1:30" x14ac:dyDescent="0.3">
      <c r="A460" s="53"/>
      <c r="B460" s="53"/>
      <c r="C460" s="53"/>
      <c r="D460" s="53"/>
      <c r="E460" s="53"/>
      <c r="H460" s="54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X460" s="53"/>
      <c r="Y460" s="53"/>
      <c r="Z460" s="53"/>
      <c r="AA460" s="53"/>
      <c r="AB460" s="53"/>
      <c r="AC460" s="53"/>
      <c r="AD460" s="53"/>
    </row>
    <row r="461" spans="1:30" x14ac:dyDescent="0.3">
      <c r="A461" s="53"/>
      <c r="B461" s="53"/>
      <c r="C461" s="53"/>
      <c r="D461" s="53"/>
      <c r="E461" s="53"/>
      <c r="H461" s="54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X461" s="53"/>
      <c r="Y461" s="53"/>
      <c r="Z461" s="53"/>
      <c r="AA461" s="53"/>
      <c r="AB461" s="53"/>
      <c r="AC461" s="53"/>
      <c r="AD461" s="53"/>
    </row>
    <row r="462" spans="1:30" x14ac:dyDescent="0.3">
      <c r="A462" s="53"/>
      <c r="B462" s="53"/>
      <c r="C462" s="53"/>
      <c r="D462" s="53"/>
      <c r="E462" s="53"/>
      <c r="H462" s="54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X462" s="53"/>
      <c r="Y462" s="53"/>
      <c r="Z462" s="53"/>
      <c r="AA462" s="53"/>
      <c r="AB462" s="53"/>
      <c r="AC462" s="53"/>
      <c r="AD462" s="53"/>
    </row>
    <row r="463" spans="1:30" x14ac:dyDescent="0.3">
      <c r="A463" s="53"/>
      <c r="B463" s="53"/>
      <c r="C463" s="53"/>
      <c r="D463" s="53"/>
      <c r="E463" s="53"/>
      <c r="H463" s="54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X463" s="53"/>
      <c r="Y463" s="53"/>
      <c r="Z463" s="53"/>
      <c r="AA463" s="53"/>
      <c r="AB463" s="53"/>
      <c r="AC463" s="53"/>
      <c r="AD463" s="53"/>
    </row>
    <row r="464" spans="1:30" x14ac:dyDescent="0.3">
      <c r="A464" s="53"/>
      <c r="B464" s="53"/>
      <c r="C464" s="53"/>
      <c r="D464" s="53"/>
      <c r="E464" s="53"/>
      <c r="H464" s="54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X464" s="53"/>
      <c r="Y464" s="53"/>
      <c r="Z464" s="53"/>
      <c r="AA464" s="53"/>
      <c r="AB464" s="53"/>
      <c r="AC464" s="53"/>
      <c r="AD464" s="53"/>
    </row>
    <row r="465" spans="1:30" x14ac:dyDescent="0.3">
      <c r="A465" s="53"/>
      <c r="B465" s="53"/>
      <c r="C465" s="53"/>
      <c r="D465" s="53"/>
      <c r="E465" s="53"/>
      <c r="H465" s="54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X465" s="53"/>
      <c r="Y465" s="53"/>
      <c r="Z465" s="53"/>
      <c r="AA465" s="53"/>
      <c r="AB465" s="53"/>
      <c r="AC465" s="53"/>
      <c r="AD465" s="53"/>
    </row>
    <row r="466" spans="1:30" x14ac:dyDescent="0.3">
      <c r="A466" s="53"/>
      <c r="B466" s="53"/>
      <c r="C466" s="53"/>
      <c r="D466" s="53"/>
      <c r="E466" s="53"/>
      <c r="H466" s="54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X466" s="53"/>
      <c r="Y466" s="53"/>
      <c r="Z466" s="53"/>
      <c r="AA466" s="53"/>
      <c r="AB466" s="53"/>
      <c r="AC466" s="53"/>
      <c r="AD466" s="53"/>
    </row>
    <row r="467" spans="1:30" x14ac:dyDescent="0.3">
      <c r="A467" s="53"/>
      <c r="B467" s="53"/>
      <c r="C467" s="53"/>
      <c r="D467" s="53"/>
      <c r="E467" s="53"/>
      <c r="H467" s="54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X467" s="53"/>
      <c r="Y467" s="53"/>
      <c r="Z467" s="53"/>
      <c r="AA467" s="53"/>
      <c r="AB467" s="53"/>
      <c r="AC467" s="53"/>
      <c r="AD467" s="53"/>
    </row>
    <row r="468" spans="1:30" x14ac:dyDescent="0.3">
      <c r="A468" s="53"/>
      <c r="B468" s="53"/>
      <c r="C468" s="53"/>
      <c r="D468" s="53"/>
      <c r="E468" s="53"/>
      <c r="H468" s="54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X468" s="53"/>
      <c r="Y468" s="53"/>
      <c r="Z468" s="53"/>
      <c r="AA468" s="53"/>
      <c r="AB468" s="53"/>
      <c r="AC468" s="53"/>
      <c r="AD468" s="53"/>
    </row>
    <row r="469" spans="1:30" x14ac:dyDescent="0.3">
      <c r="A469" s="53"/>
      <c r="B469" s="53"/>
      <c r="C469" s="53"/>
      <c r="D469" s="53"/>
      <c r="E469" s="53"/>
      <c r="H469" s="54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X469" s="53"/>
      <c r="Y469" s="53"/>
      <c r="Z469" s="53"/>
      <c r="AA469" s="53"/>
      <c r="AB469" s="53"/>
      <c r="AC469" s="53"/>
      <c r="AD469" s="53"/>
    </row>
    <row r="470" spans="1:30" x14ac:dyDescent="0.3">
      <c r="A470" s="53"/>
      <c r="B470" s="53"/>
      <c r="C470" s="53"/>
      <c r="D470" s="53"/>
      <c r="E470" s="53"/>
      <c r="H470" s="54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X470" s="53"/>
      <c r="Y470" s="53"/>
      <c r="Z470" s="53"/>
      <c r="AA470" s="53"/>
      <c r="AB470" s="53"/>
      <c r="AC470" s="53"/>
      <c r="AD470" s="53"/>
    </row>
    <row r="471" spans="1:30" x14ac:dyDescent="0.3">
      <c r="A471" s="53"/>
      <c r="B471" s="53"/>
      <c r="C471" s="53"/>
      <c r="D471" s="53"/>
      <c r="E471" s="53"/>
      <c r="H471" s="54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X471" s="53"/>
      <c r="Y471" s="53"/>
      <c r="Z471" s="53"/>
      <c r="AA471" s="53"/>
      <c r="AB471" s="53"/>
      <c r="AC471" s="53"/>
      <c r="AD471" s="53"/>
    </row>
    <row r="472" spans="1:30" x14ac:dyDescent="0.3">
      <c r="A472" s="53"/>
      <c r="B472" s="53"/>
      <c r="C472" s="53"/>
      <c r="D472" s="53"/>
      <c r="E472" s="53"/>
      <c r="H472" s="54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X472" s="53"/>
      <c r="Y472" s="53"/>
      <c r="Z472" s="53"/>
      <c r="AA472" s="53"/>
      <c r="AB472" s="53"/>
      <c r="AC472" s="53"/>
      <c r="AD472" s="53"/>
    </row>
    <row r="473" spans="1:30" x14ac:dyDescent="0.3">
      <c r="A473" s="53"/>
      <c r="B473" s="53"/>
      <c r="C473" s="53"/>
      <c r="D473" s="53"/>
      <c r="E473" s="53"/>
      <c r="H473" s="54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X473" s="53"/>
      <c r="Y473" s="53"/>
      <c r="Z473" s="53"/>
      <c r="AA473" s="53"/>
      <c r="AB473" s="53"/>
      <c r="AC473" s="53"/>
      <c r="AD473" s="53"/>
    </row>
    <row r="474" spans="1:30" x14ac:dyDescent="0.3">
      <c r="A474" s="53"/>
      <c r="B474" s="53"/>
      <c r="C474" s="53"/>
      <c r="D474" s="53"/>
      <c r="E474" s="53"/>
      <c r="H474" s="54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X474" s="53"/>
      <c r="Y474" s="53"/>
      <c r="Z474" s="53"/>
      <c r="AA474" s="53"/>
      <c r="AB474" s="53"/>
      <c r="AC474" s="53"/>
      <c r="AD474" s="53"/>
    </row>
    <row r="475" spans="1:30" x14ac:dyDescent="0.3">
      <c r="A475" s="53"/>
      <c r="B475" s="53"/>
      <c r="C475" s="53"/>
      <c r="D475" s="53"/>
      <c r="E475" s="53"/>
      <c r="H475" s="54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X475" s="53"/>
      <c r="Y475" s="53"/>
      <c r="Z475" s="53"/>
      <c r="AA475" s="53"/>
      <c r="AB475" s="53"/>
      <c r="AC475" s="53"/>
      <c r="AD475" s="53"/>
    </row>
    <row r="476" spans="1:30" x14ac:dyDescent="0.3">
      <c r="A476" s="53"/>
      <c r="B476" s="53"/>
      <c r="C476" s="53"/>
      <c r="D476" s="53"/>
      <c r="E476" s="53"/>
      <c r="H476" s="54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X476" s="53"/>
      <c r="Y476" s="53"/>
      <c r="Z476" s="53"/>
      <c r="AA476" s="53"/>
      <c r="AB476" s="53"/>
      <c r="AC476" s="53"/>
      <c r="AD476" s="53"/>
    </row>
    <row r="477" spans="1:30" x14ac:dyDescent="0.3">
      <c r="A477" s="53"/>
      <c r="B477" s="53"/>
      <c r="C477" s="53"/>
      <c r="D477" s="53"/>
      <c r="E477" s="53"/>
      <c r="H477" s="54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X477" s="53"/>
      <c r="Y477" s="53"/>
      <c r="Z477" s="53"/>
      <c r="AA477" s="53"/>
      <c r="AB477" s="53"/>
      <c r="AC477" s="53"/>
      <c r="AD477" s="53"/>
    </row>
    <row r="478" spans="1:30" x14ac:dyDescent="0.3">
      <c r="A478" s="53"/>
      <c r="B478" s="53"/>
      <c r="C478" s="53"/>
      <c r="D478" s="53"/>
      <c r="E478" s="53"/>
      <c r="H478" s="54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X478" s="53"/>
      <c r="Y478" s="53"/>
      <c r="Z478" s="53"/>
      <c r="AA478" s="53"/>
      <c r="AB478" s="53"/>
      <c r="AC478" s="53"/>
      <c r="AD478" s="53"/>
    </row>
    <row r="479" spans="1:30" x14ac:dyDescent="0.3">
      <c r="A479" s="53"/>
      <c r="B479" s="53"/>
      <c r="C479" s="53"/>
      <c r="D479" s="53"/>
      <c r="E479" s="53"/>
      <c r="H479" s="54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X479" s="53"/>
      <c r="Y479" s="53"/>
      <c r="Z479" s="53"/>
      <c r="AA479" s="53"/>
      <c r="AB479" s="53"/>
      <c r="AC479" s="53"/>
      <c r="AD479" s="53"/>
    </row>
    <row r="480" spans="1:30" x14ac:dyDescent="0.3">
      <c r="A480" s="53"/>
      <c r="B480" s="53"/>
      <c r="C480" s="53"/>
      <c r="D480" s="53"/>
      <c r="E480" s="53"/>
      <c r="H480" s="54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X480" s="53"/>
      <c r="Y480" s="53"/>
      <c r="Z480" s="53"/>
      <c r="AA480" s="53"/>
      <c r="AB480" s="53"/>
      <c r="AC480" s="53"/>
      <c r="AD480" s="53"/>
    </row>
    <row r="481" spans="1:30" x14ac:dyDescent="0.3">
      <c r="A481" s="53"/>
      <c r="B481" s="53"/>
      <c r="C481" s="53"/>
      <c r="D481" s="53"/>
      <c r="E481" s="53"/>
      <c r="H481" s="54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X481" s="53"/>
      <c r="Y481" s="53"/>
      <c r="Z481" s="53"/>
      <c r="AA481" s="53"/>
      <c r="AB481" s="53"/>
      <c r="AC481" s="53"/>
      <c r="AD481" s="53"/>
    </row>
    <row r="482" spans="1:30" x14ac:dyDescent="0.3">
      <c r="A482" s="53"/>
      <c r="B482" s="53"/>
      <c r="C482" s="53"/>
      <c r="D482" s="53"/>
      <c r="E482" s="53"/>
      <c r="H482" s="54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X482" s="53"/>
      <c r="Y482" s="53"/>
      <c r="Z482" s="53"/>
      <c r="AA482" s="53"/>
      <c r="AB482" s="53"/>
      <c r="AC482" s="53"/>
      <c r="AD482" s="53"/>
    </row>
    <row r="483" spans="1:30" x14ac:dyDescent="0.3">
      <c r="A483" s="53"/>
      <c r="B483" s="53"/>
      <c r="C483" s="53"/>
      <c r="D483" s="53"/>
      <c r="E483" s="53"/>
      <c r="H483" s="54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X483" s="53"/>
      <c r="Y483" s="53"/>
      <c r="Z483" s="53"/>
      <c r="AA483" s="53"/>
      <c r="AB483" s="53"/>
      <c r="AC483" s="53"/>
      <c r="AD483" s="53"/>
    </row>
    <row r="484" spans="1:30" x14ac:dyDescent="0.3">
      <c r="A484" s="53"/>
      <c r="B484" s="53"/>
      <c r="C484" s="53"/>
      <c r="D484" s="53"/>
      <c r="E484" s="53"/>
      <c r="H484" s="54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X484" s="53"/>
      <c r="Y484" s="53"/>
      <c r="Z484" s="53"/>
      <c r="AA484" s="53"/>
      <c r="AB484" s="53"/>
      <c r="AC484" s="53"/>
      <c r="AD484" s="53"/>
    </row>
    <row r="485" spans="1:30" x14ac:dyDescent="0.3">
      <c r="A485" s="53"/>
      <c r="B485" s="53"/>
      <c r="C485" s="53"/>
      <c r="D485" s="53"/>
      <c r="E485" s="53"/>
      <c r="H485" s="54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X485" s="53"/>
      <c r="Y485" s="53"/>
      <c r="Z485" s="53"/>
      <c r="AA485" s="53"/>
      <c r="AB485" s="53"/>
      <c r="AC485" s="53"/>
      <c r="AD485" s="53"/>
    </row>
    <row r="486" spans="1:30" x14ac:dyDescent="0.3">
      <c r="A486" s="53"/>
      <c r="B486" s="53"/>
      <c r="C486" s="53"/>
      <c r="D486" s="53"/>
      <c r="E486" s="53"/>
      <c r="H486" s="54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X486" s="53"/>
      <c r="Y486" s="53"/>
      <c r="Z486" s="53"/>
      <c r="AA486" s="53"/>
      <c r="AB486" s="53"/>
      <c r="AC486" s="53"/>
      <c r="AD486" s="53"/>
    </row>
    <row r="487" spans="1:30" x14ac:dyDescent="0.3">
      <c r="A487" s="53"/>
      <c r="B487" s="53"/>
      <c r="C487" s="53"/>
      <c r="D487" s="53"/>
      <c r="E487" s="53"/>
      <c r="H487" s="54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X487" s="53"/>
      <c r="Y487" s="53"/>
      <c r="Z487" s="53"/>
      <c r="AA487" s="53"/>
      <c r="AB487" s="53"/>
      <c r="AC487" s="53"/>
      <c r="AD487" s="53"/>
    </row>
    <row r="488" spans="1:30" x14ac:dyDescent="0.3">
      <c r="A488" s="53"/>
      <c r="B488" s="53"/>
      <c r="C488" s="53"/>
      <c r="D488" s="53"/>
      <c r="E488" s="53"/>
      <c r="H488" s="54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X488" s="53"/>
      <c r="Y488" s="53"/>
      <c r="Z488" s="53"/>
      <c r="AA488" s="53"/>
      <c r="AB488" s="53"/>
      <c r="AC488" s="53"/>
      <c r="AD488" s="53"/>
    </row>
    <row r="489" spans="1:30" x14ac:dyDescent="0.3">
      <c r="A489" s="53"/>
      <c r="B489" s="53"/>
      <c r="C489" s="53"/>
      <c r="D489" s="53"/>
      <c r="E489" s="53"/>
      <c r="H489" s="54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X489" s="53"/>
      <c r="Y489" s="53"/>
      <c r="Z489" s="53"/>
      <c r="AA489" s="53"/>
      <c r="AB489" s="53"/>
      <c r="AC489" s="53"/>
      <c r="AD489" s="53"/>
    </row>
    <row r="490" spans="1:30" x14ac:dyDescent="0.3">
      <c r="A490" s="53"/>
      <c r="B490" s="53"/>
      <c r="C490" s="53"/>
      <c r="D490" s="53"/>
      <c r="E490" s="53"/>
      <c r="H490" s="54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X490" s="53"/>
      <c r="Y490" s="53"/>
      <c r="Z490" s="53"/>
      <c r="AA490" s="53"/>
      <c r="AB490" s="53"/>
      <c r="AC490" s="53"/>
      <c r="AD490" s="53"/>
    </row>
    <row r="491" spans="1:30" x14ac:dyDescent="0.3">
      <c r="A491" s="53"/>
      <c r="B491" s="53"/>
      <c r="C491" s="53"/>
      <c r="D491" s="53"/>
      <c r="E491" s="53"/>
      <c r="H491" s="54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X491" s="53"/>
      <c r="Y491" s="53"/>
      <c r="Z491" s="53"/>
      <c r="AA491" s="53"/>
      <c r="AB491" s="53"/>
      <c r="AC491" s="53"/>
      <c r="AD491" s="53"/>
    </row>
    <row r="492" spans="1:30" x14ac:dyDescent="0.3">
      <c r="A492" s="53"/>
      <c r="B492" s="53"/>
      <c r="C492" s="53"/>
      <c r="D492" s="53"/>
      <c r="E492" s="53"/>
      <c r="H492" s="54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X492" s="53"/>
      <c r="Y492" s="53"/>
      <c r="Z492" s="53"/>
      <c r="AA492" s="53"/>
      <c r="AB492" s="53"/>
      <c r="AC492" s="53"/>
      <c r="AD492" s="53"/>
    </row>
    <row r="493" spans="1:30" x14ac:dyDescent="0.3">
      <c r="A493" s="53"/>
      <c r="B493" s="53"/>
      <c r="C493" s="53"/>
      <c r="D493" s="53"/>
      <c r="E493" s="53"/>
      <c r="H493" s="54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X493" s="53"/>
      <c r="Y493" s="53"/>
      <c r="Z493" s="53"/>
      <c r="AA493" s="53"/>
      <c r="AB493" s="53"/>
      <c r="AC493" s="53"/>
      <c r="AD493" s="53"/>
    </row>
    <row r="494" spans="1:30" x14ac:dyDescent="0.3">
      <c r="A494" s="53"/>
      <c r="B494" s="53"/>
      <c r="C494" s="53"/>
      <c r="D494" s="53"/>
      <c r="E494" s="53"/>
      <c r="H494" s="54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X494" s="53"/>
      <c r="Y494" s="53"/>
      <c r="Z494" s="53"/>
      <c r="AA494" s="53"/>
      <c r="AB494" s="53"/>
      <c r="AC494" s="53"/>
      <c r="AD494" s="53"/>
    </row>
    <row r="495" spans="1:30" x14ac:dyDescent="0.3">
      <c r="A495" s="53"/>
      <c r="B495" s="53"/>
      <c r="C495" s="53"/>
      <c r="D495" s="53"/>
      <c r="E495" s="53"/>
      <c r="H495" s="54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X495" s="53"/>
      <c r="Y495" s="53"/>
      <c r="Z495" s="53"/>
      <c r="AA495" s="53"/>
      <c r="AB495" s="53"/>
      <c r="AC495" s="53"/>
      <c r="AD495" s="53"/>
    </row>
    <row r="496" spans="1:30" x14ac:dyDescent="0.3">
      <c r="A496" s="53"/>
      <c r="B496" s="53"/>
      <c r="C496" s="53"/>
      <c r="D496" s="53"/>
      <c r="E496" s="53"/>
      <c r="H496" s="54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X496" s="53"/>
      <c r="Y496" s="53"/>
      <c r="Z496" s="53"/>
      <c r="AA496" s="53"/>
      <c r="AB496" s="53"/>
      <c r="AC496" s="53"/>
      <c r="AD496" s="53"/>
    </row>
    <row r="497" spans="1:30" x14ac:dyDescent="0.3">
      <c r="A497" s="53"/>
      <c r="B497" s="53"/>
      <c r="C497" s="53"/>
      <c r="D497" s="53"/>
      <c r="E497" s="53"/>
      <c r="H497" s="54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X497" s="53"/>
      <c r="Y497" s="53"/>
      <c r="Z497" s="53"/>
      <c r="AA497" s="53"/>
      <c r="AB497" s="53"/>
      <c r="AC497" s="53"/>
      <c r="AD497" s="53"/>
    </row>
    <row r="498" spans="1:30" x14ac:dyDescent="0.3">
      <c r="A498" s="53"/>
      <c r="B498" s="53"/>
      <c r="C498" s="53"/>
      <c r="D498" s="53"/>
      <c r="E498" s="53"/>
      <c r="H498" s="54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X498" s="53"/>
      <c r="Y498" s="53"/>
      <c r="Z498" s="53"/>
      <c r="AA498" s="53"/>
      <c r="AB498" s="53"/>
      <c r="AC498" s="53"/>
      <c r="AD498" s="53"/>
    </row>
    <row r="499" spans="1:30" x14ac:dyDescent="0.3">
      <c r="A499" s="53"/>
      <c r="B499" s="53"/>
      <c r="C499" s="53"/>
      <c r="D499" s="53"/>
      <c r="E499" s="53"/>
      <c r="H499" s="54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X499" s="53"/>
      <c r="Y499" s="53"/>
      <c r="Z499" s="53"/>
      <c r="AA499" s="53"/>
      <c r="AB499" s="53"/>
      <c r="AC499" s="53"/>
      <c r="AD499" s="53"/>
    </row>
    <row r="500" spans="1:30" x14ac:dyDescent="0.3">
      <c r="A500" s="53"/>
      <c r="B500" s="53"/>
      <c r="C500" s="53"/>
      <c r="D500" s="53"/>
      <c r="E500" s="53"/>
      <c r="H500" s="54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X500" s="53"/>
      <c r="Y500" s="53"/>
      <c r="Z500" s="53"/>
      <c r="AA500" s="53"/>
      <c r="AB500" s="53"/>
      <c r="AC500" s="53"/>
      <c r="AD500" s="53"/>
    </row>
    <row r="501" spans="1:30" x14ac:dyDescent="0.3">
      <c r="A501" s="53"/>
      <c r="B501" s="53"/>
      <c r="C501" s="53"/>
      <c r="D501" s="53"/>
      <c r="E501" s="53"/>
      <c r="H501" s="54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X501" s="53"/>
      <c r="Y501" s="53"/>
      <c r="Z501" s="53"/>
      <c r="AA501" s="53"/>
      <c r="AB501" s="53"/>
      <c r="AC501" s="53"/>
      <c r="AD501" s="53"/>
    </row>
    <row r="502" spans="1:30" x14ac:dyDescent="0.3">
      <c r="A502" s="53"/>
      <c r="B502" s="53"/>
      <c r="C502" s="53"/>
      <c r="D502" s="53"/>
      <c r="E502" s="53"/>
      <c r="H502" s="54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X502" s="53"/>
      <c r="Y502" s="53"/>
      <c r="Z502" s="53"/>
      <c r="AA502" s="53"/>
      <c r="AB502" s="53"/>
      <c r="AC502" s="53"/>
      <c r="AD502" s="53"/>
    </row>
    <row r="503" spans="1:30" x14ac:dyDescent="0.3">
      <c r="A503" s="53"/>
      <c r="B503" s="53"/>
      <c r="C503" s="53"/>
      <c r="D503" s="53"/>
      <c r="E503" s="53"/>
      <c r="H503" s="54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X503" s="53"/>
      <c r="Y503" s="53"/>
      <c r="Z503" s="53"/>
      <c r="AA503" s="53"/>
      <c r="AB503" s="53"/>
      <c r="AC503" s="53"/>
      <c r="AD503" s="53"/>
    </row>
    <row r="504" spans="1:30" x14ac:dyDescent="0.3">
      <c r="A504" s="53"/>
      <c r="B504" s="53"/>
      <c r="C504" s="53"/>
      <c r="D504" s="53"/>
      <c r="E504" s="53"/>
      <c r="H504" s="54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X504" s="53"/>
      <c r="Y504" s="53"/>
      <c r="Z504" s="53"/>
      <c r="AA504" s="53"/>
      <c r="AB504" s="53"/>
      <c r="AC504" s="53"/>
      <c r="AD504" s="53"/>
    </row>
  </sheetData>
  <phoneticPr fontId="16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55"/>
  <sheetViews>
    <sheetView topLeftCell="A2" zoomScaleNormal="100" workbookViewId="0">
      <pane xSplit="8" ySplit="1" topLeftCell="I7" activePane="bottomRight" state="frozen"/>
      <selection activeCell="A2" sqref="A2"/>
      <selection pane="topRight" activeCell="I2" sqref="I2"/>
      <selection pane="bottomLeft" activeCell="A3" sqref="A3"/>
      <selection pane="bottomRight" activeCell="H23" sqref="H23"/>
    </sheetView>
  </sheetViews>
  <sheetFormatPr defaultColWidth="8.6640625" defaultRowHeight="14.4" x14ac:dyDescent="0.3"/>
  <cols>
    <col min="1" max="4" width="13.44140625" style="7" customWidth="1"/>
    <col min="5" max="5" width="10.88671875" style="7" customWidth="1"/>
    <col min="6" max="7" width="9.109375" style="7"/>
    <col min="8" max="8" width="12.109375" style="7" bestFit="1" customWidth="1"/>
    <col min="9" max="9" width="8.44140625" style="7" customWidth="1"/>
    <col min="10" max="10" width="21.109375" style="7" customWidth="1"/>
    <col min="11" max="12" width="10.5546875" style="7" customWidth="1"/>
    <col min="13" max="13" width="12.5546875" style="7" customWidth="1"/>
    <col min="14" max="14" width="27.33203125" style="7" customWidth="1"/>
    <col min="15" max="15" width="46" style="7" bestFit="1" customWidth="1"/>
    <col min="16" max="16" width="19.88671875" style="7" customWidth="1"/>
    <col min="17" max="16384" width="8.6640625" style="7"/>
  </cols>
  <sheetData>
    <row r="1" spans="1:15" hidden="1" x14ac:dyDescent="0.3"/>
    <row r="2" spans="1:15" ht="27.6" x14ac:dyDescent="0.3">
      <c r="A2" s="70" t="s">
        <v>58</v>
      </c>
      <c r="B2" s="70" t="s">
        <v>52</v>
      </c>
      <c r="C2" s="70" t="s">
        <v>53</v>
      </c>
      <c r="D2" s="70" t="s">
        <v>54</v>
      </c>
      <c r="E2" s="70" t="s">
        <v>57</v>
      </c>
      <c r="F2" s="70" t="s">
        <v>40</v>
      </c>
      <c r="G2" s="68" t="s">
        <v>55</v>
      </c>
      <c r="H2" s="70" t="s">
        <v>41</v>
      </c>
      <c r="I2" s="70" t="s">
        <v>141</v>
      </c>
      <c r="J2" s="70" t="s">
        <v>142</v>
      </c>
      <c r="K2" s="70" t="s">
        <v>180</v>
      </c>
      <c r="L2" s="70" t="s">
        <v>181</v>
      </c>
      <c r="M2" s="70" t="s">
        <v>182</v>
      </c>
      <c r="N2" s="70" t="s">
        <v>150</v>
      </c>
      <c r="O2" s="70" t="s">
        <v>148</v>
      </c>
    </row>
    <row r="3" spans="1:15" x14ac:dyDescent="0.3">
      <c r="A3" s="75">
        <v>1</v>
      </c>
      <c r="B3" s="218">
        <f>YEAR(Table911[[#This Row],[Date]])+IF(MONTH(Table911[[#This Row],[Date]])&gt;=4,1,0)</f>
        <v>2026</v>
      </c>
      <c r="C3" s="75">
        <f>YEAR(Table911[[#This Row],[Date]])</f>
        <v>2025</v>
      </c>
      <c r="D3" s="75" t="s">
        <v>1082</v>
      </c>
      <c r="E3" s="7" t="s">
        <v>1082</v>
      </c>
      <c r="F3" s="7" t="str">
        <f>TEXT(Table911[[#This Row],[Date]],"mmm-yy")</f>
        <v>Apr-25</v>
      </c>
      <c r="G3" s="219">
        <f t="shared" ref="G3:G23" si="0">DAY(EOMONTH(F3,0))</f>
        <v>30</v>
      </c>
      <c r="H3" s="217">
        <v>45748</v>
      </c>
      <c r="I3" s="220"/>
      <c r="J3" s="221"/>
      <c r="K3" s="75"/>
      <c r="L3" s="75"/>
      <c r="M3" s="75"/>
      <c r="N3" s="7">
        <f>IFERROR(SUM(Table911[[#This Row],[Inv1]:[Inv3]]),"")</f>
        <v>0</v>
      </c>
      <c r="O3" s="75"/>
    </row>
    <row r="4" spans="1:15" x14ac:dyDescent="0.3">
      <c r="A4" s="75">
        <f>A3+1</f>
        <v>2</v>
      </c>
      <c r="B4" s="218">
        <f>YEAR(Table911[[#This Row],[Date]])+IF(MONTH(Table911[[#This Row],[Date]])&gt;=4,1,0)</f>
        <v>2026</v>
      </c>
      <c r="C4" s="75">
        <f>YEAR(Table911[[#This Row],[Date]])</f>
        <v>2025</v>
      </c>
      <c r="D4" s="75" t="s">
        <v>1082</v>
      </c>
      <c r="E4" s="7" t="s">
        <v>1082</v>
      </c>
      <c r="F4" s="7" t="str">
        <f>TEXT(Table911[[#This Row],[Date]],"mmm-yy")</f>
        <v>Apr-25</v>
      </c>
      <c r="G4" s="219">
        <f t="shared" si="0"/>
        <v>30</v>
      </c>
      <c r="H4" s="217">
        <f t="shared" ref="H4:H13" si="1">H3+1</f>
        <v>45749</v>
      </c>
      <c r="I4" s="220"/>
      <c r="J4" s="221"/>
      <c r="K4" s="75"/>
      <c r="L4" s="75"/>
      <c r="M4" s="75"/>
      <c r="N4" s="7">
        <f>IFERROR(SUM(Table911[[#This Row],[Inv1]:[Inv3]]),"")</f>
        <v>0</v>
      </c>
      <c r="O4" s="75"/>
    </row>
    <row r="5" spans="1:15" x14ac:dyDescent="0.3">
      <c r="A5" s="75">
        <f t="shared" ref="A5:A23" si="2">A4+1</f>
        <v>3</v>
      </c>
      <c r="B5" s="218">
        <f>YEAR(Table911[[#This Row],[Date]])+IF(MONTH(Table911[[#This Row],[Date]])&gt;=4,1,0)</f>
        <v>2026</v>
      </c>
      <c r="C5" s="75">
        <f>YEAR(Table911[[#This Row],[Date]])</f>
        <v>2025</v>
      </c>
      <c r="D5" s="75" t="s">
        <v>1082</v>
      </c>
      <c r="E5" s="7" t="s">
        <v>1082</v>
      </c>
      <c r="F5" s="7" t="str">
        <f>TEXT(Table911[[#This Row],[Date]],"mmm-yy")</f>
        <v>Apr-25</v>
      </c>
      <c r="G5" s="219">
        <f t="shared" si="0"/>
        <v>30</v>
      </c>
      <c r="H5" s="217">
        <f t="shared" si="1"/>
        <v>45750</v>
      </c>
      <c r="I5" s="220"/>
      <c r="J5" s="221"/>
      <c r="K5" s="75"/>
      <c r="L5" s="75"/>
      <c r="M5" s="75"/>
      <c r="N5" s="7">
        <f>IFERROR(SUM(Table911[[#This Row],[Inv1]:[Inv3]]),"")</f>
        <v>0</v>
      </c>
      <c r="O5" s="75"/>
    </row>
    <row r="6" spans="1:15" x14ac:dyDescent="0.3">
      <c r="A6" s="75">
        <f t="shared" si="2"/>
        <v>4</v>
      </c>
      <c r="B6" s="218">
        <f>YEAR(Table911[[#This Row],[Date]])+IF(MONTH(Table911[[#This Row],[Date]])&gt;=4,1,0)</f>
        <v>2026</v>
      </c>
      <c r="C6" s="75">
        <f>YEAR(Table911[[#This Row],[Date]])</f>
        <v>2025</v>
      </c>
      <c r="D6" s="75" t="s">
        <v>1082</v>
      </c>
      <c r="E6" s="7" t="s">
        <v>1082</v>
      </c>
      <c r="F6" s="7" t="str">
        <f>TEXT(Table911[[#This Row],[Date]],"mmm-yy")</f>
        <v>Apr-25</v>
      </c>
      <c r="G6" s="219">
        <f t="shared" si="0"/>
        <v>30</v>
      </c>
      <c r="H6" s="217">
        <f t="shared" si="1"/>
        <v>45751</v>
      </c>
      <c r="I6" s="220"/>
      <c r="J6" s="221"/>
      <c r="K6" s="75"/>
      <c r="L6" s="75"/>
      <c r="M6" s="75"/>
      <c r="N6" s="7">
        <f>IFERROR(SUM(Table911[[#This Row],[Inv1]:[Inv3]]),"")</f>
        <v>0</v>
      </c>
      <c r="O6" s="75"/>
    </row>
    <row r="7" spans="1:15" x14ac:dyDescent="0.3">
      <c r="A7" s="75">
        <f t="shared" si="2"/>
        <v>5</v>
      </c>
      <c r="B7" s="218">
        <f>YEAR(Table911[[#This Row],[Date]])+IF(MONTH(Table911[[#This Row],[Date]])&gt;=4,1,0)</f>
        <v>2026</v>
      </c>
      <c r="C7" s="75">
        <f>YEAR(Table911[[#This Row],[Date]])</f>
        <v>2025</v>
      </c>
      <c r="D7" s="75" t="s">
        <v>1082</v>
      </c>
      <c r="E7" s="7" t="s">
        <v>1082</v>
      </c>
      <c r="F7" s="7" t="str">
        <f>TEXT(Table911[[#This Row],[Date]],"mmm-yy")</f>
        <v>Apr-25</v>
      </c>
      <c r="G7" s="219">
        <f t="shared" si="0"/>
        <v>30</v>
      </c>
      <c r="H7" s="217">
        <f t="shared" si="1"/>
        <v>45752</v>
      </c>
      <c r="I7" s="75"/>
      <c r="J7" s="75"/>
      <c r="K7" s="75"/>
      <c r="L7" s="75"/>
      <c r="M7" s="75"/>
      <c r="N7" s="7">
        <f>IFERROR(SUM(Table911[[#This Row],[Inv1]:[Inv3]]),"")</f>
        <v>0</v>
      </c>
      <c r="O7" s="75"/>
    </row>
    <row r="8" spans="1:15" x14ac:dyDescent="0.3">
      <c r="A8" s="75">
        <f t="shared" si="2"/>
        <v>6</v>
      </c>
      <c r="B8" s="218">
        <f>YEAR(Table911[[#This Row],[Date]])+IF(MONTH(Table911[[#This Row],[Date]])&gt;=4,1,0)</f>
        <v>2026</v>
      </c>
      <c r="C8" s="75">
        <f>YEAR(Table911[[#This Row],[Date]])</f>
        <v>2025</v>
      </c>
      <c r="D8" s="75" t="s">
        <v>1082</v>
      </c>
      <c r="E8" s="7" t="s">
        <v>1082</v>
      </c>
      <c r="F8" s="7" t="str">
        <f>TEXT(Table911[[#This Row],[Date]],"mmm-yy")</f>
        <v>Apr-25</v>
      </c>
      <c r="G8" s="219">
        <f t="shared" si="0"/>
        <v>30</v>
      </c>
      <c r="H8" s="217">
        <f t="shared" si="1"/>
        <v>45753</v>
      </c>
      <c r="I8" s="220"/>
      <c r="J8" s="221"/>
      <c r="K8" s="75"/>
      <c r="L8" s="75"/>
      <c r="M8" s="75"/>
      <c r="N8" s="7">
        <f>IFERROR(SUM(Table911[[#This Row],[Inv1]:[Inv3]]),"")</f>
        <v>0</v>
      </c>
      <c r="O8" s="75"/>
    </row>
    <row r="9" spans="1:15" x14ac:dyDescent="0.3">
      <c r="A9" s="75">
        <f t="shared" si="2"/>
        <v>7</v>
      </c>
      <c r="B9" s="218">
        <f>YEAR(Table911[[#This Row],[Date]])+IF(MONTH(Table911[[#This Row],[Date]])&gt;=4,1,0)</f>
        <v>2026</v>
      </c>
      <c r="C9" s="75">
        <f>YEAR(Table911[[#This Row],[Date]])</f>
        <v>2025</v>
      </c>
      <c r="D9" s="75" t="s">
        <v>1082</v>
      </c>
      <c r="E9" s="7" t="s">
        <v>1082</v>
      </c>
      <c r="F9" s="7" t="str">
        <f>TEXT(Table911[[#This Row],[Date]],"mmm-yy")</f>
        <v>Apr-25</v>
      </c>
      <c r="G9" s="219">
        <f t="shared" si="0"/>
        <v>30</v>
      </c>
      <c r="H9" s="217">
        <f t="shared" si="1"/>
        <v>45754</v>
      </c>
      <c r="I9" s="220"/>
      <c r="J9" s="221"/>
      <c r="K9" s="75"/>
      <c r="L9" s="75"/>
      <c r="M9" s="75"/>
      <c r="N9" s="7">
        <f>IFERROR(SUM(Table911[[#This Row],[Inv1]:[Inv3]]),"")</f>
        <v>0</v>
      </c>
      <c r="O9" s="75"/>
    </row>
    <row r="10" spans="1:15" x14ac:dyDescent="0.3">
      <c r="A10" s="75">
        <f t="shared" si="2"/>
        <v>8</v>
      </c>
      <c r="B10" s="218">
        <f>YEAR(Table911[[#This Row],[Date]])+IF(MONTH(Table911[[#This Row],[Date]])&gt;=4,1,0)</f>
        <v>2026</v>
      </c>
      <c r="C10" s="75">
        <f>YEAR(Table911[[#This Row],[Date]])</f>
        <v>2025</v>
      </c>
      <c r="D10" s="75" t="s">
        <v>1082</v>
      </c>
      <c r="E10" s="7" t="s">
        <v>1082</v>
      </c>
      <c r="F10" s="7" t="str">
        <f>TEXT(Table911[[#This Row],[Date]],"mmm-yy")</f>
        <v>Apr-25</v>
      </c>
      <c r="G10" s="219">
        <f t="shared" si="0"/>
        <v>30</v>
      </c>
      <c r="H10" s="217">
        <f t="shared" si="1"/>
        <v>45755</v>
      </c>
      <c r="I10" s="220"/>
      <c r="J10" s="221"/>
      <c r="K10" s="75"/>
      <c r="L10" s="75"/>
      <c r="M10" s="75"/>
      <c r="N10" s="7">
        <f>IFERROR(SUM(Table911[[#This Row],[Inv1]:[Inv3]]),"")</f>
        <v>0</v>
      </c>
      <c r="O10" s="75"/>
    </row>
    <row r="11" spans="1:15" x14ac:dyDescent="0.3">
      <c r="A11" s="75">
        <f t="shared" si="2"/>
        <v>9</v>
      </c>
      <c r="B11" s="218">
        <f>YEAR(Table911[[#This Row],[Date]])+IF(MONTH(Table911[[#This Row],[Date]])&gt;=4,1,0)</f>
        <v>2026</v>
      </c>
      <c r="C11" s="75">
        <f>YEAR(Table911[[#This Row],[Date]])</f>
        <v>2025</v>
      </c>
      <c r="D11" s="75" t="s">
        <v>1082</v>
      </c>
      <c r="E11" s="7" t="s">
        <v>1082</v>
      </c>
      <c r="F11" s="7" t="str">
        <f>TEXT(Table911[[#This Row],[Date]],"mmm-yy")</f>
        <v>Apr-25</v>
      </c>
      <c r="G11" s="219">
        <f t="shared" si="0"/>
        <v>30</v>
      </c>
      <c r="H11" s="217">
        <f t="shared" si="1"/>
        <v>45756</v>
      </c>
      <c r="I11" s="220"/>
      <c r="J11" s="221"/>
      <c r="K11" s="75"/>
      <c r="L11" s="75"/>
      <c r="M11" s="75"/>
      <c r="N11" s="7">
        <f>IFERROR(SUM(Table911[[#This Row],[Inv1]:[Inv3]]),"")</f>
        <v>0</v>
      </c>
      <c r="O11" s="75"/>
    </row>
    <row r="12" spans="1:15" x14ac:dyDescent="0.3">
      <c r="A12" s="75">
        <f t="shared" si="2"/>
        <v>10</v>
      </c>
      <c r="B12" s="218">
        <f>YEAR(Table911[[#This Row],[Date]])+IF(MONTH(Table911[[#This Row],[Date]])&gt;=4,1,0)</f>
        <v>2026</v>
      </c>
      <c r="C12" s="75">
        <f>YEAR(Table911[[#This Row],[Date]])</f>
        <v>2025</v>
      </c>
      <c r="D12" s="75" t="s">
        <v>1082</v>
      </c>
      <c r="E12" s="7" t="s">
        <v>1082</v>
      </c>
      <c r="F12" s="7" t="str">
        <f>TEXT(Table911[[#This Row],[Date]],"mmm-yy")</f>
        <v>Apr-25</v>
      </c>
      <c r="G12" s="219">
        <f t="shared" si="0"/>
        <v>30</v>
      </c>
      <c r="H12" s="217">
        <f t="shared" si="1"/>
        <v>45757</v>
      </c>
      <c r="I12" s="75"/>
      <c r="J12" s="75"/>
      <c r="K12" s="75"/>
      <c r="L12" s="75"/>
      <c r="M12" s="75"/>
      <c r="N12" s="7">
        <f>IFERROR(SUM(Table911[[#This Row],[Inv1]:[Inv3]]),"")</f>
        <v>0</v>
      </c>
      <c r="O12" s="75"/>
    </row>
    <row r="13" spans="1:15" x14ac:dyDescent="0.3">
      <c r="A13" s="75">
        <f t="shared" si="2"/>
        <v>11</v>
      </c>
      <c r="B13" s="218">
        <f>YEAR(Table911[[#This Row],[Date]])+IF(MONTH(Table911[[#This Row],[Date]])&gt;=4,1,0)</f>
        <v>2026</v>
      </c>
      <c r="C13" s="75">
        <f>YEAR(Table911[[#This Row],[Date]])</f>
        <v>2025</v>
      </c>
      <c r="D13" s="75" t="s">
        <v>1082</v>
      </c>
      <c r="E13" s="7" t="s">
        <v>1082</v>
      </c>
      <c r="F13" s="7" t="str">
        <f>TEXT(Table911[[#This Row],[Date]],"mmm-yy")</f>
        <v>Apr-25</v>
      </c>
      <c r="G13" s="219">
        <f t="shared" si="0"/>
        <v>30</v>
      </c>
      <c r="H13" s="217">
        <f t="shared" si="1"/>
        <v>45758</v>
      </c>
      <c r="I13" s="220"/>
      <c r="J13" s="221"/>
      <c r="K13" s="75"/>
      <c r="L13" s="75"/>
      <c r="M13" s="75"/>
      <c r="N13" s="7">
        <f>IFERROR(SUM(Table911[[#This Row],[Inv1]:[Inv3]]),"")</f>
        <v>0</v>
      </c>
      <c r="O13" s="75"/>
    </row>
    <row r="14" spans="1:15" x14ac:dyDescent="0.3">
      <c r="A14" s="75">
        <f t="shared" si="2"/>
        <v>12</v>
      </c>
      <c r="B14" s="218">
        <f>YEAR(Table911[[#This Row],[Date]])+IF(MONTH(Table911[[#This Row],[Date]])&gt;=4,1,0)</f>
        <v>2026</v>
      </c>
      <c r="C14" s="75">
        <f>YEAR(Table911[[#This Row],[Date]])</f>
        <v>2025</v>
      </c>
      <c r="D14" s="75" t="s">
        <v>1082</v>
      </c>
      <c r="E14" s="7" t="s">
        <v>1082</v>
      </c>
      <c r="F14" s="7" t="str">
        <f>TEXT(Table911[[#This Row],[Date]],"mmm-yy")</f>
        <v>Apr-25</v>
      </c>
      <c r="G14" s="219">
        <f t="shared" si="0"/>
        <v>30</v>
      </c>
      <c r="H14" s="217">
        <f t="shared" ref="H14:H23" si="3">H13+1</f>
        <v>45759</v>
      </c>
      <c r="I14" s="75"/>
      <c r="J14" s="75"/>
      <c r="K14" s="75"/>
      <c r="L14" s="75"/>
      <c r="M14" s="75"/>
      <c r="N14" s="7">
        <f>IFERROR(SUM(Table911[[#This Row],[Inv1]:[Inv3]]),"")</f>
        <v>0</v>
      </c>
      <c r="O14" s="75"/>
    </row>
    <row r="15" spans="1:15" x14ac:dyDescent="0.3">
      <c r="A15" s="75">
        <f t="shared" si="2"/>
        <v>13</v>
      </c>
      <c r="B15" s="218">
        <f>YEAR(Table911[[#This Row],[Date]])+IF(MONTH(Table911[[#This Row],[Date]])&gt;=4,1,0)</f>
        <v>2026</v>
      </c>
      <c r="C15" s="75">
        <f>YEAR(Table911[[#This Row],[Date]])</f>
        <v>2025</v>
      </c>
      <c r="D15" s="75" t="s">
        <v>1082</v>
      </c>
      <c r="E15" s="7" t="s">
        <v>1082</v>
      </c>
      <c r="F15" s="7" t="str">
        <f>TEXT(Table911[[#This Row],[Date]],"mmm-yy")</f>
        <v>Apr-25</v>
      </c>
      <c r="G15" s="219">
        <f t="shared" si="0"/>
        <v>30</v>
      </c>
      <c r="H15" s="217">
        <f t="shared" si="3"/>
        <v>45760</v>
      </c>
      <c r="I15" s="75"/>
      <c r="J15" s="75"/>
      <c r="K15" s="75"/>
      <c r="L15" s="75"/>
      <c r="M15" s="75"/>
      <c r="N15" s="7">
        <f>IFERROR(SUM(Table911[[#This Row],[Inv1]:[Inv3]]),"")</f>
        <v>0</v>
      </c>
      <c r="O15" s="75"/>
    </row>
    <row r="16" spans="1:15" x14ac:dyDescent="0.3">
      <c r="A16" s="75">
        <f t="shared" si="2"/>
        <v>14</v>
      </c>
      <c r="B16" s="218">
        <f>YEAR(Table911[[#This Row],[Date]])+IF(MONTH(Table911[[#This Row],[Date]])&gt;=4,1,0)</f>
        <v>2026</v>
      </c>
      <c r="C16" s="75">
        <f>YEAR(Table911[[#This Row],[Date]])</f>
        <v>2025</v>
      </c>
      <c r="D16" s="75" t="s">
        <v>1082</v>
      </c>
      <c r="E16" s="7" t="s">
        <v>1082</v>
      </c>
      <c r="F16" s="7" t="str">
        <f>TEXT(Table911[[#This Row],[Date]],"mmm-yy")</f>
        <v>Apr-25</v>
      </c>
      <c r="G16" s="219">
        <f t="shared" si="0"/>
        <v>30</v>
      </c>
      <c r="H16" s="217">
        <f t="shared" si="3"/>
        <v>45761</v>
      </c>
      <c r="I16" s="75"/>
      <c r="J16" s="75"/>
      <c r="K16" s="75"/>
      <c r="L16" s="75"/>
      <c r="M16" s="75"/>
      <c r="N16" s="7">
        <f>IFERROR(SUM(Table911[[#This Row],[Inv1]:[Inv3]]),"")</f>
        <v>0</v>
      </c>
      <c r="O16" s="75"/>
    </row>
    <row r="17" spans="1:15" x14ac:dyDescent="0.3">
      <c r="A17" s="75">
        <f t="shared" si="2"/>
        <v>15</v>
      </c>
      <c r="B17" s="218">
        <f>YEAR(Table911[[#This Row],[Date]])+IF(MONTH(Table911[[#This Row],[Date]])&gt;=4,1,0)</f>
        <v>2026</v>
      </c>
      <c r="C17" s="75">
        <f>YEAR(Table911[[#This Row],[Date]])</f>
        <v>2025</v>
      </c>
      <c r="D17" s="75" t="s">
        <v>1082</v>
      </c>
      <c r="E17" s="7" t="s">
        <v>1082</v>
      </c>
      <c r="F17" s="7" t="str">
        <f>TEXT(Table911[[#This Row],[Date]],"mmm-yy")</f>
        <v>Apr-25</v>
      </c>
      <c r="G17" s="219">
        <f t="shared" si="0"/>
        <v>30</v>
      </c>
      <c r="H17" s="217">
        <f t="shared" si="3"/>
        <v>45762</v>
      </c>
      <c r="I17" s="75"/>
      <c r="J17" s="75"/>
      <c r="K17" s="75"/>
      <c r="L17" s="75"/>
      <c r="M17" s="75"/>
      <c r="N17" s="7">
        <f>IFERROR(SUM(Table911[[#This Row],[Inv1]:[Inv3]]),"")</f>
        <v>0</v>
      </c>
      <c r="O17" s="75"/>
    </row>
    <row r="18" spans="1:15" x14ac:dyDescent="0.3">
      <c r="A18" s="75">
        <f t="shared" si="2"/>
        <v>16</v>
      </c>
      <c r="B18" s="218">
        <f>YEAR(Table911[[#This Row],[Date]])+IF(MONTH(Table911[[#This Row],[Date]])&gt;=4,1,0)</f>
        <v>2026</v>
      </c>
      <c r="C18" s="75">
        <f>YEAR(Table911[[#This Row],[Date]])</f>
        <v>2025</v>
      </c>
      <c r="D18" s="75" t="s">
        <v>1082</v>
      </c>
      <c r="E18" s="7" t="s">
        <v>1082</v>
      </c>
      <c r="F18" s="7" t="str">
        <f>TEXT(Table911[[#This Row],[Date]],"mmm-yy")</f>
        <v>Apr-25</v>
      </c>
      <c r="G18" s="219">
        <f t="shared" si="0"/>
        <v>30</v>
      </c>
      <c r="H18" s="217">
        <f t="shared" si="3"/>
        <v>45763</v>
      </c>
      <c r="I18" s="75"/>
      <c r="J18" s="75"/>
      <c r="K18" s="75"/>
      <c r="L18" s="75"/>
      <c r="M18" s="75"/>
      <c r="N18" s="7">
        <f>IFERROR(SUM(Table911[[#This Row],[Inv1]:[Inv3]]),"")</f>
        <v>0</v>
      </c>
      <c r="O18" s="75"/>
    </row>
    <row r="19" spans="1:15" x14ac:dyDescent="0.3">
      <c r="A19" s="75">
        <f t="shared" si="2"/>
        <v>17</v>
      </c>
      <c r="B19" s="218">
        <f>YEAR(Table911[[#This Row],[Date]])+IF(MONTH(Table911[[#This Row],[Date]])&gt;=4,1,0)</f>
        <v>2026</v>
      </c>
      <c r="C19" s="75">
        <f>YEAR(Table911[[#This Row],[Date]])</f>
        <v>2025</v>
      </c>
      <c r="D19" s="75" t="s">
        <v>1082</v>
      </c>
      <c r="E19" s="7" t="s">
        <v>1082</v>
      </c>
      <c r="F19" s="7" t="str">
        <f>TEXT(Table911[[#This Row],[Date]],"mmm-yy")</f>
        <v>Apr-25</v>
      </c>
      <c r="G19" s="219">
        <f t="shared" si="0"/>
        <v>30</v>
      </c>
      <c r="H19" s="217">
        <f t="shared" si="3"/>
        <v>45764</v>
      </c>
      <c r="I19" s="75"/>
      <c r="J19" s="75"/>
      <c r="K19" s="75"/>
      <c r="L19" s="75"/>
      <c r="M19" s="75"/>
      <c r="N19" s="7">
        <f>IFERROR(SUM(Table911[[#This Row],[Inv1]:[Inv3]]),"")</f>
        <v>0</v>
      </c>
      <c r="O19" s="75"/>
    </row>
    <row r="20" spans="1:15" x14ac:dyDescent="0.3">
      <c r="A20" s="75">
        <f t="shared" si="2"/>
        <v>18</v>
      </c>
      <c r="B20" s="218">
        <f>YEAR(Table911[[#This Row],[Date]])+IF(MONTH(Table911[[#This Row],[Date]])&gt;=4,1,0)</f>
        <v>2026</v>
      </c>
      <c r="C20" s="75">
        <f>YEAR(Table911[[#This Row],[Date]])</f>
        <v>2025</v>
      </c>
      <c r="D20" s="75" t="s">
        <v>1082</v>
      </c>
      <c r="E20" s="7" t="s">
        <v>1082</v>
      </c>
      <c r="F20" s="7" t="str">
        <f>TEXT(Table911[[#This Row],[Date]],"mmm-yy")</f>
        <v>Apr-25</v>
      </c>
      <c r="G20" s="219">
        <f t="shared" si="0"/>
        <v>30</v>
      </c>
      <c r="H20" s="217">
        <f t="shared" si="3"/>
        <v>45765</v>
      </c>
      <c r="I20" s="75"/>
      <c r="J20" s="75"/>
      <c r="K20" s="75"/>
      <c r="L20" s="75"/>
      <c r="M20" s="75"/>
      <c r="N20" s="7">
        <f>IFERROR(SUM(Table911[[#This Row],[Inv1]:[Inv3]]),"")</f>
        <v>0</v>
      </c>
      <c r="O20" s="75"/>
    </row>
    <row r="21" spans="1:15" x14ac:dyDescent="0.3">
      <c r="A21" s="75">
        <f t="shared" si="2"/>
        <v>19</v>
      </c>
      <c r="B21" s="218">
        <f>YEAR(Table911[[#This Row],[Date]])+IF(MONTH(Table911[[#This Row],[Date]])&gt;=4,1,0)</f>
        <v>2026</v>
      </c>
      <c r="C21" s="75">
        <f>YEAR(Table911[[#This Row],[Date]])</f>
        <v>2025</v>
      </c>
      <c r="D21" s="75" t="s">
        <v>1082</v>
      </c>
      <c r="E21" s="7" t="s">
        <v>1082</v>
      </c>
      <c r="F21" s="7" t="str">
        <f>TEXT(Table911[[#This Row],[Date]],"mmm-yy")</f>
        <v>Apr-25</v>
      </c>
      <c r="G21" s="219">
        <f t="shared" si="0"/>
        <v>30</v>
      </c>
      <c r="H21" s="217">
        <f t="shared" si="3"/>
        <v>45766</v>
      </c>
      <c r="I21" s="75"/>
      <c r="J21" s="75"/>
      <c r="K21" s="75"/>
      <c r="L21" s="75"/>
      <c r="M21" s="75"/>
      <c r="N21" s="7">
        <f>IFERROR(SUM(Table911[[#This Row],[Inv1]:[Inv3]]),"")</f>
        <v>0</v>
      </c>
      <c r="O21" s="75"/>
    </row>
    <row r="22" spans="1:15" x14ac:dyDescent="0.3">
      <c r="A22" s="75">
        <f t="shared" si="2"/>
        <v>20</v>
      </c>
      <c r="B22" s="218">
        <f>YEAR(Table911[[#This Row],[Date]])+IF(MONTH(Table911[[#This Row],[Date]])&gt;=4,1,0)</f>
        <v>2026</v>
      </c>
      <c r="C22" s="75">
        <f>YEAR(Table911[[#This Row],[Date]])</f>
        <v>2025</v>
      </c>
      <c r="D22" s="75" t="s">
        <v>1082</v>
      </c>
      <c r="E22" s="7" t="s">
        <v>1082</v>
      </c>
      <c r="F22" s="7" t="str">
        <f>TEXT(Table911[[#This Row],[Date]],"mmm-yy")</f>
        <v>Apr-25</v>
      </c>
      <c r="G22" s="219">
        <f t="shared" si="0"/>
        <v>30</v>
      </c>
      <c r="H22" s="217">
        <f t="shared" si="3"/>
        <v>45767</v>
      </c>
      <c r="I22" s="75"/>
      <c r="J22" s="75"/>
      <c r="K22" s="75"/>
      <c r="L22" s="75"/>
      <c r="M22" s="75"/>
      <c r="N22" s="7">
        <f>IFERROR(SUM(Table911[[#This Row],[Inv1]:[Inv3]]),"")</f>
        <v>0</v>
      </c>
      <c r="O22" s="75"/>
    </row>
    <row r="23" spans="1:15" x14ac:dyDescent="0.3">
      <c r="A23" s="75">
        <f t="shared" si="2"/>
        <v>21</v>
      </c>
      <c r="B23" s="218">
        <f>YEAR(Table911[[#This Row],[Date]])+IF(MONTH(Table911[[#This Row],[Date]])&gt;=4,1,0)</f>
        <v>2026</v>
      </c>
      <c r="C23" s="75">
        <f>YEAR(Table911[[#This Row],[Date]])</f>
        <v>2025</v>
      </c>
      <c r="D23" s="75" t="s">
        <v>1082</v>
      </c>
      <c r="E23" s="7" t="s">
        <v>1082</v>
      </c>
      <c r="F23" s="7" t="str">
        <f>TEXT(Table911[[#This Row],[Date]],"mmm-yy")</f>
        <v>Apr-25</v>
      </c>
      <c r="G23" s="219">
        <f t="shared" si="0"/>
        <v>30</v>
      </c>
      <c r="H23" s="217">
        <f t="shared" si="3"/>
        <v>45768</v>
      </c>
      <c r="I23" s="75"/>
      <c r="J23" s="75"/>
      <c r="K23" s="75"/>
      <c r="L23" s="75"/>
      <c r="M23" s="75"/>
      <c r="N23" s="7">
        <f>IFERROR(SUM(Table911[[#This Row],[Inv1]:[Inv3]]),"")</f>
        <v>0</v>
      </c>
      <c r="O23" s="75"/>
    </row>
    <row r="24" spans="1:15" x14ac:dyDescent="0.3">
      <c r="A24" s="75"/>
      <c r="B24" s="75"/>
      <c r="C24" s="75"/>
      <c r="D24" s="75"/>
      <c r="H24" s="75"/>
      <c r="I24" s="75"/>
      <c r="J24" s="75"/>
      <c r="K24" s="75"/>
      <c r="L24" s="75"/>
      <c r="O24" s="75"/>
    </row>
    <row r="25" spans="1:15" x14ac:dyDescent="0.3">
      <c r="A25" s="75"/>
      <c r="B25" s="75"/>
      <c r="C25" s="75"/>
      <c r="D25" s="75"/>
      <c r="H25" s="75"/>
      <c r="I25" s="75"/>
      <c r="J25" s="75"/>
      <c r="K25" s="75"/>
      <c r="L25" s="75"/>
      <c r="O25" s="75"/>
    </row>
    <row r="26" spans="1:15" x14ac:dyDescent="0.3">
      <c r="A26" s="75"/>
      <c r="B26" s="75"/>
      <c r="C26" s="75"/>
      <c r="D26" s="75"/>
      <c r="H26" s="75"/>
      <c r="I26" s="75"/>
      <c r="J26" s="75"/>
      <c r="K26" s="75"/>
      <c r="L26" s="75"/>
      <c r="O26" s="75"/>
    </row>
    <row r="27" spans="1:15" x14ac:dyDescent="0.3">
      <c r="A27" s="75"/>
      <c r="B27" s="75"/>
      <c r="C27" s="75"/>
      <c r="D27" s="75"/>
      <c r="H27" s="75"/>
      <c r="I27" s="75"/>
      <c r="J27" s="75"/>
      <c r="K27" s="75"/>
      <c r="L27" s="75"/>
      <c r="O27" s="75"/>
    </row>
    <row r="28" spans="1:15" x14ac:dyDescent="0.3">
      <c r="A28" s="75"/>
      <c r="B28" s="75"/>
      <c r="C28" s="75"/>
      <c r="D28" s="75"/>
      <c r="H28" s="75"/>
      <c r="I28" s="75"/>
      <c r="J28" s="75"/>
      <c r="K28" s="75"/>
      <c r="L28" s="75"/>
      <c r="O28" s="75"/>
    </row>
    <row r="29" spans="1:15" x14ac:dyDescent="0.3">
      <c r="A29" s="75"/>
      <c r="B29" s="75"/>
      <c r="C29" s="75"/>
      <c r="D29" s="75"/>
      <c r="H29" s="75"/>
      <c r="I29" s="75"/>
      <c r="J29" s="75"/>
      <c r="K29" s="75"/>
      <c r="L29" s="75"/>
      <c r="O29" s="75"/>
    </row>
    <row r="30" spans="1:15" x14ac:dyDescent="0.3">
      <c r="A30" s="75"/>
      <c r="B30" s="75"/>
      <c r="C30" s="75"/>
      <c r="D30" s="75"/>
      <c r="H30" s="75"/>
      <c r="I30" s="75"/>
      <c r="J30" s="75"/>
      <c r="K30" s="75"/>
      <c r="L30" s="75"/>
      <c r="O30" s="75"/>
    </row>
    <row r="31" spans="1:15" x14ac:dyDescent="0.3">
      <c r="A31" s="75"/>
      <c r="B31" s="75"/>
      <c r="C31" s="75"/>
      <c r="D31" s="75"/>
      <c r="H31" s="75"/>
      <c r="I31" s="75"/>
      <c r="J31" s="75"/>
      <c r="K31" s="75"/>
      <c r="L31" s="75"/>
      <c r="O31" s="75"/>
    </row>
    <row r="32" spans="1:15" x14ac:dyDescent="0.3">
      <c r="A32" s="75"/>
      <c r="B32" s="75"/>
      <c r="C32" s="75"/>
      <c r="D32" s="75"/>
      <c r="H32" s="75"/>
      <c r="I32" s="75"/>
      <c r="J32" s="75"/>
      <c r="K32" s="75"/>
      <c r="L32" s="75"/>
      <c r="O32" s="75"/>
    </row>
    <row r="33" spans="1:15" x14ac:dyDescent="0.3">
      <c r="A33" s="75"/>
      <c r="B33" s="75"/>
      <c r="C33" s="75"/>
      <c r="D33" s="75"/>
      <c r="H33" s="75"/>
      <c r="I33" s="75"/>
      <c r="J33" s="75"/>
      <c r="K33" s="75"/>
      <c r="L33" s="75"/>
      <c r="O33" s="75"/>
    </row>
    <row r="34" spans="1:15" x14ac:dyDescent="0.3">
      <c r="A34" s="75"/>
      <c r="B34" s="75"/>
      <c r="C34" s="75"/>
      <c r="D34" s="75"/>
      <c r="H34" s="75"/>
      <c r="I34" s="75"/>
      <c r="J34" s="75"/>
      <c r="K34" s="75"/>
      <c r="L34" s="75"/>
      <c r="O34" s="75"/>
    </row>
    <row r="35" spans="1:15" x14ac:dyDescent="0.3">
      <c r="A35" s="75"/>
      <c r="B35" s="75"/>
      <c r="C35" s="75"/>
      <c r="D35" s="75"/>
      <c r="H35" s="75"/>
      <c r="I35" s="75"/>
      <c r="J35" s="75"/>
      <c r="K35" s="75"/>
      <c r="L35" s="75"/>
      <c r="O35" s="75"/>
    </row>
    <row r="36" spans="1:15" x14ac:dyDescent="0.3">
      <c r="A36" s="75"/>
      <c r="B36" s="75"/>
      <c r="C36" s="75"/>
      <c r="D36" s="75"/>
      <c r="H36" s="75"/>
      <c r="I36" s="75"/>
      <c r="J36" s="75"/>
      <c r="K36" s="75"/>
      <c r="L36" s="75"/>
      <c r="O36" s="75"/>
    </row>
    <row r="37" spans="1:15" x14ac:dyDescent="0.3">
      <c r="A37" s="75"/>
      <c r="B37" s="75"/>
      <c r="C37" s="75"/>
      <c r="D37" s="75"/>
      <c r="H37" s="75"/>
      <c r="I37" s="75"/>
      <c r="J37" s="75"/>
      <c r="K37" s="75"/>
      <c r="L37" s="75"/>
      <c r="O37" s="75"/>
    </row>
    <row r="38" spans="1:15" x14ac:dyDescent="0.3">
      <c r="A38" s="75"/>
      <c r="B38" s="75"/>
      <c r="C38" s="75"/>
      <c r="D38" s="75"/>
      <c r="H38" s="75"/>
      <c r="I38" s="75"/>
      <c r="J38" s="75"/>
      <c r="K38" s="75"/>
      <c r="L38" s="75"/>
      <c r="O38" s="75"/>
    </row>
    <row r="39" spans="1:15" x14ac:dyDescent="0.3">
      <c r="A39" s="75"/>
      <c r="B39" s="75"/>
      <c r="C39" s="75"/>
      <c r="D39" s="75"/>
      <c r="H39" s="75"/>
      <c r="I39" s="75"/>
      <c r="J39" s="75"/>
      <c r="K39" s="75"/>
      <c r="L39" s="75"/>
      <c r="O39" s="75"/>
    </row>
    <row r="40" spans="1:15" x14ac:dyDescent="0.3">
      <c r="A40" s="75"/>
      <c r="B40" s="75"/>
      <c r="C40" s="75"/>
      <c r="D40" s="75"/>
      <c r="H40" s="75"/>
      <c r="I40" s="75"/>
      <c r="J40" s="75"/>
      <c r="K40" s="75"/>
      <c r="L40" s="75"/>
      <c r="O40" s="75"/>
    </row>
    <row r="41" spans="1:15" x14ac:dyDescent="0.3">
      <c r="A41" s="75"/>
      <c r="B41" s="75"/>
      <c r="C41" s="75"/>
      <c r="D41" s="75"/>
      <c r="H41" s="75"/>
      <c r="I41" s="75"/>
      <c r="J41" s="75"/>
      <c r="K41" s="75"/>
      <c r="L41" s="75"/>
      <c r="O41" s="75"/>
    </row>
    <row r="42" spans="1:15" x14ac:dyDescent="0.3">
      <c r="A42" s="75"/>
      <c r="B42" s="75"/>
      <c r="C42" s="75"/>
      <c r="D42" s="75"/>
      <c r="H42" s="75"/>
      <c r="I42" s="75"/>
      <c r="J42" s="75"/>
      <c r="K42" s="75"/>
      <c r="L42" s="75"/>
      <c r="O42" s="75"/>
    </row>
    <row r="43" spans="1:15" x14ac:dyDescent="0.3">
      <c r="A43" s="75"/>
      <c r="B43" s="75"/>
      <c r="C43" s="75"/>
      <c r="D43" s="75"/>
      <c r="H43" s="75"/>
      <c r="I43" s="75"/>
      <c r="J43" s="75"/>
      <c r="K43" s="75"/>
      <c r="L43" s="75"/>
      <c r="O43" s="75"/>
    </row>
    <row r="44" spans="1:15" x14ac:dyDescent="0.3">
      <c r="A44" s="75"/>
      <c r="B44" s="75"/>
      <c r="C44" s="75"/>
      <c r="D44" s="75"/>
      <c r="H44" s="75"/>
      <c r="I44" s="75"/>
      <c r="J44" s="75"/>
      <c r="K44" s="75"/>
      <c r="L44" s="75"/>
      <c r="O44" s="75"/>
    </row>
    <row r="45" spans="1:15" x14ac:dyDescent="0.3">
      <c r="A45" s="75"/>
      <c r="B45" s="75"/>
      <c r="C45" s="75"/>
      <c r="D45" s="75"/>
      <c r="H45" s="75"/>
      <c r="I45" s="75"/>
      <c r="J45" s="75"/>
      <c r="K45" s="75"/>
      <c r="L45" s="75"/>
      <c r="O45" s="75"/>
    </row>
    <row r="46" spans="1:15" x14ac:dyDescent="0.3">
      <c r="A46" s="75"/>
      <c r="B46" s="75"/>
      <c r="C46" s="75"/>
      <c r="D46" s="75"/>
      <c r="H46" s="75"/>
      <c r="I46" s="75"/>
      <c r="J46" s="75"/>
      <c r="K46" s="75"/>
      <c r="L46" s="75"/>
      <c r="O46" s="75"/>
    </row>
    <row r="47" spans="1:15" x14ac:dyDescent="0.3">
      <c r="A47" s="75"/>
      <c r="B47" s="75"/>
      <c r="C47" s="75"/>
      <c r="D47" s="75"/>
      <c r="H47" s="75"/>
      <c r="I47" s="75"/>
      <c r="J47" s="75"/>
      <c r="K47" s="75"/>
      <c r="L47" s="75"/>
      <c r="O47" s="75"/>
    </row>
    <row r="48" spans="1:15" x14ac:dyDescent="0.3">
      <c r="A48" s="75"/>
      <c r="B48" s="75"/>
      <c r="C48" s="75"/>
      <c r="D48" s="75"/>
      <c r="H48" s="75"/>
      <c r="I48" s="75"/>
      <c r="J48" s="75"/>
      <c r="K48" s="75"/>
      <c r="L48" s="75"/>
      <c r="O48" s="75"/>
    </row>
    <row r="49" spans="1:15" x14ac:dyDescent="0.3">
      <c r="A49" s="75"/>
      <c r="B49" s="75"/>
      <c r="C49" s="75"/>
      <c r="D49" s="75"/>
      <c r="H49" s="75"/>
      <c r="I49" s="75"/>
      <c r="J49" s="75"/>
      <c r="K49" s="75"/>
      <c r="L49" s="75"/>
      <c r="O49" s="75"/>
    </row>
    <row r="50" spans="1:15" x14ac:dyDescent="0.3">
      <c r="A50" s="75"/>
      <c r="B50" s="75"/>
      <c r="C50" s="75"/>
      <c r="D50" s="75"/>
      <c r="H50" s="75"/>
      <c r="I50" s="75"/>
      <c r="J50" s="75"/>
      <c r="K50" s="75"/>
      <c r="L50" s="75"/>
      <c r="O50" s="75"/>
    </row>
    <row r="51" spans="1:15" x14ac:dyDescent="0.3">
      <c r="A51" s="75"/>
      <c r="B51" s="75"/>
      <c r="C51" s="75"/>
      <c r="D51" s="75"/>
      <c r="H51" s="75"/>
      <c r="I51" s="75"/>
      <c r="J51" s="75"/>
      <c r="K51" s="75"/>
      <c r="L51" s="75"/>
      <c r="O51" s="75"/>
    </row>
    <row r="52" spans="1:15" x14ac:dyDescent="0.3">
      <c r="A52" s="75"/>
      <c r="B52" s="75"/>
      <c r="C52" s="75"/>
      <c r="D52" s="75"/>
      <c r="H52" s="75"/>
      <c r="I52" s="75"/>
      <c r="J52" s="75"/>
      <c r="K52" s="75"/>
      <c r="L52" s="75"/>
      <c r="O52" s="75"/>
    </row>
    <row r="53" spans="1:15" x14ac:dyDescent="0.3">
      <c r="A53" s="75"/>
      <c r="B53" s="75"/>
      <c r="C53" s="75"/>
      <c r="D53" s="75"/>
      <c r="H53" s="75"/>
      <c r="I53" s="75"/>
      <c r="J53" s="75"/>
      <c r="K53" s="75"/>
      <c r="L53" s="75"/>
      <c r="O53" s="75"/>
    </row>
    <row r="54" spans="1:15" x14ac:dyDescent="0.3">
      <c r="A54" s="75"/>
      <c r="B54" s="75"/>
      <c r="C54" s="75"/>
      <c r="D54" s="75"/>
      <c r="H54" s="75"/>
      <c r="I54" s="75"/>
      <c r="J54" s="75"/>
      <c r="K54" s="75"/>
      <c r="L54" s="75"/>
      <c r="O54" s="75"/>
    </row>
    <row r="55" spans="1:15" x14ac:dyDescent="0.3">
      <c r="A55" s="75"/>
      <c r="B55" s="75"/>
      <c r="C55" s="75"/>
      <c r="D55" s="75"/>
      <c r="H55" s="75"/>
      <c r="I55" s="75"/>
      <c r="J55" s="75"/>
      <c r="K55" s="75"/>
      <c r="L55" s="75"/>
      <c r="O55" s="75"/>
    </row>
    <row r="56" spans="1:15" x14ac:dyDescent="0.3">
      <c r="A56" s="75"/>
      <c r="B56" s="75"/>
      <c r="C56" s="75"/>
      <c r="D56" s="75"/>
      <c r="H56" s="75"/>
      <c r="I56" s="75"/>
      <c r="J56" s="75"/>
      <c r="K56" s="75"/>
      <c r="L56" s="75"/>
      <c r="O56" s="75"/>
    </row>
    <row r="57" spans="1:15" x14ac:dyDescent="0.3">
      <c r="A57" s="75"/>
      <c r="B57" s="75"/>
      <c r="C57" s="75"/>
      <c r="D57" s="75"/>
      <c r="H57" s="75"/>
      <c r="I57" s="75"/>
      <c r="J57" s="75"/>
      <c r="K57" s="75"/>
      <c r="L57" s="75"/>
      <c r="O57" s="75"/>
    </row>
    <row r="58" spans="1:15" x14ac:dyDescent="0.3">
      <c r="A58" s="75"/>
      <c r="B58" s="75"/>
      <c r="C58" s="75"/>
      <c r="D58" s="75"/>
      <c r="H58" s="75"/>
      <c r="I58" s="75"/>
      <c r="J58" s="75"/>
      <c r="K58" s="75"/>
      <c r="L58" s="75"/>
      <c r="O58" s="75"/>
    </row>
    <row r="59" spans="1:15" x14ac:dyDescent="0.3">
      <c r="A59" s="75"/>
      <c r="B59" s="75"/>
      <c r="C59" s="75"/>
      <c r="D59" s="75"/>
      <c r="H59" s="75"/>
      <c r="I59" s="75"/>
      <c r="J59" s="75"/>
      <c r="K59" s="75"/>
      <c r="L59" s="75"/>
      <c r="O59" s="75"/>
    </row>
    <row r="60" spans="1:15" x14ac:dyDescent="0.3">
      <c r="A60" s="75"/>
      <c r="B60" s="75"/>
      <c r="C60" s="75"/>
      <c r="D60" s="75"/>
      <c r="H60" s="75"/>
      <c r="I60" s="75"/>
      <c r="J60" s="75"/>
      <c r="K60" s="75"/>
      <c r="L60" s="75"/>
      <c r="O60" s="75"/>
    </row>
    <row r="61" spans="1:15" x14ac:dyDescent="0.3">
      <c r="A61" s="75"/>
      <c r="B61" s="75"/>
      <c r="C61" s="75"/>
      <c r="D61" s="75"/>
      <c r="H61" s="75"/>
      <c r="I61" s="75"/>
      <c r="J61" s="75"/>
      <c r="K61" s="75"/>
      <c r="L61" s="75"/>
      <c r="O61" s="75"/>
    </row>
    <row r="62" spans="1:15" x14ac:dyDescent="0.3">
      <c r="A62" s="75"/>
      <c r="B62" s="75"/>
      <c r="C62" s="75"/>
      <c r="D62" s="75"/>
      <c r="H62" s="75"/>
      <c r="I62" s="75"/>
      <c r="J62" s="75"/>
      <c r="K62" s="75"/>
      <c r="L62" s="75"/>
      <c r="O62" s="75"/>
    </row>
    <row r="63" spans="1:15" x14ac:dyDescent="0.3">
      <c r="A63" s="75"/>
      <c r="B63" s="75"/>
      <c r="C63" s="75"/>
      <c r="D63" s="75"/>
      <c r="H63" s="75"/>
      <c r="I63" s="75"/>
      <c r="J63" s="75"/>
      <c r="K63" s="75"/>
      <c r="L63" s="75"/>
      <c r="O63" s="75"/>
    </row>
    <row r="64" spans="1:15" x14ac:dyDescent="0.3">
      <c r="A64" s="75"/>
      <c r="B64" s="75"/>
      <c r="C64" s="75"/>
      <c r="D64" s="75"/>
      <c r="H64" s="75"/>
      <c r="I64" s="75"/>
      <c r="J64" s="75"/>
      <c r="K64" s="75"/>
      <c r="L64" s="75"/>
      <c r="O64" s="75"/>
    </row>
    <row r="65" spans="1:15" x14ac:dyDescent="0.3">
      <c r="A65" s="75"/>
      <c r="B65" s="75"/>
      <c r="C65" s="75"/>
      <c r="D65" s="75"/>
      <c r="H65" s="75"/>
      <c r="I65" s="75"/>
      <c r="J65" s="75"/>
      <c r="K65" s="75"/>
      <c r="L65" s="75"/>
      <c r="O65" s="75"/>
    </row>
    <row r="66" spans="1:15" x14ac:dyDescent="0.3">
      <c r="A66" s="75"/>
      <c r="B66" s="75"/>
      <c r="C66" s="75"/>
      <c r="D66" s="75"/>
      <c r="H66" s="75"/>
      <c r="I66" s="75"/>
      <c r="J66" s="75"/>
      <c r="K66" s="75"/>
      <c r="L66" s="75"/>
      <c r="O66" s="75"/>
    </row>
    <row r="67" spans="1:15" x14ac:dyDescent="0.3">
      <c r="A67" s="75"/>
      <c r="B67" s="75"/>
      <c r="C67" s="75"/>
      <c r="D67" s="75"/>
      <c r="H67" s="75"/>
      <c r="I67" s="75"/>
      <c r="J67" s="75"/>
      <c r="K67" s="75"/>
      <c r="L67" s="75"/>
      <c r="O67" s="75"/>
    </row>
    <row r="68" spans="1:15" x14ac:dyDescent="0.3">
      <c r="A68" s="75"/>
      <c r="B68" s="75"/>
      <c r="C68" s="75"/>
      <c r="D68" s="75"/>
      <c r="H68" s="75"/>
      <c r="I68" s="75"/>
      <c r="J68" s="75"/>
      <c r="K68" s="75"/>
      <c r="L68" s="75"/>
      <c r="O68" s="75"/>
    </row>
    <row r="69" spans="1:15" x14ac:dyDescent="0.3">
      <c r="A69" s="75"/>
      <c r="B69" s="75"/>
      <c r="C69" s="75"/>
      <c r="D69" s="75"/>
      <c r="H69" s="75"/>
      <c r="I69" s="75"/>
      <c r="J69" s="75"/>
      <c r="K69" s="75"/>
      <c r="L69" s="75"/>
      <c r="O69" s="75"/>
    </row>
    <row r="70" spans="1:15" x14ac:dyDescent="0.3">
      <c r="A70" s="75"/>
      <c r="B70" s="75"/>
      <c r="C70" s="75"/>
      <c r="D70" s="75"/>
      <c r="H70" s="75"/>
      <c r="I70" s="75"/>
      <c r="J70" s="75"/>
      <c r="K70" s="75"/>
      <c r="L70" s="75"/>
      <c r="O70" s="75"/>
    </row>
    <row r="71" spans="1:15" x14ac:dyDescent="0.3">
      <c r="A71" s="75"/>
      <c r="B71" s="75"/>
      <c r="C71" s="75"/>
      <c r="D71" s="75"/>
      <c r="H71" s="75"/>
      <c r="I71" s="75"/>
      <c r="J71" s="75"/>
      <c r="K71" s="75"/>
      <c r="L71" s="75"/>
      <c r="O71" s="75"/>
    </row>
    <row r="72" spans="1:15" x14ac:dyDescent="0.3">
      <c r="A72" s="75"/>
      <c r="B72" s="75"/>
      <c r="C72" s="75"/>
      <c r="D72" s="75"/>
      <c r="H72" s="75"/>
      <c r="I72" s="75"/>
      <c r="J72" s="75"/>
      <c r="K72" s="75"/>
      <c r="L72" s="75"/>
      <c r="O72" s="75"/>
    </row>
    <row r="73" spans="1:15" x14ac:dyDescent="0.3">
      <c r="A73" s="75"/>
      <c r="B73" s="75"/>
      <c r="C73" s="75"/>
      <c r="D73" s="75"/>
      <c r="H73" s="75"/>
      <c r="I73" s="75"/>
      <c r="J73" s="75"/>
      <c r="K73" s="75"/>
      <c r="L73" s="75"/>
      <c r="O73" s="75"/>
    </row>
    <row r="74" spans="1:15" x14ac:dyDescent="0.3">
      <c r="A74" s="75"/>
      <c r="B74" s="75"/>
      <c r="C74" s="75"/>
      <c r="D74" s="75"/>
      <c r="H74" s="75"/>
      <c r="I74" s="75"/>
      <c r="J74" s="75"/>
      <c r="K74" s="75"/>
      <c r="L74" s="75"/>
      <c r="O74" s="75"/>
    </row>
    <row r="75" spans="1:15" x14ac:dyDescent="0.3">
      <c r="A75" s="75"/>
      <c r="B75" s="75"/>
      <c r="C75" s="75"/>
      <c r="D75" s="75"/>
      <c r="H75" s="75"/>
      <c r="I75" s="75"/>
      <c r="J75" s="75"/>
      <c r="K75" s="75"/>
      <c r="L75" s="75"/>
      <c r="O75" s="75"/>
    </row>
    <row r="76" spans="1:15" x14ac:dyDescent="0.3">
      <c r="A76" s="75"/>
      <c r="B76" s="75"/>
      <c r="C76" s="75"/>
      <c r="D76" s="75"/>
      <c r="H76" s="75"/>
      <c r="I76" s="75"/>
      <c r="J76" s="75"/>
      <c r="K76" s="75"/>
      <c r="L76" s="75"/>
      <c r="O76" s="75"/>
    </row>
    <row r="77" spans="1:15" x14ac:dyDescent="0.3">
      <c r="A77" s="75"/>
      <c r="B77" s="75"/>
      <c r="C77" s="75"/>
      <c r="D77" s="75"/>
      <c r="H77" s="75"/>
      <c r="I77" s="75"/>
      <c r="J77" s="75"/>
      <c r="K77" s="75"/>
      <c r="L77" s="75"/>
      <c r="O77" s="75"/>
    </row>
    <row r="78" spans="1:15" x14ac:dyDescent="0.3">
      <c r="A78" s="75"/>
      <c r="B78" s="75"/>
      <c r="C78" s="75"/>
      <c r="D78" s="75"/>
      <c r="H78" s="75"/>
      <c r="I78" s="75"/>
      <c r="J78" s="75"/>
      <c r="K78" s="75"/>
      <c r="L78" s="75"/>
      <c r="O78" s="75"/>
    </row>
    <row r="79" spans="1:15" x14ac:dyDescent="0.3">
      <c r="A79" s="75"/>
      <c r="B79" s="75"/>
      <c r="C79" s="75"/>
      <c r="D79" s="75"/>
      <c r="H79" s="75"/>
      <c r="I79" s="75"/>
      <c r="J79" s="75"/>
      <c r="K79" s="75"/>
      <c r="L79" s="75"/>
      <c r="O79" s="75"/>
    </row>
    <row r="80" spans="1:15" x14ac:dyDescent="0.3">
      <c r="A80" s="75"/>
      <c r="B80" s="75"/>
      <c r="C80" s="75"/>
      <c r="D80" s="75"/>
      <c r="H80" s="75"/>
      <c r="I80" s="75"/>
      <c r="J80" s="75"/>
      <c r="K80" s="75"/>
      <c r="L80" s="75"/>
      <c r="O80" s="75"/>
    </row>
    <row r="81" spans="1:15" x14ac:dyDescent="0.3">
      <c r="A81" s="75"/>
      <c r="B81" s="75"/>
      <c r="C81" s="75"/>
      <c r="D81" s="75"/>
      <c r="H81" s="75"/>
      <c r="I81" s="75"/>
      <c r="J81" s="75"/>
      <c r="K81" s="75"/>
      <c r="L81" s="75"/>
      <c r="O81" s="75"/>
    </row>
    <row r="82" spans="1:15" x14ac:dyDescent="0.3">
      <c r="A82" s="75"/>
      <c r="B82" s="75"/>
      <c r="C82" s="75"/>
      <c r="D82" s="75"/>
      <c r="H82" s="75"/>
      <c r="I82" s="75"/>
      <c r="J82" s="75"/>
      <c r="K82" s="75"/>
      <c r="L82" s="75"/>
      <c r="O82" s="75"/>
    </row>
    <row r="83" spans="1:15" x14ac:dyDescent="0.3">
      <c r="A83" s="75"/>
      <c r="B83" s="75"/>
      <c r="C83" s="75"/>
      <c r="D83" s="75"/>
      <c r="H83" s="75"/>
      <c r="I83" s="75"/>
      <c r="J83" s="75"/>
      <c r="K83" s="75"/>
      <c r="L83" s="75"/>
      <c r="O83" s="75"/>
    </row>
    <row r="84" spans="1:15" x14ac:dyDescent="0.3">
      <c r="A84" s="75"/>
      <c r="B84" s="75"/>
      <c r="C84" s="75"/>
      <c r="D84" s="75"/>
      <c r="H84" s="75"/>
      <c r="I84" s="75"/>
      <c r="J84" s="75"/>
      <c r="K84" s="75"/>
      <c r="L84" s="75"/>
      <c r="O84" s="75"/>
    </row>
    <row r="85" spans="1:15" x14ac:dyDescent="0.3">
      <c r="A85" s="75"/>
      <c r="B85" s="75"/>
      <c r="C85" s="75"/>
      <c r="D85" s="75"/>
      <c r="H85" s="75"/>
      <c r="I85" s="75"/>
      <c r="J85" s="75"/>
      <c r="K85" s="75"/>
      <c r="L85" s="75"/>
      <c r="O85" s="75"/>
    </row>
    <row r="86" spans="1:15" x14ac:dyDescent="0.3">
      <c r="A86" s="75"/>
      <c r="B86" s="75"/>
      <c r="C86" s="75"/>
      <c r="D86" s="75"/>
      <c r="H86" s="75"/>
      <c r="I86" s="75"/>
      <c r="J86" s="75"/>
      <c r="K86" s="75"/>
      <c r="L86" s="75"/>
      <c r="O86" s="75"/>
    </row>
    <row r="87" spans="1:15" x14ac:dyDescent="0.3">
      <c r="A87" s="75"/>
      <c r="B87" s="75"/>
      <c r="C87" s="75"/>
      <c r="D87" s="75"/>
      <c r="H87" s="75"/>
      <c r="I87" s="75"/>
      <c r="J87" s="75"/>
      <c r="K87" s="75"/>
      <c r="L87" s="75"/>
      <c r="O87" s="75"/>
    </row>
    <row r="88" spans="1:15" x14ac:dyDescent="0.3">
      <c r="A88" s="75"/>
      <c r="B88" s="75"/>
      <c r="C88" s="75"/>
      <c r="D88" s="75"/>
      <c r="H88" s="75"/>
      <c r="I88" s="75"/>
      <c r="J88" s="75"/>
      <c r="K88" s="75"/>
      <c r="L88" s="75"/>
      <c r="O88" s="75"/>
    </row>
    <row r="89" spans="1:15" x14ac:dyDescent="0.3">
      <c r="A89" s="75"/>
      <c r="B89" s="75"/>
      <c r="C89" s="75"/>
      <c r="D89" s="75"/>
      <c r="H89" s="75"/>
      <c r="I89" s="75"/>
      <c r="J89" s="75"/>
      <c r="K89" s="75"/>
      <c r="L89" s="75"/>
      <c r="O89" s="75"/>
    </row>
    <row r="90" spans="1:15" x14ac:dyDescent="0.3">
      <c r="A90" s="75"/>
      <c r="B90" s="75"/>
      <c r="C90" s="75"/>
      <c r="D90" s="75"/>
      <c r="H90" s="75"/>
      <c r="I90" s="75"/>
      <c r="J90" s="75"/>
      <c r="K90" s="75"/>
      <c r="L90" s="75"/>
      <c r="O90" s="75"/>
    </row>
    <row r="91" spans="1:15" x14ac:dyDescent="0.3">
      <c r="A91" s="75"/>
      <c r="B91" s="75"/>
      <c r="C91" s="75"/>
      <c r="D91" s="75"/>
      <c r="H91" s="75"/>
      <c r="I91" s="75"/>
      <c r="J91" s="75"/>
      <c r="K91" s="75"/>
      <c r="L91" s="75"/>
      <c r="O91" s="75"/>
    </row>
    <row r="92" spans="1:15" x14ac:dyDescent="0.3">
      <c r="A92" s="75"/>
      <c r="B92" s="75"/>
      <c r="C92" s="75"/>
      <c r="D92" s="75"/>
      <c r="H92" s="75"/>
      <c r="I92" s="75"/>
      <c r="J92" s="75"/>
      <c r="K92" s="75"/>
      <c r="L92" s="75"/>
      <c r="O92" s="75"/>
    </row>
    <row r="93" spans="1:15" x14ac:dyDescent="0.3">
      <c r="A93" s="75"/>
      <c r="B93" s="75"/>
      <c r="C93" s="75"/>
      <c r="D93" s="75"/>
      <c r="H93" s="75"/>
      <c r="I93" s="75"/>
      <c r="J93" s="75"/>
      <c r="K93" s="75"/>
      <c r="L93" s="75"/>
      <c r="O93" s="75"/>
    </row>
    <row r="94" spans="1:15" x14ac:dyDescent="0.3">
      <c r="A94" s="75"/>
      <c r="B94" s="75"/>
      <c r="C94" s="75"/>
      <c r="D94" s="75"/>
      <c r="H94" s="75"/>
      <c r="I94" s="75"/>
      <c r="J94" s="75"/>
      <c r="K94" s="75"/>
      <c r="L94" s="75"/>
      <c r="O94" s="75"/>
    </row>
    <row r="95" spans="1:15" x14ac:dyDescent="0.3">
      <c r="A95" s="75"/>
      <c r="B95" s="75"/>
      <c r="C95" s="75"/>
      <c r="D95" s="75"/>
      <c r="H95" s="75"/>
      <c r="I95" s="75"/>
      <c r="J95" s="75"/>
      <c r="K95" s="75"/>
      <c r="L95" s="75"/>
      <c r="O95" s="75"/>
    </row>
    <row r="96" spans="1:15" x14ac:dyDescent="0.3">
      <c r="A96" s="75"/>
      <c r="B96" s="75"/>
      <c r="C96" s="75"/>
      <c r="D96" s="75"/>
      <c r="H96" s="75"/>
      <c r="I96" s="75"/>
      <c r="J96" s="75"/>
      <c r="K96" s="75"/>
      <c r="L96" s="75"/>
      <c r="O96" s="75"/>
    </row>
    <row r="97" spans="1:15" x14ac:dyDescent="0.3">
      <c r="A97" s="75"/>
      <c r="B97" s="75"/>
      <c r="C97" s="75"/>
      <c r="D97" s="75"/>
      <c r="H97" s="75"/>
      <c r="I97" s="75"/>
      <c r="J97" s="75"/>
      <c r="K97" s="75"/>
      <c r="L97" s="75"/>
      <c r="O97" s="75"/>
    </row>
    <row r="98" spans="1:15" x14ac:dyDescent="0.3">
      <c r="A98" s="75"/>
      <c r="B98" s="75"/>
      <c r="C98" s="75"/>
      <c r="D98" s="75"/>
      <c r="H98" s="75"/>
      <c r="I98" s="75"/>
      <c r="J98" s="75"/>
      <c r="K98" s="75"/>
      <c r="L98" s="75"/>
      <c r="O98" s="75"/>
    </row>
    <row r="99" spans="1:15" x14ac:dyDescent="0.3">
      <c r="A99" s="75"/>
      <c r="B99" s="75"/>
      <c r="C99" s="75"/>
      <c r="D99" s="75"/>
      <c r="H99" s="75"/>
      <c r="I99" s="75"/>
      <c r="J99" s="75"/>
      <c r="K99" s="75"/>
      <c r="L99" s="75"/>
      <c r="O99" s="75"/>
    </row>
    <row r="100" spans="1:15" x14ac:dyDescent="0.3">
      <c r="A100" s="75"/>
      <c r="B100" s="75"/>
      <c r="C100" s="75"/>
      <c r="D100" s="75"/>
      <c r="H100" s="75"/>
      <c r="I100" s="75"/>
      <c r="J100" s="75"/>
      <c r="K100" s="75"/>
      <c r="L100" s="75"/>
      <c r="O100" s="75"/>
    </row>
    <row r="101" spans="1:15" x14ac:dyDescent="0.3">
      <c r="A101" s="75"/>
      <c r="B101" s="75"/>
      <c r="C101" s="75"/>
      <c r="D101" s="75"/>
      <c r="H101" s="75"/>
      <c r="I101" s="75"/>
      <c r="J101" s="75"/>
      <c r="K101" s="75"/>
      <c r="L101" s="75"/>
      <c r="O101" s="75"/>
    </row>
    <row r="102" spans="1:15" x14ac:dyDescent="0.3">
      <c r="A102" s="75"/>
      <c r="B102" s="75"/>
      <c r="C102" s="75"/>
      <c r="D102" s="75"/>
      <c r="H102" s="75"/>
      <c r="I102" s="75"/>
      <c r="J102" s="75"/>
      <c r="K102" s="75"/>
      <c r="L102" s="75"/>
      <c r="O102" s="75"/>
    </row>
    <row r="103" spans="1:15" x14ac:dyDescent="0.3">
      <c r="A103" s="75"/>
      <c r="B103" s="75"/>
      <c r="C103" s="75"/>
      <c r="D103" s="75"/>
      <c r="H103" s="75"/>
      <c r="I103" s="75"/>
      <c r="J103" s="75"/>
      <c r="K103" s="75"/>
      <c r="L103" s="75"/>
      <c r="O103" s="75"/>
    </row>
    <row r="104" spans="1:15" x14ac:dyDescent="0.3">
      <c r="A104" s="75"/>
      <c r="B104" s="75"/>
      <c r="C104" s="75"/>
      <c r="D104" s="75"/>
      <c r="H104" s="75"/>
      <c r="I104" s="75"/>
      <c r="J104" s="75"/>
      <c r="K104" s="75"/>
      <c r="L104" s="75"/>
      <c r="O104" s="75"/>
    </row>
    <row r="105" spans="1:15" x14ac:dyDescent="0.3">
      <c r="A105" s="75"/>
      <c r="B105" s="75"/>
      <c r="C105" s="75"/>
      <c r="D105" s="75"/>
      <c r="H105" s="75"/>
      <c r="I105" s="75"/>
      <c r="J105" s="75"/>
      <c r="K105" s="75"/>
      <c r="L105" s="75"/>
      <c r="O105" s="75"/>
    </row>
    <row r="106" spans="1:15" x14ac:dyDescent="0.3">
      <c r="A106" s="75"/>
      <c r="B106" s="75"/>
      <c r="C106" s="75"/>
      <c r="D106" s="75"/>
      <c r="H106" s="75"/>
      <c r="I106" s="75"/>
      <c r="J106" s="75"/>
      <c r="K106" s="75"/>
      <c r="L106" s="75"/>
      <c r="O106" s="75"/>
    </row>
    <row r="107" spans="1:15" x14ac:dyDescent="0.3">
      <c r="A107" s="75"/>
      <c r="B107" s="75"/>
      <c r="C107" s="75"/>
      <c r="D107" s="75"/>
      <c r="H107" s="75"/>
      <c r="I107" s="75"/>
      <c r="J107" s="75"/>
      <c r="K107" s="75"/>
      <c r="L107" s="75"/>
      <c r="O107" s="75"/>
    </row>
    <row r="108" spans="1:15" x14ac:dyDescent="0.3">
      <c r="A108" s="75"/>
      <c r="B108" s="75"/>
      <c r="C108" s="75"/>
      <c r="D108" s="75"/>
      <c r="H108" s="75"/>
      <c r="I108" s="75"/>
      <c r="J108" s="75"/>
      <c r="K108" s="75"/>
      <c r="L108" s="75"/>
      <c r="O108" s="75"/>
    </row>
    <row r="109" spans="1:15" x14ac:dyDescent="0.3">
      <c r="A109" s="75"/>
      <c r="B109" s="75"/>
      <c r="C109" s="75"/>
      <c r="D109" s="75"/>
      <c r="H109" s="75"/>
      <c r="I109" s="75"/>
      <c r="J109" s="75"/>
      <c r="K109" s="75"/>
      <c r="L109" s="75"/>
      <c r="O109" s="75"/>
    </row>
    <row r="110" spans="1:15" x14ac:dyDescent="0.3">
      <c r="A110" s="75"/>
      <c r="B110" s="75"/>
      <c r="C110" s="75"/>
      <c r="D110" s="75"/>
      <c r="H110" s="75"/>
      <c r="I110" s="75"/>
      <c r="J110" s="75"/>
      <c r="K110" s="75"/>
      <c r="L110" s="75"/>
      <c r="O110" s="75"/>
    </row>
    <row r="111" spans="1:15" x14ac:dyDescent="0.3">
      <c r="A111" s="75"/>
      <c r="B111" s="75"/>
      <c r="C111" s="75"/>
      <c r="D111" s="75"/>
      <c r="H111" s="75"/>
      <c r="I111" s="75"/>
      <c r="J111" s="75"/>
      <c r="K111" s="75"/>
      <c r="L111" s="75"/>
      <c r="O111" s="75"/>
    </row>
    <row r="112" spans="1:15" x14ac:dyDescent="0.3">
      <c r="A112" s="75"/>
      <c r="B112" s="75"/>
      <c r="C112" s="75"/>
      <c r="D112" s="75"/>
      <c r="H112" s="75"/>
      <c r="I112" s="75"/>
      <c r="J112" s="75"/>
      <c r="K112" s="75"/>
      <c r="L112" s="75"/>
      <c r="O112" s="75"/>
    </row>
    <row r="113" spans="1:15" x14ac:dyDescent="0.3">
      <c r="A113" s="75"/>
      <c r="B113" s="75"/>
      <c r="C113" s="75"/>
      <c r="D113" s="75"/>
      <c r="H113" s="75"/>
      <c r="I113" s="75"/>
      <c r="J113" s="75"/>
      <c r="K113" s="75"/>
      <c r="L113" s="75"/>
      <c r="O113" s="75"/>
    </row>
    <row r="114" spans="1:15" x14ac:dyDescent="0.3">
      <c r="A114" s="75"/>
      <c r="B114" s="75"/>
      <c r="C114" s="75"/>
      <c r="D114" s="75"/>
      <c r="H114" s="75"/>
      <c r="I114" s="75"/>
      <c r="J114" s="75"/>
      <c r="K114" s="75"/>
      <c r="L114" s="75"/>
      <c r="O114" s="75"/>
    </row>
    <row r="115" spans="1:15" x14ac:dyDescent="0.3">
      <c r="A115" s="75"/>
      <c r="B115" s="75"/>
      <c r="C115" s="75"/>
      <c r="D115" s="75"/>
      <c r="H115" s="75"/>
      <c r="I115" s="75"/>
      <c r="J115" s="75"/>
      <c r="K115" s="75"/>
      <c r="L115" s="75"/>
      <c r="O115" s="75"/>
    </row>
    <row r="116" spans="1:15" x14ac:dyDescent="0.3">
      <c r="A116" s="75"/>
      <c r="B116" s="75"/>
      <c r="C116" s="75"/>
      <c r="D116" s="75"/>
      <c r="H116" s="75"/>
      <c r="I116" s="75"/>
      <c r="J116" s="75"/>
      <c r="K116" s="75"/>
      <c r="L116" s="75"/>
      <c r="O116" s="75"/>
    </row>
    <row r="117" spans="1:15" x14ac:dyDescent="0.3">
      <c r="A117" s="75"/>
      <c r="B117" s="75"/>
      <c r="C117" s="75"/>
      <c r="D117" s="75"/>
      <c r="H117" s="75"/>
      <c r="I117" s="75"/>
      <c r="J117" s="75"/>
      <c r="K117" s="75"/>
      <c r="L117" s="75"/>
      <c r="O117" s="75"/>
    </row>
    <row r="118" spans="1:15" x14ac:dyDescent="0.3">
      <c r="A118" s="75"/>
      <c r="B118" s="75"/>
      <c r="C118" s="75"/>
      <c r="D118" s="75"/>
      <c r="H118" s="75"/>
      <c r="I118" s="75"/>
      <c r="J118" s="75"/>
      <c r="K118" s="75"/>
      <c r="L118" s="75"/>
      <c r="O118" s="75"/>
    </row>
    <row r="119" spans="1:15" x14ac:dyDescent="0.3">
      <c r="A119" s="75"/>
      <c r="B119" s="75"/>
      <c r="C119" s="75"/>
      <c r="D119" s="75"/>
      <c r="H119" s="75"/>
      <c r="I119" s="75"/>
      <c r="J119" s="75"/>
      <c r="K119" s="75"/>
      <c r="L119" s="75"/>
      <c r="O119" s="75"/>
    </row>
    <row r="120" spans="1:15" x14ac:dyDescent="0.3">
      <c r="A120" s="75"/>
      <c r="B120" s="75"/>
      <c r="C120" s="75"/>
      <c r="D120" s="75"/>
      <c r="H120" s="75"/>
      <c r="I120" s="75"/>
      <c r="J120" s="75"/>
      <c r="K120" s="75"/>
      <c r="L120" s="75"/>
      <c r="O120" s="75"/>
    </row>
    <row r="121" spans="1:15" x14ac:dyDescent="0.3">
      <c r="A121" s="75"/>
      <c r="B121" s="75"/>
      <c r="C121" s="75"/>
      <c r="D121" s="75"/>
      <c r="H121" s="75"/>
      <c r="I121" s="75"/>
      <c r="J121" s="75"/>
      <c r="K121" s="75"/>
      <c r="L121" s="75"/>
      <c r="O121" s="75"/>
    </row>
    <row r="122" spans="1:15" x14ac:dyDescent="0.3">
      <c r="A122" s="75"/>
      <c r="B122" s="75"/>
      <c r="C122" s="75"/>
      <c r="D122" s="75"/>
      <c r="H122" s="75"/>
      <c r="I122" s="75"/>
      <c r="J122" s="75"/>
      <c r="K122" s="75"/>
      <c r="L122" s="75"/>
      <c r="O122" s="75"/>
    </row>
    <row r="123" spans="1:15" x14ac:dyDescent="0.3">
      <c r="A123" s="75"/>
      <c r="B123" s="75"/>
      <c r="C123" s="75"/>
      <c r="D123" s="75"/>
      <c r="H123" s="75"/>
      <c r="I123" s="75"/>
      <c r="J123" s="75"/>
      <c r="K123" s="75"/>
      <c r="L123" s="75"/>
      <c r="O123" s="75"/>
    </row>
    <row r="124" spans="1:15" x14ac:dyDescent="0.3">
      <c r="A124" s="75"/>
      <c r="B124" s="75"/>
      <c r="C124" s="75"/>
      <c r="D124" s="75"/>
      <c r="H124" s="75"/>
      <c r="I124" s="75"/>
      <c r="J124" s="75"/>
      <c r="K124" s="75"/>
      <c r="L124" s="75"/>
      <c r="O124" s="75"/>
    </row>
    <row r="125" spans="1:15" x14ac:dyDescent="0.3">
      <c r="A125" s="75"/>
      <c r="B125" s="75"/>
      <c r="C125" s="75"/>
      <c r="D125" s="75"/>
      <c r="H125" s="75"/>
      <c r="I125" s="75"/>
      <c r="J125" s="75"/>
      <c r="K125" s="75"/>
      <c r="L125" s="75"/>
      <c r="O125" s="75"/>
    </row>
    <row r="126" spans="1:15" x14ac:dyDescent="0.3">
      <c r="A126" s="75"/>
      <c r="B126" s="75"/>
      <c r="C126" s="75"/>
      <c r="D126" s="75"/>
      <c r="H126" s="75"/>
      <c r="I126" s="75"/>
      <c r="J126" s="75"/>
      <c r="K126" s="75"/>
      <c r="L126" s="75"/>
      <c r="O126" s="75"/>
    </row>
    <row r="127" spans="1:15" x14ac:dyDescent="0.3">
      <c r="A127" s="75"/>
      <c r="B127" s="75"/>
      <c r="C127" s="75"/>
      <c r="D127" s="75"/>
      <c r="H127" s="75"/>
      <c r="I127" s="75"/>
      <c r="J127" s="75"/>
      <c r="K127" s="75"/>
      <c r="L127" s="75"/>
      <c r="O127" s="75"/>
    </row>
    <row r="128" spans="1:15" x14ac:dyDescent="0.3">
      <c r="A128" s="75"/>
      <c r="B128" s="75"/>
      <c r="C128" s="75"/>
      <c r="D128" s="75"/>
      <c r="H128" s="75"/>
      <c r="I128" s="75"/>
      <c r="J128" s="75"/>
      <c r="K128" s="75"/>
      <c r="L128" s="75"/>
      <c r="O128" s="75"/>
    </row>
    <row r="129" spans="1:15" x14ac:dyDescent="0.3">
      <c r="A129" s="75"/>
      <c r="B129" s="75"/>
      <c r="C129" s="75"/>
      <c r="D129" s="75"/>
      <c r="H129" s="75"/>
      <c r="I129" s="75"/>
      <c r="J129" s="75"/>
      <c r="K129" s="75"/>
      <c r="L129" s="75"/>
      <c r="O129" s="75"/>
    </row>
    <row r="130" spans="1:15" x14ac:dyDescent="0.3">
      <c r="A130" s="75"/>
      <c r="B130" s="75"/>
      <c r="C130" s="75"/>
      <c r="D130" s="75"/>
      <c r="H130" s="75"/>
      <c r="I130" s="75"/>
      <c r="J130" s="75"/>
      <c r="K130" s="75"/>
      <c r="L130" s="75"/>
      <c r="O130" s="75"/>
    </row>
    <row r="131" spans="1:15" x14ac:dyDescent="0.3">
      <c r="A131" s="75"/>
      <c r="B131" s="75"/>
      <c r="C131" s="75"/>
      <c r="D131" s="75"/>
      <c r="H131" s="75"/>
      <c r="I131" s="75"/>
      <c r="J131" s="75"/>
      <c r="K131" s="75"/>
      <c r="L131" s="75"/>
      <c r="O131" s="75"/>
    </row>
    <row r="132" spans="1:15" x14ac:dyDescent="0.3">
      <c r="A132" s="75"/>
      <c r="B132" s="75"/>
      <c r="C132" s="75"/>
      <c r="D132" s="75"/>
      <c r="H132" s="75"/>
      <c r="I132" s="75"/>
      <c r="J132" s="75"/>
      <c r="K132" s="75"/>
      <c r="L132" s="75"/>
      <c r="O132" s="75"/>
    </row>
    <row r="133" spans="1:15" x14ac:dyDescent="0.3">
      <c r="A133" s="75"/>
      <c r="B133" s="75"/>
      <c r="C133" s="75"/>
      <c r="D133" s="75"/>
      <c r="H133" s="75"/>
      <c r="I133" s="75"/>
      <c r="J133" s="75"/>
      <c r="K133" s="75"/>
      <c r="L133" s="75"/>
      <c r="O133" s="75"/>
    </row>
    <row r="134" spans="1:15" x14ac:dyDescent="0.3">
      <c r="A134" s="75"/>
      <c r="B134" s="75"/>
      <c r="C134" s="75"/>
      <c r="D134" s="75"/>
      <c r="H134" s="75"/>
      <c r="I134" s="75"/>
      <c r="J134" s="75"/>
      <c r="K134" s="75"/>
      <c r="L134" s="75"/>
      <c r="O134" s="75"/>
    </row>
    <row r="135" spans="1:15" x14ac:dyDescent="0.3">
      <c r="A135" s="75"/>
      <c r="B135" s="75"/>
      <c r="C135" s="75"/>
      <c r="D135" s="75"/>
      <c r="H135" s="75"/>
      <c r="I135" s="75"/>
      <c r="J135" s="75"/>
      <c r="K135" s="75"/>
      <c r="L135" s="75"/>
      <c r="O135" s="75"/>
    </row>
    <row r="136" spans="1:15" x14ac:dyDescent="0.3">
      <c r="A136" s="75"/>
      <c r="B136" s="75"/>
      <c r="C136" s="75"/>
      <c r="D136" s="75"/>
      <c r="H136" s="75"/>
      <c r="I136" s="75"/>
      <c r="J136" s="75"/>
      <c r="K136" s="75"/>
      <c r="L136" s="75"/>
      <c r="O136" s="75"/>
    </row>
    <row r="137" spans="1:15" x14ac:dyDescent="0.3">
      <c r="A137" s="75"/>
      <c r="B137" s="75"/>
      <c r="C137" s="75"/>
      <c r="D137" s="75"/>
      <c r="H137" s="75"/>
      <c r="I137" s="75"/>
      <c r="J137" s="75"/>
      <c r="K137" s="75"/>
      <c r="L137" s="75"/>
      <c r="O137" s="75"/>
    </row>
    <row r="138" spans="1:15" x14ac:dyDescent="0.3">
      <c r="A138" s="75"/>
      <c r="B138" s="75"/>
      <c r="C138" s="75"/>
      <c r="D138" s="75"/>
      <c r="H138" s="75"/>
      <c r="I138" s="75"/>
      <c r="J138" s="75"/>
      <c r="K138" s="75"/>
      <c r="L138" s="75"/>
      <c r="O138" s="75"/>
    </row>
    <row r="139" spans="1:15" x14ac:dyDescent="0.3">
      <c r="A139" s="75"/>
      <c r="B139" s="75"/>
      <c r="C139" s="75"/>
      <c r="D139" s="75"/>
      <c r="H139" s="75"/>
      <c r="I139" s="75"/>
      <c r="J139" s="75"/>
      <c r="K139" s="75"/>
      <c r="L139" s="75"/>
      <c r="O139" s="75"/>
    </row>
    <row r="140" spans="1:15" x14ac:dyDescent="0.3">
      <c r="A140" s="75"/>
      <c r="B140" s="75"/>
      <c r="C140" s="75"/>
      <c r="D140" s="75"/>
      <c r="H140" s="75"/>
      <c r="I140" s="75"/>
      <c r="J140" s="75"/>
      <c r="K140" s="75"/>
      <c r="L140" s="75"/>
      <c r="O140" s="75"/>
    </row>
    <row r="141" spans="1:15" x14ac:dyDescent="0.3">
      <c r="A141" s="75"/>
      <c r="B141" s="75"/>
      <c r="C141" s="75"/>
      <c r="D141" s="75"/>
      <c r="H141" s="75"/>
      <c r="I141" s="75"/>
      <c r="J141" s="75"/>
      <c r="K141" s="75"/>
      <c r="L141" s="75"/>
      <c r="O141" s="75"/>
    </row>
    <row r="142" spans="1:15" x14ac:dyDescent="0.3">
      <c r="A142" s="75"/>
      <c r="B142" s="75"/>
      <c r="C142" s="75"/>
      <c r="D142" s="75"/>
      <c r="H142" s="75"/>
      <c r="I142" s="75"/>
      <c r="J142" s="75"/>
      <c r="K142" s="75"/>
      <c r="L142" s="75"/>
      <c r="O142" s="75"/>
    </row>
    <row r="143" spans="1:15" x14ac:dyDescent="0.3">
      <c r="A143" s="75"/>
      <c r="B143" s="75"/>
      <c r="C143" s="75"/>
      <c r="D143" s="75"/>
      <c r="H143" s="75"/>
      <c r="I143" s="75"/>
      <c r="J143" s="75"/>
      <c r="K143" s="75"/>
      <c r="L143" s="75"/>
      <c r="O143" s="75"/>
    </row>
    <row r="144" spans="1:15" x14ac:dyDescent="0.3">
      <c r="A144" s="75"/>
      <c r="B144" s="75"/>
      <c r="C144" s="75"/>
      <c r="D144" s="75"/>
      <c r="H144" s="75"/>
      <c r="I144" s="75"/>
      <c r="J144" s="75"/>
      <c r="K144" s="75"/>
      <c r="L144" s="75"/>
      <c r="O144" s="75"/>
    </row>
    <row r="145" spans="1:15" x14ac:dyDescent="0.3">
      <c r="A145" s="75"/>
      <c r="B145" s="75"/>
      <c r="C145" s="75"/>
      <c r="D145" s="75"/>
      <c r="H145" s="75"/>
      <c r="I145" s="75"/>
      <c r="J145" s="75"/>
      <c r="K145" s="75"/>
      <c r="L145" s="75"/>
      <c r="O145" s="75"/>
    </row>
    <row r="146" spans="1:15" x14ac:dyDescent="0.3">
      <c r="A146" s="75"/>
      <c r="B146" s="75"/>
      <c r="C146" s="75"/>
      <c r="D146" s="75"/>
      <c r="H146" s="75"/>
      <c r="I146" s="75"/>
      <c r="J146" s="75"/>
      <c r="K146" s="75"/>
      <c r="L146" s="75"/>
      <c r="O146" s="75"/>
    </row>
    <row r="147" spans="1:15" x14ac:dyDescent="0.3">
      <c r="A147" s="75"/>
      <c r="B147" s="75"/>
      <c r="C147" s="75"/>
      <c r="D147" s="75"/>
      <c r="H147" s="75"/>
      <c r="I147" s="75"/>
      <c r="J147" s="75"/>
      <c r="K147" s="75"/>
      <c r="L147" s="75"/>
      <c r="O147" s="75"/>
    </row>
    <row r="148" spans="1:15" x14ac:dyDescent="0.3">
      <c r="A148" s="75"/>
      <c r="B148" s="75"/>
      <c r="C148" s="75"/>
      <c r="D148" s="75"/>
      <c r="H148" s="75"/>
      <c r="I148" s="75"/>
      <c r="J148" s="75"/>
      <c r="K148" s="75"/>
      <c r="L148" s="75"/>
      <c r="O148" s="75"/>
    </row>
    <row r="149" spans="1:15" x14ac:dyDescent="0.3">
      <c r="A149" s="75"/>
      <c r="B149" s="75"/>
      <c r="C149" s="75"/>
      <c r="D149" s="75"/>
      <c r="H149" s="75"/>
      <c r="I149" s="75"/>
      <c r="J149" s="75"/>
      <c r="K149" s="75"/>
      <c r="L149" s="75"/>
      <c r="O149" s="75"/>
    </row>
    <row r="150" spans="1:15" x14ac:dyDescent="0.3">
      <c r="A150" s="75"/>
      <c r="B150" s="75"/>
      <c r="C150" s="75"/>
      <c r="D150" s="75"/>
      <c r="H150" s="75"/>
      <c r="I150" s="75"/>
      <c r="J150" s="75"/>
      <c r="K150" s="75"/>
      <c r="L150" s="75"/>
      <c r="O150" s="75"/>
    </row>
    <row r="151" spans="1:15" x14ac:dyDescent="0.3">
      <c r="A151" s="75"/>
      <c r="B151" s="75"/>
      <c r="C151" s="75"/>
      <c r="D151" s="75"/>
      <c r="H151" s="75"/>
      <c r="I151" s="75"/>
      <c r="J151" s="75"/>
      <c r="K151" s="75"/>
      <c r="L151" s="75"/>
      <c r="O151" s="75"/>
    </row>
    <row r="152" spans="1:15" x14ac:dyDescent="0.3">
      <c r="A152" s="75"/>
      <c r="B152" s="75"/>
      <c r="C152" s="75"/>
      <c r="D152" s="75"/>
      <c r="H152" s="75"/>
      <c r="I152" s="75"/>
      <c r="J152" s="75"/>
      <c r="K152" s="75"/>
      <c r="L152" s="75"/>
      <c r="O152" s="75"/>
    </row>
    <row r="153" spans="1:15" x14ac:dyDescent="0.3">
      <c r="A153" s="75"/>
      <c r="B153" s="75"/>
      <c r="C153" s="75"/>
      <c r="D153" s="75"/>
      <c r="H153" s="75"/>
      <c r="I153" s="75"/>
      <c r="J153" s="75"/>
      <c r="K153" s="75"/>
      <c r="L153" s="75"/>
      <c r="O153" s="75"/>
    </row>
    <row r="154" spans="1:15" x14ac:dyDescent="0.3">
      <c r="A154" s="75"/>
      <c r="B154" s="75"/>
      <c r="C154" s="75"/>
      <c r="D154" s="75"/>
      <c r="H154" s="75"/>
      <c r="I154" s="75"/>
      <c r="J154" s="75"/>
      <c r="K154" s="75"/>
      <c r="L154" s="75"/>
      <c r="O154" s="75"/>
    </row>
    <row r="155" spans="1:15" x14ac:dyDescent="0.3">
      <c r="A155" s="75"/>
      <c r="B155" s="75"/>
      <c r="C155" s="75"/>
      <c r="D155" s="75"/>
      <c r="H155" s="75"/>
      <c r="I155" s="75"/>
      <c r="J155" s="75"/>
      <c r="K155" s="75"/>
      <c r="L155" s="75"/>
      <c r="O155" s="75"/>
    </row>
    <row r="156" spans="1:15" x14ac:dyDescent="0.3">
      <c r="A156" s="75"/>
      <c r="B156" s="75"/>
      <c r="C156" s="75"/>
      <c r="D156" s="75"/>
      <c r="H156" s="75"/>
      <c r="I156" s="75"/>
      <c r="J156" s="75"/>
      <c r="K156" s="75"/>
      <c r="L156" s="75"/>
      <c r="O156" s="75"/>
    </row>
    <row r="157" spans="1:15" x14ac:dyDescent="0.3">
      <c r="A157" s="75"/>
      <c r="B157" s="75"/>
      <c r="C157" s="75"/>
      <c r="D157" s="75"/>
      <c r="H157" s="75"/>
      <c r="I157" s="75"/>
      <c r="J157" s="75"/>
      <c r="K157" s="75"/>
      <c r="L157" s="75"/>
      <c r="O157" s="75"/>
    </row>
    <row r="158" spans="1:15" x14ac:dyDescent="0.3">
      <c r="A158" s="75"/>
      <c r="B158" s="75"/>
      <c r="C158" s="75"/>
      <c r="D158" s="75"/>
      <c r="H158" s="75"/>
      <c r="I158" s="75"/>
      <c r="J158" s="75"/>
      <c r="K158" s="75"/>
      <c r="L158" s="75"/>
      <c r="O158" s="75"/>
    </row>
    <row r="159" spans="1:15" x14ac:dyDescent="0.3">
      <c r="A159" s="75"/>
      <c r="B159" s="75"/>
      <c r="C159" s="75"/>
      <c r="D159" s="75"/>
      <c r="H159" s="75"/>
      <c r="I159" s="75"/>
      <c r="J159" s="75"/>
      <c r="K159" s="75"/>
      <c r="L159" s="75"/>
      <c r="O159" s="75"/>
    </row>
    <row r="160" spans="1:15" x14ac:dyDescent="0.3">
      <c r="A160" s="75"/>
      <c r="B160" s="75"/>
      <c r="C160" s="75"/>
      <c r="D160" s="75"/>
      <c r="H160" s="75"/>
      <c r="I160" s="75"/>
      <c r="J160" s="75"/>
      <c r="K160" s="75"/>
      <c r="L160" s="75"/>
      <c r="O160" s="75"/>
    </row>
    <row r="161" spans="1:15" x14ac:dyDescent="0.3">
      <c r="A161" s="75"/>
      <c r="B161" s="75"/>
      <c r="C161" s="75"/>
      <c r="D161" s="75"/>
      <c r="H161" s="75"/>
      <c r="I161" s="75"/>
      <c r="J161" s="75"/>
      <c r="K161" s="75"/>
      <c r="L161" s="75"/>
      <c r="O161" s="75"/>
    </row>
    <row r="162" spans="1:15" x14ac:dyDescent="0.3">
      <c r="A162" s="75"/>
      <c r="B162" s="75"/>
      <c r="C162" s="75"/>
      <c r="D162" s="75"/>
      <c r="H162" s="75"/>
      <c r="I162" s="75"/>
      <c r="J162" s="75"/>
      <c r="K162" s="75"/>
      <c r="L162" s="75"/>
      <c r="O162" s="75"/>
    </row>
    <row r="163" spans="1:15" x14ac:dyDescent="0.3">
      <c r="A163" s="75"/>
      <c r="B163" s="75"/>
      <c r="C163" s="75"/>
      <c r="D163" s="75"/>
      <c r="H163" s="75"/>
      <c r="I163" s="75"/>
      <c r="J163" s="75"/>
      <c r="K163" s="75"/>
      <c r="L163" s="75"/>
      <c r="O163" s="75"/>
    </row>
    <row r="164" spans="1:15" x14ac:dyDescent="0.3">
      <c r="A164" s="75"/>
      <c r="B164" s="75"/>
      <c r="C164" s="75"/>
      <c r="D164" s="75"/>
      <c r="H164" s="75"/>
      <c r="I164" s="75"/>
      <c r="J164" s="75"/>
      <c r="K164" s="75"/>
      <c r="L164" s="75"/>
      <c r="O164" s="75"/>
    </row>
    <row r="165" spans="1:15" x14ac:dyDescent="0.3">
      <c r="A165" s="75"/>
      <c r="B165" s="75"/>
      <c r="C165" s="75"/>
      <c r="D165" s="75"/>
      <c r="H165" s="75"/>
      <c r="I165" s="75"/>
      <c r="J165" s="75"/>
      <c r="K165" s="75"/>
      <c r="L165" s="75"/>
      <c r="O165" s="75"/>
    </row>
    <row r="166" spans="1:15" x14ac:dyDescent="0.3">
      <c r="A166" s="75"/>
      <c r="B166" s="75"/>
      <c r="C166" s="75"/>
      <c r="D166" s="75"/>
      <c r="H166" s="75"/>
      <c r="I166" s="75"/>
      <c r="J166" s="75"/>
      <c r="K166" s="75"/>
      <c r="L166" s="75"/>
      <c r="O166" s="75"/>
    </row>
    <row r="167" spans="1:15" x14ac:dyDescent="0.3">
      <c r="A167" s="75"/>
      <c r="B167" s="75"/>
      <c r="C167" s="75"/>
      <c r="D167" s="75"/>
      <c r="H167" s="75"/>
      <c r="I167" s="75"/>
      <c r="J167" s="75"/>
      <c r="K167" s="75"/>
      <c r="L167" s="75"/>
      <c r="O167" s="75"/>
    </row>
    <row r="168" spans="1:15" x14ac:dyDescent="0.3">
      <c r="A168" s="75"/>
      <c r="B168" s="75"/>
      <c r="C168" s="75"/>
      <c r="D168" s="75"/>
      <c r="H168" s="75"/>
      <c r="I168" s="75"/>
      <c r="J168" s="75"/>
      <c r="K168" s="75"/>
      <c r="L168" s="75"/>
      <c r="O168" s="75"/>
    </row>
    <row r="169" spans="1:15" x14ac:dyDescent="0.3">
      <c r="A169" s="75"/>
      <c r="B169" s="75"/>
      <c r="C169" s="75"/>
      <c r="D169" s="75"/>
      <c r="H169" s="75"/>
      <c r="I169" s="75"/>
      <c r="J169" s="75"/>
      <c r="K169" s="75"/>
      <c r="L169" s="75"/>
      <c r="O169" s="75"/>
    </row>
    <row r="170" spans="1:15" x14ac:dyDescent="0.3">
      <c r="A170" s="75"/>
      <c r="B170" s="75"/>
      <c r="C170" s="75"/>
      <c r="D170" s="75"/>
      <c r="H170" s="75"/>
      <c r="I170" s="75"/>
      <c r="J170" s="75"/>
      <c r="K170" s="75"/>
      <c r="L170" s="75"/>
      <c r="O170" s="75"/>
    </row>
    <row r="171" spans="1:15" x14ac:dyDescent="0.3">
      <c r="A171" s="75"/>
      <c r="B171" s="75"/>
      <c r="C171" s="75"/>
      <c r="D171" s="75"/>
      <c r="H171" s="75"/>
      <c r="I171" s="75"/>
      <c r="J171" s="75"/>
      <c r="K171" s="75"/>
      <c r="L171" s="75"/>
      <c r="O171" s="75"/>
    </row>
    <row r="172" spans="1:15" x14ac:dyDescent="0.3">
      <c r="A172" s="75"/>
      <c r="B172" s="75"/>
      <c r="C172" s="75"/>
      <c r="D172" s="75"/>
      <c r="H172" s="75"/>
      <c r="I172" s="75"/>
      <c r="J172" s="75"/>
      <c r="K172" s="75"/>
      <c r="L172" s="75"/>
      <c r="O172" s="75"/>
    </row>
    <row r="173" spans="1:15" x14ac:dyDescent="0.3">
      <c r="A173" s="75"/>
      <c r="B173" s="75"/>
      <c r="C173" s="75"/>
      <c r="D173" s="75"/>
      <c r="H173" s="75"/>
      <c r="I173" s="75"/>
      <c r="J173" s="75"/>
      <c r="K173" s="75"/>
      <c r="L173" s="75"/>
      <c r="O173" s="75"/>
    </row>
    <row r="174" spans="1:15" x14ac:dyDescent="0.3">
      <c r="A174" s="75"/>
      <c r="B174" s="75"/>
      <c r="C174" s="75"/>
      <c r="D174" s="75"/>
      <c r="H174" s="75"/>
      <c r="I174" s="75"/>
      <c r="J174" s="75"/>
      <c r="K174" s="75"/>
      <c r="L174" s="75"/>
      <c r="O174" s="75"/>
    </row>
    <row r="175" spans="1:15" x14ac:dyDescent="0.3">
      <c r="A175" s="75"/>
      <c r="B175" s="75"/>
      <c r="C175" s="75"/>
      <c r="D175" s="75"/>
      <c r="H175" s="75"/>
      <c r="I175" s="75"/>
      <c r="J175" s="75"/>
      <c r="K175" s="75"/>
      <c r="L175" s="75"/>
      <c r="O175" s="75"/>
    </row>
    <row r="176" spans="1:15" x14ac:dyDescent="0.3">
      <c r="A176" s="75"/>
      <c r="B176" s="75"/>
      <c r="C176" s="75"/>
      <c r="D176" s="75"/>
      <c r="H176" s="75"/>
      <c r="I176" s="75"/>
      <c r="J176" s="75"/>
      <c r="K176" s="75"/>
      <c r="L176" s="75"/>
      <c r="O176" s="75"/>
    </row>
    <row r="177" spans="1:15" x14ac:dyDescent="0.3">
      <c r="A177" s="75"/>
      <c r="B177" s="75"/>
      <c r="C177" s="75"/>
      <c r="D177" s="75"/>
      <c r="H177" s="75"/>
      <c r="I177" s="75"/>
      <c r="J177" s="75"/>
      <c r="K177" s="75"/>
      <c r="L177" s="75"/>
      <c r="O177" s="75"/>
    </row>
    <row r="178" spans="1:15" x14ac:dyDescent="0.3">
      <c r="A178" s="75"/>
      <c r="B178" s="75"/>
      <c r="C178" s="75"/>
      <c r="D178" s="75"/>
      <c r="H178" s="75"/>
      <c r="I178" s="75"/>
      <c r="J178" s="75"/>
      <c r="K178" s="75"/>
      <c r="L178" s="75"/>
      <c r="O178" s="75"/>
    </row>
    <row r="179" spans="1:15" x14ac:dyDescent="0.3">
      <c r="A179" s="75"/>
      <c r="B179" s="75"/>
      <c r="C179" s="75"/>
      <c r="D179" s="75"/>
      <c r="H179" s="75"/>
      <c r="I179" s="75"/>
      <c r="J179" s="75"/>
      <c r="K179" s="75"/>
      <c r="L179" s="75"/>
      <c r="O179" s="75"/>
    </row>
    <row r="180" spans="1:15" x14ac:dyDescent="0.3">
      <c r="A180" s="75"/>
      <c r="B180" s="75"/>
      <c r="C180" s="75"/>
      <c r="D180" s="75"/>
      <c r="H180" s="75"/>
      <c r="I180" s="75"/>
      <c r="J180" s="75"/>
      <c r="K180" s="75"/>
      <c r="L180" s="75"/>
      <c r="O180" s="75"/>
    </row>
    <row r="181" spans="1:15" x14ac:dyDescent="0.3">
      <c r="A181" s="75"/>
      <c r="B181" s="75"/>
      <c r="C181" s="75"/>
      <c r="D181" s="75"/>
      <c r="H181" s="75"/>
      <c r="I181" s="75"/>
      <c r="J181" s="75"/>
      <c r="K181" s="75"/>
      <c r="L181" s="75"/>
      <c r="O181" s="75"/>
    </row>
    <row r="182" spans="1:15" x14ac:dyDescent="0.3">
      <c r="A182" s="75"/>
      <c r="B182" s="75"/>
      <c r="C182" s="75"/>
      <c r="D182" s="75"/>
      <c r="H182" s="75"/>
      <c r="I182" s="75"/>
      <c r="J182" s="75"/>
      <c r="K182" s="75"/>
      <c r="L182" s="75"/>
      <c r="O182" s="75"/>
    </row>
    <row r="183" spans="1:15" x14ac:dyDescent="0.3">
      <c r="A183" s="75"/>
      <c r="B183" s="75"/>
      <c r="C183" s="75"/>
      <c r="D183" s="75"/>
      <c r="H183" s="75"/>
      <c r="I183" s="75"/>
      <c r="J183" s="75"/>
      <c r="K183" s="75"/>
      <c r="L183" s="75"/>
      <c r="O183" s="75"/>
    </row>
    <row r="184" spans="1:15" x14ac:dyDescent="0.3">
      <c r="A184" s="75"/>
      <c r="B184" s="75"/>
      <c r="C184" s="75"/>
      <c r="D184" s="75"/>
      <c r="H184" s="75"/>
      <c r="I184" s="75"/>
      <c r="J184" s="75"/>
      <c r="K184" s="75"/>
      <c r="L184" s="75"/>
      <c r="O184" s="75"/>
    </row>
    <row r="185" spans="1:15" x14ac:dyDescent="0.3">
      <c r="A185" s="75"/>
      <c r="B185" s="75"/>
      <c r="C185" s="75"/>
      <c r="D185" s="75"/>
      <c r="H185" s="75"/>
      <c r="I185" s="75"/>
      <c r="J185" s="75"/>
      <c r="K185" s="75"/>
      <c r="L185" s="75"/>
      <c r="O185" s="75"/>
    </row>
    <row r="186" spans="1:15" x14ac:dyDescent="0.3">
      <c r="A186" s="75"/>
      <c r="B186" s="75"/>
      <c r="C186" s="75"/>
      <c r="D186" s="75"/>
      <c r="H186" s="75"/>
      <c r="I186" s="75"/>
      <c r="J186" s="75"/>
      <c r="K186" s="75"/>
      <c r="L186" s="75"/>
      <c r="O186" s="75"/>
    </row>
    <row r="187" spans="1:15" x14ac:dyDescent="0.3">
      <c r="A187" s="75"/>
      <c r="B187" s="75"/>
      <c r="C187" s="75"/>
      <c r="D187" s="75"/>
      <c r="H187" s="75"/>
      <c r="I187" s="75"/>
      <c r="J187" s="75"/>
      <c r="K187" s="75"/>
      <c r="L187" s="75"/>
      <c r="O187" s="75"/>
    </row>
    <row r="188" spans="1:15" x14ac:dyDescent="0.3">
      <c r="A188" s="75"/>
      <c r="B188" s="75"/>
      <c r="C188" s="75"/>
      <c r="D188" s="75"/>
      <c r="H188" s="75"/>
      <c r="I188" s="75"/>
      <c r="J188" s="75"/>
      <c r="K188" s="75"/>
      <c r="L188" s="75"/>
      <c r="O188" s="75"/>
    </row>
    <row r="189" spans="1:15" x14ac:dyDescent="0.3">
      <c r="A189" s="75"/>
      <c r="B189" s="75"/>
      <c r="C189" s="75"/>
      <c r="D189" s="75"/>
      <c r="H189" s="75"/>
      <c r="I189" s="75"/>
      <c r="J189" s="75"/>
      <c r="K189" s="75"/>
      <c r="L189" s="75"/>
      <c r="O189" s="75"/>
    </row>
    <row r="190" spans="1:15" x14ac:dyDescent="0.3">
      <c r="A190" s="75"/>
      <c r="B190" s="75"/>
      <c r="C190" s="75"/>
      <c r="D190" s="75"/>
      <c r="H190" s="75"/>
      <c r="I190" s="75"/>
      <c r="J190" s="75"/>
      <c r="K190" s="75"/>
      <c r="L190" s="75"/>
      <c r="O190" s="75"/>
    </row>
    <row r="191" spans="1:15" x14ac:dyDescent="0.3">
      <c r="A191" s="75"/>
      <c r="B191" s="75"/>
      <c r="C191" s="75"/>
      <c r="D191" s="75"/>
      <c r="H191" s="75"/>
      <c r="I191" s="75"/>
      <c r="J191" s="75"/>
      <c r="K191" s="75"/>
      <c r="L191" s="75"/>
      <c r="O191" s="75"/>
    </row>
    <row r="192" spans="1:15" x14ac:dyDescent="0.3">
      <c r="A192" s="75"/>
      <c r="B192" s="75"/>
      <c r="C192" s="75"/>
      <c r="D192" s="75"/>
      <c r="H192" s="75"/>
      <c r="I192" s="75"/>
      <c r="J192" s="75"/>
      <c r="K192" s="75"/>
      <c r="L192" s="75"/>
      <c r="O192" s="75"/>
    </row>
    <row r="193" spans="1:15" x14ac:dyDescent="0.3">
      <c r="A193" s="75"/>
      <c r="B193" s="75"/>
      <c r="C193" s="75"/>
      <c r="D193" s="75"/>
      <c r="H193" s="75"/>
      <c r="I193" s="75"/>
      <c r="J193" s="75"/>
      <c r="K193" s="75"/>
      <c r="L193" s="75"/>
      <c r="O193" s="75"/>
    </row>
    <row r="194" spans="1:15" x14ac:dyDescent="0.3">
      <c r="A194" s="75"/>
      <c r="B194" s="75"/>
      <c r="C194" s="75"/>
      <c r="D194" s="75"/>
      <c r="H194" s="75"/>
      <c r="I194" s="75"/>
      <c r="J194" s="75"/>
      <c r="K194" s="75"/>
      <c r="L194" s="75"/>
      <c r="O194" s="75"/>
    </row>
    <row r="195" spans="1:15" x14ac:dyDescent="0.3">
      <c r="A195" s="75"/>
      <c r="B195" s="75"/>
      <c r="C195" s="75"/>
      <c r="D195" s="75"/>
      <c r="H195" s="75"/>
      <c r="I195" s="75"/>
      <c r="J195" s="75"/>
      <c r="K195" s="75"/>
      <c r="L195" s="75"/>
      <c r="O195" s="75"/>
    </row>
    <row r="196" spans="1:15" x14ac:dyDescent="0.3">
      <c r="A196" s="75"/>
      <c r="B196" s="75"/>
      <c r="C196" s="75"/>
      <c r="D196" s="75"/>
      <c r="H196" s="75"/>
      <c r="I196" s="75"/>
      <c r="J196" s="75"/>
      <c r="K196" s="75"/>
      <c r="L196" s="75"/>
      <c r="O196" s="75"/>
    </row>
    <row r="197" spans="1:15" x14ac:dyDescent="0.3">
      <c r="A197" s="75"/>
      <c r="B197" s="75"/>
      <c r="C197" s="75"/>
      <c r="D197" s="75"/>
      <c r="H197" s="75"/>
      <c r="I197" s="75"/>
      <c r="J197" s="75"/>
      <c r="K197" s="75"/>
      <c r="L197" s="75"/>
      <c r="O197" s="75"/>
    </row>
    <row r="198" spans="1:15" x14ac:dyDescent="0.3">
      <c r="A198" s="75"/>
      <c r="B198" s="75"/>
      <c r="C198" s="75"/>
      <c r="D198" s="75"/>
      <c r="H198" s="75"/>
      <c r="I198" s="75"/>
      <c r="J198" s="75"/>
      <c r="K198" s="75"/>
      <c r="L198" s="75"/>
      <c r="O198" s="75"/>
    </row>
    <row r="199" spans="1:15" x14ac:dyDescent="0.3">
      <c r="A199" s="75"/>
      <c r="B199" s="75"/>
      <c r="C199" s="75"/>
      <c r="D199" s="75"/>
      <c r="H199" s="75"/>
      <c r="I199" s="75"/>
      <c r="J199" s="75"/>
      <c r="K199" s="75"/>
      <c r="L199" s="75"/>
      <c r="O199" s="75"/>
    </row>
    <row r="200" spans="1:15" x14ac:dyDescent="0.3">
      <c r="A200" s="75"/>
      <c r="B200" s="75"/>
      <c r="C200" s="75"/>
      <c r="D200" s="75"/>
      <c r="H200" s="75"/>
      <c r="I200" s="75"/>
      <c r="J200" s="75"/>
      <c r="K200" s="75"/>
      <c r="L200" s="75"/>
      <c r="O200" s="75"/>
    </row>
    <row r="201" spans="1:15" x14ac:dyDescent="0.3">
      <c r="A201" s="75"/>
      <c r="B201" s="75"/>
      <c r="C201" s="75"/>
      <c r="D201" s="75"/>
      <c r="H201" s="75"/>
      <c r="I201" s="75"/>
      <c r="J201" s="75"/>
      <c r="K201" s="75"/>
      <c r="L201" s="75"/>
      <c r="O201" s="75"/>
    </row>
    <row r="202" spans="1:15" x14ac:dyDescent="0.3">
      <c r="A202" s="75"/>
      <c r="B202" s="75"/>
      <c r="C202" s="75"/>
      <c r="D202" s="75"/>
      <c r="H202" s="75"/>
      <c r="I202" s="75"/>
      <c r="J202" s="75"/>
      <c r="K202" s="75"/>
      <c r="L202" s="75"/>
      <c r="O202" s="75"/>
    </row>
    <row r="203" spans="1:15" x14ac:dyDescent="0.3">
      <c r="A203" s="75"/>
      <c r="B203" s="75"/>
      <c r="C203" s="75"/>
      <c r="D203" s="75"/>
      <c r="H203" s="75"/>
      <c r="I203" s="75"/>
      <c r="J203" s="75"/>
      <c r="K203" s="75"/>
      <c r="L203" s="75"/>
      <c r="O203" s="75"/>
    </row>
    <row r="204" spans="1:15" x14ac:dyDescent="0.3">
      <c r="A204" s="75"/>
      <c r="B204" s="75"/>
      <c r="C204" s="75"/>
      <c r="D204" s="75"/>
      <c r="H204" s="75"/>
      <c r="I204" s="75"/>
      <c r="J204" s="75"/>
      <c r="K204" s="75"/>
      <c r="L204" s="75"/>
      <c r="O204" s="75"/>
    </row>
    <row r="205" spans="1:15" x14ac:dyDescent="0.3">
      <c r="A205" s="75"/>
      <c r="B205" s="75"/>
      <c r="C205" s="75"/>
      <c r="D205" s="75"/>
      <c r="H205" s="75"/>
      <c r="I205" s="75"/>
      <c r="J205" s="75"/>
      <c r="K205" s="75"/>
      <c r="L205" s="75"/>
      <c r="O205" s="75"/>
    </row>
    <row r="206" spans="1:15" x14ac:dyDescent="0.3">
      <c r="A206" s="75"/>
      <c r="B206" s="75"/>
      <c r="C206" s="75"/>
      <c r="D206" s="75"/>
      <c r="H206" s="75"/>
      <c r="I206" s="75"/>
      <c r="J206" s="75"/>
      <c r="K206" s="75"/>
      <c r="L206" s="75"/>
      <c r="O206" s="75"/>
    </row>
    <row r="207" spans="1:15" x14ac:dyDescent="0.3">
      <c r="A207" s="75"/>
      <c r="B207" s="75"/>
      <c r="C207" s="75"/>
      <c r="D207" s="75"/>
      <c r="H207" s="75"/>
      <c r="I207" s="75"/>
      <c r="J207" s="75"/>
      <c r="K207" s="75"/>
      <c r="L207" s="75"/>
      <c r="O207" s="75"/>
    </row>
    <row r="208" spans="1:15" x14ac:dyDescent="0.3">
      <c r="A208" s="75"/>
      <c r="B208" s="75"/>
      <c r="C208" s="75"/>
      <c r="D208" s="75"/>
      <c r="H208" s="75"/>
      <c r="I208" s="75"/>
      <c r="J208" s="75"/>
      <c r="K208" s="75"/>
      <c r="L208" s="75"/>
      <c r="O208" s="75"/>
    </row>
    <row r="209" spans="1:15" x14ac:dyDescent="0.3">
      <c r="A209" s="75"/>
      <c r="B209" s="75"/>
      <c r="C209" s="75"/>
      <c r="D209" s="75"/>
      <c r="H209" s="75"/>
      <c r="I209" s="75"/>
      <c r="J209" s="75"/>
      <c r="K209" s="75"/>
      <c r="L209" s="75"/>
      <c r="O209" s="75"/>
    </row>
    <row r="210" spans="1:15" x14ac:dyDescent="0.3">
      <c r="A210" s="75"/>
      <c r="B210" s="75"/>
      <c r="C210" s="75"/>
      <c r="D210" s="75"/>
      <c r="H210" s="75"/>
      <c r="I210" s="75"/>
      <c r="J210" s="75"/>
      <c r="K210" s="75"/>
      <c r="L210" s="75"/>
      <c r="O210" s="75"/>
    </row>
    <row r="211" spans="1:15" x14ac:dyDescent="0.3">
      <c r="A211" s="75"/>
      <c r="B211" s="75"/>
      <c r="C211" s="75"/>
      <c r="D211" s="75"/>
      <c r="H211" s="75"/>
      <c r="I211" s="75"/>
      <c r="J211" s="75"/>
      <c r="K211" s="75"/>
      <c r="L211" s="75"/>
      <c r="O211" s="75"/>
    </row>
    <row r="212" spans="1:15" x14ac:dyDescent="0.3">
      <c r="A212" s="75"/>
      <c r="B212" s="75"/>
      <c r="C212" s="75"/>
      <c r="D212" s="75"/>
      <c r="H212" s="75"/>
      <c r="I212" s="75"/>
      <c r="J212" s="75"/>
      <c r="K212" s="75"/>
      <c r="L212" s="75"/>
      <c r="O212" s="75"/>
    </row>
    <row r="213" spans="1:15" x14ac:dyDescent="0.3">
      <c r="A213" s="75"/>
      <c r="B213" s="75"/>
      <c r="C213" s="75"/>
      <c r="D213" s="75"/>
      <c r="H213" s="75"/>
      <c r="I213" s="75"/>
      <c r="J213" s="75"/>
      <c r="K213" s="75"/>
      <c r="L213" s="75"/>
      <c r="O213" s="75"/>
    </row>
    <row r="214" spans="1:15" x14ac:dyDescent="0.3">
      <c r="A214" s="75"/>
      <c r="B214" s="75"/>
      <c r="C214" s="75"/>
      <c r="D214" s="75"/>
      <c r="H214" s="75"/>
      <c r="I214" s="75"/>
      <c r="J214" s="75"/>
      <c r="K214" s="75"/>
      <c r="L214" s="75"/>
      <c r="O214" s="75"/>
    </row>
    <row r="215" spans="1:15" x14ac:dyDescent="0.3">
      <c r="A215" s="75"/>
      <c r="B215" s="75"/>
      <c r="C215" s="75"/>
      <c r="D215" s="75"/>
      <c r="H215" s="75"/>
      <c r="I215" s="75"/>
      <c r="J215" s="75"/>
      <c r="K215" s="75"/>
      <c r="L215" s="75"/>
      <c r="O215" s="75"/>
    </row>
    <row r="216" spans="1:15" x14ac:dyDescent="0.3">
      <c r="A216" s="75"/>
      <c r="B216" s="75"/>
      <c r="C216" s="75"/>
      <c r="D216" s="75"/>
      <c r="H216" s="75"/>
      <c r="I216" s="75"/>
      <c r="J216" s="75"/>
      <c r="K216" s="75"/>
      <c r="L216" s="75"/>
      <c r="O216" s="75"/>
    </row>
    <row r="217" spans="1:15" x14ac:dyDescent="0.3">
      <c r="A217" s="75"/>
      <c r="B217" s="75"/>
      <c r="C217" s="75"/>
      <c r="D217" s="75"/>
      <c r="H217" s="75"/>
      <c r="I217" s="75"/>
      <c r="J217" s="75"/>
      <c r="K217" s="75"/>
      <c r="L217" s="75"/>
      <c r="O217" s="75"/>
    </row>
    <row r="218" spans="1:15" x14ac:dyDescent="0.3">
      <c r="A218" s="75"/>
      <c r="B218" s="75"/>
      <c r="C218" s="75"/>
      <c r="D218" s="75"/>
      <c r="H218" s="75"/>
      <c r="I218" s="75"/>
      <c r="J218" s="75"/>
      <c r="K218" s="75"/>
      <c r="L218" s="75"/>
      <c r="O218" s="75"/>
    </row>
    <row r="219" spans="1:15" x14ac:dyDescent="0.3">
      <c r="A219" s="75"/>
      <c r="B219" s="75"/>
      <c r="C219" s="75"/>
      <c r="D219" s="75"/>
      <c r="H219" s="75"/>
      <c r="I219" s="75"/>
      <c r="J219" s="75"/>
      <c r="K219" s="75"/>
      <c r="L219" s="75"/>
      <c r="O219" s="75"/>
    </row>
    <row r="220" spans="1:15" x14ac:dyDescent="0.3">
      <c r="A220" s="75"/>
      <c r="B220" s="75"/>
      <c r="C220" s="75"/>
      <c r="D220" s="75"/>
      <c r="H220" s="75"/>
      <c r="I220" s="75"/>
      <c r="J220" s="75"/>
      <c r="K220" s="75"/>
      <c r="L220" s="75"/>
      <c r="O220" s="75"/>
    </row>
    <row r="221" spans="1:15" x14ac:dyDescent="0.3">
      <c r="A221" s="75"/>
      <c r="B221" s="75"/>
      <c r="C221" s="75"/>
      <c r="D221" s="75"/>
      <c r="H221" s="75"/>
      <c r="I221" s="75"/>
      <c r="J221" s="75"/>
      <c r="K221" s="75"/>
      <c r="L221" s="75"/>
      <c r="O221" s="75"/>
    </row>
    <row r="222" spans="1:15" x14ac:dyDescent="0.3">
      <c r="A222" s="75"/>
      <c r="B222" s="75"/>
      <c r="C222" s="75"/>
      <c r="D222" s="75"/>
      <c r="H222" s="75"/>
      <c r="I222" s="75"/>
      <c r="J222" s="75"/>
      <c r="K222" s="75"/>
      <c r="L222" s="75"/>
      <c r="O222" s="75"/>
    </row>
    <row r="223" spans="1:15" x14ac:dyDescent="0.3">
      <c r="A223" s="75"/>
      <c r="B223" s="75"/>
      <c r="C223" s="75"/>
      <c r="D223" s="75"/>
      <c r="H223" s="75"/>
      <c r="I223" s="75"/>
      <c r="J223" s="75"/>
      <c r="K223" s="75"/>
      <c r="L223" s="75"/>
      <c r="O223" s="75"/>
    </row>
    <row r="224" spans="1:15" x14ac:dyDescent="0.3">
      <c r="A224" s="75"/>
      <c r="B224" s="75"/>
      <c r="C224" s="75"/>
      <c r="D224" s="75"/>
      <c r="H224" s="75"/>
      <c r="I224" s="75"/>
      <c r="J224" s="75"/>
      <c r="K224" s="75"/>
      <c r="L224" s="75"/>
      <c r="O224" s="75"/>
    </row>
    <row r="225" spans="1:15" x14ac:dyDescent="0.3">
      <c r="A225" s="75"/>
      <c r="B225" s="75"/>
      <c r="C225" s="75"/>
      <c r="D225" s="75"/>
      <c r="H225" s="75"/>
      <c r="I225" s="75"/>
      <c r="J225" s="75"/>
      <c r="K225" s="75"/>
      <c r="L225" s="75"/>
      <c r="O225" s="75"/>
    </row>
    <row r="226" spans="1:15" x14ac:dyDescent="0.3">
      <c r="A226" s="75"/>
      <c r="B226" s="75"/>
      <c r="C226" s="75"/>
      <c r="D226" s="75"/>
      <c r="H226" s="75"/>
      <c r="I226" s="75"/>
      <c r="J226" s="75"/>
      <c r="K226" s="75"/>
      <c r="L226" s="75"/>
      <c r="O226" s="75"/>
    </row>
    <row r="227" spans="1:15" x14ac:dyDescent="0.3">
      <c r="A227" s="75"/>
      <c r="B227" s="75"/>
      <c r="C227" s="75"/>
      <c r="D227" s="75"/>
      <c r="H227" s="75"/>
      <c r="I227" s="75"/>
      <c r="J227" s="75"/>
      <c r="K227" s="75"/>
      <c r="L227" s="75"/>
      <c r="O227" s="75"/>
    </row>
    <row r="228" spans="1:15" x14ac:dyDescent="0.3">
      <c r="A228" s="75"/>
      <c r="B228" s="75"/>
      <c r="C228" s="75"/>
      <c r="D228" s="75"/>
      <c r="H228" s="75"/>
      <c r="I228" s="75"/>
      <c r="J228" s="75"/>
      <c r="K228" s="75"/>
      <c r="L228" s="75"/>
      <c r="O228" s="75"/>
    </row>
    <row r="229" spans="1:15" x14ac:dyDescent="0.3">
      <c r="A229" s="75"/>
      <c r="B229" s="75"/>
      <c r="C229" s="75"/>
      <c r="D229" s="75"/>
      <c r="H229" s="75"/>
      <c r="I229" s="75"/>
      <c r="J229" s="75"/>
      <c r="K229" s="75"/>
      <c r="L229" s="75"/>
      <c r="O229" s="75"/>
    </row>
    <row r="230" spans="1:15" x14ac:dyDescent="0.3">
      <c r="A230" s="75"/>
      <c r="B230" s="75"/>
      <c r="C230" s="75"/>
      <c r="D230" s="75"/>
      <c r="H230" s="75"/>
      <c r="I230" s="75"/>
      <c r="J230" s="75"/>
      <c r="K230" s="75"/>
      <c r="L230" s="75"/>
      <c r="O230" s="75"/>
    </row>
    <row r="231" spans="1:15" x14ac:dyDescent="0.3">
      <c r="A231" s="75"/>
      <c r="B231" s="75"/>
      <c r="C231" s="75"/>
      <c r="D231" s="75"/>
      <c r="H231" s="75"/>
      <c r="I231" s="75"/>
      <c r="J231" s="75"/>
      <c r="K231" s="75"/>
      <c r="L231" s="75"/>
      <c r="O231" s="75"/>
    </row>
    <row r="232" spans="1:15" x14ac:dyDescent="0.3">
      <c r="A232" s="75"/>
      <c r="B232" s="75"/>
      <c r="C232" s="75"/>
      <c r="D232" s="75"/>
      <c r="H232" s="75"/>
      <c r="I232" s="75"/>
      <c r="J232" s="75"/>
      <c r="K232" s="75"/>
      <c r="L232" s="75"/>
      <c r="O232" s="75"/>
    </row>
    <row r="233" spans="1:15" x14ac:dyDescent="0.3">
      <c r="A233" s="75"/>
      <c r="B233" s="75"/>
      <c r="C233" s="75"/>
      <c r="D233" s="75"/>
      <c r="H233" s="75"/>
      <c r="I233" s="75"/>
      <c r="J233" s="75"/>
      <c r="K233" s="75"/>
      <c r="L233" s="75"/>
      <c r="O233" s="75"/>
    </row>
    <row r="234" spans="1:15" x14ac:dyDescent="0.3">
      <c r="A234" s="75"/>
      <c r="B234" s="75"/>
      <c r="C234" s="75"/>
      <c r="D234" s="75"/>
      <c r="H234" s="75"/>
      <c r="I234" s="75"/>
      <c r="J234" s="75"/>
      <c r="K234" s="75"/>
      <c r="L234" s="75"/>
      <c r="O234" s="75"/>
    </row>
    <row r="235" spans="1:15" x14ac:dyDescent="0.3">
      <c r="A235" s="75"/>
      <c r="B235" s="75"/>
      <c r="C235" s="75"/>
      <c r="D235" s="75"/>
      <c r="H235" s="75"/>
      <c r="I235" s="75"/>
      <c r="J235" s="75"/>
      <c r="K235" s="75"/>
      <c r="L235" s="75"/>
      <c r="O235" s="75"/>
    </row>
    <row r="236" spans="1:15" x14ac:dyDescent="0.3">
      <c r="A236" s="75"/>
      <c r="B236" s="75"/>
      <c r="C236" s="75"/>
      <c r="D236" s="75"/>
      <c r="H236" s="75"/>
      <c r="I236" s="75"/>
      <c r="J236" s="75"/>
      <c r="K236" s="75"/>
      <c r="L236" s="75"/>
      <c r="O236" s="75"/>
    </row>
    <row r="237" spans="1:15" x14ac:dyDescent="0.3">
      <c r="A237" s="75"/>
      <c r="B237" s="75"/>
      <c r="C237" s="75"/>
      <c r="D237" s="75"/>
      <c r="H237" s="75"/>
      <c r="I237" s="75"/>
      <c r="J237" s="75"/>
      <c r="K237" s="75"/>
      <c r="L237" s="75"/>
      <c r="O237" s="75"/>
    </row>
    <row r="238" spans="1:15" x14ac:dyDescent="0.3">
      <c r="A238" s="75"/>
      <c r="B238" s="75"/>
      <c r="C238" s="75"/>
      <c r="D238" s="75"/>
      <c r="H238" s="75"/>
      <c r="I238" s="75"/>
      <c r="J238" s="75"/>
      <c r="K238" s="75"/>
      <c r="L238" s="75"/>
      <c r="O238" s="75"/>
    </row>
    <row r="239" spans="1:15" x14ac:dyDescent="0.3">
      <c r="A239" s="75"/>
      <c r="B239" s="75"/>
      <c r="C239" s="75"/>
      <c r="D239" s="75"/>
      <c r="H239" s="75"/>
      <c r="I239" s="75"/>
      <c r="J239" s="75"/>
      <c r="K239" s="75"/>
      <c r="L239" s="75"/>
      <c r="O239" s="75"/>
    </row>
    <row r="240" spans="1:15" x14ac:dyDescent="0.3">
      <c r="A240" s="75"/>
      <c r="B240" s="75"/>
      <c r="C240" s="75"/>
      <c r="D240" s="75"/>
      <c r="H240" s="75"/>
      <c r="I240" s="75"/>
      <c r="J240" s="75"/>
      <c r="K240" s="75"/>
      <c r="L240" s="75"/>
      <c r="O240" s="75"/>
    </row>
    <row r="241" spans="1:15" x14ac:dyDescent="0.3">
      <c r="A241" s="75"/>
      <c r="B241" s="75"/>
      <c r="C241" s="75"/>
      <c r="D241" s="75"/>
      <c r="H241" s="75"/>
      <c r="I241" s="75"/>
      <c r="J241" s="75"/>
      <c r="K241" s="75"/>
      <c r="L241" s="75"/>
      <c r="O241" s="75"/>
    </row>
    <row r="242" spans="1:15" x14ac:dyDescent="0.3">
      <c r="A242" s="75"/>
      <c r="B242" s="75"/>
      <c r="C242" s="75"/>
      <c r="D242" s="75"/>
      <c r="H242" s="75"/>
      <c r="I242" s="75"/>
      <c r="J242" s="75"/>
      <c r="K242" s="75"/>
      <c r="L242" s="75"/>
      <c r="O242" s="75"/>
    </row>
    <row r="243" spans="1:15" x14ac:dyDescent="0.3">
      <c r="A243" s="75"/>
      <c r="B243" s="75"/>
      <c r="C243" s="75"/>
      <c r="D243" s="75"/>
      <c r="H243" s="75"/>
      <c r="I243" s="75"/>
      <c r="J243" s="75"/>
      <c r="K243" s="75"/>
      <c r="L243" s="75"/>
      <c r="O243" s="75"/>
    </row>
    <row r="244" spans="1:15" x14ac:dyDescent="0.3">
      <c r="A244" s="75"/>
      <c r="B244" s="75"/>
      <c r="C244" s="75"/>
      <c r="D244" s="75"/>
      <c r="H244" s="75"/>
      <c r="I244" s="75"/>
      <c r="J244" s="75"/>
      <c r="K244" s="75"/>
      <c r="L244" s="75"/>
      <c r="O244" s="75"/>
    </row>
    <row r="245" spans="1:15" x14ac:dyDescent="0.3">
      <c r="A245" s="75"/>
      <c r="B245" s="75"/>
      <c r="C245" s="75"/>
      <c r="D245" s="75"/>
      <c r="H245" s="75"/>
      <c r="I245" s="75"/>
      <c r="J245" s="75"/>
      <c r="K245" s="75"/>
      <c r="L245" s="75"/>
      <c r="O245" s="75"/>
    </row>
    <row r="246" spans="1:15" x14ac:dyDescent="0.3">
      <c r="A246" s="75"/>
      <c r="B246" s="75"/>
      <c r="C246" s="75"/>
      <c r="D246" s="75"/>
      <c r="H246" s="75"/>
      <c r="I246" s="75"/>
      <c r="J246" s="75"/>
      <c r="K246" s="75"/>
      <c r="L246" s="75"/>
      <c r="O246" s="75"/>
    </row>
    <row r="247" spans="1:15" x14ac:dyDescent="0.3">
      <c r="A247" s="75"/>
      <c r="B247" s="75"/>
      <c r="C247" s="75"/>
      <c r="D247" s="75"/>
      <c r="H247" s="75"/>
      <c r="I247" s="75"/>
      <c r="J247" s="75"/>
      <c r="K247" s="75"/>
      <c r="L247" s="75"/>
      <c r="O247" s="75"/>
    </row>
    <row r="248" spans="1:15" x14ac:dyDescent="0.3">
      <c r="A248" s="75"/>
      <c r="B248" s="75"/>
      <c r="C248" s="75"/>
      <c r="D248" s="75"/>
      <c r="H248" s="75"/>
      <c r="I248" s="75"/>
      <c r="J248" s="75"/>
      <c r="K248" s="75"/>
      <c r="L248" s="75"/>
      <c r="O248" s="75"/>
    </row>
    <row r="249" spans="1:15" x14ac:dyDescent="0.3">
      <c r="A249" s="75"/>
      <c r="B249" s="75"/>
      <c r="C249" s="75"/>
      <c r="D249" s="75"/>
      <c r="H249" s="75"/>
      <c r="I249" s="75"/>
      <c r="J249" s="75"/>
      <c r="K249" s="75"/>
      <c r="L249" s="75"/>
      <c r="O249" s="75"/>
    </row>
    <row r="250" spans="1:15" x14ac:dyDescent="0.3">
      <c r="A250" s="75"/>
      <c r="B250" s="75"/>
      <c r="C250" s="75"/>
      <c r="D250" s="75"/>
      <c r="H250" s="75"/>
      <c r="I250" s="75"/>
      <c r="J250" s="75"/>
      <c r="K250" s="75"/>
      <c r="L250" s="75"/>
      <c r="O250" s="75"/>
    </row>
    <row r="251" spans="1:15" x14ac:dyDescent="0.3">
      <c r="A251" s="75"/>
      <c r="B251" s="75"/>
      <c r="C251" s="75"/>
      <c r="D251" s="75"/>
      <c r="H251" s="75"/>
      <c r="I251" s="75"/>
      <c r="J251" s="75"/>
      <c r="K251" s="75"/>
      <c r="L251" s="75"/>
      <c r="O251" s="75"/>
    </row>
    <row r="252" spans="1:15" x14ac:dyDescent="0.3">
      <c r="A252" s="75"/>
      <c r="B252" s="75"/>
      <c r="C252" s="75"/>
      <c r="D252" s="75"/>
      <c r="H252" s="75"/>
      <c r="I252" s="75"/>
      <c r="J252" s="75"/>
      <c r="K252" s="75"/>
      <c r="L252" s="75"/>
      <c r="O252" s="75"/>
    </row>
    <row r="253" spans="1:15" x14ac:dyDescent="0.3">
      <c r="A253" s="75"/>
      <c r="B253" s="75"/>
      <c r="C253" s="75"/>
      <c r="D253" s="75"/>
      <c r="H253" s="75"/>
      <c r="I253" s="75"/>
      <c r="J253" s="75"/>
      <c r="K253" s="75"/>
      <c r="L253" s="75"/>
      <c r="O253" s="75"/>
    </row>
    <row r="254" spans="1:15" x14ac:dyDescent="0.3">
      <c r="A254" s="75"/>
      <c r="B254" s="75"/>
      <c r="C254" s="75"/>
      <c r="D254" s="75"/>
      <c r="H254" s="75"/>
      <c r="I254" s="75"/>
      <c r="J254" s="75"/>
      <c r="K254" s="75"/>
      <c r="L254" s="75"/>
      <c r="O254" s="75"/>
    </row>
    <row r="255" spans="1:15" x14ac:dyDescent="0.3">
      <c r="A255" s="75"/>
      <c r="B255" s="75"/>
      <c r="C255" s="75"/>
      <c r="D255" s="75"/>
      <c r="H255" s="75"/>
      <c r="I255" s="75"/>
      <c r="J255" s="75"/>
      <c r="K255" s="75"/>
      <c r="L255" s="75"/>
      <c r="O255" s="75"/>
    </row>
    <row r="256" spans="1:15" x14ac:dyDescent="0.3">
      <c r="A256" s="75"/>
      <c r="B256" s="75"/>
      <c r="C256" s="75"/>
      <c r="D256" s="75"/>
      <c r="H256" s="75"/>
      <c r="I256" s="75"/>
      <c r="J256" s="75"/>
      <c r="K256" s="75"/>
      <c r="L256" s="75"/>
      <c r="O256" s="75"/>
    </row>
    <row r="257" spans="1:15" x14ac:dyDescent="0.3">
      <c r="A257" s="75"/>
      <c r="B257" s="75"/>
      <c r="C257" s="75"/>
      <c r="D257" s="75"/>
      <c r="H257" s="75"/>
      <c r="I257" s="75"/>
      <c r="J257" s="75"/>
      <c r="K257" s="75"/>
      <c r="L257" s="75"/>
      <c r="O257" s="75"/>
    </row>
    <row r="258" spans="1:15" x14ac:dyDescent="0.3">
      <c r="A258" s="220"/>
      <c r="B258" s="220"/>
      <c r="C258" s="220"/>
      <c r="D258" s="220"/>
      <c r="H258" s="220"/>
      <c r="I258" s="220"/>
      <c r="J258" s="220"/>
      <c r="K258" s="220"/>
      <c r="L258" s="220"/>
      <c r="O258" s="220"/>
    </row>
    <row r="259" spans="1:15" x14ac:dyDescent="0.3">
      <c r="A259" s="75"/>
      <c r="B259" s="75"/>
      <c r="C259" s="75"/>
      <c r="D259" s="75"/>
      <c r="H259" s="75"/>
      <c r="I259" s="75"/>
      <c r="J259" s="75"/>
      <c r="K259" s="75"/>
      <c r="L259" s="75"/>
      <c r="O259" s="75"/>
    </row>
    <row r="260" spans="1:15" x14ac:dyDescent="0.3">
      <c r="A260" s="75"/>
      <c r="B260" s="75"/>
      <c r="C260" s="75"/>
      <c r="D260" s="75"/>
      <c r="H260" s="75"/>
      <c r="I260" s="75"/>
      <c r="J260" s="75"/>
      <c r="K260" s="75"/>
      <c r="L260" s="75"/>
      <c r="O260" s="75"/>
    </row>
    <row r="261" spans="1:15" x14ac:dyDescent="0.3">
      <c r="A261" s="75"/>
      <c r="B261" s="75"/>
      <c r="C261" s="75"/>
      <c r="D261" s="75"/>
      <c r="H261" s="75"/>
      <c r="I261" s="75"/>
      <c r="J261" s="75"/>
      <c r="K261" s="75"/>
      <c r="L261" s="75"/>
      <c r="O261" s="75"/>
    </row>
    <row r="262" spans="1:15" x14ac:dyDescent="0.3">
      <c r="A262" s="75"/>
      <c r="B262" s="75"/>
      <c r="C262" s="75"/>
      <c r="D262" s="75"/>
      <c r="H262" s="75"/>
      <c r="I262" s="75"/>
      <c r="J262" s="75"/>
      <c r="K262" s="75"/>
      <c r="L262" s="75"/>
      <c r="O262" s="75"/>
    </row>
    <row r="263" spans="1:15" x14ac:dyDescent="0.3">
      <c r="A263" s="75"/>
      <c r="B263" s="75"/>
      <c r="C263" s="75"/>
      <c r="D263" s="75"/>
      <c r="H263" s="75"/>
      <c r="I263" s="75"/>
      <c r="J263" s="75"/>
      <c r="K263" s="75"/>
      <c r="L263" s="75"/>
      <c r="O263" s="75"/>
    </row>
    <row r="264" spans="1:15" x14ac:dyDescent="0.3">
      <c r="A264" s="75"/>
      <c r="B264" s="75"/>
      <c r="C264" s="75"/>
      <c r="D264" s="75"/>
      <c r="H264" s="75"/>
      <c r="I264" s="75"/>
      <c r="J264" s="75"/>
      <c r="K264" s="75"/>
      <c r="L264" s="75"/>
      <c r="O264" s="75"/>
    </row>
    <row r="265" spans="1:15" x14ac:dyDescent="0.3">
      <c r="A265" s="75"/>
      <c r="B265" s="75"/>
      <c r="C265" s="75"/>
      <c r="D265" s="75"/>
      <c r="H265" s="75"/>
      <c r="I265" s="75"/>
      <c r="J265" s="75"/>
      <c r="K265" s="75"/>
      <c r="L265" s="75"/>
      <c r="O265" s="75"/>
    </row>
    <row r="266" spans="1:15" x14ac:dyDescent="0.3">
      <c r="A266" s="75"/>
      <c r="B266" s="75"/>
      <c r="C266" s="75"/>
      <c r="D266" s="75"/>
      <c r="H266" s="75"/>
      <c r="I266" s="75"/>
      <c r="J266" s="75"/>
      <c r="K266" s="75"/>
      <c r="L266" s="75"/>
      <c r="O266" s="75"/>
    </row>
    <row r="267" spans="1:15" x14ac:dyDescent="0.3">
      <c r="A267" s="75"/>
      <c r="B267" s="75"/>
      <c r="C267" s="75"/>
      <c r="D267" s="75"/>
      <c r="H267" s="75"/>
      <c r="I267" s="75"/>
      <c r="J267" s="75"/>
      <c r="K267" s="75"/>
      <c r="L267" s="75"/>
      <c r="O267" s="75"/>
    </row>
    <row r="268" spans="1:15" x14ac:dyDescent="0.3">
      <c r="A268" s="75"/>
      <c r="B268" s="75"/>
      <c r="C268" s="75"/>
      <c r="D268" s="75"/>
      <c r="H268" s="75"/>
      <c r="I268" s="75"/>
      <c r="J268" s="75"/>
      <c r="K268" s="75"/>
      <c r="L268" s="75"/>
      <c r="O268" s="75"/>
    </row>
    <row r="269" spans="1:15" x14ac:dyDescent="0.3">
      <c r="A269" s="75"/>
      <c r="B269" s="75"/>
      <c r="C269" s="75"/>
      <c r="D269" s="75"/>
      <c r="H269" s="75"/>
      <c r="I269" s="75"/>
      <c r="J269" s="75"/>
      <c r="K269" s="75"/>
      <c r="L269" s="75"/>
      <c r="O269" s="75"/>
    </row>
    <row r="270" spans="1:15" x14ac:dyDescent="0.3">
      <c r="A270" s="75"/>
      <c r="B270" s="75"/>
      <c r="C270" s="75"/>
      <c r="D270" s="75"/>
      <c r="H270" s="75"/>
      <c r="I270" s="75"/>
      <c r="J270" s="75"/>
      <c r="K270" s="75"/>
      <c r="L270" s="75"/>
      <c r="O270" s="75"/>
    </row>
    <row r="271" spans="1:15" x14ac:dyDescent="0.3">
      <c r="A271" s="75"/>
      <c r="B271" s="75"/>
      <c r="C271" s="75"/>
      <c r="D271" s="75"/>
      <c r="H271" s="75"/>
      <c r="I271" s="75"/>
      <c r="J271" s="75"/>
      <c r="K271" s="75"/>
      <c r="L271" s="75"/>
      <c r="O271" s="75"/>
    </row>
    <row r="272" spans="1:15" x14ac:dyDescent="0.3">
      <c r="A272" s="75"/>
      <c r="B272" s="75"/>
      <c r="C272" s="75"/>
      <c r="D272" s="75"/>
      <c r="H272" s="75"/>
      <c r="I272" s="75"/>
      <c r="J272" s="75"/>
      <c r="K272" s="75"/>
      <c r="L272" s="75"/>
      <c r="O272" s="75"/>
    </row>
    <row r="273" spans="1:15" x14ac:dyDescent="0.3">
      <c r="A273" s="75"/>
      <c r="B273" s="75"/>
      <c r="C273" s="75"/>
      <c r="D273" s="75"/>
      <c r="H273" s="75"/>
      <c r="I273" s="75"/>
      <c r="J273" s="75"/>
      <c r="K273" s="75"/>
      <c r="L273" s="75"/>
      <c r="O273" s="75"/>
    </row>
    <row r="274" spans="1:15" x14ac:dyDescent="0.3">
      <c r="A274" s="75"/>
      <c r="B274" s="75"/>
      <c r="C274" s="75"/>
      <c r="D274" s="75"/>
      <c r="H274" s="75"/>
      <c r="I274" s="75"/>
      <c r="J274" s="75"/>
      <c r="K274" s="75"/>
      <c r="L274" s="75"/>
      <c r="O274" s="75"/>
    </row>
    <row r="275" spans="1:15" x14ac:dyDescent="0.3">
      <c r="A275" s="75"/>
      <c r="B275" s="75"/>
      <c r="C275" s="75"/>
      <c r="D275" s="75"/>
      <c r="H275" s="75"/>
      <c r="I275" s="75"/>
      <c r="J275" s="75"/>
      <c r="K275" s="75"/>
      <c r="L275" s="75"/>
      <c r="O275" s="75"/>
    </row>
    <row r="276" spans="1:15" x14ac:dyDescent="0.3">
      <c r="A276" s="75"/>
      <c r="B276" s="75"/>
      <c r="C276" s="75"/>
      <c r="D276" s="75"/>
      <c r="H276" s="75"/>
      <c r="I276" s="75"/>
      <c r="J276" s="75"/>
      <c r="K276" s="75"/>
      <c r="L276" s="75"/>
      <c r="O276" s="75"/>
    </row>
    <row r="277" spans="1:15" x14ac:dyDescent="0.3">
      <c r="A277" s="75"/>
      <c r="B277" s="75"/>
      <c r="C277" s="75"/>
      <c r="D277" s="75"/>
      <c r="H277" s="75"/>
      <c r="I277" s="75"/>
      <c r="J277" s="75"/>
      <c r="K277" s="75"/>
      <c r="L277" s="75"/>
      <c r="O277" s="75"/>
    </row>
    <row r="278" spans="1:15" x14ac:dyDescent="0.3">
      <c r="A278" s="75"/>
      <c r="B278" s="75"/>
      <c r="C278" s="75"/>
      <c r="D278" s="75"/>
      <c r="H278" s="75"/>
      <c r="I278" s="75"/>
      <c r="J278" s="75"/>
      <c r="K278" s="75"/>
      <c r="L278" s="75"/>
      <c r="O278" s="75"/>
    </row>
    <row r="279" spans="1:15" x14ac:dyDescent="0.3">
      <c r="A279" s="75"/>
      <c r="B279" s="75"/>
      <c r="C279" s="75"/>
      <c r="D279" s="75"/>
      <c r="H279" s="75"/>
      <c r="I279" s="75"/>
      <c r="J279" s="75"/>
      <c r="K279" s="75"/>
      <c r="L279" s="75"/>
      <c r="O279" s="75"/>
    </row>
    <row r="280" spans="1:15" x14ac:dyDescent="0.3">
      <c r="A280" s="75"/>
      <c r="B280" s="75"/>
      <c r="C280" s="75"/>
      <c r="D280" s="75"/>
      <c r="H280" s="75"/>
      <c r="I280" s="75"/>
      <c r="J280" s="75"/>
      <c r="K280" s="75"/>
      <c r="L280" s="75"/>
      <c r="O280" s="75"/>
    </row>
    <row r="281" spans="1:15" x14ac:dyDescent="0.3">
      <c r="A281" s="75"/>
      <c r="B281" s="75"/>
      <c r="C281" s="75"/>
      <c r="D281" s="75"/>
      <c r="H281" s="75"/>
      <c r="I281" s="75"/>
      <c r="J281" s="75"/>
      <c r="K281" s="75"/>
      <c r="L281" s="75"/>
      <c r="O281" s="75"/>
    </row>
    <row r="282" spans="1:15" x14ac:dyDescent="0.3">
      <c r="A282" s="75"/>
      <c r="B282" s="75"/>
      <c r="C282" s="75"/>
      <c r="D282" s="75"/>
      <c r="H282" s="75"/>
      <c r="I282" s="75"/>
      <c r="J282" s="75"/>
      <c r="K282" s="75"/>
      <c r="L282" s="75"/>
      <c r="O282" s="75"/>
    </row>
    <row r="283" spans="1:15" x14ac:dyDescent="0.3">
      <c r="A283" s="75"/>
      <c r="B283" s="75"/>
      <c r="C283" s="75"/>
      <c r="D283" s="75"/>
      <c r="H283" s="75"/>
      <c r="I283" s="75"/>
      <c r="J283" s="75"/>
      <c r="K283" s="75"/>
      <c r="L283" s="75"/>
      <c r="O283" s="75"/>
    </row>
    <row r="284" spans="1:15" x14ac:dyDescent="0.3">
      <c r="A284" s="75"/>
      <c r="B284" s="75"/>
      <c r="C284" s="75"/>
      <c r="D284" s="75"/>
      <c r="H284" s="75"/>
      <c r="I284" s="75"/>
      <c r="J284" s="75"/>
      <c r="K284" s="75"/>
      <c r="L284" s="75"/>
      <c r="O284" s="75"/>
    </row>
    <row r="285" spans="1:15" x14ac:dyDescent="0.3">
      <c r="A285" s="75"/>
      <c r="B285" s="75"/>
      <c r="C285" s="75"/>
      <c r="D285" s="75"/>
      <c r="H285" s="75"/>
      <c r="I285" s="75"/>
      <c r="J285" s="75"/>
      <c r="K285" s="75"/>
      <c r="L285" s="75"/>
      <c r="O285" s="75"/>
    </row>
    <row r="286" spans="1:15" x14ac:dyDescent="0.3">
      <c r="A286" s="75"/>
      <c r="B286" s="75"/>
      <c r="C286" s="75"/>
      <c r="D286" s="75"/>
      <c r="H286" s="75"/>
      <c r="I286" s="75"/>
      <c r="J286" s="75"/>
      <c r="K286" s="75"/>
      <c r="L286" s="75"/>
      <c r="O286" s="75"/>
    </row>
    <row r="287" spans="1:15" x14ac:dyDescent="0.3">
      <c r="A287" s="75"/>
      <c r="B287" s="75"/>
      <c r="C287" s="75"/>
      <c r="D287" s="75"/>
      <c r="H287" s="75"/>
      <c r="I287" s="75"/>
      <c r="J287" s="75"/>
      <c r="K287" s="75"/>
      <c r="L287" s="75"/>
      <c r="O287" s="75"/>
    </row>
    <row r="288" spans="1:15" x14ac:dyDescent="0.3">
      <c r="A288" s="75"/>
      <c r="B288" s="75"/>
      <c r="C288" s="75"/>
      <c r="D288" s="75"/>
      <c r="H288" s="75"/>
      <c r="I288" s="75"/>
      <c r="J288" s="75"/>
      <c r="K288" s="75"/>
      <c r="L288" s="75"/>
      <c r="O288" s="75"/>
    </row>
    <row r="289" spans="1:15" x14ac:dyDescent="0.3">
      <c r="A289" s="75"/>
      <c r="B289" s="75"/>
      <c r="C289" s="75"/>
      <c r="D289" s="75"/>
      <c r="H289" s="75"/>
      <c r="I289" s="75"/>
      <c r="J289" s="75"/>
      <c r="K289" s="75"/>
      <c r="L289" s="75"/>
      <c r="O289" s="75"/>
    </row>
    <row r="290" spans="1:15" x14ac:dyDescent="0.3">
      <c r="A290" s="75"/>
      <c r="B290" s="75"/>
      <c r="C290" s="75"/>
      <c r="D290" s="75"/>
      <c r="H290" s="75"/>
      <c r="I290" s="75"/>
      <c r="J290" s="75"/>
      <c r="K290" s="75"/>
      <c r="L290" s="75"/>
      <c r="O290" s="75"/>
    </row>
    <row r="291" spans="1:15" x14ac:dyDescent="0.3">
      <c r="A291" s="75"/>
      <c r="B291" s="75"/>
      <c r="C291" s="75"/>
      <c r="D291" s="75"/>
      <c r="H291" s="75"/>
      <c r="I291" s="75"/>
      <c r="J291" s="75"/>
      <c r="K291" s="75"/>
      <c r="L291" s="75"/>
      <c r="O291" s="75"/>
    </row>
    <row r="292" spans="1:15" x14ac:dyDescent="0.3">
      <c r="A292" s="75"/>
      <c r="B292" s="75"/>
      <c r="C292" s="75"/>
      <c r="D292" s="75"/>
      <c r="H292" s="75"/>
      <c r="I292" s="75"/>
      <c r="J292" s="75"/>
      <c r="K292" s="75"/>
      <c r="L292" s="75"/>
      <c r="O292" s="75"/>
    </row>
    <row r="293" spans="1:15" x14ac:dyDescent="0.3">
      <c r="A293" s="75"/>
      <c r="B293" s="75"/>
      <c r="C293" s="75"/>
      <c r="D293" s="75"/>
      <c r="H293" s="75"/>
      <c r="I293" s="75"/>
      <c r="J293" s="75"/>
      <c r="K293" s="75"/>
      <c r="L293" s="75"/>
      <c r="O293" s="75"/>
    </row>
    <row r="294" spans="1:15" x14ac:dyDescent="0.3">
      <c r="A294" s="75"/>
      <c r="B294" s="75"/>
      <c r="C294" s="75"/>
      <c r="D294" s="75"/>
      <c r="H294" s="75"/>
      <c r="I294" s="75"/>
      <c r="J294" s="75"/>
      <c r="K294" s="75"/>
      <c r="L294" s="75"/>
      <c r="O294" s="75"/>
    </row>
    <row r="295" spans="1:15" x14ac:dyDescent="0.3">
      <c r="A295" s="75"/>
      <c r="B295" s="75"/>
      <c r="C295" s="75"/>
      <c r="D295" s="75"/>
      <c r="H295" s="75"/>
      <c r="I295" s="75"/>
      <c r="J295" s="75"/>
      <c r="K295" s="75"/>
      <c r="L295" s="75"/>
      <c r="O295" s="75"/>
    </row>
    <row r="296" spans="1:15" x14ac:dyDescent="0.3">
      <c r="A296" s="75"/>
      <c r="B296" s="75"/>
      <c r="C296" s="75"/>
      <c r="D296" s="75"/>
      <c r="H296" s="75"/>
      <c r="I296" s="75"/>
      <c r="J296" s="75"/>
      <c r="K296" s="75"/>
      <c r="L296" s="75"/>
      <c r="O296" s="75"/>
    </row>
    <row r="297" spans="1:15" x14ac:dyDescent="0.3">
      <c r="A297" s="75"/>
      <c r="B297" s="75"/>
      <c r="C297" s="75"/>
      <c r="D297" s="75"/>
      <c r="H297" s="75"/>
      <c r="I297" s="75"/>
      <c r="J297" s="75"/>
      <c r="K297" s="75"/>
      <c r="L297" s="75"/>
      <c r="O297" s="75"/>
    </row>
    <row r="298" spans="1:15" x14ac:dyDescent="0.3">
      <c r="A298" s="75"/>
      <c r="B298" s="75"/>
      <c r="C298" s="75"/>
      <c r="D298" s="75"/>
      <c r="H298" s="75"/>
      <c r="I298" s="75"/>
      <c r="J298" s="75"/>
      <c r="K298" s="75"/>
      <c r="L298" s="75"/>
      <c r="O298" s="75"/>
    </row>
    <row r="299" spans="1:15" x14ac:dyDescent="0.3">
      <c r="A299" s="75"/>
      <c r="B299" s="75"/>
      <c r="C299" s="75"/>
      <c r="D299" s="75"/>
      <c r="H299" s="75"/>
      <c r="I299" s="75"/>
      <c r="J299" s="75"/>
      <c r="K299" s="75"/>
      <c r="L299" s="75"/>
      <c r="O299" s="75"/>
    </row>
    <row r="300" spans="1:15" x14ac:dyDescent="0.3">
      <c r="A300" s="75"/>
      <c r="B300" s="75"/>
      <c r="C300" s="75"/>
      <c r="D300" s="75"/>
      <c r="H300" s="75"/>
      <c r="I300" s="75"/>
      <c r="J300" s="75"/>
      <c r="K300" s="75"/>
      <c r="L300" s="75"/>
      <c r="O300" s="75"/>
    </row>
    <row r="301" spans="1:15" x14ac:dyDescent="0.3">
      <c r="A301" s="75"/>
      <c r="B301" s="75"/>
      <c r="C301" s="75"/>
      <c r="D301" s="75"/>
      <c r="H301" s="75"/>
      <c r="I301" s="75"/>
      <c r="J301" s="75"/>
      <c r="K301" s="75"/>
      <c r="L301" s="75"/>
      <c r="O301" s="75"/>
    </row>
    <row r="302" spans="1:15" x14ac:dyDescent="0.3">
      <c r="A302" s="75"/>
      <c r="B302" s="75"/>
      <c r="C302" s="75"/>
      <c r="D302" s="75"/>
      <c r="H302" s="75"/>
      <c r="I302" s="75"/>
      <c r="J302" s="75"/>
      <c r="K302" s="75"/>
      <c r="L302" s="75"/>
      <c r="O302" s="75"/>
    </row>
    <row r="303" spans="1:15" x14ac:dyDescent="0.3">
      <c r="A303" s="75"/>
      <c r="B303" s="75"/>
      <c r="C303" s="75"/>
      <c r="D303" s="75"/>
      <c r="H303" s="75"/>
      <c r="I303" s="75"/>
      <c r="J303" s="75"/>
      <c r="K303" s="75"/>
      <c r="L303" s="75"/>
      <c r="O303" s="75"/>
    </row>
    <row r="304" spans="1:15" x14ac:dyDescent="0.3">
      <c r="A304" s="75"/>
      <c r="B304" s="75"/>
      <c r="C304" s="75"/>
      <c r="D304" s="75"/>
      <c r="H304" s="75"/>
      <c r="I304" s="75"/>
      <c r="J304" s="75"/>
      <c r="K304" s="75"/>
      <c r="L304" s="75"/>
      <c r="O304" s="75"/>
    </row>
    <row r="305" spans="1:15" x14ac:dyDescent="0.3">
      <c r="A305" s="75"/>
      <c r="B305" s="75"/>
      <c r="C305" s="75"/>
      <c r="D305" s="75"/>
      <c r="H305" s="75"/>
      <c r="I305" s="75"/>
      <c r="J305" s="75"/>
      <c r="K305" s="75"/>
      <c r="L305" s="75"/>
      <c r="O305" s="75"/>
    </row>
    <row r="306" spans="1:15" x14ac:dyDescent="0.3">
      <c r="A306" s="75"/>
      <c r="B306" s="75"/>
      <c r="C306" s="75"/>
      <c r="D306" s="75"/>
      <c r="H306" s="75"/>
      <c r="I306" s="75"/>
      <c r="J306" s="75"/>
      <c r="K306" s="75"/>
      <c r="L306" s="75"/>
      <c r="O306" s="75"/>
    </row>
    <row r="307" spans="1:15" x14ac:dyDescent="0.3">
      <c r="A307" s="75"/>
      <c r="B307" s="75"/>
      <c r="C307" s="75"/>
      <c r="D307" s="75"/>
      <c r="H307" s="75"/>
      <c r="I307" s="75"/>
      <c r="J307" s="75"/>
      <c r="K307" s="75"/>
      <c r="L307" s="75"/>
      <c r="O307" s="75"/>
    </row>
    <row r="308" spans="1:15" x14ac:dyDescent="0.3">
      <c r="A308" s="75"/>
      <c r="B308" s="75"/>
      <c r="C308" s="75"/>
      <c r="D308" s="75"/>
      <c r="H308" s="75"/>
      <c r="I308" s="75"/>
      <c r="J308" s="75"/>
      <c r="K308" s="75"/>
      <c r="L308" s="75"/>
      <c r="O308" s="75"/>
    </row>
    <row r="309" spans="1:15" x14ac:dyDescent="0.3">
      <c r="A309" s="75"/>
      <c r="B309" s="75"/>
      <c r="C309" s="75"/>
      <c r="D309" s="75"/>
      <c r="H309" s="75"/>
      <c r="I309" s="75"/>
      <c r="J309" s="75"/>
      <c r="K309" s="75"/>
      <c r="L309" s="75"/>
      <c r="O309" s="75"/>
    </row>
    <row r="310" spans="1:15" x14ac:dyDescent="0.3">
      <c r="A310" s="75"/>
      <c r="B310" s="75"/>
      <c r="C310" s="75"/>
      <c r="D310" s="75"/>
      <c r="H310" s="75"/>
      <c r="I310" s="75"/>
      <c r="J310" s="75"/>
      <c r="K310" s="75"/>
      <c r="L310" s="75"/>
      <c r="O310" s="75"/>
    </row>
    <row r="311" spans="1:15" x14ac:dyDescent="0.3">
      <c r="A311" s="75"/>
      <c r="B311" s="75"/>
      <c r="C311" s="75"/>
      <c r="D311" s="75"/>
      <c r="H311" s="75"/>
      <c r="I311" s="75"/>
      <c r="J311" s="75"/>
      <c r="K311" s="75"/>
      <c r="L311" s="75"/>
      <c r="O311" s="75"/>
    </row>
    <row r="312" spans="1:15" x14ac:dyDescent="0.3">
      <c r="A312" s="75"/>
      <c r="B312" s="75"/>
      <c r="C312" s="75"/>
      <c r="D312" s="75"/>
      <c r="H312" s="75"/>
      <c r="I312" s="75"/>
      <c r="J312" s="75"/>
      <c r="K312" s="75"/>
      <c r="L312" s="75"/>
      <c r="O312" s="75"/>
    </row>
    <row r="313" spans="1:15" x14ac:dyDescent="0.3">
      <c r="A313" s="75"/>
      <c r="B313" s="75"/>
      <c r="C313" s="75"/>
      <c r="D313" s="75"/>
      <c r="H313" s="75"/>
      <c r="I313" s="75"/>
      <c r="J313" s="75"/>
      <c r="K313" s="75"/>
      <c r="L313" s="75"/>
      <c r="O313" s="75"/>
    </row>
    <row r="314" spans="1:15" x14ac:dyDescent="0.3">
      <c r="A314" s="75"/>
      <c r="B314" s="75"/>
      <c r="C314" s="75"/>
      <c r="D314" s="75"/>
      <c r="H314" s="75"/>
      <c r="I314" s="75"/>
      <c r="J314" s="75"/>
      <c r="K314" s="75"/>
      <c r="L314" s="75"/>
      <c r="O314" s="75"/>
    </row>
    <row r="315" spans="1:15" x14ac:dyDescent="0.3">
      <c r="A315" s="75"/>
      <c r="B315" s="75"/>
      <c r="C315" s="75"/>
      <c r="D315" s="75"/>
      <c r="H315" s="75"/>
      <c r="I315" s="75"/>
      <c r="J315" s="75"/>
      <c r="K315" s="75"/>
      <c r="L315" s="75"/>
      <c r="O315" s="75"/>
    </row>
    <row r="316" spans="1:15" x14ac:dyDescent="0.3">
      <c r="A316" s="75"/>
      <c r="B316" s="75"/>
      <c r="C316" s="75"/>
      <c r="D316" s="75"/>
      <c r="H316" s="75"/>
      <c r="I316" s="75"/>
      <c r="J316" s="75"/>
      <c r="K316" s="75"/>
      <c r="L316" s="75"/>
      <c r="O316" s="75"/>
    </row>
    <row r="317" spans="1:15" x14ac:dyDescent="0.3">
      <c r="A317" s="75"/>
      <c r="B317" s="75"/>
      <c r="C317" s="75"/>
      <c r="D317" s="75"/>
      <c r="H317" s="75"/>
      <c r="I317" s="75"/>
      <c r="J317" s="75"/>
      <c r="K317" s="75"/>
      <c r="L317" s="75"/>
      <c r="O317" s="75"/>
    </row>
    <row r="318" spans="1:15" x14ac:dyDescent="0.3">
      <c r="A318" s="75"/>
      <c r="B318" s="75"/>
      <c r="C318" s="75"/>
      <c r="D318" s="75"/>
      <c r="H318" s="75"/>
      <c r="I318" s="75"/>
      <c r="J318" s="75"/>
      <c r="K318" s="75"/>
      <c r="L318" s="75"/>
      <c r="O318" s="75"/>
    </row>
    <row r="319" spans="1:15" x14ac:dyDescent="0.3">
      <c r="A319" s="75"/>
      <c r="B319" s="75"/>
      <c r="C319" s="75"/>
      <c r="D319" s="75"/>
      <c r="H319" s="75"/>
      <c r="I319" s="75"/>
      <c r="J319" s="75"/>
      <c r="K319" s="75"/>
      <c r="L319" s="75"/>
      <c r="O319" s="75"/>
    </row>
    <row r="320" spans="1:15" x14ac:dyDescent="0.3">
      <c r="A320" s="75"/>
      <c r="B320" s="75"/>
      <c r="C320" s="75"/>
      <c r="D320" s="75"/>
      <c r="H320" s="75"/>
      <c r="I320" s="75"/>
      <c r="J320" s="75"/>
      <c r="K320" s="75"/>
      <c r="L320" s="75"/>
      <c r="O320" s="75"/>
    </row>
    <row r="321" spans="1:15" x14ac:dyDescent="0.3">
      <c r="A321" s="75"/>
      <c r="B321" s="75"/>
      <c r="C321" s="75"/>
      <c r="D321" s="75"/>
      <c r="H321" s="75"/>
      <c r="I321" s="75"/>
      <c r="J321" s="75"/>
      <c r="K321" s="75"/>
      <c r="L321" s="75"/>
      <c r="O321" s="75"/>
    </row>
    <row r="322" spans="1:15" x14ac:dyDescent="0.3">
      <c r="A322" s="75"/>
      <c r="B322" s="75"/>
      <c r="C322" s="75"/>
      <c r="D322" s="75"/>
      <c r="H322" s="75"/>
      <c r="I322" s="75"/>
      <c r="J322" s="75"/>
      <c r="K322" s="75"/>
      <c r="L322" s="75"/>
      <c r="O322" s="75"/>
    </row>
    <row r="323" spans="1:15" x14ac:dyDescent="0.3">
      <c r="A323" s="75"/>
      <c r="B323" s="75"/>
      <c r="C323" s="75"/>
      <c r="D323" s="75"/>
      <c r="H323" s="75"/>
      <c r="I323" s="75"/>
      <c r="J323" s="75"/>
      <c r="K323" s="75"/>
      <c r="L323" s="75"/>
      <c r="O323" s="75"/>
    </row>
    <row r="324" spans="1:15" x14ac:dyDescent="0.3">
      <c r="A324" s="75"/>
      <c r="B324" s="75"/>
      <c r="C324" s="75"/>
      <c r="D324" s="75"/>
      <c r="H324" s="75"/>
      <c r="I324" s="75"/>
      <c r="J324" s="75"/>
      <c r="K324" s="75"/>
      <c r="L324" s="75"/>
      <c r="O324" s="75"/>
    </row>
    <row r="325" spans="1:15" x14ac:dyDescent="0.3">
      <c r="A325" s="75"/>
      <c r="B325" s="75"/>
      <c r="C325" s="75"/>
      <c r="D325" s="75"/>
      <c r="H325" s="75"/>
      <c r="I325" s="75"/>
      <c r="J325" s="75"/>
      <c r="K325" s="75"/>
      <c r="L325" s="75"/>
      <c r="O325" s="75"/>
    </row>
    <row r="326" spans="1:15" x14ac:dyDescent="0.3">
      <c r="A326" s="75"/>
      <c r="B326" s="75"/>
      <c r="C326" s="75"/>
      <c r="D326" s="75"/>
      <c r="H326" s="75"/>
      <c r="I326" s="75"/>
      <c r="J326" s="75"/>
      <c r="K326" s="75"/>
      <c r="L326" s="75"/>
      <c r="O326" s="75"/>
    </row>
    <row r="327" spans="1:15" x14ac:dyDescent="0.3">
      <c r="A327" s="75"/>
      <c r="B327" s="75"/>
      <c r="C327" s="75"/>
      <c r="D327" s="75"/>
      <c r="H327" s="75"/>
      <c r="I327" s="75"/>
      <c r="J327" s="75"/>
      <c r="K327" s="75"/>
      <c r="L327" s="75"/>
      <c r="O327" s="75"/>
    </row>
    <row r="328" spans="1:15" x14ac:dyDescent="0.3">
      <c r="A328" s="75"/>
      <c r="B328" s="75"/>
      <c r="C328" s="75"/>
      <c r="D328" s="75"/>
      <c r="H328" s="75"/>
      <c r="I328" s="75"/>
      <c r="J328" s="75"/>
      <c r="K328" s="75"/>
      <c r="L328" s="75"/>
      <c r="O328" s="75"/>
    </row>
    <row r="329" spans="1:15" x14ac:dyDescent="0.3">
      <c r="A329" s="75"/>
      <c r="B329" s="75"/>
      <c r="C329" s="75"/>
      <c r="D329" s="75"/>
      <c r="H329" s="75"/>
      <c r="I329" s="75"/>
      <c r="J329" s="75"/>
      <c r="K329" s="75"/>
      <c r="L329" s="75"/>
      <c r="O329" s="75"/>
    </row>
    <row r="330" spans="1:15" x14ac:dyDescent="0.3">
      <c r="A330" s="75"/>
      <c r="B330" s="75"/>
      <c r="C330" s="75"/>
      <c r="D330" s="75"/>
      <c r="H330" s="75"/>
      <c r="I330" s="75"/>
      <c r="J330" s="75"/>
      <c r="K330" s="75"/>
      <c r="L330" s="75"/>
      <c r="O330" s="75"/>
    </row>
    <row r="331" spans="1:15" x14ac:dyDescent="0.3">
      <c r="A331" s="75"/>
      <c r="B331" s="75"/>
      <c r="C331" s="75"/>
      <c r="D331" s="75"/>
      <c r="H331" s="75"/>
      <c r="I331" s="75"/>
      <c r="J331" s="75"/>
      <c r="K331" s="75"/>
      <c r="L331" s="75"/>
      <c r="O331" s="75"/>
    </row>
    <row r="332" spans="1:15" x14ac:dyDescent="0.3">
      <c r="A332" s="75"/>
      <c r="B332" s="75"/>
      <c r="C332" s="75"/>
      <c r="D332" s="75"/>
      <c r="H332" s="75"/>
      <c r="I332" s="75"/>
      <c r="J332" s="75"/>
      <c r="K332" s="75"/>
      <c r="L332" s="75"/>
      <c r="O332" s="75"/>
    </row>
    <row r="333" spans="1:15" x14ac:dyDescent="0.3">
      <c r="A333" s="75"/>
      <c r="B333" s="75"/>
      <c r="C333" s="75"/>
      <c r="D333" s="75"/>
      <c r="H333" s="75"/>
      <c r="I333" s="75"/>
      <c r="J333" s="75"/>
      <c r="K333" s="75"/>
      <c r="L333" s="75"/>
      <c r="O333" s="75"/>
    </row>
    <row r="334" spans="1:15" x14ac:dyDescent="0.3">
      <c r="A334" s="75"/>
      <c r="B334" s="75"/>
      <c r="C334" s="75"/>
      <c r="D334" s="75"/>
      <c r="H334" s="75"/>
      <c r="I334" s="75"/>
      <c r="J334" s="75"/>
      <c r="K334" s="75"/>
      <c r="L334" s="75"/>
      <c r="O334" s="75"/>
    </row>
    <row r="335" spans="1:15" x14ac:dyDescent="0.3">
      <c r="A335" s="75"/>
      <c r="B335" s="75"/>
      <c r="C335" s="75"/>
      <c r="D335" s="75"/>
      <c r="H335" s="75"/>
      <c r="I335" s="75"/>
      <c r="J335" s="75"/>
      <c r="K335" s="75"/>
      <c r="L335" s="75"/>
      <c r="O335" s="75"/>
    </row>
    <row r="336" spans="1:15" x14ac:dyDescent="0.3">
      <c r="A336" s="75"/>
      <c r="B336" s="75"/>
      <c r="C336" s="75"/>
      <c r="D336" s="75"/>
      <c r="H336" s="75"/>
      <c r="I336" s="75"/>
      <c r="J336" s="75"/>
      <c r="K336" s="75"/>
      <c r="L336" s="75"/>
      <c r="O336" s="75"/>
    </row>
    <row r="337" spans="1:15" x14ac:dyDescent="0.3">
      <c r="A337" s="75"/>
      <c r="B337" s="75"/>
      <c r="C337" s="75"/>
      <c r="D337" s="75"/>
      <c r="H337" s="75"/>
      <c r="I337" s="75"/>
      <c r="J337" s="75"/>
      <c r="K337" s="75"/>
      <c r="L337" s="75"/>
      <c r="O337" s="75"/>
    </row>
    <row r="338" spans="1:15" x14ac:dyDescent="0.3">
      <c r="A338" s="75"/>
      <c r="B338" s="75"/>
      <c r="C338" s="75"/>
      <c r="D338" s="75"/>
      <c r="H338" s="75"/>
      <c r="I338" s="75"/>
      <c r="J338" s="75"/>
      <c r="K338" s="75"/>
      <c r="L338" s="75"/>
      <c r="O338" s="75"/>
    </row>
    <row r="339" spans="1:15" x14ac:dyDescent="0.3">
      <c r="A339" s="75"/>
      <c r="B339" s="75"/>
      <c r="C339" s="75"/>
      <c r="D339" s="75"/>
      <c r="H339" s="75"/>
      <c r="I339" s="75"/>
      <c r="J339" s="75"/>
      <c r="K339" s="75"/>
      <c r="L339" s="75"/>
      <c r="O339" s="75"/>
    </row>
    <row r="340" spans="1:15" x14ac:dyDescent="0.3">
      <c r="A340" s="75"/>
      <c r="B340" s="75"/>
      <c r="C340" s="75"/>
      <c r="D340" s="75"/>
      <c r="H340" s="75"/>
      <c r="I340" s="75"/>
      <c r="J340" s="75"/>
      <c r="K340" s="75"/>
      <c r="L340" s="75"/>
      <c r="O340" s="75"/>
    </row>
    <row r="341" spans="1:15" x14ac:dyDescent="0.3">
      <c r="A341" s="75"/>
      <c r="B341" s="75"/>
      <c r="C341" s="75"/>
      <c r="D341" s="75"/>
      <c r="H341" s="75"/>
      <c r="I341" s="75"/>
      <c r="J341" s="75"/>
      <c r="K341" s="75"/>
      <c r="L341" s="75"/>
      <c r="O341" s="75"/>
    </row>
    <row r="342" spans="1:15" x14ac:dyDescent="0.3">
      <c r="A342" s="75"/>
      <c r="B342" s="75"/>
      <c r="C342" s="75"/>
      <c r="D342" s="75"/>
      <c r="H342" s="75"/>
      <c r="I342" s="75"/>
      <c r="J342" s="75"/>
      <c r="K342" s="75"/>
      <c r="L342" s="75"/>
      <c r="O342" s="75"/>
    </row>
    <row r="343" spans="1:15" x14ac:dyDescent="0.3">
      <c r="A343" s="75"/>
      <c r="B343" s="75"/>
      <c r="C343" s="75"/>
      <c r="D343" s="75"/>
      <c r="H343" s="75"/>
      <c r="I343" s="75"/>
      <c r="J343" s="75"/>
      <c r="K343" s="75"/>
      <c r="L343" s="75"/>
      <c r="O343" s="75"/>
    </row>
    <row r="344" spans="1:15" x14ac:dyDescent="0.3">
      <c r="A344" s="75"/>
      <c r="B344" s="75"/>
      <c r="C344" s="75"/>
      <c r="D344" s="75"/>
      <c r="H344" s="75"/>
      <c r="I344" s="75"/>
      <c r="J344" s="75"/>
      <c r="K344" s="75"/>
      <c r="L344" s="75"/>
      <c r="O344" s="75"/>
    </row>
    <row r="345" spans="1:15" x14ac:dyDescent="0.3">
      <c r="A345" s="75"/>
      <c r="B345" s="75"/>
      <c r="C345" s="75"/>
      <c r="D345" s="75"/>
      <c r="H345" s="75"/>
      <c r="I345" s="75"/>
      <c r="J345" s="75"/>
      <c r="K345" s="75"/>
      <c r="L345" s="75"/>
      <c r="O345" s="75"/>
    </row>
    <row r="346" spans="1:15" x14ac:dyDescent="0.3">
      <c r="A346" s="75"/>
      <c r="B346" s="75"/>
      <c r="C346" s="75"/>
      <c r="D346" s="75"/>
      <c r="H346" s="75"/>
      <c r="I346" s="75"/>
      <c r="J346" s="75"/>
      <c r="K346" s="75"/>
      <c r="L346" s="75"/>
      <c r="O346" s="75"/>
    </row>
    <row r="347" spans="1:15" x14ac:dyDescent="0.3">
      <c r="A347" s="75"/>
      <c r="B347" s="75"/>
      <c r="C347" s="75"/>
      <c r="D347" s="75"/>
      <c r="H347" s="75"/>
      <c r="I347" s="75"/>
      <c r="J347" s="75"/>
      <c r="K347" s="75"/>
      <c r="L347" s="75"/>
      <c r="O347" s="75"/>
    </row>
    <row r="348" spans="1:15" x14ac:dyDescent="0.3">
      <c r="A348" s="75"/>
      <c r="B348" s="75"/>
      <c r="C348" s="75"/>
      <c r="D348" s="75"/>
      <c r="H348" s="75"/>
      <c r="I348" s="75"/>
      <c r="J348" s="75"/>
      <c r="K348" s="75"/>
      <c r="L348" s="75"/>
      <c r="O348" s="75"/>
    </row>
    <row r="349" spans="1:15" x14ac:dyDescent="0.3">
      <c r="A349" s="75"/>
      <c r="B349" s="75"/>
      <c r="C349" s="75"/>
      <c r="D349" s="75"/>
      <c r="H349" s="75"/>
      <c r="I349" s="75"/>
      <c r="J349" s="75"/>
      <c r="K349" s="75"/>
      <c r="L349" s="75"/>
      <c r="O349" s="75"/>
    </row>
    <row r="350" spans="1:15" x14ac:dyDescent="0.3">
      <c r="A350" s="75"/>
      <c r="B350" s="75"/>
      <c r="C350" s="75"/>
      <c r="D350" s="75"/>
      <c r="H350" s="75"/>
      <c r="I350" s="75"/>
      <c r="J350" s="75"/>
      <c r="K350" s="75"/>
      <c r="L350" s="75"/>
      <c r="O350" s="75"/>
    </row>
    <row r="351" spans="1:15" x14ac:dyDescent="0.3">
      <c r="A351" s="75"/>
      <c r="B351" s="75"/>
      <c r="C351" s="75"/>
      <c r="D351" s="75"/>
      <c r="H351" s="75"/>
      <c r="I351" s="75"/>
      <c r="J351" s="75"/>
      <c r="K351" s="75"/>
      <c r="L351" s="75"/>
      <c r="O351" s="75"/>
    </row>
    <row r="352" spans="1:15" x14ac:dyDescent="0.3">
      <c r="A352" s="75"/>
      <c r="B352" s="75"/>
      <c r="C352" s="75"/>
      <c r="D352" s="75"/>
      <c r="H352" s="75"/>
      <c r="I352" s="75"/>
      <c r="J352" s="75"/>
      <c r="K352" s="75"/>
      <c r="L352" s="75"/>
      <c r="O352" s="75"/>
    </row>
    <row r="353" spans="1:15" x14ac:dyDescent="0.3">
      <c r="A353" s="75"/>
      <c r="B353" s="75"/>
      <c r="C353" s="75"/>
      <c r="D353" s="75"/>
      <c r="H353" s="75"/>
      <c r="I353" s="75"/>
      <c r="J353" s="75"/>
      <c r="K353" s="75"/>
      <c r="L353" s="75"/>
      <c r="O353" s="75"/>
    </row>
    <row r="354" spans="1:15" x14ac:dyDescent="0.3">
      <c r="A354" s="75"/>
      <c r="B354" s="75"/>
      <c r="C354" s="75"/>
      <c r="D354" s="75"/>
      <c r="H354" s="75"/>
      <c r="I354" s="75"/>
      <c r="J354" s="75"/>
      <c r="K354" s="75"/>
      <c r="L354" s="75"/>
      <c r="O354" s="75"/>
    </row>
    <row r="355" spans="1:15" x14ac:dyDescent="0.3">
      <c r="A355" s="75"/>
      <c r="B355" s="75"/>
      <c r="C355" s="75"/>
      <c r="D355" s="75"/>
      <c r="H355" s="75"/>
      <c r="I355" s="75"/>
      <c r="J355" s="75"/>
      <c r="K355" s="75"/>
      <c r="L355" s="75"/>
      <c r="O355" s="75"/>
    </row>
  </sheetData>
  <phoneticPr fontId="16" type="noConversion"/>
  <pageMargins left="0.7" right="0.7" top="0.75" bottom="0.75" header="0.3" footer="0.3"/>
  <ignoredErrors>
    <ignoredError sqref="H3 N3" calculatedColumn="1"/>
  </ignoredErrors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8"/>
  <sheetViews>
    <sheetView zoomScale="85" zoomScaleNormal="85" workbookViewId="0">
      <pane xSplit="8" ySplit="1" topLeftCell="J2" activePane="bottomRight" state="frozen"/>
      <selection pane="topRight" activeCell="I1" sqref="I1"/>
      <selection pane="bottomLeft" activeCell="A2" sqref="A2"/>
      <selection pane="bottomRight" activeCell="A2" sqref="A2"/>
    </sheetView>
  </sheetViews>
  <sheetFormatPr defaultRowHeight="14.4" x14ac:dyDescent="0.3"/>
  <cols>
    <col min="2" max="2" width="17.109375" bestFit="1" customWidth="1"/>
    <col min="3" max="3" width="12.5546875" bestFit="1" customWidth="1"/>
    <col min="4" max="4" width="14.88671875" bestFit="1" customWidth="1"/>
    <col min="5" max="5" width="13.44140625" bestFit="1" customWidth="1"/>
    <col min="6" max="6" width="10.6640625" bestFit="1" customWidth="1"/>
    <col min="7" max="7" width="8.109375" customWidth="1"/>
    <col min="8" max="8" width="10.33203125" bestFit="1" customWidth="1"/>
    <col min="9" max="9" width="36.88671875" customWidth="1"/>
    <col min="10" max="10" width="10.5546875" customWidth="1"/>
    <col min="11" max="11" width="15.109375" bestFit="1" customWidth="1"/>
    <col min="12" max="12" width="17.6640625" customWidth="1"/>
    <col min="13" max="13" width="39.44140625" bestFit="1" customWidth="1"/>
  </cols>
  <sheetData>
    <row r="1" spans="1:13" ht="28.8" x14ac:dyDescent="0.3">
      <c r="A1" s="7" t="s">
        <v>58</v>
      </c>
      <c r="B1" s="7" t="s">
        <v>52</v>
      </c>
      <c r="C1" s="7" t="s">
        <v>53</v>
      </c>
      <c r="D1" s="7" t="s">
        <v>54</v>
      </c>
      <c r="E1" s="7" t="s">
        <v>57</v>
      </c>
      <c r="F1" s="7" t="s">
        <v>40</v>
      </c>
      <c r="G1" s="7" t="s">
        <v>55</v>
      </c>
      <c r="H1" s="7" t="s">
        <v>41</v>
      </c>
      <c r="I1" s="15" t="s">
        <v>154</v>
      </c>
      <c r="J1" s="15" t="s">
        <v>151</v>
      </c>
      <c r="K1" s="15" t="s">
        <v>152</v>
      </c>
      <c r="L1" s="15" t="s">
        <v>153</v>
      </c>
      <c r="M1" s="15" t="s">
        <v>148</v>
      </c>
    </row>
    <row r="2" spans="1:13" x14ac:dyDescent="0.3">
      <c r="A2" s="2">
        <v>1</v>
      </c>
      <c r="B2" s="2">
        <f>YEAR(Table91112[[#This Row],[Date]])+IF(MONTH(Table91112[[#This Row],[Date]])&gt;=4,1,0)</f>
        <v>2026</v>
      </c>
      <c r="C2" s="2">
        <v>2025</v>
      </c>
      <c r="D2" s="2" t="s">
        <v>1083</v>
      </c>
      <c r="E2" s="2">
        <v>2025</v>
      </c>
      <c r="F2" s="30">
        <v>45683</v>
      </c>
      <c r="G2" s="2"/>
      <c r="H2" s="31">
        <v>45748</v>
      </c>
    </row>
    <row r="3" spans="1:13" x14ac:dyDescent="0.3">
      <c r="A3" s="2">
        <f>A2+1</f>
        <v>2</v>
      </c>
      <c r="B3" s="2">
        <f>YEAR(Table91112[[#This Row],[Date]])+IF(MONTH(Table91112[[#This Row],[Date]])&gt;=4,1,0)</f>
        <v>2026</v>
      </c>
      <c r="C3" s="2">
        <v>2025</v>
      </c>
      <c r="D3" s="2" t="s">
        <v>1083</v>
      </c>
      <c r="E3" s="2">
        <v>2025</v>
      </c>
      <c r="F3" s="30">
        <v>45683</v>
      </c>
      <c r="G3" s="2"/>
      <c r="H3" s="31">
        <v>45749</v>
      </c>
    </row>
    <row r="4" spans="1:13" x14ac:dyDescent="0.3">
      <c r="A4" s="2">
        <f t="shared" ref="A4:A8" si="0">A3+1</f>
        <v>3</v>
      </c>
      <c r="B4" s="2">
        <f>YEAR(Table91112[[#This Row],[Date]])+IF(MONTH(Table91112[[#This Row],[Date]])&gt;=4,1,0)</f>
        <v>2026</v>
      </c>
      <c r="C4" s="2">
        <v>2025</v>
      </c>
      <c r="D4" s="2" t="s">
        <v>1083</v>
      </c>
      <c r="E4" s="2">
        <v>2025</v>
      </c>
      <c r="F4" s="30">
        <v>45683</v>
      </c>
      <c r="G4" s="2"/>
      <c r="H4" s="31">
        <v>45750</v>
      </c>
    </row>
    <row r="5" spans="1:13" x14ac:dyDescent="0.3">
      <c r="A5" s="2">
        <f t="shared" si="0"/>
        <v>4</v>
      </c>
      <c r="B5" s="2">
        <f>YEAR(Table91112[[#This Row],[Date]])+IF(MONTH(Table91112[[#This Row],[Date]])&gt;=4,1,0)</f>
        <v>2026</v>
      </c>
      <c r="C5" s="2">
        <v>2025</v>
      </c>
      <c r="D5" s="2" t="s">
        <v>1083</v>
      </c>
      <c r="E5" s="2">
        <v>2025</v>
      </c>
      <c r="F5" s="30">
        <v>45683</v>
      </c>
      <c r="G5" s="2"/>
      <c r="H5" s="31">
        <v>45751</v>
      </c>
    </row>
    <row r="6" spans="1:13" x14ac:dyDescent="0.3">
      <c r="A6" s="2">
        <f t="shared" si="0"/>
        <v>5</v>
      </c>
      <c r="B6" s="2">
        <f>YEAR(Table91112[[#This Row],[Date]])+IF(MONTH(Table91112[[#This Row],[Date]])&gt;=4,1,0)</f>
        <v>2026</v>
      </c>
      <c r="C6" s="2">
        <v>2025</v>
      </c>
      <c r="D6" s="2" t="s">
        <v>1083</v>
      </c>
      <c r="E6" s="2">
        <v>2025</v>
      </c>
      <c r="F6" s="30">
        <v>45683</v>
      </c>
      <c r="G6" s="2"/>
      <c r="H6" s="31">
        <v>45752</v>
      </c>
    </row>
    <row r="7" spans="1:13" x14ac:dyDescent="0.3">
      <c r="A7" s="2">
        <f t="shared" si="0"/>
        <v>6</v>
      </c>
      <c r="B7" s="2">
        <f>YEAR(Table91112[[#This Row],[Date]])+IF(MONTH(Table91112[[#This Row],[Date]])&gt;=4,1,0)</f>
        <v>2026</v>
      </c>
      <c r="C7" s="2">
        <v>2025</v>
      </c>
      <c r="D7" s="2" t="s">
        <v>1083</v>
      </c>
      <c r="E7" s="2">
        <v>2025</v>
      </c>
      <c r="F7" s="30">
        <v>45683</v>
      </c>
      <c r="G7" s="2"/>
      <c r="H7" s="31">
        <v>45753</v>
      </c>
    </row>
    <row r="8" spans="1:13" x14ac:dyDescent="0.3">
      <c r="A8" s="2">
        <f t="shared" si="0"/>
        <v>7</v>
      </c>
      <c r="B8" s="2">
        <f>YEAR(Table91112[[#This Row],[Date]])+IF(MONTH(Table91112[[#This Row],[Date]])&gt;=4,1,0)</f>
        <v>2026</v>
      </c>
      <c r="C8" s="2">
        <v>2025</v>
      </c>
      <c r="D8" s="2" t="s">
        <v>1083</v>
      </c>
      <c r="E8" s="2">
        <v>2025</v>
      </c>
      <c r="F8" s="30">
        <v>45683</v>
      </c>
      <c r="G8" s="2"/>
      <c r="H8" s="31">
        <v>45754</v>
      </c>
    </row>
  </sheetData>
  <phoneticPr fontId="1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49CB-AC74-4FD7-8535-C549D5FD92ED}">
  <dimension ref="B4:G30"/>
  <sheetViews>
    <sheetView workbookViewId="0">
      <selection activeCell="L31" sqref="L31"/>
    </sheetView>
  </sheetViews>
  <sheetFormatPr defaultColWidth="9.109375" defaultRowHeight="14.4" x14ac:dyDescent="0.3"/>
  <cols>
    <col min="1" max="1" width="9.109375" style="109"/>
    <col min="2" max="2" width="18.88671875" style="109" bestFit="1" customWidth="1"/>
    <col min="3" max="3" width="10.44140625" style="109" bestFit="1" customWidth="1"/>
    <col min="4" max="5" width="9.109375" style="109"/>
    <col min="6" max="6" width="12.6640625" style="109" bestFit="1" customWidth="1"/>
    <col min="7" max="16384" width="9.109375" style="109"/>
  </cols>
  <sheetData>
    <row r="4" spans="2:6" x14ac:dyDescent="0.3">
      <c r="B4" s="109" t="s">
        <v>1053</v>
      </c>
    </row>
    <row r="6" spans="2:6" x14ac:dyDescent="0.3">
      <c r="B6" s="110" t="s">
        <v>1054</v>
      </c>
      <c r="C6" s="110" t="s">
        <v>41</v>
      </c>
      <c r="D6" s="110" t="s">
        <v>120</v>
      </c>
      <c r="E6" s="110" t="s">
        <v>1055</v>
      </c>
      <c r="F6" s="110" t="s">
        <v>1056</v>
      </c>
    </row>
    <row r="7" spans="2:6" x14ac:dyDescent="0.3">
      <c r="B7" s="110" t="s">
        <v>1057</v>
      </c>
      <c r="C7" s="111">
        <f>'Daily Dashboard'!B3</f>
        <v>45851</v>
      </c>
      <c r="D7" s="112">
        <f>'Daily Dashboard'!C9</f>
        <v>22.929949138521675</v>
      </c>
      <c r="E7" s="112">
        <f>'Daily Dashboard'!D9</f>
        <v>32.650000000000034</v>
      </c>
      <c r="F7" s="112">
        <f>D7-E7</f>
        <v>-9.7200508614783594</v>
      </c>
    </row>
    <row r="8" spans="2:6" x14ac:dyDescent="0.3">
      <c r="B8" s="110" t="s">
        <v>1058</v>
      </c>
      <c r="C8" s="111">
        <f t="shared" ref="C8:C30" si="0">$C$7</f>
        <v>45851</v>
      </c>
      <c r="D8" s="110">
        <v>0</v>
      </c>
      <c r="E8" s="110">
        <v>0</v>
      </c>
      <c r="F8" s="110">
        <v>0</v>
      </c>
    </row>
    <row r="9" spans="2:6" x14ac:dyDescent="0.3">
      <c r="B9" s="110" t="s">
        <v>1059</v>
      </c>
      <c r="C9" s="111">
        <f t="shared" si="0"/>
        <v>45851</v>
      </c>
      <c r="D9" s="110">
        <v>0</v>
      </c>
      <c r="E9" s="110">
        <v>0</v>
      </c>
      <c r="F9" s="110">
        <v>0</v>
      </c>
    </row>
    <row r="10" spans="2:6" x14ac:dyDescent="0.3">
      <c r="B10" s="110" t="s">
        <v>1060</v>
      </c>
      <c r="C10" s="111">
        <f t="shared" si="0"/>
        <v>45851</v>
      </c>
      <c r="D10" s="110">
        <v>0</v>
      </c>
      <c r="E10" s="110">
        <v>0</v>
      </c>
      <c r="F10" s="110">
        <v>0</v>
      </c>
    </row>
    <row r="11" spans="2:6" x14ac:dyDescent="0.3">
      <c r="B11" s="110" t="s">
        <v>1061</v>
      </c>
      <c r="C11" s="111">
        <f t="shared" si="0"/>
        <v>45851</v>
      </c>
      <c r="D11" s="110">
        <v>0</v>
      </c>
      <c r="E11" s="110">
        <v>0</v>
      </c>
      <c r="F11" s="110">
        <v>0</v>
      </c>
    </row>
    <row r="12" spans="2:6" x14ac:dyDescent="0.3">
      <c r="B12" s="110" t="s">
        <v>1062</v>
      </c>
      <c r="C12" s="111">
        <f t="shared" si="0"/>
        <v>45851</v>
      </c>
      <c r="D12" s="110">
        <v>0</v>
      </c>
      <c r="E12" s="110">
        <v>0</v>
      </c>
      <c r="F12" s="110">
        <v>0</v>
      </c>
    </row>
    <row r="13" spans="2:6" x14ac:dyDescent="0.3">
      <c r="B13" s="110" t="s">
        <v>1063</v>
      </c>
      <c r="C13" s="111">
        <f t="shared" si="0"/>
        <v>45851</v>
      </c>
      <c r="D13" s="110">
        <v>0</v>
      </c>
      <c r="E13" s="110">
        <v>0</v>
      </c>
      <c r="F13" s="110">
        <v>0</v>
      </c>
    </row>
    <row r="14" spans="2:6" x14ac:dyDescent="0.3">
      <c r="B14" s="110" t="s">
        <v>1064</v>
      </c>
      <c r="C14" s="111">
        <f t="shared" si="0"/>
        <v>45851</v>
      </c>
      <c r="D14" s="110">
        <v>0</v>
      </c>
      <c r="E14" s="110">
        <v>0</v>
      </c>
      <c r="F14" s="110">
        <v>0</v>
      </c>
    </row>
    <row r="15" spans="2:6" x14ac:dyDescent="0.3">
      <c r="B15" s="110" t="s">
        <v>1065</v>
      </c>
      <c r="C15" s="111">
        <f t="shared" si="0"/>
        <v>45851</v>
      </c>
      <c r="D15" s="110">
        <v>0</v>
      </c>
      <c r="E15" s="110">
        <v>0</v>
      </c>
      <c r="F15" s="110">
        <v>0</v>
      </c>
    </row>
    <row r="16" spans="2:6" x14ac:dyDescent="0.3">
      <c r="B16" s="110" t="s">
        <v>1066</v>
      </c>
      <c r="C16" s="111">
        <f t="shared" si="0"/>
        <v>45851</v>
      </c>
      <c r="D16" s="110">
        <v>0</v>
      </c>
      <c r="E16" s="110">
        <v>0</v>
      </c>
      <c r="F16" s="110">
        <v>0</v>
      </c>
    </row>
    <row r="17" spans="2:7" x14ac:dyDescent="0.3">
      <c r="B17" s="110" t="s">
        <v>1067</v>
      </c>
      <c r="C17" s="111">
        <f t="shared" si="0"/>
        <v>45851</v>
      </c>
      <c r="D17" s="110">
        <v>0</v>
      </c>
      <c r="E17" s="110">
        <v>0</v>
      </c>
      <c r="F17" s="110">
        <v>0</v>
      </c>
    </row>
    <row r="18" spans="2:7" x14ac:dyDescent="0.3">
      <c r="B18" s="110" t="s">
        <v>1068</v>
      </c>
      <c r="C18" s="111">
        <f t="shared" si="0"/>
        <v>45851</v>
      </c>
      <c r="D18" s="110">
        <v>0</v>
      </c>
      <c r="E18" s="110">
        <v>0</v>
      </c>
      <c r="F18" s="110">
        <v>0</v>
      </c>
    </row>
    <row r="19" spans="2:7" x14ac:dyDescent="0.3">
      <c r="B19" s="110" t="s">
        <v>1069</v>
      </c>
      <c r="C19" s="111">
        <f t="shared" si="0"/>
        <v>45851</v>
      </c>
      <c r="D19" s="110">
        <v>0</v>
      </c>
      <c r="E19" s="110">
        <v>0</v>
      </c>
      <c r="F19" s="110">
        <v>0</v>
      </c>
    </row>
    <row r="20" spans="2:7" x14ac:dyDescent="0.3">
      <c r="B20" s="110" t="s">
        <v>1070</v>
      </c>
      <c r="C20" s="111">
        <f t="shared" si="0"/>
        <v>45851</v>
      </c>
      <c r="D20" s="110">
        <v>0</v>
      </c>
      <c r="E20" s="110">
        <v>0</v>
      </c>
      <c r="F20" s="110">
        <v>0</v>
      </c>
    </row>
    <row r="21" spans="2:7" x14ac:dyDescent="0.3">
      <c r="B21" s="110" t="s">
        <v>1071</v>
      </c>
      <c r="C21" s="111">
        <f t="shared" si="0"/>
        <v>45851</v>
      </c>
      <c r="D21" s="110">
        <f>'Daily Dashboard'!C21*100</f>
        <v>98.04</v>
      </c>
      <c r="E21" s="110">
        <f>'Daily Dashboard'!D21*100</f>
        <v>100</v>
      </c>
      <c r="F21" s="110">
        <f>E21-D21</f>
        <v>1.9599999999999937</v>
      </c>
      <c r="G21" s="113">
        <f>(F21/100)*$D$7</f>
        <v>0.44942700311502337</v>
      </c>
    </row>
    <row r="22" spans="2:7" x14ac:dyDescent="0.3">
      <c r="B22" s="110" t="s">
        <v>1072</v>
      </c>
      <c r="C22" s="111">
        <f t="shared" si="0"/>
        <v>45851</v>
      </c>
      <c r="D22" s="110">
        <f>'Daily Dashboard'!C24*100</f>
        <v>98</v>
      </c>
      <c r="E22" s="110">
        <f>'Daily Dashboard'!D24*100</f>
        <v>100</v>
      </c>
      <c r="F22" s="110">
        <f>E22-D22</f>
        <v>2</v>
      </c>
      <c r="G22" s="113">
        <f>(F22/100)*$D$7</f>
        <v>0.45859898277043348</v>
      </c>
    </row>
    <row r="23" spans="2:7" x14ac:dyDescent="0.3">
      <c r="B23" s="110" t="s">
        <v>1073</v>
      </c>
      <c r="C23" s="111">
        <f t="shared" si="0"/>
        <v>45851</v>
      </c>
      <c r="D23" s="110">
        <f>'Daily Dashboard'!C27*100</f>
        <v>0</v>
      </c>
      <c r="E23" s="110">
        <f>'Daily Dashboard'!D27*100</f>
        <v>0</v>
      </c>
      <c r="F23" s="110">
        <f>E23-D23</f>
        <v>0</v>
      </c>
      <c r="G23" s="113">
        <f>((F23/100)*$D$7)*20%</f>
        <v>0</v>
      </c>
    </row>
    <row r="24" spans="2:7" x14ac:dyDescent="0.3">
      <c r="B24" s="110" t="s">
        <v>1074</v>
      </c>
      <c r="C24" s="111">
        <f t="shared" si="0"/>
        <v>45851</v>
      </c>
      <c r="D24" s="110">
        <v>0</v>
      </c>
      <c r="E24" s="110">
        <v>0</v>
      </c>
      <c r="F24" s="110">
        <v>0</v>
      </c>
    </row>
    <row r="25" spans="2:7" x14ac:dyDescent="0.3">
      <c r="B25" s="110" t="s">
        <v>1075</v>
      </c>
      <c r="C25" s="111">
        <f t="shared" si="0"/>
        <v>45851</v>
      </c>
      <c r="D25" s="110">
        <v>0</v>
      </c>
      <c r="E25" s="110">
        <v>0</v>
      </c>
      <c r="F25" s="110">
        <v>0</v>
      </c>
    </row>
    <row r="26" spans="2:7" x14ac:dyDescent="0.3">
      <c r="B26" s="110" t="s">
        <v>121</v>
      </c>
      <c r="C26" s="111">
        <f t="shared" si="0"/>
        <v>45851</v>
      </c>
      <c r="D26" s="114">
        <f>'Daily Dashboard'!$D$9</f>
        <v>32.650000000000034</v>
      </c>
      <c r="E26" s="114">
        <f>'Daily Dashboard'!$D$9</f>
        <v>32.650000000000034</v>
      </c>
      <c r="F26" s="114">
        <f>'Daily Dashboard'!$D$9</f>
        <v>32.650000000000034</v>
      </c>
    </row>
    <row r="27" spans="2:7" x14ac:dyDescent="0.3">
      <c r="B27" s="110" t="s">
        <v>1076</v>
      </c>
      <c r="C27" s="111">
        <f t="shared" si="0"/>
        <v>45851</v>
      </c>
      <c r="D27" s="110">
        <v>0</v>
      </c>
      <c r="E27" s="110">
        <v>0</v>
      </c>
      <c r="F27" s="110">
        <v>0</v>
      </c>
    </row>
    <row r="28" spans="2:7" x14ac:dyDescent="0.3">
      <c r="B28" s="110" t="s">
        <v>1077</v>
      </c>
      <c r="C28" s="111">
        <f t="shared" si="0"/>
        <v>45851</v>
      </c>
      <c r="D28" s="110">
        <v>0</v>
      </c>
      <c r="E28" s="110">
        <v>0</v>
      </c>
      <c r="F28" s="110">
        <v>0</v>
      </c>
    </row>
    <row r="29" spans="2:7" x14ac:dyDescent="0.3">
      <c r="B29" s="110" t="s">
        <v>1078</v>
      </c>
      <c r="C29" s="111">
        <f t="shared" si="0"/>
        <v>45851</v>
      </c>
      <c r="D29" s="110">
        <v>0</v>
      </c>
      <c r="E29" s="112">
        <f>-(F7+G30)+(SUM(G21:G23))</f>
        <v>4.5353662788188212</v>
      </c>
      <c r="F29" s="112">
        <f>E29</f>
        <v>4.5353662788188212</v>
      </c>
    </row>
    <row r="30" spans="2:7" x14ac:dyDescent="0.3">
      <c r="B30" s="110" t="s">
        <v>1079</v>
      </c>
      <c r="C30" s="111">
        <f t="shared" si="0"/>
        <v>45851</v>
      </c>
      <c r="D30" s="110">
        <f>'Daily Dashboard'!C18</f>
        <v>4.0451612903225804</v>
      </c>
      <c r="E30" s="115">
        <f>'Daily Dashboard'!D18</f>
        <v>5.12</v>
      </c>
      <c r="F30" s="110">
        <f>E30-D30</f>
        <v>1.0748387096774197</v>
      </c>
      <c r="G30" s="109">
        <f>(F30/D30)*D7</f>
        <v>6.0927105685449954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topLeftCell="A3" zoomScale="115" zoomScaleNormal="115" workbookViewId="0">
      <selection activeCell="C1" sqref="C1"/>
    </sheetView>
  </sheetViews>
  <sheetFormatPr defaultRowHeight="14.4" x14ac:dyDescent="0.3"/>
  <cols>
    <col min="1" max="1" width="11" customWidth="1"/>
    <col min="2" max="2" width="12.109375" bestFit="1" customWidth="1"/>
    <col min="3" max="3" width="13.5546875" customWidth="1"/>
    <col min="4" max="4" width="13.44140625" customWidth="1"/>
    <col min="5" max="5" width="13.6640625" customWidth="1"/>
    <col min="6" max="6" width="14" customWidth="1"/>
    <col min="8" max="8" width="9.5546875" customWidth="1"/>
    <col min="9" max="9" width="9.88671875" customWidth="1"/>
    <col min="10" max="10" width="10.5546875" customWidth="1"/>
    <col min="12" max="12" width="9.5546875" customWidth="1"/>
    <col min="13" max="13" width="9" customWidth="1"/>
    <col min="14" max="14" width="9.5546875" customWidth="1"/>
  </cols>
  <sheetData>
    <row r="1" spans="1:14" ht="21.9" customHeight="1" x14ac:dyDescent="0.3">
      <c r="A1" s="47" t="s">
        <v>113</v>
      </c>
      <c r="B1" s="48">
        <f>'Daily Dashboard'!B3</f>
        <v>45851</v>
      </c>
      <c r="C1" s="38">
        <f>'Daily Dashboard'!$B$2</f>
        <v>45839</v>
      </c>
    </row>
    <row r="2" spans="1:14" ht="21" x14ac:dyDescent="0.3">
      <c r="A2" s="243" t="s">
        <v>322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</row>
    <row r="3" spans="1:14" ht="43.2" x14ac:dyDescent="0.3">
      <c r="A3" s="40" t="s">
        <v>84</v>
      </c>
      <c r="B3" s="40" t="s">
        <v>55</v>
      </c>
      <c r="C3" s="33" t="s">
        <v>95</v>
      </c>
      <c r="D3" s="33" t="s">
        <v>96</v>
      </c>
      <c r="E3" s="33" t="s">
        <v>97</v>
      </c>
      <c r="F3" s="33" t="s">
        <v>98</v>
      </c>
      <c r="G3" s="33" t="s">
        <v>99</v>
      </c>
      <c r="H3" s="33" t="s">
        <v>100</v>
      </c>
      <c r="I3" s="33" t="s">
        <v>101</v>
      </c>
      <c r="J3" s="33" t="s">
        <v>102</v>
      </c>
      <c r="K3" s="33" t="s">
        <v>103</v>
      </c>
      <c r="L3" s="33" t="s">
        <v>104</v>
      </c>
      <c r="M3" s="33" t="s">
        <v>105</v>
      </c>
      <c r="N3" s="33" t="s">
        <v>106</v>
      </c>
    </row>
    <row r="4" spans="1:14" s="14" customFormat="1" ht="18.600000000000001" customHeight="1" x14ac:dyDescent="0.3">
      <c r="A4" s="106">
        <f>YEAR(B1)+IF(MONTH(B1)&gt;=4,1,0)</f>
        <v>2026</v>
      </c>
      <c r="B4" s="41">
        <f>($B$1-'Daily Dashboard'!$B$5)+1</f>
        <v>104</v>
      </c>
      <c r="C4" s="41">
        <f>_xlfn.XLOOKUP($C$1,'Modelling New'!$D:$D,'Modelling New'!S:S)</f>
        <v>573.48709677419367</v>
      </c>
      <c r="D4" s="42">
        <f>SUMIFS('Daily KPI'!$I:$I,'Daily KPI'!$B:$B,'Annual KPI'!$A$4,'Daily KPI'!$A:$A,"&lt;="&amp;'Annual KPI'!$B$1)</f>
        <v>514.59</v>
      </c>
      <c r="E4" s="41">
        <f>_xlfn.XLOOKUP($C$1,'Modelling New'!$D:$D,'Modelling New'!V:V)</f>
        <v>3154.8987212058146</v>
      </c>
      <c r="F4" s="42">
        <f>SUMIFS('Daily KPI'!$AA:$AA,'Daily KPI'!$B:$B,'Annual KPI'!$A$4,'Daily KPI'!$A:$A,"&lt;="&amp;'Annual KPI'!$B$1)/1000</f>
        <v>3103.7499999999964</v>
      </c>
      <c r="G4" s="43">
        <f>IFERROR(E4/C4/'Modelling New'!$AR$1,"")</f>
        <v>0.68586504442854834</v>
      </c>
      <c r="H4" s="44">
        <f>IFERROR(F4/D4/'Modelling New'!$AR$1,"")</f>
        <v>0.75197307116000422</v>
      </c>
      <c r="I4" s="43">
        <f>IFERROR(E4/(B4*24*'Modelling New'!$AR$1),"")</f>
        <v>0.15758603890554151</v>
      </c>
      <c r="J4" s="44">
        <f>IFERROR(F4/(B4*24*'Modelling New'!$AR$1),"")</f>
        <v>0.15503117896162924</v>
      </c>
      <c r="K4" s="36">
        <f>_xlfn.XLOOKUP($C$1,'Modelling New'!$D:$D,'Modelling New'!AF:AF)</f>
        <v>0.98</v>
      </c>
      <c r="L4" s="45">
        <f>AVERAGEIFS('Daily KPI'!$R:$R,'Daily KPI'!$B:$B,'Annual KPI'!$A$4,'Daily KPI'!$A:$A,"&lt;="&amp;'Annual KPI'!$B$1)</f>
        <v>0.96041879207354297</v>
      </c>
      <c r="M4" s="36">
        <f>_xlfn.XLOOKUP($C$1,'Modelling New'!$D:$D,'Modelling New'!AE:AE)</f>
        <v>0.98040000000000005</v>
      </c>
      <c r="N4" s="45">
        <f>AVERAGEIFS('Daily KPI'!$O:$O,'Daily KPI'!$B:$B,'Annual KPI'!$A$4,'Daily KPI'!$A:$A,"&lt;="&amp;'Annual KPI'!$B$1)</f>
        <v>0.9783892039712877</v>
      </c>
    </row>
    <row r="8" spans="1:14" ht="21" x14ac:dyDescent="0.3">
      <c r="A8" s="243" t="s">
        <v>324</v>
      </c>
      <c r="B8" s="243"/>
      <c r="C8" s="243"/>
      <c r="D8" s="243"/>
      <c r="E8" s="243"/>
      <c r="F8" s="243"/>
      <c r="G8" s="243"/>
      <c r="H8" s="243"/>
      <c r="I8" s="243"/>
      <c r="J8" s="243"/>
      <c r="K8" s="243"/>
      <c r="L8" s="243"/>
      <c r="M8" s="243"/>
      <c r="N8" s="243"/>
    </row>
    <row r="9" spans="1:14" ht="43.2" x14ac:dyDescent="0.3">
      <c r="A9" s="40" t="s">
        <v>84</v>
      </c>
      <c r="B9" s="32" t="s">
        <v>55</v>
      </c>
      <c r="C9" s="33" t="s">
        <v>95</v>
      </c>
      <c r="D9" s="33" t="s">
        <v>96</v>
      </c>
      <c r="E9" s="33" t="s">
        <v>97</v>
      </c>
      <c r="F9" s="33" t="s">
        <v>98</v>
      </c>
      <c r="G9" s="33" t="s">
        <v>99</v>
      </c>
      <c r="H9" s="33" t="s">
        <v>100</v>
      </c>
      <c r="I9" s="33" t="s">
        <v>101</v>
      </c>
      <c r="J9" s="33" t="s">
        <v>102</v>
      </c>
      <c r="K9" s="33" t="s">
        <v>103</v>
      </c>
      <c r="L9" s="33" t="s">
        <v>104</v>
      </c>
      <c r="M9" s="33" t="s">
        <v>105</v>
      </c>
      <c r="N9" s="33" t="s">
        <v>106</v>
      </c>
    </row>
    <row r="10" spans="1:14" x14ac:dyDescent="0.3">
      <c r="A10" s="38">
        <v>45748</v>
      </c>
      <c r="B10" s="34">
        <f>_xlfn.XLOOKUP($A10,'Modelling New'!$D:$D,'Modelling New'!Q:Q)</f>
        <v>30</v>
      </c>
      <c r="C10" s="34">
        <f>_xlfn.XLOOKUP($A10,'Modelling New'!$D:$D,'Modelling New'!$R:$R)</f>
        <v>191.7</v>
      </c>
      <c r="D10" s="35">
        <f>SUMIF('Daily KPI'!$D:$D,A10,'Daily KPI'!I:I)</f>
        <v>174.20000000000002</v>
      </c>
      <c r="E10" s="34">
        <f>_xlfn.XLOOKUP($A10,'Modelling New'!$D:$D,'Modelling New'!$U:$U)</f>
        <v>1038.306851835873</v>
      </c>
      <c r="F10" s="35">
        <f>SUMIF('Daily KPI'!$D:$D,A10,'Daily KPI'!$AA:$AA)/1000</f>
        <v>1000.9999999999972</v>
      </c>
      <c r="G10" s="36">
        <f>IFERROR(E10/C10/'Modelling New'!$AR$1,"")</f>
        <v>0.67527474134483101</v>
      </c>
      <c r="H10" s="37">
        <f>IFERROR(F10/D10/'Modelling New'!$AR$1,"")</f>
        <v>0.71641195585487927</v>
      </c>
      <c r="I10" s="36">
        <f>IFERROR(E10/(B10*24*'Modelling New'!$AR$1),"")</f>
        <v>0.17979189988306124</v>
      </c>
      <c r="J10" s="37">
        <f>IFERROR(F10/(B10*24*'Modelling New'!$AR$1),"")</f>
        <v>0.17333189265266663</v>
      </c>
      <c r="K10" s="36">
        <f>_xlfn.XLOOKUP($A10,'Modelling New'!$D:$D,'Modelling New'!AF:AF)</f>
        <v>0.98</v>
      </c>
      <c r="L10" s="37">
        <f>IFERROR(AVERAGEIF('Daily KPI'!$D:$D,$A10,'Daily KPI'!$R:$R),"")</f>
        <v>0.97439469600635042</v>
      </c>
      <c r="M10" s="36">
        <f>_xlfn.XLOOKUP($A10,'Modelling New'!$D:$D,'Modelling New'!AE:AE)</f>
        <v>0.98040000000000005</v>
      </c>
      <c r="N10" s="37">
        <f>IFERROR(AVERAGEIF('Daily KPI'!$D:$D,$A10,'Daily KPI'!$O:$O),"")</f>
        <v>0.93093785561058018</v>
      </c>
    </row>
    <row r="11" spans="1:14" x14ac:dyDescent="0.3">
      <c r="A11" s="38">
        <v>45778</v>
      </c>
      <c r="B11" s="34">
        <f>_xlfn.XLOOKUP($A11,'Modelling New'!$D:$D,'Modelling New'!Q:Q)</f>
        <v>31</v>
      </c>
      <c r="C11" s="34">
        <f>_xlfn.XLOOKUP($A11,'Modelling New'!$D:$D,'Modelling New'!$R:$R)</f>
        <v>186.4</v>
      </c>
      <c r="D11" s="35">
        <f>SUMIF('Daily KPI'!$D:$D,A11,'Daily KPI'!I:I)</f>
        <v>157.12</v>
      </c>
      <c r="E11" s="34">
        <f>_xlfn.XLOOKUP($A11,'Modelling New'!$D:$D,'Modelling New'!$U:$U)</f>
        <v>1040.9100812301763</v>
      </c>
      <c r="F11" s="35">
        <f>SUMIF('Daily KPI'!$D:$D,A11,'Daily KPI'!$AA:$AA)/1000</f>
        <v>941.05000000000007</v>
      </c>
      <c r="G11" s="36">
        <f>IFERROR(E11/C11/'Modelling New'!$AR$1,"")</f>
        <v>0.69621632879901718</v>
      </c>
      <c r="H11" s="37">
        <f>IFERROR(F11/D11/'Modelling New'!$AR$1,"")</f>
        <v>0.74672059011616276</v>
      </c>
      <c r="I11" s="36">
        <f>IFERROR(E11/(B11*24*'Modelling New'!$AR$1),"")</f>
        <v>0.17442839205394731</v>
      </c>
      <c r="J11" s="37">
        <f>IFERROR(F11/(B11*24*'Modelling New'!$AR$1),"")</f>
        <v>0.15769454182668213</v>
      </c>
      <c r="K11" s="36">
        <f>_xlfn.XLOOKUP($A11,'Modelling New'!$D:$D,'Modelling New'!AF:AF)</f>
        <v>0.98</v>
      </c>
      <c r="L11" s="37">
        <f>IFERROR(AVERAGEIF('Daily KPI'!$D:$D,$A11,'Daily KPI'!$R:$R),"")</f>
        <v>0.9477672941751214</v>
      </c>
      <c r="M11" s="36">
        <f>_xlfn.XLOOKUP($A11,'Modelling New'!$D:$D,'Modelling New'!AE:AE)</f>
        <v>0.98040000000000005</v>
      </c>
      <c r="N11" s="37">
        <f>IFERROR(AVERAGEIF('Daily KPI'!$D:$D,$A11,'Daily KPI'!$O:$O),"")</f>
        <v>0.99433359821601608</v>
      </c>
    </row>
    <row r="12" spans="1:14" x14ac:dyDescent="0.3">
      <c r="A12" s="38">
        <v>45809</v>
      </c>
      <c r="B12" s="34">
        <f>_xlfn.XLOOKUP($A12,'Modelling New'!$D:$D,'Modelling New'!Q:Q)</f>
        <v>30</v>
      </c>
      <c r="C12" s="34">
        <f>_xlfn.XLOOKUP($A12,'Modelling New'!$D:$D,'Modelling New'!$R:$R)</f>
        <v>142.80000000000001</v>
      </c>
      <c r="D12" s="35">
        <f>SUMIF('Daily KPI'!$D:$D,A12,'Daily KPI'!I:I)</f>
        <v>131.59</v>
      </c>
      <c r="E12" s="34">
        <f>_xlfn.XLOOKUP($A12,'Modelling New'!$D:$D,'Modelling New'!$U:$U)</f>
        <v>777.5924493389839</v>
      </c>
      <c r="F12" s="35">
        <f>SUMIF('Daily KPI'!$D:$D,A12,'Daily KPI'!$AA:$AA)/1000</f>
        <v>831.39999999999441</v>
      </c>
      <c r="G12" s="36">
        <f>IFERROR(E12/C12/'Modelling New'!$AR$1,"")</f>
        <v>0.67889205394445518</v>
      </c>
      <c r="H12" s="37">
        <f>IFERROR(F12/D12/'Modelling New'!$AR$1,"")</f>
        <v>0.78770577850621959</v>
      </c>
      <c r="I12" s="36">
        <f>IFERROR(E12/(B12*24*'Modelling New'!$AR$1),"")</f>
        <v>0.13464692403231696</v>
      </c>
      <c r="J12" s="37">
        <f>IFERROR(F12/(B12*24*'Modelling New'!$AR$1),"")</f>
        <v>0.14396417138004644</v>
      </c>
      <c r="K12" s="36">
        <f>_xlfn.XLOOKUP($A12,'Modelling New'!$D:$D,'Modelling New'!AF:AF)</f>
        <v>0.98</v>
      </c>
      <c r="L12" s="37">
        <f>IFERROR(AVERAGEIF('Daily KPI'!$D:$D,$A12,'Daily KPI'!$R:$R),"")</f>
        <v>0.94740812952383335</v>
      </c>
      <c r="M12" s="36">
        <f>_xlfn.XLOOKUP($A12,'Modelling New'!$D:$D,'Modelling New'!AE:AE)</f>
        <v>0.98040000000000005</v>
      </c>
      <c r="N12" s="37">
        <f>IFERROR(AVERAGEIF('Daily KPI'!$D:$D,$A12,'Daily KPI'!$O:$O),"")</f>
        <v>1</v>
      </c>
    </row>
    <row r="13" spans="1:14" x14ac:dyDescent="0.3">
      <c r="A13" s="38">
        <v>45839</v>
      </c>
      <c r="B13" s="34">
        <f>_xlfn.XLOOKUP($A13,'Modelling New'!$D:$D,'Modelling New'!Q:Q)</f>
        <v>13</v>
      </c>
      <c r="C13" s="34">
        <f>_xlfn.XLOOKUP($A13,'Modelling New'!$D:$D,'Modelling New'!$R:$R)</f>
        <v>52.587096774193547</v>
      </c>
      <c r="D13" s="35">
        <f>SUMIF('Daily KPI'!$D:$D,A13,'Daily KPI'!I:I)</f>
        <v>51.68</v>
      </c>
      <c r="E13" s="34">
        <f>_xlfn.XLOOKUP($A13,'Modelling New'!$D:$D,'Modelling New'!$U:$U)</f>
        <v>298.08933880078177</v>
      </c>
      <c r="F13" s="35">
        <f>SUMIF('Daily KPI'!$D:$D,A13,'Daily KPI'!$AA:$AA)/1000</f>
        <v>330.30000000000581</v>
      </c>
      <c r="G13" s="36">
        <f>IFERROR(E13/C13/'Modelling New'!$AR$1,"")</f>
        <v>0.70671473575739119</v>
      </c>
      <c r="H13" s="37">
        <f>IFERROR(F13/D13/'Modelling New'!$AR$1,"")</f>
        <v>0.79682502835955482</v>
      </c>
      <c r="I13" s="36">
        <f>IFERROR(E13/(B13*24*'Modelling New'!$AR$1),"")</f>
        <v>0.11911562884943126</v>
      </c>
      <c r="J13" s="37">
        <f>IFERROR(F13/(B13*24*'Modelling New'!$AR$1),"")</f>
        <v>0.13198691495391601</v>
      </c>
      <c r="K13" s="36">
        <f>_xlfn.XLOOKUP($A13,'Modelling New'!$D:$D,'Modelling New'!AF:AF)</f>
        <v>0.98</v>
      </c>
      <c r="L13" s="37">
        <f>IFERROR(AVERAGEIF('Daily KPI'!$D:$D,$A13,'Daily KPI'!$R:$R),"")</f>
        <v>0.98836026848571079</v>
      </c>
      <c r="M13" s="36">
        <f>_xlfn.XLOOKUP($A13,'Modelling New'!$D:$D,'Modelling New'!AE:AE)</f>
        <v>0.98040000000000005</v>
      </c>
      <c r="N13" s="37">
        <f>IFERROR(AVERAGEIF('Daily KPI'!$D:$D,$A13,'Daily KPI'!$O:$O),"")</f>
        <v>1</v>
      </c>
    </row>
    <row r="14" spans="1:14" x14ac:dyDescent="0.3">
      <c r="A14" s="38">
        <v>45870</v>
      </c>
      <c r="B14" s="34">
        <f>_xlfn.XLOOKUP($A14,'Modelling New'!$D:$D,'Modelling New'!Q:Q)</f>
        <v>0</v>
      </c>
      <c r="C14" s="34">
        <f>_xlfn.XLOOKUP($A14,'Modelling New'!$D:$D,'Modelling New'!$R:$R)</f>
        <v>0</v>
      </c>
      <c r="D14" s="35">
        <f>SUMIF('Daily KPI'!$D:$D,A14,'Daily KPI'!I:I)</f>
        <v>0</v>
      </c>
      <c r="E14" s="34">
        <f>_xlfn.XLOOKUP($A14,'Modelling New'!$D:$D,'Modelling New'!$U:$U)</f>
        <v>0</v>
      </c>
      <c r="F14" s="35">
        <f>SUMIF('Daily KPI'!$D:$D,A14,'Daily KPI'!$AA:$AA)/1000</f>
        <v>0</v>
      </c>
      <c r="G14" s="36" t="str">
        <f>IFERROR(E14/C14/'Modelling New'!$AR$1,"")</f>
        <v/>
      </c>
      <c r="H14" s="37" t="str">
        <f>IFERROR(F14/D14/'Modelling New'!$AR$1,"")</f>
        <v/>
      </c>
      <c r="I14" s="36" t="str">
        <f>IFERROR(E14/(B14*24*'Modelling New'!$AR$1),"")</f>
        <v/>
      </c>
      <c r="J14" s="37" t="str">
        <f>IFERROR(F14/(B14*24*'Modelling New'!$AR$1),"")</f>
        <v/>
      </c>
      <c r="K14" s="36">
        <f>_xlfn.XLOOKUP($A14,'Modelling New'!$D:$D,'Modelling New'!AF:AF)</f>
        <v>0.98</v>
      </c>
      <c r="L14" s="37" t="str">
        <f>IFERROR(AVERAGEIF('Daily KPI'!$D:$D,$A14,'Daily KPI'!$R:$R),"")</f>
        <v/>
      </c>
      <c r="M14" s="36">
        <f>_xlfn.XLOOKUP($A14,'Modelling New'!$D:$D,'Modelling New'!AE:AE)</f>
        <v>0.98040000000000005</v>
      </c>
      <c r="N14" s="37" t="str">
        <f>IFERROR(AVERAGEIF('Daily KPI'!$D:$D,$A14,'Daily KPI'!$O:$O),"")</f>
        <v/>
      </c>
    </row>
    <row r="15" spans="1:14" x14ac:dyDescent="0.3">
      <c r="A15" s="38">
        <v>45901</v>
      </c>
      <c r="B15" s="34">
        <f>_xlfn.XLOOKUP($A15,'Modelling New'!$D:$D,'Modelling New'!Q:Q)</f>
        <v>0</v>
      </c>
      <c r="C15" s="34">
        <f>_xlfn.XLOOKUP($A15,'Modelling New'!$D:$D,'Modelling New'!$R:$R)</f>
        <v>0</v>
      </c>
      <c r="D15" s="35">
        <f>SUMIF('Daily KPI'!$D:$D,A15,'Daily KPI'!I:I)</f>
        <v>0</v>
      </c>
      <c r="E15" s="34">
        <f>_xlfn.XLOOKUP($A15,'Modelling New'!$D:$D,'Modelling New'!$U:$U)</f>
        <v>0</v>
      </c>
      <c r="F15" s="35">
        <f>SUMIF('Daily KPI'!$D:$D,A15,'Daily KPI'!$AA:$AA)/1000</f>
        <v>0</v>
      </c>
      <c r="G15" s="36" t="str">
        <f>IFERROR(E15/C15/'Modelling New'!$AR$1,"")</f>
        <v/>
      </c>
      <c r="H15" s="37" t="str">
        <f>IFERROR(F15/D15/'Modelling New'!$AR$1,"")</f>
        <v/>
      </c>
      <c r="I15" s="36" t="str">
        <f>IFERROR(E15/(B15*24*'Modelling New'!$AR$1),"")</f>
        <v/>
      </c>
      <c r="J15" s="37" t="str">
        <f>IFERROR(F15/(B15*24*'Modelling New'!$AR$1),"")</f>
        <v/>
      </c>
      <c r="K15" s="36">
        <f>_xlfn.XLOOKUP($A15,'Modelling New'!$D:$D,'Modelling New'!AF:AF)</f>
        <v>0.98</v>
      </c>
      <c r="L15" s="37" t="str">
        <f>IFERROR(AVERAGEIF('Daily KPI'!$D:$D,$A15,'Daily KPI'!$R:$R),"")</f>
        <v/>
      </c>
      <c r="M15" s="36">
        <f>_xlfn.XLOOKUP($A15,'Modelling New'!$D:$D,'Modelling New'!AE:AE)</f>
        <v>0.98040000000000005</v>
      </c>
      <c r="N15" s="37" t="str">
        <f>IFERROR(AVERAGEIF('Daily KPI'!$D:$D,$A15,'Daily KPI'!$O:$O),"")</f>
        <v/>
      </c>
    </row>
    <row r="16" spans="1:14" x14ac:dyDescent="0.3">
      <c r="A16" s="38">
        <v>45931</v>
      </c>
      <c r="B16" s="34">
        <f>_xlfn.XLOOKUP($A16,'Modelling New'!$D:$D,'Modelling New'!Q:Q)</f>
        <v>0</v>
      </c>
      <c r="C16" s="34">
        <f>_xlfn.XLOOKUP($A16,'Modelling New'!$D:$D,'Modelling New'!$R:$R)</f>
        <v>0</v>
      </c>
      <c r="D16" s="35">
        <f>SUMIF('Daily KPI'!$D:$D,A16,'Daily KPI'!I:I)</f>
        <v>0</v>
      </c>
      <c r="E16" s="34">
        <f>_xlfn.XLOOKUP($A16,'Modelling New'!$D:$D,'Modelling New'!$U:$U)</f>
        <v>0</v>
      </c>
      <c r="F16" s="35">
        <f>SUMIF('Daily KPI'!$D:$D,A16,'Daily KPI'!$AA:$AA)/1000</f>
        <v>0</v>
      </c>
      <c r="G16" s="36" t="str">
        <f>IFERROR(E16/C16/'Modelling New'!$AR$1,"")</f>
        <v/>
      </c>
      <c r="H16" s="37" t="str">
        <f>IFERROR(F16/D16/'Modelling New'!$AR$1,"")</f>
        <v/>
      </c>
      <c r="I16" s="36" t="str">
        <f>IFERROR(E16/(B16*24*'Modelling New'!$AR$1),"")</f>
        <v/>
      </c>
      <c r="J16" s="37" t="str">
        <f>IFERROR(F16/(B16*24*'Modelling New'!$AR$1),"")</f>
        <v/>
      </c>
      <c r="K16" s="36">
        <f>_xlfn.XLOOKUP($A16,'Modelling New'!$D:$D,'Modelling New'!AF:AF)</f>
        <v>0.98</v>
      </c>
      <c r="L16" s="37" t="str">
        <f>IFERROR(AVERAGEIF('Daily KPI'!$D:$D,$A16,'Daily KPI'!$R:$R),"")</f>
        <v/>
      </c>
      <c r="M16" s="36">
        <f>_xlfn.XLOOKUP($A16,'Modelling New'!$D:$D,'Modelling New'!AE:AE)</f>
        <v>0.98040000000000005</v>
      </c>
      <c r="N16" s="37" t="str">
        <f>IFERROR(AVERAGEIF('Daily KPI'!$D:$D,$A16,'Daily KPI'!$O:$O),"")</f>
        <v/>
      </c>
    </row>
    <row r="17" spans="1:14" x14ac:dyDescent="0.3">
      <c r="A17" s="38">
        <v>45962</v>
      </c>
      <c r="B17" s="34">
        <f>_xlfn.XLOOKUP($A17,'Modelling New'!$D:$D,'Modelling New'!Q:Q)</f>
        <v>0</v>
      </c>
      <c r="C17" s="34">
        <f>_xlfn.XLOOKUP($A17,'Modelling New'!$D:$D,'Modelling New'!$R:$R)</f>
        <v>0</v>
      </c>
      <c r="D17" s="35">
        <f>SUMIF('Daily KPI'!$D:$D,A17,'Daily KPI'!I:I)</f>
        <v>0</v>
      </c>
      <c r="E17" s="34">
        <f>_xlfn.XLOOKUP($A17,'Modelling New'!$D:$D,'Modelling New'!$U:$U)</f>
        <v>0</v>
      </c>
      <c r="F17" s="35">
        <f>SUMIF('Daily KPI'!$D:$D,A17,'Daily KPI'!$AA:$AA)/1000</f>
        <v>0</v>
      </c>
      <c r="G17" s="36" t="str">
        <f>IFERROR(E17/C17/'Modelling New'!$AR$1,"")</f>
        <v/>
      </c>
      <c r="H17" s="37" t="str">
        <f>IFERROR(F17/D17/'Modelling New'!$AR$1,"")</f>
        <v/>
      </c>
      <c r="I17" s="36" t="str">
        <f>IFERROR(E17/(B17*24*'Modelling New'!$AR$1),"")</f>
        <v/>
      </c>
      <c r="J17" s="37" t="str">
        <f>IFERROR(F17/(B17*24*'Modelling New'!$AR$1),"")</f>
        <v/>
      </c>
      <c r="K17" s="36">
        <f>_xlfn.XLOOKUP($A17,'Modelling New'!$D:$D,'Modelling New'!AF:AF)</f>
        <v>0.98</v>
      </c>
      <c r="L17" s="37" t="str">
        <f>IFERROR(AVERAGEIF('Daily KPI'!$D:$D,$A17,'Daily KPI'!$R:$R),"")</f>
        <v/>
      </c>
      <c r="M17" s="36">
        <f>_xlfn.XLOOKUP($A17,'Modelling New'!$D:$D,'Modelling New'!AE:AE)</f>
        <v>0.98040000000000005</v>
      </c>
      <c r="N17" s="37" t="str">
        <f>IFERROR(AVERAGEIF('Daily KPI'!$D:$D,$A17,'Daily KPI'!$O:$O),"")</f>
        <v/>
      </c>
    </row>
    <row r="18" spans="1:14" x14ac:dyDescent="0.3">
      <c r="A18" s="38">
        <v>45992</v>
      </c>
      <c r="B18" s="34">
        <f>_xlfn.XLOOKUP($A18,'Modelling New'!$D:$D,'Modelling New'!Q:Q)</f>
        <v>0</v>
      </c>
      <c r="C18" s="34">
        <f>_xlfn.XLOOKUP($A18,'Modelling New'!$D:$D,'Modelling New'!$R:$R)</f>
        <v>0</v>
      </c>
      <c r="D18" s="35">
        <f>SUMIF('Daily KPI'!$D:$D,A18,'Daily KPI'!I:I)</f>
        <v>0</v>
      </c>
      <c r="E18" s="34">
        <f>_xlfn.XLOOKUP($A18,'Modelling New'!$D:$D,'Modelling New'!$U:$U)</f>
        <v>0</v>
      </c>
      <c r="F18" s="35">
        <f>SUMIF('Daily KPI'!$D:$D,A18,'Daily KPI'!$AA:$AA)/1000</f>
        <v>0</v>
      </c>
      <c r="G18" s="36" t="str">
        <f>IFERROR(E18/C18/'Modelling New'!$AR$1,"")</f>
        <v/>
      </c>
      <c r="H18" s="37" t="str">
        <f>IFERROR(F18/D18/'Modelling New'!$AR$1,"")</f>
        <v/>
      </c>
      <c r="I18" s="36" t="str">
        <f>IFERROR(E18/(B18*24*'Modelling New'!$AR$1),"")</f>
        <v/>
      </c>
      <c r="J18" s="37" t="str">
        <f>IFERROR(F18/(B18*24*'Modelling New'!$AR$1),"")</f>
        <v/>
      </c>
      <c r="K18" s="36">
        <f>_xlfn.XLOOKUP($A18,'Modelling New'!$D:$D,'Modelling New'!AF:AF)</f>
        <v>0.98</v>
      </c>
      <c r="L18" s="37" t="str">
        <f>IFERROR(AVERAGEIF('Daily KPI'!$D:$D,$A18,'Daily KPI'!$R:$R),"")</f>
        <v/>
      </c>
      <c r="M18" s="36">
        <f>_xlfn.XLOOKUP($A18,'Modelling New'!$D:$D,'Modelling New'!AE:AE)</f>
        <v>0.98040000000000005</v>
      </c>
      <c r="N18" s="37" t="str">
        <f>IFERROR(AVERAGEIF('Daily KPI'!$D:$D,$A18,'Daily KPI'!$O:$O),"")</f>
        <v/>
      </c>
    </row>
    <row r="19" spans="1:14" x14ac:dyDescent="0.3">
      <c r="A19" s="38">
        <v>46023</v>
      </c>
      <c r="B19" s="34">
        <f>_xlfn.XLOOKUP($A19,'Modelling New'!$D:$D,'Modelling New'!Q:Q)</f>
        <v>0</v>
      </c>
      <c r="C19" s="34">
        <f>_xlfn.XLOOKUP($A19,'Modelling New'!$D:$D,'Modelling New'!$R:$R)</f>
        <v>0</v>
      </c>
      <c r="D19" s="35">
        <f>SUMIF('Daily KPI'!$D:$D,A19,'Daily KPI'!I:I)</f>
        <v>0</v>
      </c>
      <c r="E19" s="34">
        <f>_xlfn.XLOOKUP($A19,'Modelling New'!$D:$D,'Modelling New'!$U:$U)</f>
        <v>0</v>
      </c>
      <c r="F19" s="35">
        <f>SUMIF('Daily KPI'!$D:$D,A19,'Daily KPI'!$AA:$AA)/1000</f>
        <v>0</v>
      </c>
      <c r="G19" s="36" t="str">
        <f>IFERROR(E19/C19/'Modelling New'!$AR$1,"")</f>
        <v/>
      </c>
      <c r="H19" s="37" t="str">
        <f>IFERROR(F19/D19/'Modelling New'!$AR$1,"")</f>
        <v/>
      </c>
      <c r="I19" s="36" t="str">
        <f>IFERROR(E19/(B19*24*'Modelling New'!$AR$1),"")</f>
        <v/>
      </c>
      <c r="J19" s="37" t="str">
        <f>IFERROR(F19/(B19*24*'Modelling New'!$AR$1),"")</f>
        <v/>
      </c>
      <c r="K19" s="36">
        <f>_xlfn.XLOOKUP($A19,'Modelling New'!$D:$D,'Modelling New'!AF:AF)</f>
        <v>0.98</v>
      </c>
      <c r="L19" s="37" t="str">
        <f>IFERROR(AVERAGEIF('Daily KPI'!$D:$D,$A19,'Daily KPI'!$R:$R),"")</f>
        <v/>
      </c>
      <c r="M19" s="36">
        <f>_xlfn.XLOOKUP($A19,'Modelling New'!$D:$D,'Modelling New'!AE:AE)</f>
        <v>0.98040000000000005</v>
      </c>
      <c r="N19" s="37" t="str">
        <f>IFERROR(AVERAGEIF('Daily KPI'!$D:$D,$A19,'Daily KPI'!$O:$O),"")</f>
        <v/>
      </c>
    </row>
    <row r="20" spans="1:14" x14ac:dyDescent="0.3">
      <c r="A20" s="38">
        <v>46054</v>
      </c>
      <c r="B20" s="34">
        <f>_xlfn.XLOOKUP($A20,'Modelling New'!$D:$D,'Modelling New'!Q:Q)</f>
        <v>0</v>
      </c>
      <c r="C20" s="34">
        <f>_xlfn.XLOOKUP($A20,'Modelling New'!$D:$D,'Modelling New'!$R:$R)</f>
        <v>0</v>
      </c>
      <c r="D20" s="35">
        <f>SUMIF('Daily KPI'!$D:$D,A20,'Daily KPI'!I:I)</f>
        <v>0</v>
      </c>
      <c r="E20" s="34">
        <f>_xlfn.XLOOKUP($A20,'Modelling New'!$D:$D,'Modelling New'!$U:$U)</f>
        <v>0</v>
      </c>
      <c r="F20" s="35">
        <f>SUMIF('Daily KPI'!$D:$D,A20,'Daily KPI'!$AA:$AA)/1000</f>
        <v>0</v>
      </c>
      <c r="G20" s="36" t="str">
        <f>IFERROR(E20/C20/'Modelling New'!$AR$1,"")</f>
        <v/>
      </c>
      <c r="H20" s="37" t="str">
        <f>IFERROR(F20/D20/'Modelling New'!$AR$1,"")</f>
        <v/>
      </c>
      <c r="I20" s="36" t="str">
        <f>IFERROR(E20/(B20*24*'Modelling New'!$AR$1),"")</f>
        <v/>
      </c>
      <c r="J20" s="37" t="str">
        <f>IFERROR(F20/(B20*24*'Modelling New'!$AR$1),"")</f>
        <v/>
      </c>
      <c r="K20" s="36">
        <f>_xlfn.XLOOKUP($A20,'Modelling New'!$D:$D,'Modelling New'!AF:AF)</f>
        <v>0.98</v>
      </c>
      <c r="L20" s="37" t="str">
        <f>IFERROR(AVERAGEIF('Daily KPI'!$D:$D,$A20,'Daily KPI'!$R:$R),"")</f>
        <v/>
      </c>
      <c r="M20" s="36">
        <f>_xlfn.XLOOKUP($A20,'Modelling New'!$D:$D,'Modelling New'!AE:AE)</f>
        <v>0.98040000000000005</v>
      </c>
      <c r="N20" s="37" t="str">
        <f>IFERROR(AVERAGEIF('Daily KPI'!$D:$D,$A20,'Daily KPI'!$O:$O),"")</f>
        <v/>
      </c>
    </row>
    <row r="21" spans="1:14" x14ac:dyDescent="0.3">
      <c r="A21" s="38">
        <v>46082</v>
      </c>
      <c r="B21" s="34">
        <f>_xlfn.XLOOKUP($A21,'Modelling New'!$D:$D,'Modelling New'!Q:Q)</f>
        <v>0</v>
      </c>
      <c r="C21" s="34">
        <f>_xlfn.XLOOKUP($A21,'Modelling New'!$D:$D,'Modelling New'!$R:$R)</f>
        <v>0</v>
      </c>
      <c r="D21" s="35">
        <f>SUMIF('Daily KPI'!$D:$D,A21,'Daily KPI'!I:I)</f>
        <v>0</v>
      </c>
      <c r="E21" s="34">
        <f>_xlfn.XLOOKUP($A21,'Modelling New'!$D:$D,'Modelling New'!$U:$U)</f>
        <v>0</v>
      </c>
      <c r="F21" s="35">
        <f>SUMIF('Daily KPI'!$D:$D,A21,'Daily KPI'!$AA:$AA)/1000</f>
        <v>0</v>
      </c>
      <c r="G21" s="36" t="str">
        <f>IFERROR(E21/C21/'Modelling New'!$AR$1,"")</f>
        <v/>
      </c>
      <c r="H21" s="37" t="str">
        <f>IFERROR(F21/D21/'Modelling New'!$AR$1,"")</f>
        <v/>
      </c>
      <c r="I21" s="36" t="str">
        <f>IFERROR(E21/(B21*24*'Modelling New'!$AR$1),"")</f>
        <v/>
      </c>
      <c r="J21" s="37" t="str">
        <f>IFERROR(F21/(B21*24*'Modelling New'!$AR$1),"")</f>
        <v/>
      </c>
      <c r="K21" s="36">
        <f>_xlfn.XLOOKUP($A21,'Modelling New'!$D:$D,'Modelling New'!AF:AF)</f>
        <v>0.98</v>
      </c>
      <c r="L21" s="37" t="str">
        <f>IFERROR(AVERAGEIF('Daily KPI'!$D:$D,$A21,'Daily KPI'!$R:$R),"")</f>
        <v/>
      </c>
      <c r="M21" s="36">
        <f>_xlfn.XLOOKUP($A21,'Modelling New'!$D:$D,'Modelling New'!AE:AE)</f>
        <v>0.98040000000000005</v>
      </c>
      <c r="N21" s="37" t="str">
        <f>IFERROR(AVERAGEIF('Daily KPI'!$D:$D,$A21,'Daily KPI'!$O:$O),"")</f>
        <v/>
      </c>
    </row>
  </sheetData>
  <sheetProtection algorithmName="SHA-512" hashValue="7rYm743XSny4HhZN4HHgNlyuVd6/HFvJ0MdZM/E5KYfz3XUGz6Qk9VGEwAgaeWDBAciMQXOqimG4fkmOg5mGiQ==" saltValue="NQAN8RB1QHGxDG93GgrsYQ==" spinCount="100000" sheet="1" objects="1" scenarios="1"/>
  <mergeCells count="2">
    <mergeCell ref="A2:N2"/>
    <mergeCell ref="A8:N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"/>
  <sheetViews>
    <sheetView zoomScaleNormal="100" workbookViewId="0">
      <selection activeCell="A4" sqref="A4"/>
    </sheetView>
  </sheetViews>
  <sheetFormatPr defaultRowHeight="14.4" x14ac:dyDescent="0.3"/>
  <cols>
    <col min="2" max="2" width="10.6640625" bestFit="1" customWidth="1"/>
    <col min="3" max="3" width="13.44140625" customWidth="1"/>
    <col min="4" max="4" width="12" customWidth="1"/>
    <col min="5" max="5" width="12.44140625" customWidth="1"/>
    <col min="6" max="6" width="13.6640625" customWidth="1"/>
    <col min="8" max="8" width="9.44140625" customWidth="1"/>
    <col min="9" max="9" width="10.33203125" customWidth="1"/>
    <col min="10" max="10" width="11.109375" customWidth="1"/>
    <col min="12" max="12" width="9.33203125" customWidth="1"/>
    <col min="14" max="14" width="9.44140625" customWidth="1"/>
  </cols>
  <sheetData>
    <row r="1" spans="1:14" x14ac:dyDescent="0.3">
      <c r="A1" s="47" t="s">
        <v>113</v>
      </c>
      <c r="B1" s="48">
        <f>'Daily Dashboard'!B3</f>
        <v>45851</v>
      </c>
    </row>
    <row r="2" spans="1:14" ht="20.399999999999999" customHeight="1" x14ac:dyDescent="0.3">
      <c r="A2" s="243" t="s">
        <v>321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</row>
    <row r="3" spans="1:14" ht="43.2" x14ac:dyDescent="0.3">
      <c r="A3" s="32" t="s">
        <v>84</v>
      </c>
      <c r="B3" s="32" t="s">
        <v>55</v>
      </c>
      <c r="C3" s="33" t="s">
        <v>95</v>
      </c>
      <c r="D3" s="33" t="s">
        <v>96</v>
      </c>
      <c r="E3" s="33" t="s">
        <v>97</v>
      </c>
      <c r="F3" s="33" t="s">
        <v>98</v>
      </c>
      <c r="G3" s="33" t="s">
        <v>99</v>
      </c>
      <c r="H3" s="33" t="s">
        <v>100</v>
      </c>
      <c r="I3" s="33" t="s">
        <v>101</v>
      </c>
      <c r="J3" s="33" t="s">
        <v>102</v>
      </c>
      <c r="K3" s="33" t="s">
        <v>103</v>
      </c>
      <c r="L3" s="33" t="s">
        <v>104</v>
      </c>
      <c r="M3" s="33" t="s">
        <v>105</v>
      </c>
      <c r="N3" s="33" t="s">
        <v>106</v>
      </c>
    </row>
    <row r="4" spans="1:14" x14ac:dyDescent="0.3">
      <c r="A4" s="38">
        <f>'Daily Dashboard'!B2</f>
        <v>45839</v>
      </c>
      <c r="B4" s="34">
        <f>DAY(B1)</f>
        <v>13</v>
      </c>
      <c r="C4" s="168">
        <f>_xlfn.XLOOKUP($A$4,'Modelling New'!$D:$D,'Modelling New'!$R:$R)</f>
        <v>52.587096774193547</v>
      </c>
      <c r="D4" s="65">
        <f>SUMIF('Daily KPI'!$D:$D,'Monthly KPI'!A4,'Daily KPI'!$I:$I)</f>
        <v>51.68</v>
      </c>
      <c r="E4" s="34">
        <f>_xlfn.XLOOKUP($A$4,'Modelling New'!$D:$D,'Modelling New'!U:U)</f>
        <v>298.08933880078177</v>
      </c>
      <c r="F4" s="65">
        <f>SUMIF('Daily KPI'!$D:$D,'Monthly KPI'!A4,'Daily KPI'!AA:AA)/1000</f>
        <v>330.30000000000581</v>
      </c>
      <c r="G4" s="36">
        <f>IFERROR(E4/C4/'Modelling New'!$AR$1,"")</f>
        <v>0.70671473575739119</v>
      </c>
      <c r="H4" s="37">
        <f>IFERROR(F4/D4/'Modelling New'!$AR$1,"")</f>
        <v>0.79682502835955482</v>
      </c>
      <c r="I4" s="36">
        <f>IFERROR(E4/(B4*24*'Modelling New'!$AR$1),"")</f>
        <v>0.11911562884943126</v>
      </c>
      <c r="J4" s="37">
        <f>IFERROR(F4/(B4*24*'Modelling New'!$AR$1),"")</f>
        <v>0.13198691495391601</v>
      </c>
      <c r="K4" s="36">
        <f>_xlfn.XLOOKUP($A$4,'Modelling New'!$D:$D,'Modelling New'!AF:AF)</f>
        <v>0.98</v>
      </c>
      <c r="L4" s="37">
        <f>IFERROR(AVERAGEIF('Daily KPI'!$D:$D,'Monthly KPI'!$A$4,'Daily KPI'!R:R),"")</f>
        <v>0.98836026848571079</v>
      </c>
      <c r="M4" s="36">
        <f>_xlfn.XLOOKUP($A$4,'Modelling New'!$D:$D,'Modelling New'!AE:AE)</f>
        <v>0.98040000000000005</v>
      </c>
      <c r="N4" s="37">
        <f>IFERROR(AVERAGEIF('Daily KPI'!$D:$D,'Monthly KPI'!$A$4,'Daily KPI'!O:O),"")</f>
        <v>1</v>
      </c>
    </row>
    <row r="7" spans="1:14" x14ac:dyDescent="0.3">
      <c r="A7" s="47" t="s">
        <v>326</v>
      </c>
      <c r="B7" s="48">
        <f>B8-6</f>
        <v>45845</v>
      </c>
    </row>
    <row r="8" spans="1:14" x14ac:dyDescent="0.3">
      <c r="A8" s="47" t="s">
        <v>327</v>
      </c>
      <c r="B8" s="48">
        <f>B1</f>
        <v>45851</v>
      </c>
    </row>
    <row r="10" spans="1:14" ht="21" x14ac:dyDescent="0.3">
      <c r="A10" s="243" t="s">
        <v>328</v>
      </c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</row>
    <row r="11" spans="1:14" ht="43.2" x14ac:dyDescent="0.3">
      <c r="A11" s="32" t="s">
        <v>83</v>
      </c>
      <c r="B11" s="32" t="s">
        <v>55</v>
      </c>
      <c r="C11" s="33" t="s">
        <v>95</v>
      </c>
      <c r="D11" s="33" t="s">
        <v>96</v>
      </c>
      <c r="E11" s="33" t="s">
        <v>97</v>
      </c>
      <c r="F11" s="33" t="s">
        <v>98</v>
      </c>
      <c r="G11" s="33" t="s">
        <v>99</v>
      </c>
      <c r="H11" s="33" t="s">
        <v>100</v>
      </c>
      <c r="I11" s="33" t="s">
        <v>101</v>
      </c>
      <c r="J11" s="33" t="s">
        <v>102</v>
      </c>
      <c r="K11" s="33" t="s">
        <v>103</v>
      </c>
      <c r="L11" s="33" t="s">
        <v>104</v>
      </c>
      <c r="M11" s="33" t="s">
        <v>105</v>
      </c>
      <c r="N11" s="33" t="s">
        <v>106</v>
      </c>
    </row>
    <row r="12" spans="1:14" x14ac:dyDescent="0.3">
      <c r="A12" s="38">
        <f>A4</f>
        <v>45839</v>
      </c>
      <c r="B12" s="34">
        <f>(B8-B7)+1</f>
        <v>7</v>
      </c>
      <c r="C12" s="34">
        <f>SUMIFS('Daily KPI'!$AC:$AC,'Daily KPI'!$A:$A,"&gt;="&amp;$B$7,'Daily KPI'!$A:$A,"&lt;="&amp;$B$8)</f>
        <v>28.316129032258068</v>
      </c>
      <c r="D12" s="35">
        <f>SUMIFS('Daily KPI'!$I:$I,'Daily KPI'!$A:$A,"&gt;="&amp;$B$7,'Daily KPI'!$A:$A,"&lt;="&amp;$B$8)</f>
        <v>30.4</v>
      </c>
      <c r="E12" s="34">
        <f>SUMIFS('Daily KPI'!$AD:$AD,'Daily KPI'!$A:$A,"&gt;="&amp;$B$7,'Daily KPI'!$A:$A,"&lt;="&amp;$B$8)/1000</f>
        <v>160.50964396965176</v>
      </c>
      <c r="F12" s="35">
        <f>SUMIFS('Daily KPI'!$AA:$AA,'Daily KPI'!$A:$A,"&gt;="&amp;$B$7,'Daily KPI'!$A:$A,"&lt;="&amp;$B$8)/1000</f>
        <v>191.9999999999971</v>
      </c>
      <c r="G12" s="36">
        <f>IFERROR(E12/C12/'Modelling New'!$AR$1,"")</f>
        <v>0.7067147357573913</v>
      </c>
      <c r="H12" s="37">
        <f>IFERROR(F12/D12/'Modelling New'!$AR$1,"")</f>
        <v>0.78741655845155978</v>
      </c>
      <c r="I12" s="36">
        <f>IFERROR(E12/(B12*24*'Modelling New'!$AR$1),"")</f>
        <v>0.11911562884943129</v>
      </c>
      <c r="J12" s="37">
        <f>IFERROR(F12/(B12*24*'Modelling New'!$AR$1),"")</f>
        <v>0.14248490105313938</v>
      </c>
      <c r="K12" s="36">
        <f>_xlfn.XLOOKUP($A$12,'Modelling New'!$D:$D,'Modelling New'!AF:AF)</f>
        <v>0.98</v>
      </c>
      <c r="L12" s="37">
        <f>AVERAGEIFS('Daily KPI'!$R:$R,'Daily KPI'!$A:$A,"&gt;="&amp;$B$7,'Daily KPI'!$A:$A,"&lt;="&amp;$B$8)</f>
        <v>0.98664534953916039</v>
      </c>
      <c r="M12" s="36">
        <f>_xlfn.XLOOKUP($A$12,'Modelling New'!$D:$D,'Modelling New'!AE:AE)</f>
        <v>0.98040000000000005</v>
      </c>
      <c r="N12" s="37">
        <f>AVERAGEIFS('Daily KPI'!$O:$O,'Daily KPI'!$A:$A,"&gt;="&amp;$B$7,'Daily KPI'!$A:$A,"&lt;="&amp;$B$8)</f>
        <v>1</v>
      </c>
    </row>
  </sheetData>
  <sheetProtection algorithmName="SHA-512" hashValue="Ku+NGvmNZTFXKodpZRLJBZK1wfl1gsoFZJA9bi1tvstOwoTwM9xoK7kbJKZIiI8BJrpf0CJ6HufUr65louHFAg==" saltValue="n/iRLFbi1AyxilysRb2u9Q==" spinCount="100000" sheet="1" objects="1" scenarios="1"/>
  <mergeCells count="2">
    <mergeCell ref="A2:N2"/>
    <mergeCell ref="A10:N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1628F-F514-40E2-BF86-52C824A59005}">
  <dimension ref="A1:AR97"/>
  <sheetViews>
    <sheetView workbookViewId="0">
      <pane xSplit="4" ySplit="1" topLeftCell="E82" activePane="bottomRight" state="frozen"/>
      <selection activeCell="C1" sqref="C1"/>
      <selection pane="topRight" activeCell="C1" sqref="C1"/>
      <selection pane="bottomLeft" activeCell="C1" sqref="C1"/>
      <selection pane="bottomRight" activeCell="D90" sqref="D90"/>
    </sheetView>
  </sheetViews>
  <sheetFormatPr defaultColWidth="8.6640625" defaultRowHeight="14.4" x14ac:dyDescent="0.3"/>
  <cols>
    <col min="1" max="2" width="9.33203125" style="134" customWidth="1"/>
    <col min="3" max="3" width="15.88671875" style="134" customWidth="1"/>
    <col min="4" max="6" width="8.6640625" style="134"/>
    <col min="7" max="7" width="20.5546875" style="134" customWidth="1"/>
    <col min="8" max="8" width="8.6640625" style="134"/>
    <col min="9" max="9" width="9.44140625" style="134" bestFit="1" customWidth="1"/>
    <col min="10" max="14" width="8.6640625" style="134"/>
    <col min="15" max="15" width="9.88671875" style="134" bestFit="1" customWidth="1"/>
    <col min="16" max="16" width="11" style="134" customWidth="1"/>
    <col min="17" max="17" width="15.33203125" style="134" customWidth="1"/>
    <col min="18" max="19" width="10.88671875" style="134" customWidth="1"/>
    <col min="20" max="20" width="13" style="134" customWidth="1"/>
    <col min="21" max="25" width="12.88671875" style="134" customWidth="1"/>
    <col min="26" max="27" width="14.5546875" style="134" customWidth="1"/>
    <col min="28" max="29" width="15.5546875" style="134" customWidth="1"/>
    <col min="30" max="38" width="9.88671875" style="134" customWidth="1"/>
    <col min="39" max="39" width="12" style="134" bestFit="1" customWidth="1"/>
    <col min="40" max="40" width="11.33203125" style="134" customWidth="1"/>
    <col min="41" max="42" width="8.6640625" style="134"/>
    <col min="43" max="43" width="10.5546875" style="134" bestFit="1" customWidth="1"/>
    <col min="44" max="16384" width="8.6640625" style="134"/>
  </cols>
  <sheetData>
    <row r="1" spans="1:44" ht="43.2" x14ac:dyDescent="0.3">
      <c r="A1" s="146" t="s">
        <v>58</v>
      </c>
      <c r="B1" s="146" t="s">
        <v>1129</v>
      </c>
      <c r="C1" s="146" t="s">
        <v>1130</v>
      </c>
      <c r="D1" s="146" t="s">
        <v>83</v>
      </c>
      <c r="E1" s="146" t="s">
        <v>1131</v>
      </c>
      <c r="F1" s="146" t="s">
        <v>1132</v>
      </c>
      <c r="G1" s="146" t="s">
        <v>1133</v>
      </c>
      <c r="H1" s="146" t="s">
        <v>1134</v>
      </c>
      <c r="I1" s="146" t="s">
        <v>1079</v>
      </c>
      <c r="J1" s="146" t="s">
        <v>1135</v>
      </c>
      <c r="K1" s="146" t="s">
        <v>1136</v>
      </c>
      <c r="L1" s="146" t="s">
        <v>1137</v>
      </c>
      <c r="M1" s="146" t="s">
        <v>1138</v>
      </c>
      <c r="N1" s="146" t="s">
        <v>1139</v>
      </c>
      <c r="O1" s="146" t="s">
        <v>1078</v>
      </c>
      <c r="P1" s="146" t="s">
        <v>1140</v>
      </c>
      <c r="Q1" s="146" t="s">
        <v>1141</v>
      </c>
      <c r="R1" s="146" t="s">
        <v>1142</v>
      </c>
      <c r="S1" s="146" t="s">
        <v>1143</v>
      </c>
      <c r="T1" s="146" t="s">
        <v>1144</v>
      </c>
      <c r="U1" s="146" t="s">
        <v>1145</v>
      </c>
      <c r="V1" s="146" t="s">
        <v>1146</v>
      </c>
      <c r="W1" s="146" t="s">
        <v>1147</v>
      </c>
      <c r="X1" s="146" t="s">
        <v>1148</v>
      </c>
      <c r="Y1" s="146" t="s">
        <v>1149</v>
      </c>
      <c r="Z1" s="146" t="s">
        <v>1150</v>
      </c>
      <c r="AA1" s="146" t="s">
        <v>1151</v>
      </c>
      <c r="AB1" s="146" t="s">
        <v>1152</v>
      </c>
      <c r="AC1" s="146" t="s">
        <v>1153</v>
      </c>
      <c r="AD1" s="146" t="s">
        <v>1154</v>
      </c>
      <c r="AE1" s="146" t="s">
        <v>1155</v>
      </c>
      <c r="AF1" s="146" t="s">
        <v>1156</v>
      </c>
      <c r="AG1" s="146" t="s">
        <v>1157</v>
      </c>
      <c r="AH1" s="146" t="s">
        <v>1158</v>
      </c>
      <c r="AI1" s="146" t="s">
        <v>1159</v>
      </c>
      <c r="AJ1" s="146" t="s">
        <v>1160</v>
      </c>
      <c r="AK1" s="146" t="s">
        <v>1161</v>
      </c>
      <c r="AL1" s="146" t="s">
        <v>1162</v>
      </c>
      <c r="AM1" s="146" t="s">
        <v>1193</v>
      </c>
      <c r="AN1" s="186" t="s">
        <v>1194</v>
      </c>
      <c r="AQ1" s="134" t="s">
        <v>3</v>
      </c>
      <c r="AR1" s="147">
        <v>8.0208999999999993</v>
      </c>
    </row>
    <row r="2" spans="1:44" x14ac:dyDescent="0.3">
      <c r="A2" s="148">
        <v>1</v>
      </c>
      <c r="B2" s="149" t="s">
        <v>1163</v>
      </c>
      <c r="C2" s="148">
        <v>4</v>
      </c>
      <c r="D2" s="150">
        <v>43191</v>
      </c>
      <c r="E2" s="151">
        <f t="shared" ref="E2:E3" si="0">YEAR(D2)</f>
        <v>2018</v>
      </c>
      <c r="F2" s="151" t="s">
        <v>1164</v>
      </c>
      <c r="G2" s="152">
        <f t="shared" ref="G2:G3" si="1">DAY(EOMONTH(D2,0))</f>
        <v>30</v>
      </c>
      <c r="H2" s="153">
        <v>193.6</v>
      </c>
      <c r="I2" s="153">
        <v>191.7</v>
      </c>
      <c r="J2" s="154"/>
      <c r="K2" s="153"/>
      <c r="L2" s="152"/>
      <c r="M2" s="155">
        <v>1055.6537985859879</v>
      </c>
      <c r="N2" s="155">
        <v>8.0208999999999993</v>
      </c>
      <c r="O2" s="156">
        <f t="shared" ref="O2:O3" si="2">IFERROR(M2/I2/N2,"")</f>
        <v>0.68655652664663702</v>
      </c>
      <c r="P2" s="154">
        <f t="shared" ref="P2:P3" si="3">IFERROR(I2/G2,"")</f>
        <v>6.39</v>
      </c>
      <c r="Q2" s="152">
        <f>COUNTIFS('Daily KPI'!$D:$D,D2,'Daily KPI'!$O:$O,"&gt;0")</f>
        <v>0</v>
      </c>
      <c r="R2" s="155">
        <f t="shared" ref="R2:R3" si="4">I2/G2*Q2</f>
        <v>0</v>
      </c>
      <c r="S2" s="155">
        <f>SUMIF($F$2:F2,F2,$R$2:R2)</f>
        <v>0</v>
      </c>
      <c r="T2" s="154">
        <f t="shared" ref="T2:T3" si="5">M2/G2</f>
        <v>35.188459952866268</v>
      </c>
      <c r="U2" s="155">
        <f t="shared" ref="U2:U3" si="6">M2/G2*Q2</f>
        <v>0</v>
      </c>
      <c r="V2" s="155">
        <f>SUMIF($F$2:F2,F2,$U$2:U2)</f>
        <v>0</v>
      </c>
      <c r="W2" s="156">
        <f t="shared" ref="W2:W3" si="7">IFERROR(T2/(24*N2),"")</f>
        <v>0.18279567521966711</v>
      </c>
      <c r="X2" s="156" t="str">
        <f t="shared" ref="X2:X33" si="8">IFERROR(U2/(24*N2*Q2),"")</f>
        <v/>
      </c>
      <c r="Y2" s="156" t="str">
        <f t="shared" ref="Y2:Y65" si="9">IFERROR(V2/(24*N2*SUMIFS($Q:$Q,$F:$F,$F2,$D:$D,"&lt;="&amp;D2)),"")</f>
        <v/>
      </c>
      <c r="Z2" s="154" t="str">
        <f>IFERROR(AVERAGEIF('Daily KPI'!$D:$D,Table14[[#This Row],[Month]],'Daily KPI'!$AB:$AB),"")</f>
        <v/>
      </c>
      <c r="AA2" s="157">
        <f>IFERROR(AVERAGEIF($F$2:F2,F2,$N$2:N2),"")</f>
        <v>8.0208999999999993</v>
      </c>
      <c r="AB2" s="155"/>
      <c r="AC2" s="154"/>
      <c r="AD2" s="154"/>
      <c r="AE2" s="156">
        <v>0.98040000000000005</v>
      </c>
      <c r="AF2" s="156">
        <v>0.98</v>
      </c>
      <c r="AG2" s="156"/>
      <c r="AH2" s="156"/>
      <c r="AI2" s="156"/>
      <c r="AJ2" s="156"/>
      <c r="AK2" s="156"/>
      <c r="AL2" s="156"/>
      <c r="AM2" s="184"/>
      <c r="AN2" s="184"/>
    </row>
    <row r="3" spans="1:44" x14ac:dyDescent="0.3">
      <c r="A3" s="149">
        <f t="shared" ref="A3:A66" si="10">A2+1</f>
        <v>2</v>
      </c>
      <c r="B3" s="149" t="s">
        <v>1165</v>
      </c>
      <c r="C3" s="148">
        <v>5</v>
      </c>
      <c r="D3" s="150">
        <v>43221</v>
      </c>
      <c r="E3" s="158">
        <f t="shared" si="0"/>
        <v>2018</v>
      </c>
      <c r="F3" s="151" t="s">
        <v>1164</v>
      </c>
      <c r="G3" s="159">
        <f t="shared" si="1"/>
        <v>31</v>
      </c>
      <c r="H3" s="157">
        <v>198.6</v>
      </c>
      <c r="I3" s="157">
        <v>186.4</v>
      </c>
      <c r="J3" s="160"/>
      <c r="K3" s="157"/>
      <c r="L3" s="159"/>
      <c r="M3" s="161">
        <v>1060.9585915437065</v>
      </c>
      <c r="N3" s="155">
        <v>8.0208999999999993</v>
      </c>
      <c r="O3" s="162">
        <f t="shared" si="2"/>
        <v>0.70962584466409462</v>
      </c>
      <c r="P3" s="160">
        <f t="shared" si="3"/>
        <v>6.0129032258064514</v>
      </c>
      <c r="Q3" s="159">
        <f>COUNTIFS('Daily KPI'!$D:$D,D3,'Daily KPI'!$O:$O,"&gt;0")</f>
        <v>0</v>
      </c>
      <c r="R3" s="161">
        <f t="shared" si="4"/>
        <v>0</v>
      </c>
      <c r="S3" s="161">
        <f>SUMIF($F$2:F3,F3,$R$2:R3)</f>
        <v>0</v>
      </c>
      <c r="T3" s="160">
        <f t="shared" si="5"/>
        <v>34.224470694958271</v>
      </c>
      <c r="U3" s="161">
        <f t="shared" si="6"/>
        <v>0</v>
      </c>
      <c r="V3" s="161">
        <f>SUMIF($F$2:F3,F3,$U$2:U3)</f>
        <v>0</v>
      </c>
      <c r="W3" s="162">
        <f t="shared" si="7"/>
        <v>0.17778798043734842</v>
      </c>
      <c r="X3" s="162" t="str">
        <f t="shared" si="8"/>
        <v/>
      </c>
      <c r="Y3" s="162" t="str">
        <f t="shared" si="9"/>
        <v/>
      </c>
      <c r="Z3" s="160" t="str">
        <f>IFERROR(AVERAGEIF('Daily KPI'!$D:$D,Table14[[#This Row],[Month]],'Daily KPI'!$AB:$AB),"")</f>
        <v/>
      </c>
      <c r="AA3" s="153">
        <f>IFERROR(AVERAGEIF($F$2:F3,F3,$N$2:N3),"")</f>
        <v>8.0208999999999993</v>
      </c>
      <c r="AB3" s="161"/>
      <c r="AC3" s="160"/>
      <c r="AD3" s="160"/>
      <c r="AE3" s="156">
        <v>0.98040000000000005</v>
      </c>
      <c r="AF3" s="156">
        <v>0.98</v>
      </c>
      <c r="AG3" s="156"/>
      <c r="AH3" s="162"/>
      <c r="AI3" s="162"/>
      <c r="AJ3" s="162"/>
      <c r="AK3" s="162"/>
      <c r="AL3" s="162"/>
      <c r="AM3" s="183"/>
      <c r="AN3" s="183"/>
    </row>
    <row r="4" spans="1:44" x14ac:dyDescent="0.3">
      <c r="A4" s="148">
        <f t="shared" si="10"/>
        <v>3</v>
      </c>
      <c r="B4" s="149" t="s">
        <v>1166</v>
      </c>
      <c r="C4" s="148">
        <v>6</v>
      </c>
      <c r="D4" s="150">
        <v>43252</v>
      </c>
      <c r="E4" s="151">
        <f>YEAR(D4)</f>
        <v>2018</v>
      </c>
      <c r="F4" s="151" t="s">
        <v>1164</v>
      </c>
      <c r="G4" s="152">
        <f>DAY(EOMONTH(D4,0))</f>
        <v>30</v>
      </c>
      <c r="H4" s="157">
        <v>154.80000000000001</v>
      </c>
      <c r="I4" s="157">
        <v>142.80000000000001</v>
      </c>
      <c r="J4" s="154"/>
      <c r="K4" s="157"/>
      <c r="L4" s="152"/>
      <c r="M4" s="155">
        <v>790.41415070006133</v>
      </c>
      <c r="N4" s="155">
        <v>8.0208999999999993</v>
      </c>
      <c r="O4" s="156">
        <f>IFERROR(M4/I4/N4,"")</f>
        <v>0.6900862870925315</v>
      </c>
      <c r="P4" s="154">
        <f>IFERROR(I4/G4,"")</f>
        <v>4.7600000000000007</v>
      </c>
      <c r="Q4" s="152">
        <f>COUNTIFS('Daily KPI'!$D:$D,D4,'Daily KPI'!$O:$O,"&gt;0")</f>
        <v>0</v>
      </c>
      <c r="R4" s="155">
        <f>I4/G4*Q4</f>
        <v>0</v>
      </c>
      <c r="S4" s="155">
        <f>SUMIF($F$4:F4,F4,$R$4:R4)</f>
        <v>0</v>
      </c>
      <c r="T4" s="154">
        <f>M4/G4</f>
        <v>26.347138356668712</v>
      </c>
      <c r="U4" s="155">
        <f>M4/G4*Q4</f>
        <v>0</v>
      </c>
      <c r="V4" s="155">
        <f>SUMIF($F$4:F4,F4,$U$4:U4)</f>
        <v>0</v>
      </c>
      <c r="W4" s="156">
        <f>IFERROR(T4/(24*N4),"")</f>
        <v>0.13686711360668541</v>
      </c>
      <c r="X4" s="156" t="str">
        <f t="shared" si="8"/>
        <v/>
      </c>
      <c r="Y4" s="156" t="str">
        <f t="shared" si="9"/>
        <v/>
      </c>
      <c r="Z4" s="154" t="str">
        <f>IFERROR(AVERAGEIF('Daily KPI'!$D:$D,Table14[[#This Row],[Month]],'Daily KPI'!$AB:$AB),"")</f>
        <v/>
      </c>
      <c r="AA4" s="157">
        <f>IFERROR(AVERAGEIF($F$4:F4,F4,$N$4:N4),"")</f>
        <v>8.0208999999999993</v>
      </c>
      <c r="AB4" s="155"/>
      <c r="AC4" s="154"/>
      <c r="AD4" s="154"/>
      <c r="AE4" s="156">
        <v>0.98040000000000005</v>
      </c>
      <c r="AF4" s="156">
        <v>0.98</v>
      </c>
      <c r="AG4" s="156"/>
      <c r="AH4" s="156"/>
      <c r="AI4" s="156"/>
      <c r="AJ4" s="156"/>
      <c r="AK4" s="156"/>
      <c r="AL4" s="156"/>
      <c r="AM4" s="183"/>
      <c r="AN4" s="183"/>
    </row>
    <row r="5" spans="1:44" x14ac:dyDescent="0.3">
      <c r="A5" s="149">
        <f t="shared" si="10"/>
        <v>4</v>
      </c>
      <c r="B5" s="149" t="s">
        <v>1167</v>
      </c>
      <c r="C5" s="148">
        <v>7</v>
      </c>
      <c r="D5" s="150">
        <v>43282</v>
      </c>
      <c r="E5" s="158">
        <f>YEAR(D5)</f>
        <v>2018</v>
      </c>
      <c r="F5" s="151" t="s">
        <v>1164</v>
      </c>
      <c r="G5" s="159">
        <f>DAY(EOMONTH(D5,0))</f>
        <v>31</v>
      </c>
      <c r="H5" s="157">
        <v>134.4</v>
      </c>
      <c r="I5" s="157">
        <v>125.4</v>
      </c>
      <c r="J5" s="160"/>
      <c r="K5" s="157"/>
      <c r="L5" s="159"/>
      <c r="M5" s="161">
        <v>721.45184224972047</v>
      </c>
      <c r="N5" s="155">
        <v>8.0208999999999993</v>
      </c>
      <c r="O5" s="162">
        <f>IFERROR(M5/I5/N5,"")</f>
        <v>0.71727667514245075</v>
      </c>
      <c r="P5" s="160">
        <f>IFERROR(I5/G5,"")</f>
        <v>4.0451612903225804</v>
      </c>
      <c r="Q5" s="159">
        <f>COUNTIFS('Daily KPI'!$D:$D,D5,'Daily KPI'!$O:$O,"&gt;0")</f>
        <v>0</v>
      </c>
      <c r="R5" s="161">
        <f>I5/G5*Q5</f>
        <v>0</v>
      </c>
      <c r="S5" s="161">
        <f>SUMIF($F$5:F5,F5,$R$5:R5)</f>
        <v>0</v>
      </c>
      <c r="T5" s="160">
        <f>M5/G5</f>
        <v>23.27264007257163</v>
      </c>
      <c r="U5" s="161">
        <f>M5/G5*Q5</f>
        <v>0</v>
      </c>
      <c r="V5" s="161">
        <f>SUMIF($F$5:F5,F5,$U$5:U5)</f>
        <v>0</v>
      </c>
      <c r="W5" s="162">
        <f>IFERROR(T5/(24*N5),"")</f>
        <v>0.12089582669739696</v>
      </c>
      <c r="X5" s="162" t="str">
        <f t="shared" si="8"/>
        <v/>
      </c>
      <c r="Y5" s="162" t="str">
        <f t="shared" si="9"/>
        <v/>
      </c>
      <c r="Z5" s="160" t="str">
        <f>IFERROR(AVERAGEIF('Daily KPI'!$D:$D,Table14[[#This Row],[Month]],'Daily KPI'!$AB:$AB),"")</f>
        <v/>
      </c>
      <c r="AA5" s="153">
        <f>IFERROR(AVERAGEIF($F$5:F5,F5,$N$5:N5),"")</f>
        <v>8.0208999999999993</v>
      </c>
      <c r="AB5" s="161"/>
      <c r="AC5" s="160"/>
      <c r="AD5" s="160"/>
      <c r="AE5" s="156">
        <v>0.98040000000000005</v>
      </c>
      <c r="AF5" s="156">
        <v>0.98</v>
      </c>
      <c r="AG5" s="156"/>
      <c r="AH5" s="162"/>
      <c r="AI5" s="162"/>
      <c r="AJ5" s="162"/>
      <c r="AK5" s="162"/>
      <c r="AL5" s="162"/>
      <c r="AM5" s="183"/>
      <c r="AN5" s="183"/>
    </row>
    <row r="6" spans="1:44" x14ac:dyDescent="0.3">
      <c r="A6" s="148">
        <f t="shared" si="10"/>
        <v>5</v>
      </c>
      <c r="B6" s="149" t="s">
        <v>1168</v>
      </c>
      <c r="C6" s="148">
        <v>8</v>
      </c>
      <c r="D6" s="150">
        <v>43313</v>
      </c>
      <c r="E6" s="151">
        <f t="shared" ref="E6:E13" si="11">YEAR(D6)</f>
        <v>2018</v>
      </c>
      <c r="F6" s="151" t="s">
        <v>1164</v>
      </c>
      <c r="G6" s="152">
        <f t="shared" ref="G6:G13" si="12">DAY(EOMONTH(D6,0))</f>
        <v>31</v>
      </c>
      <c r="H6" s="157">
        <v>134.6</v>
      </c>
      <c r="I6" s="157">
        <v>130.69999999999999</v>
      </c>
      <c r="J6" s="154"/>
      <c r="K6" s="157"/>
      <c r="L6" s="152"/>
      <c r="M6" s="155">
        <v>763.89018591146873</v>
      </c>
      <c r="N6" s="155">
        <v>8.0208999999999993</v>
      </c>
      <c r="O6" s="156">
        <f t="shared" ref="O6:O69" si="13">IFERROR(M6/I6/N6,"")</f>
        <v>0.72867226748797886</v>
      </c>
      <c r="P6" s="154">
        <f t="shared" ref="P6:P69" si="14">IFERROR(I6/G6,"")</f>
        <v>4.2161290322580642</v>
      </c>
      <c r="Q6" s="152">
        <f>COUNTIFS('Daily KPI'!$D:$D,D6,'Daily KPI'!$O:$O,"&gt;0")</f>
        <v>0</v>
      </c>
      <c r="R6" s="155">
        <f t="shared" ref="R6:R69" si="15">I6/G6*Q6</f>
        <v>0</v>
      </c>
      <c r="S6" s="155">
        <f>SUMIF($F$6:F6,F6,$R$6:R6)</f>
        <v>0</v>
      </c>
      <c r="T6" s="154">
        <f t="shared" ref="T6:T69" si="16">M6/G6</f>
        <v>24.641618900369959</v>
      </c>
      <c r="U6" s="155">
        <f t="shared" ref="U6:U69" si="17">M6/G6*Q6</f>
        <v>0</v>
      </c>
      <c r="V6" s="155">
        <f>SUMIF($F$6:F6,F6,$U$6:U6)</f>
        <v>0</v>
      </c>
      <c r="W6" s="156">
        <f t="shared" ref="W6:W69" si="18">IFERROR(T6/(24*N6),"")</f>
        <v>0.12800734591489088</v>
      </c>
      <c r="X6" s="156" t="str">
        <f t="shared" si="8"/>
        <v/>
      </c>
      <c r="Y6" s="156" t="str">
        <f t="shared" si="9"/>
        <v/>
      </c>
      <c r="Z6" s="154" t="str">
        <f>IFERROR(AVERAGEIF('Daily KPI'!$D:$D,Table14[[#This Row],[Month]],'Daily KPI'!$AB:$AB),"")</f>
        <v/>
      </c>
      <c r="AA6" s="157">
        <f>IFERROR(AVERAGEIF($F$6:F6,F6,$N$6:N6),"")</f>
        <v>8.0208999999999993</v>
      </c>
      <c r="AB6" s="155"/>
      <c r="AC6" s="154"/>
      <c r="AD6" s="154"/>
      <c r="AE6" s="156">
        <v>0.98040000000000005</v>
      </c>
      <c r="AF6" s="156">
        <v>0.98</v>
      </c>
      <c r="AG6" s="156"/>
      <c r="AH6" s="156"/>
      <c r="AI6" s="156"/>
      <c r="AJ6" s="156"/>
      <c r="AK6" s="156"/>
      <c r="AL6" s="156"/>
      <c r="AM6" s="183"/>
      <c r="AN6" s="183"/>
    </row>
    <row r="7" spans="1:44" x14ac:dyDescent="0.3">
      <c r="A7" s="148">
        <f t="shared" si="10"/>
        <v>6</v>
      </c>
      <c r="B7" s="149" t="s">
        <v>1169</v>
      </c>
      <c r="C7" s="148">
        <v>9</v>
      </c>
      <c r="D7" s="150">
        <v>43344</v>
      </c>
      <c r="E7" s="151">
        <f t="shared" si="11"/>
        <v>2018</v>
      </c>
      <c r="F7" s="151" t="s">
        <v>1164</v>
      </c>
      <c r="G7" s="159">
        <f t="shared" si="12"/>
        <v>30</v>
      </c>
      <c r="H7" s="157">
        <v>142.5</v>
      </c>
      <c r="I7" s="157">
        <v>145.4</v>
      </c>
      <c r="J7" s="154"/>
      <c r="K7" s="157"/>
      <c r="L7" s="152"/>
      <c r="M7" s="155">
        <v>827.54770140409107</v>
      </c>
      <c r="N7" s="155">
        <v>8.0208999999999993</v>
      </c>
      <c r="O7" s="156">
        <f t="shared" si="13"/>
        <v>0.70958680060111445</v>
      </c>
      <c r="P7" s="154">
        <f t="shared" si="14"/>
        <v>4.8466666666666667</v>
      </c>
      <c r="Q7" s="152">
        <f>COUNTIFS('Daily KPI'!$D:$D,D7,'Daily KPI'!$O:$O,"&gt;0")</f>
        <v>0</v>
      </c>
      <c r="R7" s="155">
        <f t="shared" si="15"/>
        <v>0</v>
      </c>
      <c r="S7" s="155">
        <f>SUMIF($F$6:F7,F7,$R$6:R7)</f>
        <v>0</v>
      </c>
      <c r="T7" s="154">
        <f t="shared" si="16"/>
        <v>27.58492338013637</v>
      </c>
      <c r="U7" s="155">
        <f t="shared" si="17"/>
        <v>0</v>
      </c>
      <c r="V7" s="155">
        <f>SUMIF($F$6:F7,F7,$U$6:U7)</f>
        <v>0</v>
      </c>
      <c r="W7" s="156">
        <f t="shared" si="18"/>
        <v>0.14329711223250285</v>
      </c>
      <c r="X7" s="156" t="str">
        <f t="shared" si="8"/>
        <v/>
      </c>
      <c r="Y7" s="156" t="str">
        <f t="shared" si="9"/>
        <v/>
      </c>
      <c r="Z7" s="154" t="str">
        <f>IFERROR(AVERAGEIF('Daily KPI'!$D:$D,Table14[[#This Row],[Month]],'Daily KPI'!$AB:$AB),"")</f>
        <v/>
      </c>
      <c r="AA7" s="157">
        <f>IFERROR(AVERAGEIF($F$6:F7,F7,$N$6:N7),"")</f>
        <v>8.0208999999999993</v>
      </c>
      <c r="AB7" s="155"/>
      <c r="AC7" s="154"/>
      <c r="AD7" s="154"/>
      <c r="AE7" s="156">
        <v>0.98040000000000005</v>
      </c>
      <c r="AF7" s="156">
        <v>0.98</v>
      </c>
      <c r="AG7" s="156"/>
      <c r="AH7" s="156"/>
      <c r="AI7" s="156"/>
      <c r="AJ7" s="156"/>
      <c r="AK7" s="156"/>
      <c r="AL7" s="156"/>
      <c r="AM7" s="183"/>
      <c r="AN7" s="183"/>
    </row>
    <row r="8" spans="1:44" x14ac:dyDescent="0.3">
      <c r="A8" s="149">
        <f t="shared" si="10"/>
        <v>7</v>
      </c>
      <c r="B8" s="149" t="s">
        <v>1170</v>
      </c>
      <c r="C8" s="148">
        <v>10</v>
      </c>
      <c r="D8" s="150">
        <v>43374</v>
      </c>
      <c r="E8" s="158">
        <f t="shared" si="11"/>
        <v>2018</v>
      </c>
      <c r="F8" s="151" t="s">
        <v>1164</v>
      </c>
      <c r="G8" s="152">
        <f t="shared" si="12"/>
        <v>31</v>
      </c>
      <c r="H8" s="157">
        <v>145.69999999999999</v>
      </c>
      <c r="I8" s="157">
        <v>158.80000000000001</v>
      </c>
      <c r="J8" s="160"/>
      <c r="K8" s="153"/>
      <c r="L8" s="159"/>
      <c r="M8" s="161">
        <v>938.9483535161803</v>
      </c>
      <c r="N8" s="155">
        <v>8.0208999999999993</v>
      </c>
      <c r="O8" s="162">
        <f t="shared" si="13"/>
        <v>0.73717076724916697</v>
      </c>
      <c r="P8" s="160">
        <f t="shared" si="14"/>
        <v>5.1225806451612907</v>
      </c>
      <c r="Q8" s="159">
        <f>COUNTIFS('Daily KPI'!$D:$D,D8,'Daily KPI'!$O:$O,"&gt;0")</f>
        <v>0</v>
      </c>
      <c r="R8" s="161">
        <f t="shared" si="15"/>
        <v>0</v>
      </c>
      <c r="S8" s="161">
        <f>SUMIF($F$6:F8,F8,$R$6:R8)</f>
        <v>0</v>
      </c>
      <c r="T8" s="160">
        <f t="shared" si="16"/>
        <v>30.288656565038075</v>
      </c>
      <c r="U8" s="161">
        <f t="shared" si="17"/>
        <v>0</v>
      </c>
      <c r="V8" s="161">
        <f>SUMIF($F$6:F8,F8,$U$6:U8)</f>
        <v>0</v>
      </c>
      <c r="W8" s="162">
        <f t="shared" si="18"/>
        <v>0.15734236268705337</v>
      </c>
      <c r="X8" s="162" t="str">
        <f t="shared" si="8"/>
        <v/>
      </c>
      <c r="Y8" s="162" t="str">
        <f t="shared" si="9"/>
        <v/>
      </c>
      <c r="Z8" s="160" t="str">
        <f>IFERROR(AVERAGEIF('Daily KPI'!$D:$D,Table14[[#This Row],[Month]],'Daily KPI'!$AB:$AB),"")</f>
        <v/>
      </c>
      <c r="AA8" s="153">
        <f>IFERROR(AVERAGEIF($F$6:F8,F8,$N$6:N8),"")</f>
        <v>8.0208999999999993</v>
      </c>
      <c r="AB8" s="161"/>
      <c r="AC8" s="160"/>
      <c r="AD8" s="160"/>
      <c r="AE8" s="156">
        <v>0.98040000000000005</v>
      </c>
      <c r="AF8" s="156">
        <v>0.98</v>
      </c>
      <c r="AG8" s="156"/>
      <c r="AH8" s="162"/>
      <c r="AI8" s="162"/>
      <c r="AJ8" s="162"/>
      <c r="AK8" s="162"/>
      <c r="AL8" s="162"/>
      <c r="AM8" s="183"/>
      <c r="AN8" s="183"/>
    </row>
    <row r="9" spans="1:44" x14ac:dyDescent="0.3">
      <c r="A9" s="148">
        <f t="shared" si="10"/>
        <v>8</v>
      </c>
      <c r="B9" s="149" t="s">
        <v>1171</v>
      </c>
      <c r="C9" s="148">
        <v>11</v>
      </c>
      <c r="D9" s="150">
        <v>43405</v>
      </c>
      <c r="E9" s="151">
        <f t="shared" si="11"/>
        <v>2018</v>
      </c>
      <c r="F9" s="151" t="s">
        <v>1164</v>
      </c>
      <c r="G9" s="152">
        <f t="shared" si="12"/>
        <v>30</v>
      </c>
      <c r="H9" s="157">
        <v>138.9</v>
      </c>
      <c r="I9" s="157">
        <v>163</v>
      </c>
      <c r="J9" s="154"/>
      <c r="K9" s="157"/>
      <c r="L9" s="152"/>
      <c r="M9" s="155">
        <v>944.25314647389882</v>
      </c>
      <c r="N9" s="155">
        <v>8.0208999999999993</v>
      </c>
      <c r="O9" s="156">
        <f t="shared" si="13"/>
        <v>0.7222336756220531</v>
      </c>
      <c r="P9" s="154">
        <f t="shared" si="14"/>
        <v>5.4333333333333336</v>
      </c>
      <c r="Q9" s="152">
        <f>COUNTIFS('Daily KPI'!$D:$D,D9,'Daily KPI'!$O:$O,"&gt;0")</f>
        <v>0</v>
      </c>
      <c r="R9" s="155">
        <f t="shared" si="15"/>
        <v>0</v>
      </c>
      <c r="S9" s="155">
        <f>SUMIF($F$6:F9,F9,$R$6:R9)</f>
        <v>0</v>
      </c>
      <c r="T9" s="154">
        <f t="shared" si="16"/>
        <v>31.475104882463295</v>
      </c>
      <c r="U9" s="155">
        <f t="shared" si="17"/>
        <v>0</v>
      </c>
      <c r="V9" s="155">
        <f>SUMIF($F$6:F9,F9,$U$6:U9)</f>
        <v>0</v>
      </c>
      <c r="W9" s="156">
        <f t="shared" si="18"/>
        <v>0.1635056793422148</v>
      </c>
      <c r="X9" s="156" t="str">
        <f t="shared" si="8"/>
        <v/>
      </c>
      <c r="Y9" s="156" t="str">
        <f t="shared" si="9"/>
        <v/>
      </c>
      <c r="Z9" s="154" t="str">
        <f>IFERROR(AVERAGEIF('Daily KPI'!$D:$D,Table14[[#This Row],[Month]],'Daily KPI'!$AB:$AB),"")</f>
        <v/>
      </c>
      <c r="AA9" s="157">
        <f>IFERROR(AVERAGEIF($F$6:F9,F9,$N$6:N9),"")</f>
        <v>8.0208999999999993</v>
      </c>
      <c r="AB9" s="155"/>
      <c r="AC9" s="154"/>
      <c r="AD9" s="154"/>
      <c r="AE9" s="156">
        <v>0.98040000000000005</v>
      </c>
      <c r="AF9" s="156">
        <v>0.98</v>
      </c>
      <c r="AG9" s="156"/>
      <c r="AH9" s="156"/>
      <c r="AI9" s="156"/>
      <c r="AJ9" s="156"/>
      <c r="AK9" s="156"/>
      <c r="AL9" s="156"/>
      <c r="AM9" s="183"/>
      <c r="AN9" s="183"/>
    </row>
    <row r="10" spans="1:44" x14ac:dyDescent="0.3">
      <c r="A10" s="149">
        <f t="shared" si="10"/>
        <v>9</v>
      </c>
      <c r="B10" s="149" t="s">
        <v>1172</v>
      </c>
      <c r="C10" s="148">
        <v>12</v>
      </c>
      <c r="D10" s="150">
        <v>43435</v>
      </c>
      <c r="E10" s="158">
        <f t="shared" si="11"/>
        <v>2018</v>
      </c>
      <c r="F10" s="151" t="s">
        <v>1164</v>
      </c>
      <c r="G10" s="159">
        <f t="shared" si="12"/>
        <v>31</v>
      </c>
      <c r="H10" s="157">
        <v>134.69999999999999</v>
      </c>
      <c r="I10" s="157">
        <v>163.69999999999999</v>
      </c>
      <c r="J10" s="160"/>
      <c r="K10" s="153"/>
      <c r="L10" s="159"/>
      <c r="M10" s="161">
        <v>981.38669717792857</v>
      </c>
      <c r="N10" s="155">
        <v>8.0208999999999993</v>
      </c>
      <c r="O10" s="162">
        <f t="shared" si="13"/>
        <v>0.74742631726929265</v>
      </c>
      <c r="P10" s="160">
        <f t="shared" si="14"/>
        <v>5.2806451612903222</v>
      </c>
      <c r="Q10" s="159">
        <f>COUNTIFS('Daily KPI'!$D:$D,D10,'Daily KPI'!$O:$O,"&gt;0")</f>
        <v>0</v>
      </c>
      <c r="R10" s="161">
        <f t="shared" si="15"/>
        <v>0</v>
      </c>
      <c r="S10" s="161">
        <f>SUMIF($F$6:F10,F10,$R$6:R10)</f>
        <v>0</v>
      </c>
      <c r="T10" s="160">
        <f t="shared" si="16"/>
        <v>31.657635392836404</v>
      </c>
      <c r="U10" s="161">
        <f t="shared" si="17"/>
        <v>0</v>
      </c>
      <c r="V10" s="161">
        <f>SUMIF($F$6:F10,F10,$U$6:U10)</f>
        <v>0</v>
      </c>
      <c r="W10" s="162">
        <f t="shared" si="18"/>
        <v>0.16445388190454732</v>
      </c>
      <c r="X10" s="162" t="str">
        <f t="shared" si="8"/>
        <v/>
      </c>
      <c r="Y10" s="162" t="str">
        <f t="shared" si="9"/>
        <v/>
      </c>
      <c r="Z10" s="160" t="str">
        <f>IFERROR(AVERAGEIF('Daily KPI'!$D:$D,Table14[[#This Row],[Month]],'Daily KPI'!$AB:$AB),"")</f>
        <v/>
      </c>
      <c r="AA10" s="153">
        <f>IFERROR(AVERAGEIF($F$6:F10,F10,$N$6:N10),"")</f>
        <v>8.0208999999999993</v>
      </c>
      <c r="AB10" s="161"/>
      <c r="AC10" s="160"/>
      <c r="AD10" s="160"/>
      <c r="AE10" s="156">
        <v>0.98040000000000005</v>
      </c>
      <c r="AF10" s="156">
        <v>0.98</v>
      </c>
      <c r="AG10" s="156"/>
      <c r="AH10" s="162"/>
      <c r="AI10" s="162"/>
      <c r="AJ10" s="162"/>
      <c r="AK10" s="162"/>
      <c r="AL10" s="162"/>
      <c r="AM10" s="183"/>
      <c r="AN10" s="183"/>
    </row>
    <row r="11" spans="1:44" x14ac:dyDescent="0.3">
      <c r="A11" s="148">
        <f t="shared" si="10"/>
        <v>10</v>
      </c>
      <c r="B11" s="149" t="s">
        <v>1173</v>
      </c>
      <c r="C11" s="148">
        <v>1</v>
      </c>
      <c r="D11" s="150">
        <v>43466</v>
      </c>
      <c r="E11" s="151">
        <f t="shared" si="11"/>
        <v>2019</v>
      </c>
      <c r="F11" s="151" t="s">
        <v>1164</v>
      </c>
      <c r="G11" s="152">
        <f t="shared" si="12"/>
        <v>31</v>
      </c>
      <c r="H11" s="157">
        <v>151.6</v>
      </c>
      <c r="I11" s="157">
        <v>183.9</v>
      </c>
      <c r="J11" s="154"/>
      <c r="K11" s="157"/>
      <c r="L11" s="152"/>
      <c r="M11" s="155">
        <v>1087.4825563322993</v>
      </c>
      <c r="N11" s="155">
        <v>8.0208999999999993</v>
      </c>
      <c r="O11" s="156">
        <f t="shared" si="13"/>
        <v>0.73725456161784642</v>
      </c>
      <c r="P11" s="154">
        <f t="shared" si="14"/>
        <v>5.9322580645161294</v>
      </c>
      <c r="Q11" s="152">
        <f>COUNTIFS('Daily KPI'!$D:$D,D11,'Daily KPI'!$O:$O,"&gt;0")</f>
        <v>0</v>
      </c>
      <c r="R11" s="155">
        <f t="shared" si="15"/>
        <v>0</v>
      </c>
      <c r="S11" s="155">
        <f>SUMIF($F$6:F11,F11,$R$6:R11)</f>
        <v>0</v>
      </c>
      <c r="T11" s="154">
        <f t="shared" si="16"/>
        <v>35.080082462332236</v>
      </c>
      <c r="U11" s="155">
        <f t="shared" si="17"/>
        <v>0</v>
      </c>
      <c r="V11" s="155">
        <f>SUMIF($F$6:F11,F11,$U$6:U11)</f>
        <v>0</v>
      </c>
      <c r="W11" s="156">
        <f t="shared" si="18"/>
        <v>0.18223267994828218</v>
      </c>
      <c r="X11" s="156" t="str">
        <f t="shared" si="8"/>
        <v/>
      </c>
      <c r="Y11" s="156" t="str">
        <f t="shared" si="9"/>
        <v/>
      </c>
      <c r="Z11" s="154" t="str">
        <f>IFERROR(AVERAGEIF('Daily KPI'!$D:$D,Table14[[#This Row],[Month]],'Daily KPI'!$AB:$AB),"")</f>
        <v/>
      </c>
      <c r="AA11" s="157">
        <f>IFERROR(AVERAGEIF($F$6:F11,F11,$N$6:N11),"")</f>
        <v>8.0208999999999993</v>
      </c>
      <c r="AB11" s="155"/>
      <c r="AC11" s="154"/>
      <c r="AD11" s="154"/>
      <c r="AE11" s="156">
        <v>0.98040000000000005</v>
      </c>
      <c r="AF11" s="156">
        <v>0.98</v>
      </c>
      <c r="AG11" s="156"/>
      <c r="AH11" s="156"/>
      <c r="AI11" s="156"/>
      <c r="AJ11" s="156"/>
      <c r="AK11" s="156"/>
      <c r="AL11" s="156"/>
      <c r="AM11" s="183"/>
      <c r="AN11" s="183"/>
    </row>
    <row r="12" spans="1:44" x14ac:dyDescent="0.3">
      <c r="A12" s="149">
        <f t="shared" si="10"/>
        <v>11</v>
      </c>
      <c r="B12" s="149" t="s">
        <v>1174</v>
      </c>
      <c r="C12" s="148">
        <v>2</v>
      </c>
      <c r="D12" s="150">
        <v>43497</v>
      </c>
      <c r="E12" s="158">
        <f t="shared" si="11"/>
        <v>2019</v>
      </c>
      <c r="F12" s="151" t="s">
        <v>1164</v>
      </c>
      <c r="G12" s="159">
        <f t="shared" si="12"/>
        <v>28</v>
      </c>
      <c r="H12" s="157">
        <v>159.9</v>
      </c>
      <c r="I12" s="157">
        <v>184</v>
      </c>
      <c r="J12" s="160"/>
      <c r="K12" s="153"/>
      <c r="L12" s="159"/>
      <c r="M12" s="161">
        <v>1038.6058690088</v>
      </c>
      <c r="N12" s="155">
        <v>8.0208999999999993</v>
      </c>
      <c r="O12" s="162">
        <f t="shared" si="13"/>
        <v>0.70373612863622048</v>
      </c>
      <c r="P12" s="160">
        <f t="shared" si="14"/>
        <v>6.5714285714285712</v>
      </c>
      <c r="Q12" s="159">
        <f>COUNTIFS('Daily KPI'!$D:$D,D12,'Daily KPI'!$O:$O,"&gt;0")</f>
        <v>0</v>
      </c>
      <c r="R12" s="161">
        <f t="shared" si="15"/>
        <v>0</v>
      </c>
      <c r="S12" s="161">
        <f>SUMIF($F$6:F12,F12,$R$6:R12)</f>
        <v>0</v>
      </c>
      <c r="T12" s="160">
        <f t="shared" si="16"/>
        <v>37.093066750314286</v>
      </c>
      <c r="U12" s="161">
        <f t="shared" si="17"/>
        <v>0</v>
      </c>
      <c r="V12" s="161">
        <f>SUMIF($F$6:F12,F12,$U$6:U12)</f>
        <v>0</v>
      </c>
      <c r="W12" s="162">
        <f t="shared" si="18"/>
        <v>0.19268965426944132</v>
      </c>
      <c r="X12" s="162" t="str">
        <f t="shared" si="8"/>
        <v/>
      </c>
      <c r="Y12" s="162" t="str">
        <f t="shared" si="9"/>
        <v/>
      </c>
      <c r="Z12" s="160" t="str">
        <f>IFERROR(AVERAGEIF('Daily KPI'!$D:$D,Table14[[#This Row],[Month]],'Daily KPI'!$AB:$AB),"")</f>
        <v/>
      </c>
      <c r="AA12" s="153">
        <f>IFERROR(AVERAGEIF($F$6:F12,F12,$N$6:N12),"")</f>
        <v>8.0208999999999993</v>
      </c>
      <c r="AB12" s="161"/>
      <c r="AC12" s="160"/>
      <c r="AD12" s="160"/>
      <c r="AE12" s="156">
        <v>0.98040000000000005</v>
      </c>
      <c r="AF12" s="156">
        <v>0.98</v>
      </c>
      <c r="AG12" s="156"/>
      <c r="AH12" s="162"/>
      <c r="AI12" s="162"/>
      <c r="AJ12" s="162"/>
      <c r="AK12" s="162"/>
      <c r="AL12" s="162"/>
      <c r="AM12" s="183"/>
      <c r="AN12" s="183"/>
    </row>
    <row r="13" spans="1:44" x14ac:dyDescent="0.3">
      <c r="A13" s="148">
        <f t="shared" si="10"/>
        <v>12</v>
      </c>
      <c r="B13" s="149" t="s">
        <v>1175</v>
      </c>
      <c r="C13" s="148">
        <v>3</v>
      </c>
      <c r="D13" s="150">
        <v>43525</v>
      </c>
      <c r="E13" s="151">
        <f t="shared" si="11"/>
        <v>2019</v>
      </c>
      <c r="F13" s="151" t="s">
        <v>1164</v>
      </c>
      <c r="G13" s="152">
        <f t="shared" si="12"/>
        <v>31</v>
      </c>
      <c r="H13" s="157">
        <v>197.2</v>
      </c>
      <c r="I13" s="157">
        <v>210.4</v>
      </c>
      <c r="J13" s="154"/>
      <c r="K13" s="157"/>
      <c r="L13" s="152"/>
      <c r="M13" s="155">
        <v>1204.1880014021069</v>
      </c>
      <c r="N13" s="155">
        <v>8.0208999999999993</v>
      </c>
      <c r="O13" s="156">
        <f t="shared" si="13"/>
        <v>0.71355172148533519</v>
      </c>
      <c r="P13" s="154">
        <f t="shared" si="14"/>
        <v>6.7870967741935484</v>
      </c>
      <c r="Q13" s="152">
        <f>COUNTIFS('Daily KPI'!$D:$D,D13,'Daily KPI'!$O:$O,"&gt;0")</f>
        <v>0</v>
      </c>
      <c r="R13" s="155">
        <f t="shared" si="15"/>
        <v>0</v>
      </c>
      <c r="S13" s="155">
        <f>SUMIF($F$6:F13,F13,$R$6:R13)</f>
        <v>0</v>
      </c>
      <c r="T13" s="154">
        <f t="shared" si="16"/>
        <v>38.844774238777646</v>
      </c>
      <c r="U13" s="155">
        <f t="shared" si="17"/>
        <v>0</v>
      </c>
      <c r="V13" s="155">
        <f>SUMIF($F$6:F13,F13,$U$6:U13)</f>
        <v>0</v>
      </c>
      <c r="W13" s="156">
        <f t="shared" si="18"/>
        <v>0.20178935779639051</v>
      </c>
      <c r="X13" s="156" t="str">
        <f t="shared" si="8"/>
        <v/>
      </c>
      <c r="Y13" s="156" t="str">
        <f t="shared" si="9"/>
        <v/>
      </c>
      <c r="Z13" s="154" t="str">
        <f>IFERROR(AVERAGEIF('Daily KPI'!$D:$D,Table14[[#This Row],[Month]],'Daily KPI'!$AB:$AB),"")</f>
        <v/>
      </c>
      <c r="AA13" s="157">
        <f>IFERROR(AVERAGEIF($F$6:F13,F13,$N$6:N13),"")</f>
        <v>8.0208999999999993</v>
      </c>
      <c r="AB13" s="155"/>
      <c r="AC13" s="154"/>
      <c r="AD13" s="154"/>
      <c r="AE13" s="156">
        <v>0.98040000000000005</v>
      </c>
      <c r="AF13" s="156">
        <v>0.98</v>
      </c>
      <c r="AG13" s="156"/>
      <c r="AH13" s="156"/>
      <c r="AI13" s="156"/>
      <c r="AJ13" s="156"/>
      <c r="AK13" s="156"/>
      <c r="AL13" s="156"/>
      <c r="AM13" s="183"/>
      <c r="AN13" s="183"/>
    </row>
    <row r="14" spans="1:44" x14ac:dyDescent="0.3">
      <c r="A14" s="149">
        <f t="shared" si="10"/>
        <v>13</v>
      </c>
      <c r="B14" s="149" t="str">
        <f>B2</f>
        <v>April</v>
      </c>
      <c r="C14" s="149">
        <f>C2</f>
        <v>4</v>
      </c>
      <c r="D14" s="150">
        <v>43556</v>
      </c>
      <c r="E14" s="158">
        <f>YEAR(D14)</f>
        <v>2019</v>
      </c>
      <c r="F14" s="151" t="s">
        <v>1176</v>
      </c>
      <c r="G14" s="159">
        <f>DAY(EOMONTH(D14,0))</f>
        <v>30</v>
      </c>
      <c r="H14" s="157">
        <f>H2</f>
        <v>193.6</v>
      </c>
      <c r="I14" s="157">
        <f>I2</f>
        <v>191.7</v>
      </c>
      <c r="J14" s="160"/>
      <c r="K14" s="153"/>
      <c r="L14" s="159"/>
      <c r="M14" s="161">
        <f>M2</f>
        <v>1055.6537985859879</v>
      </c>
      <c r="N14" s="155">
        <v>8.0208999999999993</v>
      </c>
      <c r="O14" s="162">
        <f t="shared" si="13"/>
        <v>0.68655652664663702</v>
      </c>
      <c r="P14" s="160">
        <f t="shared" si="14"/>
        <v>6.39</v>
      </c>
      <c r="Q14" s="159">
        <f>COUNTIFS('Daily KPI'!$D:$D,D14,'Daily KPI'!$O:$O,"&gt;0")</f>
        <v>0</v>
      </c>
      <c r="R14" s="161">
        <f t="shared" si="15"/>
        <v>0</v>
      </c>
      <c r="S14" s="161">
        <f>SUMIF($F$6:F14,F14,$R$6:R14)</f>
        <v>0</v>
      </c>
      <c r="T14" s="160">
        <f t="shared" si="16"/>
        <v>35.188459952866268</v>
      </c>
      <c r="U14" s="161">
        <f t="shared" si="17"/>
        <v>0</v>
      </c>
      <c r="V14" s="161">
        <f>SUMIF($F$6:F14,F14,$U$6:U14)</f>
        <v>0</v>
      </c>
      <c r="W14" s="162">
        <f t="shared" si="18"/>
        <v>0.18279567521966711</v>
      </c>
      <c r="X14" s="162" t="str">
        <f t="shared" si="8"/>
        <v/>
      </c>
      <c r="Y14" s="162" t="str">
        <f t="shared" si="9"/>
        <v/>
      </c>
      <c r="Z14" s="160" t="str">
        <f>IFERROR(AVERAGEIF('Daily KPI'!$D:$D,Table14[[#This Row],[Month]],'Daily KPI'!$AB:$AB),"")</f>
        <v/>
      </c>
      <c r="AA14" s="153">
        <f>IFERROR(AVERAGEIF($F$6:F14,F14,$N$6:N14),"")</f>
        <v>8.0208999999999993</v>
      </c>
      <c r="AB14" s="161"/>
      <c r="AC14" s="160"/>
      <c r="AD14" s="160"/>
      <c r="AE14" s="156">
        <v>0.98040000000000005</v>
      </c>
      <c r="AF14" s="156">
        <v>0.98</v>
      </c>
      <c r="AG14" s="156"/>
      <c r="AH14" s="162"/>
      <c r="AI14" s="162"/>
      <c r="AJ14" s="162"/>
      <c r="AK14" s="162"/>
      <c r="AL14" s="162"/>
      <c r="AM14" s="183"/>
      <c r="AN14" s="183"/>
    </row>
    <row r="15" spans="1:44" x14ac:dyDescent="0.3">
      <c r="A15" s="148">
        <f t="shared" si="10"/>
        <v>14</v>
      </c>
      <c r="B15" s="149" t="str">
        <f t="shared" ref="B15:C30" si="19">B3</f>
        <v>May</v>
      </c>
      <c r="C15" s="149">
        <f t="shared" si="19"/>
        <v>5</v>
      </c>
      <c r="D15" s="150">
        <v>43586</v>
      </c>
      <c r="E15" s="151">
        <f>YEAR(D15)</f>
        <v>2019</v>
      </c>
      <c r="F15" s="151" t="s">
        <v>1176</v>
      </c>
      <c r="G15" s="152">
        <f>DAY(EOMONTH(D15,0))</f>
        <v>31</v>
      </c>
      <c r="H15" s="157">
        <f t="shared" ref="H15:I30" si="20">H3</f>
        <v>198.6</v>
      </c>
      <c r="I15" s="157">
        <f t="shared" si="20"/>
        <v>186.4</v>
      </c>
      <c r="J15" s="154"/>
      <c r="K15" s="153"/>
      <c r="L15" s="152"/>
      <c r="M15" s="161">
        <f t="shared" ref="M15:M78" si="21">M3</f>
        <v>1060.9585915437065</v>
      </c>
      <c r="N15" s="155">
        <v>8.0208999999999993</v>
      </c>
      <c r="O15" s="156">
        <f t="shared" si="13"/>
        <v>0.70962584466409462</v>
      </c>
      <c r="P15" s="154">
        <f t="shared" si="14"/>
        <v>6.0129032258064514</v>
      </c>
      <c r="Q15" s="152">
        <f>COUNTIFS('Daily KPI'!$D:$D,D15,'Daily KPI'!$O:$O,"&gt;0")</f>
        <v>0</v>
      </c>
      <c r="R15" s="155">
        <f t="shared" si="15"/>
        <v>0</v>
      </c>
      <c r="S15" s="155">
        <f>SUMIF($F$6:F15,F15,$R$6:R15)</f>
        <v>0</v>
      </c>
      <c r="T15" s="154">
        <f t="shared" si="16"/>
        <v>34.224470694958271</v>
      </c>
      <c r="U15" s="155">
        <f t="shared" si="17"/>
        <v>0</v>
      </c>
      <c r="V15" s="155">
        <f>SUMIF($F$6:F15,F15,$U$6:U15)</f>
        <v>0</v>
      </c>
      <c r="W15" s="156">
        <f t="shared" si="18"/>
        <v>0.17778798043734842</v>
      </c>
      <c r="X15" s="156" t="str">
        <f t="shared" si="8"/>
        <v/>
      </c>
      <c r="Y15" s="156" t="str">
        <f t="shared" si="9"/>
        <v/>
      </c>
      <c r="Z15" s="154" t="str">
        <f>IFERROR(AVERAGEIF('Daily KPI'!$D:$D,Table14[[#This Row],[Month]],'Daily KPI'!$AB:$AB),"")</f>
        <v/>
      </c>
      <c r="AA15" s="157">
        <f>IFERROR(AVERAGEIF($F$6:F15,F15,$N$6:N15),"")</f>
        <v>8.0208999999999993</v>
      </c>
      <c r="AB15" s="155"/>
      <c r="AC15" s="154"/>
      <c r="AD15" s="154"/>
      <c r="AE15" s="156">
        <v>0.98040000000000005</v>
      </c>
      <c r="AF15" s="156">
        <v>0.98</v>
      </c>
      <c r="AG15" s="156"/>
      <c r="AH15" s="156"/>
      <c r="AI15" s="156"/>
      <c r="AJ15" s="156"/>
      <c r="AK15" s="156"/>
      <c r="AL15" s="156"/>
      <c r="AM15" s="183"/>
      <c r="AN15" s="183"/>
    </row>
    <row r="16" spans="1:44" x14ac:dyDescent="0.3">
      <c r="A16" s="148">
        <f t="shared" si="10"/>
        <v>15</v>
      </c>
      <c r="B16" s="149" t="str">
        <f t="shared" si="19"/>
        <v>June</v>
      </c>
      <c r="C16" s="149">
        <f t="shared" si="19"/>
        <v>6</v>
      </c>
      <c r="D16" s="150">
        <v>43617</v>
      </c>
      <c r="E16" s="151">
        <f t="shared" ref="E16:E17" si="22">YEAR(D16)</f>
        <v>2019</v>
      </c>
      <c r="F16" s="151" t="s">
        <v>1176</v>
      </c>
      <c r="G16" s="152">
        <f t="shared" ref="G16:G79" si="23">DAY(EOMONTH(D16,0))</f>
        <v>30</v>
      </c>
      <c r="H16" s="157">
        <f t="shared" si="20"/>
        <v>154.80000000000001</v>
      </c>
      <c r="I16" s="157">
        <f t="shared" si="20"/>
        <v>142.80000000000001</v>
      </c>
      <c r="J16" s="154"/>
      <c r="K16" s="153"/>
      <c r="L16" s="152"/>
      <c r="M16" s="161">
        <f t="shared" si="21"/>
        <v>790.41415070006133</v>
      </c>
      <c r="N16" s="155">
        <v>8.0208999999999993</v>
      </c>
      <c r="O16" s="156">
        <f t="shared" si="13"/>
        <v>0.6900862870925315</v>
      </c>
      <c r="P16" s="154">
        <f t="shared" si="14"/>
        <v>4.7600000000000007</v>
      </c>
      <c r="Q16" s="152">
        <f>COUNTIFS('Daily KPI'!$D:$D,D16,'Daily KPI'!$O:$O,"&gt;0")</f>
        <v>0</v>
      </c>
      <c r="R16" s="155">
        <f t="shared" si="15"/>
        <v>0</v>
      </c>
      <c r="S16" s="155">
        <f>SUMIF($F$6:F16,F16,$R$6:R16)</f>
        <v>0</v>
      </c>
      <c r="T16" s="154">
        <f t="shared" si="16"/>
        <v>26.347138356668712</v>
      </c>
      <c r="U16" s="155">
        <f t="shared" si="17"/>
        <v>0</v>
      </c>
      <c r="V16" s="163">
        <f>SUMIF($F$2:F97,F16,$U$2:U97)</f>
        <v>0</v>
      </c>
      <c r="W16" s="156">
        <f t="shared" si="18"/>
        <v>0.13686711360668541</v>
      </c>
      <c r="X16" s="156" t="str">
        <f t="shared" si="8"/>
        <v/>
      </c>
      <c r="Y16" s="156" t="str">
        <f t="shared" si="9"/>
        <v/>
      </c>
      <c r="Z16" s="154" t="str">
        <f>IFERROR(AVERAGEIF('Daily KPI'!$D:$D,Table14[[#This Row],[Month]],'Daily KPI'!$AB:$AB),"")</f>
        <v/>
      </c>
      <c r="AA16" s="157">
        <f>IFERROR(AVERAGEIF($F$6:F16,F16,$N$6:N16),"")</f>
        <v>8.0208999999999993</v>
      </c>
      <c r="AB16" s="155"/>
      <c r="AC16" s="154"/>
      <c r="AD16" s="154"/>
      <c r="AE16" s="156">
        <v>0.98040000000000005</v>
      </c>
      <c r="AF16" s="156">
        <v>0.98</v>
      </c>
      <c r="AG16" s="156"/>
      <c r="AH16" s="156"/>
      <c r="AI16" s="156"/>
      <c r="AJ16" s="156"/>
      <c r="AK16" s="156"/>
      <c r="AL16" s="156"/>
      <c r="AM16" s="183"/>
      <c r="AN16" s="183"/>
    </row>
    <row r="17" spans="1:40" x14ac:dyDescent="0.3">
      <c r="A17" s="148">
        <f t="shared" si="10"/>
        <v>16</v>
      </c>
      <c r="B17" s="149" t="str">
        <f t="shared" si="19"/>
        <v>July</v>
      </c>
      <c r="C17" s="149">
        <f t="shared" si="19"/>
        <v>7</v>
      </c>
      <c r="D17" s="150">
        <v>43647</v>
      </c>
      <c r="E17" s="151">
        <f t="shared" si="22"/>
        <v>2019</v>
      </c>
      <c r="F17" s="151" t="s">
        <v>1176</v>
      </c>
      <c r="G17" s="152">
        <f t="shared" si="23"/>
        <v>31</v>
      </c>
      <c r="H17" s="157">
        <f t="shared" si="20"/>
        <v>134.4</v>
      </c>
      <c r="I17" s="157">
        <f t="shared" si="20"/>
        <v>125.4</v>
      </c>
      <c r="J17" s="154"/>
      <c r="K17" s="153"/>
      <c r="L17" s="152"/>
      <c r="M17" s="161">
        <f t="shared" si="21"/>
        <v>721.45184224972047</v>
      </c>
      <c r="N17" s="155">
        <v>8.0208999999999993</v>
      </c>
      <c r="O17" s="156">
        <f t="shared" si="13"/>
        <v>0.71727667514245075</v>
      </c>
      <c r="P17" s="154">
        <f t="shared" si="14"/>
        <v>4.0451612903225804</v>
      </c>
      <c r="Q17" s="152">
        <f>COUNTIFS('Daily KPI'!$D:$D,D17,'Daily KPI'!$O:$O,"&gt;0")</f>
        <v>0</v>
      </c>
      <c r="R17" s="155">
        <f t="shared" si="15"/>
        <v>0</v>
      </c>
      <c r="S17" s="163">
        <f>SUMIF($F$2:F97,F17,$R$2:R97)</f>
        <v>0</v>
      </c>
      <c r="T17" s="154">
        <f t="shared" si="16"/>
        <v>23.27264007257163</v>
      </c>
      <c r="U17" s="155">
        <f t="shared" si="17"/>
        <v>0</v>
      </c>
      <c r="V17" s="163">
        <f>SUMIF($F$2:F97,F17,$U$2:U97)</f>
        <v>0</v>
      </c>
      <c r="W17" s="156">
        <f t="shared" si="18"/>
        <v>0.12089582669739696</v>
      </c>
      <c r="X17" s="156" t="str">
        <f t="shared" si="8"/>
        <v/>
      </c>
      <c r="Y17" s="156" t="str">
        <f t="shared" si="9"/>
        <v/>
      </c>
      <c r="Z17" s="154" t="str">
        <f>IFERROR(AVERAGEIF('Daily KPI'!$D:$D,Table14[[#This Row],[Month]],'Daily KPI'!$AB:$AB),"")</f>
        <v/>
      </c>
      <c r="AA17" s="164">
        <f>IFERROR(AVERAGEIF($F$2:F97,F17,$N$2:N97),"")</f>
        <v>8.0208999999999993</v>
      </c>
      <c r="AB17" s="155"/>
      <c r="AC17" s="154"/>
      <c r="AD17" s="165"/>
      <c r="AE17" s="156">
        <v>0.98040000000000005</v>
      </c>
      <c r="AF17" s="156">
        <v>0.98</v>
      </c>
      <c r="AG17" s="156"/>
      <c r="AH17" s="156"/>
      <c r="AI17" s="156"/>
      <c r="AJ17" s="156"/>
      <c r="AK17" s="156"/>
      <c r="AL17" s="156"/>
      <c r="AM17" s="183"/>
      <c r="AN17" s="183"/>
    </row>
    <row r="18" spans="1:40" x14ac:dyDescent="0.3">
      <c r="A18" s="148">
        <f t="shared" si="10"/>
        <v>17</v>
      </c>
      <c r="B18" s="149" t="str">
        <f t="shared" si="19"/>
        <v>August</v>
      </c>
      <c r="C18" s="149">
        <f t="shared" si="19"/>
        <v>8</v>
      </c>
      <c r="D18" s="150">
        <v>43678</v>
      </c>
      <c r="E18" s="151">
        <v>2025</v>
      </c>
      <c r="F18" s="151" t="s">
        <v>1176</v>
      </c>
      <c r="G18" s="152">
        <f t="shared" si="23"/>
        <v>31</v>
      </c>
      <c r="H18" s="157">
        <f t="shared" si="20"/>
        <v>134.6</v>
      </c>
      <c r="I18" s="157">
        <f t="shared" si="20"/>
        <v>130.69999999999999</v>
      </c>
      <c r="J18" s="154"/>
      <c r="K18" s="153"/>
      <c r="L18" s="152"/>
      <c r="M18" s="161">
        <f t="shared" si="21"/>
        <v>763.89018591146873</v>
      </c>
      <c r="N18" s="155">
        <v>8.0208999999999993</v>
      </c>
      <c r="O18" s="156">
        <f t="shared" si="13"/>
        <v>0.72867226748797886</v>
      </c>
      <c r="P18" s="154">
        <f t="shared" si="14"/>
        <v>4.2161290322580642</v>
      </c>
      <c r="Q18" s="152">
        <f>COUNTIFS('Daily KPI'!$D:$D,D18,'Daily KPI'!$O:$O,"&gt;0")</f>
        <v>0</v>
      </c>
      <c r="R18" s="155">
        <f t="shared" si="15"/>
        <v>0</v>
      </c>
      <c r="S18" s="155">
        <f>SUMIF($F$6:F18,F18,$R$6:R18)</f>
        <v>0</v>
      </c>
      <c r="T18" s="154">
        <f t="shared" si="16"/>
        <v>24.641618900369959</v>
      </c>
      <c r="U18" s="155">
        <f t="shared" si="17"/>
        <v>0</v>
      </c>
      <c r="V18" s="163">
        <f>SUMIF($F$6:F18,F18,$U$6:U18)</f>
        <v>0</v>
      </c>
      <c r="W18" s="156">
        <f t="shared" si="18"/>
        <v>0.12800734591489088</v>
      </c>
      <c r="X18" s="156" t="str">
        <f t="shared" si="8"/>
        <v/>
      </c>
      <c r="Y18" s="156" t="str">
        <f t="shared" si="9"/>
        <v/>
      </c>
      <c r="Z18" s="154" t="str">
        <f>IFERROR(AVERAGEIF('Daily KPI'!$D:$D,Table14[[#This Row],[Month]],'Daily KPI'!$AB:$AB),"")</f>
        <v/>
      </c>
      <c r="AA18" s="157">
        <f>IFERROR(AVERAGEIF($F$6:F18,F18,$N$6:N18),"")</f>
        <v>8.0208999999999993</v>
      </c>
      <c r="AB18" s="155"/>
      <c r="AC18" s="154"/>
      <c r="AD18" s="154"/>
      <c r="AE18" s="156">
        <v>0.98040000000000005</v>
      </c>
      <c r="AF18" s="156">
        <v>0.98</v>
      </c>
      <c r="AG18" s="156"/>
      <c r="AH18" s="156"/>
      <c r="AI18" s="156"/>
      <c r="AJ18" s="156"/>
      <c r="AK18" s="156"/>
      <c r="AL18" s="156"/>
      <c r="AM18" s="183"/>
      <c r="AN18" s="183"/>
    </row>
    <row r="19" spans="1:40" x14ac:dyDescent="0.3">
      <c r="A19" s="148">
        <f t="shared" si="10"/>
        <v>18</v>
      </c>
      <c r="B19" s="149" t="str">
        <f t="shared" si="19"/>
        <v>September</v>
      </c>
      <c r="C19" s="149">
        <f t="shared" si="19"/>
        <v>9</v>
      </c>
      <c r="D19" s="150">
        <v>43709</v>
      </c>
      <c r="E19" s="151">
        <v>2025</v>
      </c>
      <c r="F19" s="151" t="s">
        <v>1176</v>
      </c>
      <c r="G19" s="152">
        <f t="shared" si="23"/>
        <v>30</v>
      </c>
      <c r="H19" s="157">
        <f t="shared" si="20"/>
        <v>142.5</v>
      </c>
      <c r="I19" s="157">
        <f t="shared" si="20"/>
        <v>145.4</v>
      </c>
      <c r="J19" s="154"/>
      <c r="K19" s="153"/>
      <c r="L19" s="152"/>
      <c r="M19" s="161">
        <f t="shared" si="21"/>
        <v>827.54770140409107</v>
      </c>
      <c r="N19" s="155">
        <v>8.0208999999999993</v>
      </c>
      <c r="O19" s="156">
        <f t="shared" si="13"/>
        <v>0.70958680060111445</v>
      </c>
      <c r="P19" s="154">
        <f t="shared" si="14"/>
        <v>4.8466666666666667</v>
      </c>
      <c r="Q19" s="152">
        <f>COUNTIFS('Daily KPI'!$D:$D,D19,'Daily KPI'!$O:$O,"&gt;0")</f>
        <v>0</v>
      </c>
      <c r="R19" s="155">
        <f t="shared" si="15"/>
        <v>0</v>
      </c>
      <c r="S19" s="163">
        <f>SUMIF($F$6:F19,F19,$R$6:R19)</f>
        <v>0</v>
      </c>
      <c r="T19" s="154">
        <f t="shared" si="16"/>
        <v>27.58492338013637</v>
      </c>
      <c r="U19" s="155">
        <f t="shared" si="17"/>
        <v>0</v>
      </c>
      <c r="V19" s="163">
        <f>SUMIF($F$6:F19,F19,$U$6:U19)</f>
        <v>0</v>
      </c>
      <c r="W19" s="156">
        <f t="shared" si="18"/>
        <v>0.14329711223250285</v>
      </c>
      <c r="X19" s="156" t="str">
        <f t="shared" si="8"/>
        <v/>
      </c>
      <c r="Y19" s="156" t="str">
        <f t="shared" si="9"/>
        <v/>
      </c>
      <c r="Z19" s="154" t="str">
        <f>IFERROR(AVERAGEIF('Daily KPI'!$D:$D,Table14[[#This Row],[Month]],'Daily KPI'!$AB:$AB),"")</f>
        <v/>
      </c>
      <c r="AA19" s="164">
        <f>IFERROR(AVERAGEIF($F$6:F19,F19,$N$6:N19),"")</f>
        <v>8.0208999999999993</v>
      </c>
      <c r="AB19" s="155"/>
      <c r="AC19" s="154"/>
      <c r="AD19" s="165"/>
      <c r="AE19" s="156">
        <v>0.98040000000000005</v>
      </c>
      <c r="AF19" s="156">
        <v>0.98</v>
      </c>
      <c r="AG19" s="156"/>
      <c r="AH19" s="156"/>
      <c r="AI19" s="156"/>
      <c r="AJ19" s="156"/>
      <c r="AK19" s="156"/>
      <c r="AL19" s="156"/>
      <c r="AM19" s="183"/>
      <c r="AN19" s="183"/>
    </row>
    <row r="20" spans="1:40" x14ac:dyDescent="0.3">
      <c r="A20" s="148">
        <f t="shared" si="10"/>
        <v>19</v>
      </c>
      <c r="B20" s="149" t="str">
        <f t="shared" si="19"/>
        <v>October</v>
      </c>
      <c r="C20" s="149">
        <f t="shared" si="19"/>
        <v>10</v>
      </c>
      <c r="D20" s="150">
        <v>43739</v>
      </c>
      <c r="E20" s="151">
        <v>2025</v>
      </c>
      <c r="F20" s="151" t="s">
        <v>1176</v>
      </c>
      <c r="G20" s="152">
        <f t="shared" si="23"/>
        <v>31</v>
      </c>
      <c r="H20" s="157">
        <f t="shared" si="20"/>
        <v>145.69999999999999</v>
      </c>
      <c r="I20" s="157">
        <f t="shared" si="20"/>
        <v>158.80000000000001</v>
      </c>
      <c r="J20" s="154"/>
      <c r="K20" s="153"/>
      <c r="L20" s="152"/>
      <c r="M20" s="161">
        <f t="shared" si="21"/>
        <v>938.9483535161803</v>
      </c>
      <c r="N20" s="155">
        <v>8.0208999999999993</v>
      </c>
      <c r="O20" s="156">
        <f t="shared" si="13"/>
        <v>0.73717076724916697</v>
      </c>
      <c r="P20" s="154">
        <f t="shared" si="14"/>
        <v>5.1225806451612907</v>
      </c>
      <c r="Q20" s="152">
        <f>COUNTIFS('Daily KPI'!$D:$D,D20,'Daily KPI'!$O:$O,"&gt;0")</f>
        <v>0</v>
      </c>
      <c r="R20" s="155">
        <f t="shared" si="15"/>
        <v>0</v>
      </c>
      <c r="S20" s="155">
        <f>SUMIF($F$6:F20,F20,$R$6:R20)</f>
        <v>0</v>
      </c>
      <c r="T20" s="154">
        <f t="shared" si="16"/>
        <v>30.288656565038075</v>
      </c>
      <c r="U20" s="155">
        <f t="shared" si="17"/>
        <v>0</v>
      </c>
      <c r="V20" s="163">
        <f>SUMIF($F$6:F20,F20,$U$6:U20)</f>
        <v>0</v>
      </c>
      <c r="W20" s="156">
        <f t="shared" si="18"/>
        <v>0.15734236268705337</v>
      </c>
      <c r="X20" s="156" t="str">
        <f t="shared" si="8"/>
        <v/>
      </c>
      <c r="Y20" s="156" t="str">
        <f t="shared" si="9"/>
        <v/>
      </c>
      <c r="Z20" s="154" t="str">
        <f>IFERROR(AVERAGEIF('Daily KPI'!$D:$D,Table14[[#This Row],[Month]],'Daily KPI'!$AB:$AB),"")</f>
        <v/>
      </c>
      <c r="AA20" s="157">
        <f>IFERROR(AVERAGEIF($F$6:F20,F20,$N$6:N20),"")</f>
        <v>8.0208999999999993</v>
      </c>
      <c r="AB20" s="155"/>
      <c r="AC20" s="154"/>
      <c r="AD20" s="154"/>
      <c r="AE20" s="156">
        <v>0.98040000000000005</v>
      </c>
      <c r="AF20" s="156">
        <v>0.98</v>
      </c>
      <c r="AG20" s="156"/>
      <c r="AH20" s="156"/>
      <c r="AI20" s="156"/>
      <c r="AJ20" s="156"/>
      <c r="AK20" s="156"/>
      <c r="AL20" s="156"/>
      <c r="AM20" s="183"/>
      <c r="AN20" s="183"/>
    </row>
    <row r="21" spans="1:40" x14ac:dyDescent="0.3">
      <c r="A21" s="148">
        <f t="shared" si="10"/>
        <v>20</v>
      </c>
      <c r="B21" s="149" t="str">
        <f t="shared" si="19"/>
        <v>November</v>
      </c>
      <c r="C21" s="149">
        <f t="shared" si="19"/>
        <v>11</v>
      </c>
      <c r="D21" s="150">
        <v>43770</v>
      </c>
      <c r="E21" s="151">
        <v>2025</v>
      </c>
      <c r="F21" s="151" t="s">
        <v>1176</v>
      </c>
      <c r="G21" s="152">
        <f t="shared" si="23"/>
        <v>30</v>
      </c>
      <c r="H21" s="157">
        <f t="shared" si="20"/>
        <v>138.9</v>
      </c>
      <c r="I21" s="157">
        <f t="shared" si="20"/>
        <v>163</v>
      </c>
      <c r="J21" s="154"/>
      <c r="K21" s="153"/>
      <c r="L21" s="152"/>
      <c r="M21" s="161">
        <f t="shared" si="21"/>
        <v>944.25314647389882</v>
      </c>
      <c r="N21" s="155">
        <v>8.0208999999999993</v>
      </c>
      <c r="O21" s="156">
        <f t="shared" si="13"/>
        <v>0.7222336756220531</v>
      </c>
      <c r="P21" s="154">
        <f t="shared" si="14"/>
        <v>5.4333333333333336</v>
      </c>
      <c r="Q21" s="152">
        <f>COUNTIFS('Daily KPI'!$D:$D,D21,'Daily KPI'!$O:$O,"&gt;0")</f>
        <v>0</v>
      </c>
      <c r="R21" s="155">
        <f t="shared" si="15"/>
        <v>0</v>
      </c>
      <c r="S21" s="163">
        <f>SUMIF($F$6:F21,F21,$R$6:R21)</f>
        <v>0</v>
      </c>
      <c r="T21" s="154">
        <f t="shared" si="16"/>
        <v>31.475104882463295</v>
      </c>
      <c r="U21" s="155">
        <f t="shared" si="17"/>
        <v>0</v>
      </c>
      <c r="V21" s="163">
        <f>SUMIF($F$6:F21,F21,$U$6:U21)</f>
        <v>0</v>
      </c>
      <c r="W21" s="156">
        <f t="shared" si="18"/>
        <v>0.1635056793422148</v>
      </c>
      <c r="X21" s="156" t="str">
        <f t="shared" si="8"/>
        <v/>
      </c>
      <c r="Y21" s="156" t="str">
        <f t="shared" si="9"/>
        <v/>
      </c>
      <c r="Z21" s="154" t="str">
        <f>IFERROR(AVERAGEIF('Daily KPI'!$D:$D,Table14[[#This Row],[Month]],'Daily KPI'!$AB:$AB),"")</f>
        <v/>
      </c>
      <c r="AA21" s="164">
        <f>IFERROR(AVERAGEIF($F$6:F21,F21,$N$6:N21),"")</f>
        <v>8.0208999999999993</v>
      </c>
      <c r="AB21" s="155"/>
      <c r="AC21" s="154"/>
      <c r="AD21" s="165"/>
      <c r="AE21" s="156">
        <v>0.98040000000000005</v>
      </c>
      <c r="AF21" s="156">
        <v>0.98</v>
      </c>
      <c r="AG21" s="156"/>
      <c r="AH21" s="156"/>
      <c r="AI21" s="156"/>
      <c r="AJ21" s="156"/>
      <c r="AK21" s="156"/>
      <c r="AL21" s="156"/>
      <c r="AM21" s="183"/>
      <c r="AN21" s="183"/>
    </row>
    <row r="22" spans="1:40" x14ac:dyDescent="0.3">
      <c r="A22" s="148">
        <f t="shared" si="10"/>
        <v>21</v>
      </c>
      <c r="B22" s="149" t="str">
        <f t="shared" si="19"/>
        <v>December</v>
      </c>
      <c r="C22" s="149">
        <f t="shared" si="19"/>
        <v>12</v>
      </c>
      <c r="D22" s="150">
        <v>43800</v>
      </c>
      <c r="E22" s="151">
        <v>2025</v>
      </c>
      <c r="F22" s="151" t="s">
        <v>1176</v>
      </c>
      <c r="G22" s="152">
        <f t="shared" si="23"/>
        <v>31</v>
      </c>
      <c r="H22" s="157">
        <f t="shared" si="20"/>
        <v>134.69999999999999</v>
      </c>
      <c r="I22" s="157">
        <f t="shared" si="20"/>
        <v>163.69999999999999</v>
      </c>
      <c r="J22" s="154"/>
      <c r="K22" s="153"/>
      <c r="L22" s="152"/>
      <c r="M22" s="161">
        <f t="shared" si="21"/>
        <v>981.38669717792857</v>
      </c>
      <c r="N22" s="155">
        <v>8.0208999999999993</v>
      </c>
      <c r="O22" s="156">
        <f t="shared" si="13"/>
        <v>0.74742631726929265</v>
      </c>
      <c r="P22" s="154">
        <f t="shared" si="14"/>
        <v>5.2806451612903222</v>
      </c>
      <c r="Q22" s="152">
        <f>COUNTIFS('Daily KPI'!$D:$D,D22,'Daily KPI'!$O:$O,"&gt;0")</f>
        <v>0</v>
      </c>
      <c r="R22" s="155">
        <f t="shared" si="15"/>
        <v>0</v>
      </c>
      <c r="S22" s="155">
        <f>SUMIF($F$6:F22,F22,$R$6:R22)</f>
        <v>0</v>
      </c>
      <c r="T22" s="154">
        <f t="shared" si="16"/>
        <v>31.657635392836404</v>
      </c>
      <c r="U22" s="155">
        <f t="shared" si="17"/>
        <v>0</v>
      </c>
      <c r="V22" s="163">
        <f>SUMIF($F$6:F22,F22,$U$6:U22)</f>
        <v>0</v>
      </c>
      <c r="W22" s="156">
        <f t="shared" si="18"/>
        <v>0.16445388190454732</v>
      </c>
      <c r="X22" s="156" t="str">
        <f t="shared" si="8"/>
        <v/>
      </c>
      <c r="Y22" s="156" t="str">
        <f t="shared" si="9"/>
        <v/>
      </c>
      <c r="Z22" s="154" t="str">
        <f>IFERROR(AVERAGEIF('Daily KPI'!$D:$D,Table14[[#This Row],[Month]],'Daily KPI'!$AB:$AB),"")</f>
        <v/>
      </c>
      <c r="AA22" s="157">
        <f>IFERROR(AVERAGEIF($F$6:F22,F22,$N$6:N22),"")</f>
        <v>8.0208999999999993</v>
      </c>
      <c r="AB22" s="155"/>
      <c r="AC22" s="154"/>
      <c r="AD22" s="154"/>
      <c r="AE22" s="156">
        <v>0.98040000000000005</v>
      </c>
      <c r="AF22" s="156">
        <v>0.98</v>
      </c>
      <c r="AG22" s="156"/>
      <c r="AH22" s="156"/>
      <c r="AI22" s="156"/>
      <c r="AJ22" s="156"/>
      <c r="AK22" s="156"/>
      <c r="AL22" s="156"/>
      <c r="AM22" s="183"/>
      <c r="AN22" s="183"/>
    </row>
    <row r="23" spans="1:40" x14ac:dyDescent="0.3">
      <c r="A23" s="148">
        <f t="shared" si="10"/>
        <v>22</v>
      </c>
      <c r="B23" s="149" t="str">
        <f t="shared" si="19"/>
        <v>January</v>
      </c>
      <c r="C23" s="149">
        <f t="shared" si="19"/>
        <v>1</v>
      </c>
      <c r="D23" s="150">
        <v>43831</v>
      </c>
      <c r="E23" s="151">
        <v>2025</v>
      </c>
      <c r="F23" s="151" t="s">
        <v>1176</v>
      </c>
      <c r="G23" s="152">
        <f t="shared" si="23"/>
        <v>31</v>
      </c>
      <c r="H23" s="157">
        <f t="shared" si="20"/>
        <v>151.6</v>
      </c>
      <c r="I23" s="157">
        <f t="shared" si="20"/>
        <v>183.9</v>
      </c>
      <c r="J23" s="154"/>
      <c r="K23" s="153"/>
      <c r="L23" s="152"/>
      <c r="M23" s="161">
        <f t="shared" si="21"/>
        <v>1087.4825563322993</v>
      </c>
      <c r="N23" s="155">
        <v>8.0208999999999993</v>
      </c>
      <c r="O23" s="156">
        <f t="shared" si="13"/>
        <v>0.73725456161784642</v>
      </c>
      <c r="P23" s="154">
        <f t="shared" si="14"/>
        <v>5.9322580645161294</v>
      </c>
      <c r="Q23" s="152">
        <f>COUNTIFS('Daily KPI'!$D:$D,D23,'Daily KPI'!$O:$O,"&gt;0")</f>
        <v>0</v>
      </c>
      <c r="R23" s="155">
        <f t="shared" si="15"/>
        <v>0</v>
      </c>
      <c r="S23" s="163">
        <f>SUMIF($F$6:F23,F23,$R$6:R23)</f>
        <v>0</v>
      </c>
      <c r="T23" s="154">
        <f t="shared" si="16"/>
        <v>35.080082462332236</v>
      </c>
      <c r="U23" s="155">
        <f t="shared" si="17"/>
        <v>0</v>
      </c>
      <c r="V23" s="163">
        <f>SUMIF($F$6:F23,F23,$U$6:U23)</f>
        <v>0</v>
      </c>
      <c r="W23" s="156">
        <f t="shared" si="18"/>
        <v>0.18223267994828218</v>
      </c>
      <c r="X23" s="156" t="str">
        <f t="shared" si="8"/>
        <v/>
      </c>
      <c r="Y23" s="156" t="str">
        <f t="shared" si="9"/>
        <v/>
      </c>
      <c r="Z23" s="154" t="str">
        <f>IFERROR(AVERAGEIF('Daily KPI'!$D:$D,Table14[[#This Row],[Month]],'Daily KPI'!$AB:$AB),"")</f>
        <v/>
      </c>
      <c r="AA23" s="164">
        <f>IFERROR(AVERAGEIF($F$6:F23,F23,$N$6:N23),"")</f>
        <v>8.0208999999999993</v>
      </c>
      <c r="AB23" s="155"/>
      <c r="AC23" s="154"/>
      <c r="AD23" s="165"/>
      <c r="AE23" s="156">
        <v>0.98040000000000005</v>
      </c>
      <c r="AF23" s="156">
        <v>0.98</v>
      </c>
      <c r="AG23" s="156"/>
      <c r="AH23" s="156"/>
      <c r="AI23" s="156"/>
      <c r="AJ23" s="156"/>
      <c r="AK23" s="156"/>
      <c r="AL23" s="156"/>
      <c r="AM23" s="183"/>
      <c r="AN23" s="183"/>
    </row>
    <row r="24" spans="1:40" x14ac:dyDescent="0.3">
      <c r="A24" s="148">
        <f t="shared" si="10"/>
        <v>23</v>
      </c>
      <c r="B24" s="149" t="str">
        <f t="shared" si="19"/>
        <v>February</v>
      </c>
      <c r="C24" s="149">
        <f t="shared" si="19"/>
        <v>2</v>
      </c>
      <c r="D24" s="150">
        <v>43862</v>
      </c>
      <c r="E24" s="151">
        <v>2025</v>
      </c>
      <c r="F24" s="151" t="s">
        <v>1176</v>
      </c>
      <c r="G24" s="152">
        <f t="shared" si="23"/>
        <v>29</v>
      </c>
      <c r="H24" s="157">
        <f t="shared" si="20"/>
        <v>159.9</v>
      </c>
      <c r="I24" s="157">
        <f t="shared" si="20"/>
        <v>184</v>
      </c>
      <c r="J24" s="154"/>
      <c r="K24" s="153"/>
      <c r="L24" s="152"/>
      <c r="M24" s="161">
        <f t="shared" si="21"/>
        <v>1038.6058690088</v>
      </c>
      <c r="N24" s="155">
        <v>8.0208999999999993</v>
      </c>
      <c r="O24" s="156">
        <f t="shared" si="13"/>
        <v>0.70373612863622048</v>
      </c>
      <c r="P24" s="154">
        <f t="shared" si="14"/>
        <v>6.3448275862068968</v>
      </c>
      <c r="Q24" s="152">
        <f>COUNTIFS('Daily KPI'!$D:$D,D24,'Daily KPI'!$O:$O,"&gt;0")</f>
        <v>0</v>
      </c>
      <c r="R24" s="155">
        <f t="shared" si="15"/>
        <v>0</v>
      </c>
      <c r="S24" s="155">
        <f>SUMIF($F$6:F24,F24,$R$6:R24)</f>
        <v>0</v>
      </c>
      <c r="T24" s="154">
        <f t="shared" si="16"/>
        <v>35.813995483062072</v>
      </c>
      <c r="U24" s="155">
        <f t="shared" si="17"/>
        <v>0</v>
      </c>
      <c r="V24" s="163">
        <f>SUMIF($F$6:F24,F24,$U$6:U24)</f>
        <v>0</v>
      </c>
      <c r="W24" s="156">
        <f t="shared" si="18"/>
        <v>0.18604518343256407</v>
      </c>
      <c r="X24" s="156" t="str">
        <f t="shared" si="8"/>
        <v/>
      </c>
      <c r="Y24" s="156" t="str">
        <f t="shared" si="9"/>
        <v/>
      </c>
      <c r="Z24" s="154" t="str">
        <f>IFERROR(AVERAGEIF('Daily KPI'!$D:$D,Table14[[#This Row],[Month]],'Daily KPI'!$AB:$AB),"")</f>
        <v/>
      </c>
      <c r="AA24" s="157">
        <f>IFERROR(AVERAGEIF($F$6:F24,F24,$N$6:N24),"")</f>
        <v>8.0208999999999993</v>
      </c>
      <c r="AB24" s="155"/>
      <c r="AC24" s="154"/>
      <c r="AD24" s="154"/>
      <c r="AE24" s="156">
        <v>0.98040000000000005</v>
      </c>
      <c r="AF24" s="156">
        <v>0.98</v>
      </c>
      <c r="AG24" s="156"/>
      <c r="AH24" s="156"/>
      <c r="AI24" s="156"/>
      <c r="AJ24" s="156"/>
      <c r="AK24" s="156"/>
      <c r="AL24" s="156"/>
      <c r="AM24" s="183"/>
      <c r="AN24" s="183"/>
    </row>
    <row r="25" spans="1:40" x14ac:dyDescent="0.3">
      <c r="A25" s="148">
        <f t="shared" si="10"/>
        <v>24</v>
      </c>
      <c r="B25" s="149" t="str">
        <f t="shared" si="19"/>
        <v>March</v>
      </c>
      <c r="C25" s="149">
        <f t="shared" si="19"/>
        <v>3</v>
      </c>
      <c r="D25" s="150">
        <v>43891</v>
      </c>
      <c r="E25" s="151">
        <v>2025</v>
      </c>
      <c r="F25" s="151" t="s">
        <v>1176</v>
      </c>
      <c r="G25" s="152">
        <f t="shared" si="23"/>
        <v>31</v>
      </c>
      <c r="H25" s="157">
        <f t="shared" si="20"/>
        <v>197.2</v>
      </c>
      <c r="I25" s="157">
        <f t="shared" si="20"/>
        <v>210.4</v>
      </c>
      <c r="J25" s="154"/>
      <c r="K25" s="153"/>
      <c r="L25" s="152"/>
      <c r="M25" s="161">
        <f t="shared" si="21"/>
        <v>1204.1880014021069</v>
      </c>
      <c r="N25" s="155">
        <v>8.0208999999999993</v>
      </c>
      <c r="O25" s="156">
        <f t="shared" si="13"/>
        <v>0.71355172148533519</v>
      </c>
      <c r="P25" s="154">
        <f t="shared" si="14"/>
        <v>6.7870967741935484</v>
      </c>
      <c r="Q25" s="152">
        <f>COUNTIFS('Daily KPI'!$D:$D,D25,'Daily KPI'!$O:$O,"&gt;0")</f>
        <v>0</v>
      </c>
      <c r="R25" s="155">
        <f t="shared" si="15"/>
        <v>0</v>
      </c>
      <c r="S25" s="163">
        <f>SUMIF($F$6:F25,F25,$R$6:R25)</f>
        <v>0</v>
      </c>
      <c r="T25" s="154">
        <f t="shared" si="16"/>
        <v>38.844774238777646</v>
      </c>
      <c r="U25" s="155">
        <f t="shared" si="17"/>
        <v>0</v>
      </c>
      <c r="V25" s="163">
        <f>SUMIF($F$6:F25,F25,$U$6:U25)</f>
        <v>0</v>
      </c>
      <c r="W25" s="156">
        <f t="shared" si="18"/>
        <v>0.20178935779639051</v>
      </c>
      <c r="X25" s="156" t="str">
        <f t="shared" si="8"/>
        <v/>
      </c>
      <c r="Y25" s="156" t="str">
        <f t="shared" si="9"/>
        <v/>
      </c>
      <c r="Z25" s="154" t="str">
        <f>IFERROR(AVERAGEIF('Daily KPI'!$D:$D,Table14[[#This Row],[Month]],'Daily KPI'!$AB:$AB),"")</f>
        <v/>
      </c>
      <c r="AA25" s="164">
        <f>IFERROR(AVERAGEIF($F$6:F25,F25,$N$6:N25),"")</f>
        <v>8.0208999999999993</v>
      </c>
      <c r="AB25" s="155"/>
      <c r="AC25" s="154"/>
      <c r="AD25" s="165"/>
      <c r="AE25" s="156">
        <v>0.98040000000000005</v>
      </c>
      <c r="AF25" s="156">
        <v>0.98</v>
      </c>
      <c r="AG25" s="156"/>
      <c r="AH25" s="156"/>
      <c r="AI25" s="156"/>
      <c r="AJ25" s="156"/>
      <c r="AK25" s="156"/>
      <c r="AL25" s="156"/>
      <c r="AM25" s="183"/>
      <c r="AN25" s="183"/>
    </row>
    <row r="26" spans="1:40" x14ac:dyDescent="0.3">
      <c r="A26" s="148">
        <f t="shared" si="10"/>
        <v>25</v>
      </c>
      <c r="B26" s="149" t="str">
        <f t="shared" si="19"/>
        <v>April</v>
      </c>
      <c r="C26" s="149">
        <f t="shared" si="19"/>
        <v>4</v>
      </c>
      <c r="D26" s="150">
        <v>43922</v>
      </c>
      <c r="E26" s="151">
        <v>2025</v>
      </c>
      <c r="F26" s="151" t="s">
        <v>1177</v>
      </c>
      <c r="G26" s="152">
        <f t="shared" si="23"/>
        <v>30</v>
      </c>
      <c r="H26" s="157">
        <f t="shared" si="20"/>
        <v>193.6</v>
      </c>
      <c r="I26" s="157">
        <f t="shared" si="20"/>
        <v>191.7</v>
      </c>
      <c r="J26" s="154"/>
      <c r="K26" s="153"/>
      <c r="L26" s="152"/>
      <c r="M26" s="161">
        <f t="shared" si="21"/>
        <v>1055.6537985859879</v>
      </c>
      <c r="N26" s="155">
        <v>8.0208999999999993</v>
      </c>
      <c r="O26" s="156">
        <f t="shared" si="13"/>
        <v>0.68655652664663702</v>
      </c>
      <c r="P26" s="154">
        <f t="shared" si="14"/>
        <v>6.39</v>
      </c>
      <c r="Q26" s="152">
        <f>COUNTIFS('Daily KPI'!$D:$D,D26,'Daily KPI'!$O:$O,"&gt;0")</f>
        <v>0</v>
      </c>
      <c r="R26" s="155">
        <f t="shared" si="15"/>
        <v>0</v>
      </c>
      <c r="S26" s="155">
        <f>SUMIF($F$6:F26,F26,$R$6:R26)</f>
        <v>0</v>
      </c>
      <c r="T26" s="154">
        <f t="shared" si="16"/>
        <v>35.188459952866268</v>
      </c>
      <c r="U26" s="155">
        <f t="shared" si="17"/>
        <v>0</v>
      </c>
      <c r="V26" s="163">
        <f>SUMIF($F$6:F26,F26,$U$6:U26)</f>
        <v>0</v>
      </c>
      <c r="W26" s="156">
        <f t="shared" si="18"/>
        <v>0.18279567521966711</v>
      </c>
      <c r="X26" s="156" t="str">
        <f t="shared" si="8"/>
        <v/>
      </c>
      <c r="Y26" s="156" t="str">
        <f t="shared" si="9"/>
        <v/>
      </c>
      <c r="Z26" s="154" t="str">
        <f>IFERROR(AVERAGEIF('Daily KPI'!$D:$D,Table14[[#This Row],[Month]],'Daily KPI'!$AB:$AB),"")</f>
        <v/>
      </c>
      <c r="AA26" s="157">
        <f>IFERROR(AVERAGEIF($F$6:F26,F26,$N$6:N26),"")</f>
        <v>8.0208999999999993</v>
      </c>
      <c r="AB26" s="155"/>
      <c r="AC26" s="154"/>
      <c r="AD26" s="154"/>
      <c r="AE26" s="156">
        <v>0.98040000000000005</v>
      </c>
      <c r="AF26" s="156">
        <v>0.98</v>
      </c>
      <c r="AG26" s="156"/>
      <c r="AH26" s="156"/>
      <c r="AI26" s="156"/>
      <c r="AJ26" s="156"/>
      <c r="AK26" s="156"/>
      <c r="AL26" s="156"/>
      <c r="AM26" s="183"/>
      <c r="AN26" s="183"/>
    </row>
    <row r="27" spans="1:40" x14ac:dyDescent="0.3">
      <c r="A27" s="148">
        <f t="shared" si="10"/>
        <v>26</v>
      </c>
      <c r="B27" s="149" t="str">
        <f t="shared" si="19"/>
        <v>May</v>
      </c>
      <c r="C27" s="149">
        <f t="shared" si="19"/>
        <v>5</v>
      </c>
      <c r="D27" s="150">
        <v>43952</v>
      </c>
      <c r="E27" s="151">
        <v>2026</v>
      </c>
      <c r="F27" s="151" t="s">
        <v>1177</v>
      </c>
      <c r="G27" s="152">
        <f t="shared" si="23"/>
        <v>31</v>
      </c>
      <c r="H27" s="157">
        <f t="shared" si="20"/>
        <v>198.6</v>
      </c>
      <c r="I27" s="157">
        <f t="shared" si="20"/>
        <v>186.4</v>
      </c>
      <c r="J27" s="154"/>
      <c r="K27" s="153"/>
      <c r="L27" s="152"/>
      <c r="M27" s="161">
        <f t="shared" si="21"/>
        <v>1060.9585915437065</v>
      </c>
      <c r="N27" s="155">
        <v>8.0208999999999993</v>
      </c>
      <c r="O27" s="156">
        <f t="shared" si="13"/>
        <v>0.70962584466409462</v>
      </c>
      <c r="P27" s="154">
        <f t="shared" si="14"/>
        <v>6.0129032258064514</v>
      </c>
      <c r="Q27" s="152">
        <f>COUNTIFS('Daily KPI'!$D:$D,D27,'Daily KPI'!$O:$O,"&gt;0")</f>
        <v>0</v>
      </c>
      <c r="R27" s="155">
        <f t="shared" si="15"/>
        <v>0</v>
      </c>
      <c r="S27" s="163">
        <f>SUMIF($F$6:F27,F27,$R$6:R27)</f>
        <v>0</v>
      </c>
      <c r="T27" s="154">
        <f t="shared" si="16"/>
        <v>34.224470694958271</v>
      </c>
      <c r="U27" s="155">
        <f t="shared" si="17"/>
        <v>0</v>
      </c>
      <c r="V27" s="163">
        <f>SUMIF($F$6:F27,F27,$U$6:U27)</f>
        <v>0</v>
      </c>
      <c r="W27" s="156">
        <f t="shared" si="18"/>
        <v>0.17778798043734842</v>
      </c>
      <c r="X27" s="156" t="str">
        <f t="shared" si="8"/>
        <v/>
      </c>
      <c r="Y27" s="156" t="str">
        <f t="shared" si="9"/>
        <v/>
      </c>
      <c r="Z27" s="154" t="str">
        <f>IFERROR(AVERAGEIF('Daily KPI'!$D:$D,Table14[[#This Row],[Month]],'Daily KPI'!$AB:$AB),"")</f>
        <v/>
      </c>
      <c r="AA27" s="164">
        <f>IFERROR(AVERAGEIF($F$6:F27,F27,$N$6:N27),"")</f>
        <v>8.0208999999999993</v>
      </c>
      <c r="AB27" s="155"/>
      <c r="AC27" s="154"/>
      <c r="AD27" s="165"/>
      <c r="AE27" s="156">
        <v>0.98040000000000005</v>
      </c>
      <c r="AF27" s="156">
        <v>0.98</v>
      </c>
      <c r="AG27" s="156"/>
      <c r="AH27" s="156"/>
      <c r="AI27" s="156"/>
      <c r="AJ27" s="156"/>
      <c r="AK27" s="156"/>
      <c r="AL27" s="156"/>
      <c r="AM27" s="183"/>
      <c r="AN27" s="183"/>
    </row>
    <row r="28" spans="1:40" x14ac:dyDescent="0.3">
      <c r="A28" s="148">
        <f t="shared" si="10"/>
        <v>27</v>
      </c>
      <c r="B28" s="149" t="str">
        <f t="shared" si="19"/>
        <v>June</v>
      </c>
      <c r="C28" s="149">
        <f t="shared" si="19"/>
        <v>6</v>
      </c>
      <c r="D28" s="150">
        <v>43983</v>
      </c>
      <c r="E28" s="151">
        <v>2026</v>
      </c>
      <c r="F28" s="151" t="s">
        <v>1177</v>
      </c>
      <c r="G28" s="152">
        <f t="shared" si="23"/>
        <v>30</v>
      </c>
      <c r="H28" s="157">
        <f t="shared" si="20"/>
        <v>154.80000000000001</v>
      </c>
      <c r="I28" s="157">
        <f t="shared" si="20"/>
        <v>142.80000000000001</v>
      </c>
      <c r="J28" s="154"/>
      <c r="K28" s="153"/>
      <c r="L28" s="152"/>
      <c r="M28" s="161">
        <f t="shared" si="21"/>
        <v>790.41415070006133</v>
      </c>
      <c r="N28" s="155">
        <v>8.0208999999999993</v>
      </c>
      <c r="O28" s="156">
        <f t="shared" si="13"/>
        <v>0.6900862870925315</v>
      </c>
      <c r="P28" s="154">
        <f t="shared" si="14"/>
        <v>4.7600000000000007</v>
      </c>
      <c r="Q28" s="152">
        <f>COUNTIFS('Daily KPI'!$D:$D,D28,'Daily KPI'!$O:$O,"&gt;0")</f>
        <v>0</v>
      </c>
      <c r="R28" s="155">
        <f t="shared" si="15"/>
        <v>0</v>
      </c>
      <c r="S28" s="155">
        <f>SUMIF($F$6:F28,F28,$R$6:R28)</f>
        <v>0</v>
      </c>
      <c r="T28" s="154">
        <f t="shared" si="16"/>
        <v>26.347138356668712</v>
      </c>
      <c r="U28" s="155">
        <f t="shared" si="17"/>
        <v>0</v>
      </c>
      <c r="V28" s="163">
        <f>SUMIF($F$6:F28,F28,$U$6:U28)</f>
        <v>0</v>
      </c>
      <c r="W28" s="156">
        <f t="shared" si="18"/>
        <v>0.13686711360668541</v>
      </c>
      <c r="X28" s="156" t="str">
        <f t="shared" si="8"/>
        <v/>
      </c>
      <c r="Y28" s="156" t="str">
        <f t="shared" si="9"/>
        <v/>
      </c>
      <c r="Z28" s="154" t="str">
        <f>IFERROR(AVERAGEIF('Daily KPI'!$D:$D,Table14[[#This Row],[Month]],'Daily KPI'!$AB:$AB),"")</f>
        <v/>
      </c>
      <c r="AA28" s="157">
        <f>IFERROR(AVERAGEIF($F$6:F28,F28,$N$6:N28),"")</f>
        <v>8.0208999999999993</v>
      </c>
      <c r="AB28" s="155"/>
      <c r="AC28" s="154"/>
      <c r="AD28" s="154"/>
      <c r="AE28" s="156">
        <v>0.98040000000000005</v>
      </c>
      <c r="AF28" s="156">
        <v>0.98</v>
      </c>
      <c r="AG28" s="156"/>
      <c r="AH28" s="156"/>
      <c r="AI28" s="156"/>
      <c r="AJ28" s="156"/>
      <c r="AK28" s="156"/>
      <c r="AL28" s="156"/>
      <c r="AM28" s="183"/>
      <c r="AN28" s="183"/>
    </row>
    <row r="29" spans="1:40" x14ac:dyDescent="0.3">
      <c r="A29" s="148">
        <f t="shared" si="10"/>
        <v>28</v>
      </c>
      <c r="B29" s="149" t="str">
        <f t="shared" si="19"/>
        <v>July</v>
      </c>
      <c r="C29" s="149">
        <f t="shared" si="19"/>
        <v>7</v>
      </c>
      <c r="D29" s="150">
        <v>44013</v>
      </c>
      <c r="E29" s="151">
        <v>2026</v>
      </c>
      <c r="F29" s="151" t="s">
        <v>1177</v>
      </c>
      <c r="G29" s="152">
        <f t="shared" si="23"/>
        <v>31</v>
      </c>
      <c r="H29" s="157">
        <f t="shared" si="20"/>
        <v>134.4</v>
      </c>
      <c r="I29" s="157">
        <f t="shared" si="20"/>
        <v>125.4</v>
      </c>
      <c r="J29" s="154"/>
      <c r="K29" s="153"/>
      <c r="L29" s="152"/>
      <c r="M29" s="161">
        <f t="shared" si="21"/>
        <v>721.45184224972047</v>
      </c>
      <c r="N29" s="155">
        <v>8.0208999999999993</v>
      </c>
      <c r="O29" s="156">
        <f t="shared" si="13"/>
        <v>0.71727667514245075</v>
      </c>
      <c r="P29" s="154">
        <f t="shared" si="14"/>
        <v>4.0451612903225804</v>
      </c>
      <c r="Q29" s="152">
        <f>COUNTIFS('Daily KPI'!$D:$D,D29,'Daily KPI'!$O:$O,"&gt;0")</f>
        <v>0</v>
      </c>
      <c r="R29" s="155">
        <f t="shared" si="15"/>
        <v>0</v>
      </c>
      <c r="S29" s="163">
        <f>SUMIF($F$2:F97,F29,$R$2:R97)</f>
        <v>0</v>
      </c>
      <c r="T29" s="154">
        <f t="shared" si="16"/>
        <v>23.27264007257163</v>
      </c>
      <c r="U29" s="155">
        <f t="shared" si="17"/>
        <v>0</v>
      </c>
      <c r="V29" s="163">
        <f>SUMIF($F$2:F97,F29,$U$2:U97)</f>
        <v>0</v>
      </c>
      <c r="W29" s="156">
        <f t="shared" si="18"/>
        <v>0.12089582669739696</v>
      </c>
      <c r="X29" s="156" t="str">
        <f t="shared" si="8"/>
        <v/>
      </c>
      <c r="Y29" s="156" t="str">
        <f t="shared" si="9"/>
        <v/>
      </c>
      <c r="Z29" s="154" t="str">
        <f>IFERROR(AVERAGEIF('Daily KPI'!$D:$D,Table14[[#This Row],[Month]],'Daily KPI'!$AB:$AB),"")</f>
        <v/>
      </c>
      <c r="AA29" s="164">
        <f>IFERROR(AVERAGEIF($F$2:F97,F29,$N$2:N97),"")</f>
        <v>8.0208999999999993</v>
      </c>
      <c r="AB29" s="155"/>
      <c r="AC29" s="154"/>
      <c r="AD29" s="165"/>
      <c r="AE29" s="156">
        <v>0.98040000000000005</v>
      </c>
      <c r="AF29" s="156">
        <v>0.98</v>
      </c>
      <c r="AG29" s="156"/>
      <c r="AH29" s="156"/>
      <c r="AI29" s="156"/>
      <c r="AJ29" s="156"/>
      <c r="AK29" s="156"/>
      <c r="AL29" s="156"/>
      <c r="AM29" s="183"/>
      <c r="AN29" s="183"/>
    </row>
    <row r="30" spans="1:40" x14ac:dyDescent="0.3">
      <c r="A30" s="148">
        <f t="shared" si="10"/>
        <v>29</v>
      </c>
      <c r="B30" s="149" t="str">
        <f t="shared" si="19"/>
        <v>August</v>
      </c>
      <c r="C30" s="149">
        <f t="shared" si="19"/>
        <v>8</v>
      </c>
      <c r="D30" s="150">
        <v>44044</v>
      </c>
      <c r="E30" s="151">
        <f t="shared" ref="E30:E93" si="24">YEAR(D30)</f>
        <v>2020</v>
      </c>
      <c r="F30" s="151" t="s">
        <v>1177</v>
      </c>
      <c r="G30" s="152">
        <f t="shared" si="23"/>
        <v>31</v>
      </c>
      <c r="H30" s="157">
        <f t="shared" si="20"/>
        <v>134.6</v>
      </c>
      <c r="I30" s="157">
        <f t="shared" si="20"/>
        <v>130.69999999999999</v>
      </c>
      <c r="J30" s="154"/>
      <c r="K30" s="153"/>
      <c r="L30" s="152"/>
      <c r="M30" s="161">
        <f t="shared" si="21"/>
        <v>763.89018591146873</v>
      </c>
      <c r="N30" s="155">
        <v>8.0208999999999993</v>
      </c>
      <c r="O30" s="156">
        <f t="shared" si="13"/>
        <v>0.72867226748797886</v>
      </c>
      <c r="P30" s="154">
        <f t="shared" si="14"/>
        <v>4.2161290322580642</v>
      </c>
      <c r="Q30" s="152">
        <f>COUNTIFS('Daily KPI'!$D:$D,D30,'Daily KPI'!$O:$O,"&gt;0")</f>
        <v>0</v>
      </c>
      <c r="R30" s="155">
        <f t="shared" si="15"/>
        <v>0</v>
      </c>
      <c r="S30" s="163">
        <f>SUMIF($F$2:F30,F30,$R$2:R30)</f>
        <v>0</v>
      </c>
      <c r="T30" s="154">
        <f t="shared" si="16"/>
        <v>24.641618900369959</v>
      </c>
      <c r="U30" s="155">
        <f t="shared" si="17"/>
        <v>0</v>
      </c>
      <c r="V30" s="163">
        <f>SUMIF($F$2:F30,F30,$U$2:U30)</f>
        <v>0</v>
      </c>
      <c r="W30" s="156">
        <f t="shared" si="18"/>
        <v>0.12800734591489088</v>
      </c>
      <c r="X30" s="156" t="str">
        <f t="shared" si="8"/>
        <v/>
      </c>
      <c r="Y30" s="156" t="str">
        <f t="shared" si="9"/>
        <v/>
      </c>
      <c r="Z30" s="154" t="str">
        <f>IFERROR(AVERAGEIF('Daily KPI'!$D:$D,Table14[[#This Row],[Month]],'Daily KPI'!$AB:$AB),"")</f>
        <v/>
      </c>
      <c r="AA30" s="164">
        <f>IFERROR(AVERAGEIF($F$2:F30,F30,$N$2:N30),"")</f>
        <v>8.0208999999999993</v>
      </c>
      <c r="AB30" s="155"/>
      <c r="AC30" s="154"/>
      <c r="AD30" s="165"/>
      <c r="AE30" s="156">
        <v>0.98040000000000005</v>
      </c>
      <c r="AF30" s="156">
        <v>0.98</v>
      </c>
      <c r="AG30" s="156"/>
      <c r="AH30" s="156"/>
      <c r="AI30" s="156"/>
      <c r="AJ30" s="156"/>
      <c r="AK30" s="156"/>
      <c r="AL30" s="156"/>
      <c r="AM30" s="183"/>
      <c r="AN30" s="183"/>
    </row>
    <row r="31" spans="1:40" x14ac:dyDescent="0.3">
      <c r="A31" s="148">
        <f t="shared" si="10"/>
        <v>30</v>
      </c>
      <c r="B31" s="149" t="str">
        <f t="shared" ref="B31:C46" si="25">B19</f>
        <v>September</v>
      </c>
      <c r="C31" s="149">
        <f t="shared" si="25"/>
        <v>9</v>
      </c>
      <c r="D31" s="150">
        <v>44075</v>
      </c>
      <c r="E31" s="151">
        <f t="shared" si="24"/>
        <v>2020</v>
      </c>
      <c r="F31" s="151" t="s">
        <v>1177</v>
      </c>
      <c r="G31" s="152">
        <f t="shared" si="23"/>
        <v>30</v>
      </c>
      <c r="H31" s="157">
        <f t="shared" ref="H31:I46" si="26">H19</f>
        <v>142.5</v>
      </c>
      <c r="I31" s="157">
        <f t="shared" si="26"/>
        <v>145.4</v>
      </c>
      <c r="J31" s="154"/>
      <c r="K31" s="153"/>
      <c r="L31" s="152"/>
      <c r="M31" s="161">
        <f t="shared" si="21"/>
        <v>827.54770140409107</v>
      </c>
      <c r="N31" s="155">
        <v>8.0208999999999993</v>
      </c>
      <c r="O31" s="156">
        <f t="shared" si="13"/>
        <v>0.70958680060111445</v>
      </c>
      <c r="P31" s="154">
        <f t="shared" si="14"/>
        <v>4.8466666666666667</v>
      </c>
      <c r="Q31" s="152">
        <f>COUNTIFS('Daily KPI'!$D:$D,D31,'Daily KPI'!$O:$O,"&gt;0")</f>
        <v>0</v>
      </c>
      <c r="R31" s="155">
        <f t="shared" si="15"/>
        <v>0</v>
      </c>
      <c r="S31" s="163">
        <f>SUMIF($F$2:F31,F31,$R$2:R31)</f>
        <v>0</v>
      </c>
      <c r="T31" s="154">
        <f t="shared" si="16"/>
        <v>27.58492338013637</v>
      </c>
      <c r="U31" s="155">
        <f t="shared" si="17"/>
        <v>0</v>
      </c>
      <c r="V31" s="163">
        <f>SUMIF($F$2:F31,F31,$U$2:U31)</f>
        <v>0</v>
      </c>
      <c r="W31" s="156">
        <f t="shared" si="18"/>
        <v>0.14329711223250285</v>
      </c>
      <c r="X31" s="156" t="str">
        <f t="shared" si="8"/>
        <v/>
      </c>
      <c r="Y31" s="156" t="str">
        <f t="shared" si="9"/>
        <v/>
      </c>
      <c r="Z31" s="154" t="str">
        <f>IFERROR(AVERAGEIF('Daily KPI'!$D:$D,Table14[[#This Row],[Month]],'Daily KPI'!$AB:$AB),"")</f>
        <v/>
      </c>
      <c r="AA31" s="164">
        <f>IFERROR(AVERAGEIF($F$2:F31,F31,$N$2:N31),"")</f>
        <v>8.0208999999999993</v>
      </c>
      <c r="AB31" s="155"/>
      <c r="AC31" s="154"/>
      <c r="AD31" s="165"/>
      <c r="AE31" s="156">
        <v>0.98040000000000005</v>
      </c>
      <c r="AF31" s="156">
        <v>0.98</v>
      </c>
      <c r="AG31" s="156"/>
      <c r="AH31" s="156"/>
      <c r="AI31" s="156"/>
      <c r="AJ31" s="156"/>
      <c r="AK31" s="156"/>
      <c r="AL31" s="156"/>
      <c r="AM31" s="183"/>
      <c r="AN31" s="183"/>
    </row>
    <row r="32" spans="1:40" x14ac:dyDescent="0.3">
      <c r="A32" s="148">
        <f t="shared" si="10"/>
        <v>31</v>
      </c>
      <c r="B32" s="149" t="str">
        <f t="shared" si="25"/>
        <v>October</v>
      </c>
      <c r="C32" s="149">
        <f t="shared" si="25"/>
        <v>10</v>
      </c>
      <c r="D32" s="150">
        <v>44105</v>
      </c>
      <c r="E32" s="151">
        <f t="shared" si="24"/>
        <v>2020</v>
      </c>
      <c r="F32" s="151" t="s">
        <v>1177</v>
      </c>
      <c r="G32" s="152">
        <f t="shared" si="23"/>
        <v>31</v>
      </c>
      <c r="H32" s="157">
        <f t="shared" si="26"/>
        <v>145.69999999999999</v>
      </c>
      <c r="I32" s="157">
        <f t="shared" si="26"/>
        <v>158.80000000000001</v>
      </c>
      <c r="J32" s="154"/>
      <c r="K32" s="153"/>
      <c r="L32" s="152"/>
      <c r="M32" s="161">
        <f t="shared" si="21"/>
        <v>938.9483535161803</v>
      </c>
      <c r="N32" s="155">
        <v>8.0208999999999993</v>
      </c>
      <c r="O32" s="156">
        <f t="shared" si="13"/>
        <v>0.73717076724916697</v>
      </c>
      <c r="P32" s="154">
        <f t="shared" si="14"/>
        <v>5.1225806451612907</v>
      </c>
      <c r="Q32" s="152">
        <f>COUNTIFS('Daily KPI'!$D:$D,D32,'Daily KPI'!$O:$O,"&gt;0")</f>
        <v>0</v>
      </c>
      <c r="R32" s="155">
        <f t="shared" si="15"/>
        <v>0</v>
      </c>
      <c r="S32" s="163">
        <f>SUMIF($F$2:F32,F32,$R$2:R32)</f>
        <v>0</v>
      </c>
      <c r="T32" s="154">
        <f t="shared" si="16"/>
        <v>30.288656565038075</v>
      </c>
      <c r="U32" s="155">
        <f t="shared" si="17"/>
        <v>0</v>
      </c>
      <c r="V32" s="163">
        <f>SUMIF($F$2:F32,F32,$U$2:U32)</f>
        <v>0</v>
      </c>
      <c r="W32" s="156">
        <f t="shared" si="18"/>
        <v>0.15734236268705337</v>
      </c>
      <c r="X32" s="156" t="str">
        <f t="shared" si="8"/>
        <v/>
      </c>
      <c r="Y32" s="156" t="str">
        <f t="shared" si="9"/>
        <v/>
      </c>
      <c r="Z32" s="154" t="str">
        <f>IFERROR(AVERAGEIF('Daily KPI'!$D:$D,Table14[[#This Row],[Month]],'Daily KPI'!$AB:$AB),"")</f>
        <v/>
      </c>
      <c r="AA32" s="164">
        <f>IFERROR(AVERAGEIF($F$2:F32,F32,$N$2:N32),"")</f>
        <v>8.0208999999999993</v>
      </c>
      <c r="AB32" s="155"/>
      <c r="AC32" s="154"/>
      <c r="AD32" s="165"/>
      <c r="AE32" s="156">
        <v>0.98040000000000005</v>
      </c>
      <c r="AF32" s="156">
        <v>0.98</v>
      </c>
      <c r="AG32" s="156"/>
      <c r="AH32" s="156"/>
      <c r="AI32" s="156"/>
      <c r="AJ32" s="156"/>
      <c r="AK32" s="156"/>
      <c r="AL32" s="156"/>
      <c r="AM32" s="183"/>
      <c r="AN32" s="183"/>
    </row>
    <row r="33" spans="1:40" x14ac:dyDescent="0.3">
      <c r="A33" s="148">
        <f t="shared" si="10"/>
        <v>32</v>
      </c>
      <c r="B33" s="149" t="str">
        <f t="shared" si="25"/>
        <v>November</v>
      </c>
      <c r="C33" s="149">
        <f t="shared" si="25"/>
        <v>11</v>
      </c>
      <c r="D33" s="150">
        <v>44136</v>
      </c>
      <c r="E33" s="151">
        <f t="shared" si="24"/>
        <v>2020</v>
      </c>
      <c r="F33" s="151" t="s">
        <v>1177</v>
      </c>
      <c r="G33" s="152">
        <f t="shared" si="23"/>
        <v>30</v>
      </c>
      <c r="H33" s="157">
        <f t="shared" si="26"/>
        <v>138.9</v>
      </c>
      <c r="I33" s="157">
        <f t="shared" si="26"/>
        <v>163</v>
      </c>
      <c r="J33" s="154"/>
      <c r="K33" s="153"/>
      <c r="L33" s="152"/>
      <c r="M33" s="161">
        <f t="shared" si="21"/>
        <v>944.25314647389882</v>
      </c>
      <c r="N33" s="155">
        <v>8.0208999999999993</v>
      </c>
      <c r="O33" s="156">
        <f t="shared" si="13"/>
        <v>0.7222336756220531</v>
      </c>
      <c r="P33" s="154">
        <f t="shared" si="14"/>
        <v>5.4333333333333336</v>
      </c>
      <c r="Q33" s="152">
        <f>COUNTIFS('Daily KPI'!$D:$D,D33,'Daily KPI'!$O:$O,"&gt;0")</f>
        <v>0</v>
      </c>
      <c r="R33" s="155">
        <f t="shared" si="15"/>
        <v>0</v>
      </c>
      <c r="S33" s="163">
        <f>SUMIF($F$2:F33,F33,$R$2:R33)</f>
        <v>0</v>
      </c>
      <c r="T33" s="154">
        <f t="shared" si="16"/>
        <v>31.475104882463295</v>
      </c>
      <c r="U33" s="155">
        <f t="shared" si="17"/>
        <v>0</v>
      </c>
      <c r="V33" s="163">
        <f>SUMIF($F$2:F33,F33,$U$2:U33)</f>
        <v>0</v>
      </c>
      <c r="W33" s="156">
        <f t="shared" si="18"/>
        <v>0.1635056793422148</v>
      </c>
      <c r="X33" s="156" t="str">
        <f t="shared" si="8"/>
        <v/>
      </c>
      <c r="Y33" s="156" t="str">
        <f t="shared" si="9"/>
        <v/>
      </c>
      <c r="Z33" s="154" t="str">
        <f>IFERROR(AVERAGEIF('Daily KPI'!$D:$D,Table14[[#This Row],[Month]],'Daily KPI'!$AB:$AB),"")</f>
        <v/>
      </c>
      <c r="AA33" s="164">
        <f>IFERROR(AVERAGEIF($F$2:F33,F33,$N$2:N33),"")</f>
        <v>8.0208999999999993</v>
      </c>
      <c r="AB33" s="155"/>
      <c r="AC33" s="154"/>
      <c r="AD33" s="165"/>
      <c r="AE33" s="156">
        <v>0.98040000000000005</v>
      </c>
      <c r="AF33" s="156">
        <v>0.98</v>
      </c>
      <c r="AG33" s="156"/>
      <c r="AH33" s="156"/>
      <c r="AI33" s="156"/>
      <c r="AJ33" s="156"/>
      <c r="AK33" s="156"/>
      <c r="AL33" s="156"/>
      <c r="AM33" s="183"/>
      <c r="AN33" s="183"/>
    </row>
    <row r="34" spans="1:40" x14ac:dyDescent="0.3">
      <c r="A34" s="148">
        <f t="shared" si="10"/>
        <v>33</v>
      </c>
      <c r="B34" s="149" t="str">
        <f t="shared" si="25"/>
        <v>December</v>
      </c>
      <c r="C34" s="149">
        <f t="shared" si="25"/>
        <v>12</v>
      </c>
      <c r="D34" s="150">
        <v>44166</v>
      </c>
      <c r="E34" s="151">
        <f t="shared" si="24"/>
        <v>2020</v>
      </c>
      <c r="F34" s="151" t="s">
        <v>1177</v>
      </c>
      <c r="G34" s="152">
        <f t="shared" si="23"/>
        <v>31</v>
      </c>
      <c r="H34" s="157">
        <f t="shared" si="26"/>
        <v>134.69999999999999</v>
      </c>
      <c r="I34" s="157">
        <f t="shared" si="26"/>
        <v>163.69999999999999</v>
      </c>
      <c r="J34" s="154"/>
      <c r="K34" s="153"/>
      <c r="L34" s="152"/>
      <c r="M34" s="161">
        <f t="shared" si="21"/>
        <v>981.38669717792857</v>
      </c>
      <c r="N34" s="155">
        <v>8.0208999999999993</v>
      </c>
      <c r="O34" s="156">
        <f t="shared" si="13"/>
        <v>0.74742631726929265</v>
      </c>
      <c r="P34" s="154">
        <f t="shared" si="14"/>
        <v>5.2806451612903222</v>
      </c>
      <c r="Q34" s="152">
        <f>COUNTIFS('Daily KPI'!$D:$D,D34,'Daily KPI'!$O:$O,"&gt;0")</f>
        <v>0</v>
      </c>
      <c r="R34" s="155">
        <f t="shared" si="15"/>
        <v>0</v>
      </c>
      <c r="S34" s="163">
        <f>SUMIF($F$2:F97,F34,$R$2:R97)</f>
        <v>0</v>
      </c>
      <c r="T34" s="154">
        <f t="shared" si="16"/>
        <v>31.657635392836404</v>
      </c>
      <c r="U34" s="155">
        <f t="shared" si="17"/>
        <v>0</v>
      </c>
      <c r="V34" s="163">
        <f>SUMIF($F$2:F97,F34,$U$2:U97)</f>
        <v>0</v>
      </c>
      <c r="W34" s="156">
        <f t="shared" si="18"/>
        <v>0.16445388190454732</v>
      </c>
      <c r="X34" s="156" t="str">
        <f t="shared" ref="X34:X65" si="27">IFERROR(U34/(24*N34*Q34),"")</f>
        <v/>
      </c>
      <c r="Y34" s="156" t="str">
        <f t="shared" si="9"/>
        <v/>
      </c>
      <c r="Z34" s="154" t="str">
        <f>IFERROR(AVERAGEIF('Daily KPI'!$D:$D,Table14[[#This Row],[Month]],'Daily KPI'!$AB:$AB),"")</f>
        <v/>
      </c>
      <c r="AA34" s="164">
        <f>IFERROR(AVERAGEIF($F$2:F97,F34,$N$2:N97),"")</f>
        <v>8.0208999999999993</v>
      </c>
      <c r="AB34" s="155"/>
      <c r="AC34" s="154"/>
      <c r="AD34" s="165"/>
      <c r="AE34" s="156">
        <v>0.98040000000000005</v>
      </c>
      <c r="AF34" s="156">
        <v>0.98</v>
      </c>
      <c r="AG34" s="156"/>
      <c r="AH34" s="156"/>
      <c r="AI34" s="156"/>
      <c r="AJ34" s="156"/>
      <c r="AK34" s="156"/>
      <c r="AL34" s="156"/>
      <c r="AM34" s="183"/>
      <c r="AN34" s="183"/>
    </row>
    <row r="35" spans="1:40" x14ac:dyDescent="0.3">
      <c r="A35" s="148">
        <f t="shared" si="10"/>
        <v>34</v>
      </c>
      <c r="B35" s="149" t="str">
        <f t="shared" si="25"/>
        <v>January</v>
      </c>
      <c r="C35" s="149">
        <f t="shared" si="25"/>
        <v>1</v>
      </c>
      <c r="D35" s="150">
        <v>44197</v>
      </c>
      <c r="E35" s="151">
        <f t="shared" si="24"/>
        <v>2021</v>
      </c>
      <c r="F35" s="151" t="s">
        <v>1177</v>
      </c>
      <c r="G35" s="152">
        <f t="shared" si="23"/>
        <v>31</v>
      </c>
      <c r="H35" s="157">
        <f t="shared" si="26"/>
        <v>151.6</v>
      </c>
      <c r="I35" s="157">
        <f t="shared" si="26"/>
        <v>183.9</v>
      </c>
      <c r="J35" s="154"/>
      <c r="K35" s="153"/>
      <c r="L35" s="152"/>
      <c r="M35" s="161">
        <f t="shared" si="21"/>
        <v>1087.4825563322993</v>
      </c>
      <c r="N35" s="155">
        <v>8.0208999999999993</v>
      </c>
      <c r="O35" s="156">
        <f t="shared" si="13"/>
        <v>0.73725456161784642</v>
      </c>
      <c r="P35" s="154">
        <f t="shared" si="14"/>
        <v>5.9322580645161294</v>
      </c>
      <c r="Q35" s="152">
        <f>COUNTIFS('Daily KPI'!$D:$D,D35,'Daily KPI'!$O:$O,"&gt;0")</f>
        <v>0</v>
      </c>
      <c r="R35" s="155">
        <f t="shared" si="15"/>
        <v>0</v>
      </c>
      <c r="S35" s="163">
        <f>SUMIF($F$2:F35,F35,$R$2:R35)</f>
        <v>0</v>
      </c>
      <c r="T35" s="154">
        <f t="shared" si="16"/>
        <v>35.080082462332236</v>
      </c>
      <c r="U35" s="155">
        <f t="shared" si="17"/>
        <v>0</v>
      </c>
      <c r="V35" s="163">
        <f>SUMIF($F$2:F35,F35,$U$2:U35)</f>
        <v>0</v>
      </c>
      <c r="W35" s="156">
        <f t="shared" si="18"/>
        <v>0.18223267994828218</v>
      </c>
      <c r="X35" s="156" t="str">
        <f t="shared" si="27"/>
        <v/>
      </c>
      <c r="Y35" s="156" t="str">
        <f t="shared" si="9"/>
        <v/>
      </c>
      <c r="Z35" s="154" t="str">
        <f>IFERROR(AVERAGEIF('Daily KPI'!$D:$D,Table14[[#This Row],[Month]],'Daily KPI'!$AB:$AB),"")</f>
        <v/>
      </c>
      <c r="AA35" s="164">
        <f>IFERROR(AVERAGEIF($F$2:F35,F35,$N$2:N35),"")</f>
        <v>8.0208999999999993</v>
      </c>
      <c r="AB35" s="155"/>
      <c r="AC35" s="154"/>
      <c r="AD35" s="165"/>
      <c r="AE35" s="156">
        <v>0.98040000000000005</v>
      </c>
      <c r="AF35" s="156">
        <v>0.98</v>
      </c>
      <c r="AG35" s="156"/>
      <c r="AH35" s="156"/>
      <c r="AI35" s="156"/>
      <c r="AJ35" s="156"/>
      <c r="AK35" s="156"/>
      <c r="AL35" s="156"/>
      <c r="AM35" s="183"/>
      <c r="AN35" s="183"/>
    </row>
    <row r="36" spans="1:40" x14ac:dyDescent="0.3">
      <c r="A36" s="148">
        <f t="shared" si="10"/>
        <v>35</v>
      </c>
      <c r="B36" s="149" t="str">
        <f t="shared" si="25"/>
        <v>February</v>
      </c>
      <c r="C36" s="149">
        <f t="shared" si="25"/>
        <v>2</v>
      </c>
      <c r="D36" s="150">
        <v>44228</v>
      </c>
      <c r="E36" s="151">
        <f t="shared" si="24"/>
        <v>2021</v>
      </c>
      <c r="F36" s="151" t="s">
        <v>1177</v>
      </c>
      <c r="G36" s="152">
        <f t="shared" si="23"/>
        <v>28</v>
      </c>
      <c r="H36" s="157">
        <f t="shared" si="26"/>
        <v>159.9</v>
      </c>
      <c r="I36" s="157">
        <f t="shared" si="26"/>
        <v>184</v>
      </c>
      <c r="J36" s="154"/>
      <c r="K36" s="153"/>
      <c r="L36" s="152"/>
      <c r="M36" s="161">
        <f t="shared" si="21"/>
        <v>1038.6058690088</v>
      </c>
      <c r="N36" s="155">
        <v>8.0208999999999993</v>
      </c>
      <c r="O36" s="156">
        <f t="shared" si="13"/>
        <v>0.70373612863622048</v>
      </c>
      <c r="P36" s="154">
        <f t="shared" si="14"/>
        <v>6.5714285714285712</v>
      </c>
      <c r="Q36" s="152">
        <f>COUNTIFS('Daily KPI'!$D:$D,D36,'Daily KPI'!$O:$O,"&gt;0")</f>
        <v>0</v>
      </c>
      <c r="R36" s="155">
        <f t="shared" si="15"/>
        <v>0</v>
      </c>
      <c r="S36" s="163">
        <f>SUMIF($F$2:F36,F36,$R$2:R36)</f>
        <v>0</v>
      </c>
      <c r="T36" s="154">
        <f t="shared" si="16"/>
        <v>37.093066750314286</v>
      </c>
      <c r="U36" s="155">
        <f t="shared" si="17"/>
        <v>0</v>
      </c>
      <c r="V36" s="163">
        <f>SUMIF($F$2:F36,F36,$U$2:U36)</f>
        <v>0</v>
      </c>
      <c r="W36" s="156">
        <f t="shared" si="18"/>
        <v>0.19268965426944132</v>
      </c>
      <c r="X36" s="156" t="str">
        <f t="shared" si="27"/>
        <v/>
      </c>
      <c r="Y36" s="156" t="str">
        <f t="shared" si="9"/>
        <v/>
      </c>
      <c r="Z36" s="154" t="str">
        <f>IFERROR(AVERAGEIF('Daily KPI'!$D:$D,Table14[[#This Row],[Month]],'Daily KPI'!$AB:$AB),"")</f>
        <v/>
      </c>
      <c r="AA36" s="164">
        <f>IFERROR(AVERAGEIF($F$2:F36,F36,$N$2:N36),"")</f>
        <v>8.0208999999999993</v>
      </c>
      <c r="AB36" s="155"/>
      <c r="AC36" s="154"/>
      <c r="AD36" s="165"/>
      <c r="AE36" s="156">
        <v>0.98040000000000005</v>
      </c>
      <c r="AF36" s="156">
        <v>0.98</v>
      </c>
      <c r="AG36" s="156"/>
      <c r="AH36" s="156"/>
      <c r="AI36" s="156"/>
      <c r="AJ36" s="156"/>
      <c r="AK36" s="156"/>
      <c r="AL36" s="156"/>
      <c r="AM36" s="183"/>
      <c r="AN36" s="183"/>
    </row>
    <row r="37" spans="1:40" x14ac:dyDescent="0.3">
      <c r="A37" s="148">
        <f t="shared" si="10"/>
        <v>36</v>
      </c>
      <c r="B37" s="149" t="str">
        <f t="shared" si="25"/>
        <v>March</v>
      </c>
      <c r="C37" s="149">
        <f t="shared" si="25"/>
        <v>3</v>
      </c>
      <c r="D37" s="150">
        <v>44256</v>
      </c>
      <c r="E37" s="151">
        <f t="shared" si="24"/>
        <v>2021</v>
      </c>
      <c r="F37" s="151" t="s">
        <v>1177</v>
      </c>
      <c r="G37" s="152">
        <f t="shared" si="23"/>
        <v>31</v>
      </c>
      <c r="H37" s="157">
        <f t="shared" si="26"/>
        <v>197.2</v>
      </c>
      <c r="I37" s="157">
        <f t="shared" si="26"/>
        <v>210.4</v>
      </c>
      <c r="J37" s="154"/>
      <c r="K37" s="153"/>
      <c r="L37" s="152"/>
      <c r="M37" s="161">
        <f t="shared" si="21"/>
        <v>1204.1880014021069</v>
      </c>
      <c r="N37" s="155">
        <v>8.0208999999999993</v>
      </c>
      <c r="O37" s="156">
        <f t="shared" si="13"/>
        <v>0.71355172148533519</v>
      </c>
      <c r="P37" s="154">
        <f t="shared" si="14"/>
        <v>6.7870967741935484</v>
      </c>
      <c r="Q37" s="152">
        <f>COUNTIFS('Daily KPI'!$D:$D,D37,'Daily KPI'!$O:$O,"&gt;0")</f>
        <v>0</v>
      </c>
      <c r="R37" s="155">
        <f t="shared" si="15"/>
        <v>0</v>
      </c>
      <c r="S37" s="163">
        <f>SUMIF($F$2:F37,F37,$R$2:R37)</f>
        <v>0</v>
      </c>
      <c r="T37" s="154">
        <f t="shared" si="16"/>
        <v>38.844774238777646</v>
      </c>
      <c r="U37" s="155">
        <f t="shared" si="17"/>
        <v>0</v>
      </c>
      <c r="V37" s="163">
        <f>SUMIF($F$2:F37,F37,$U$2:U37)</f>
        <v>0</v>
      </c>
      <c r="W37" s="156">
        <f t="shared" si="18"/>
        <v>0.20178935779639051</v>
      </c>
      <c r="X37" s="156" t="str">
        <f t="shared" si="27"/>
        <v/>
      </c>
      <c r="Y37" s="156" t="str">
        <f t="shared" si="9"/>
        <v/>
      </c>
      <c r="Z37" s="154" t="str">
        <f>IFERROR(AVERAGEIF('Daily KPI'!$D:$D,Table14[[#This Row],[Month]],'Daily KPI'!$AB:$AB),"")</f>
        <v/>
      </c>
      <c r="AA37" s="164">
        <f>IFERROR(AVERAGEIF($F$2:F37,F37,$N$2:N37),"")</f>
        <v>8.0208999999999993</v>
      </c>
      <c r="AB37" s="155"/>
      <c r="AC37" s="154"/>
      <c r="AD37" s="165"/>
      <c r="AE37" s="156">
        <v>0.98040000000000005</v>
      </c>
      <c r="AF37" s="156">
        <v>0.98</v>
      </c>
      <c r="AG37" s="156"/>
      <c r="AH37" s="156"/>
      <c r="AI37" s="156"/>
      <c r="AJ37" s="156"/>
      <c r="AK37" s="156"/>
      <c r="AL37" s="156"/>
      <c r="AM37" s="183"/>
      <c r="AN37" s="183"/>
    </row>
    <row r="38" spans="1:40" x14ac:dyDescent="0.3">
      <c r="A38" s="148">
        <f t="shared" si="10"/>
        <v>37</v>
      </c>
      <c r="B38" s="149" t="str">
        <f t="shared" si="25"/>
        <v>April</v>
      </c>
      <c r="C38" s="149">
        <f t="shared" si="25"/>
        <v>4</v>
      </c>
      <c r="D38" s="150">
        <v>44287</v>
      </c>
      <c r="E38" s="151">
        <f t="shared" si="24"/>
        <v>2021</v>
      </c>
      <c r="F38" s="151" t="s">
        <v>1178</v>
      </c>
      <c r="G38" s="152">
        <f t="shared" si="23"/>
        <v>30</v>
      </c>
      <c r="H38" s="157">
        <f t="shared" si="26"/>
        <v>193.6</v>
      </c>
      <c r="I38" s="157">
        <f t="shared" si="26"/>
        <v>191.7</v>
      </c>
      <c r="J38" s="154"/>
      <c r="K38" s="153"/>
      <c r="L38" s="152"/>
      <c r="M38" s="161">
        <f t="shared" si="21"/>
        <v>1055.6537985859879</v>
      </c>
      <c r="N38" s="155">
        <v>8.0208999999999993</v>
      </c>
      <c r="O38" s="156">
        <f t="shared" si="13"/>
        <v>0.68655652664663702</v>
      </c>
      <c r="P38" s="154">
        <f t="shared" si="14"/>
        <v>6.39</v>
      </c>
      <c r="Q38" s="152">
        <f>COUNTIFS('Daily KPI'!$D:$D,D38,'Daily KPI'!$O:$O,"&gt;0")</f>
        <v>0</v>
      </c>
      <c r="R38" s="155">
        <f t="shared" si="15"/>
        <v>0</v>
      </c>
      <c r="S38" s="163">
        <f>SUMIF($F$2:F38,F38,$R$2:R38)</f>
        <v>0</v>
      </c>
      <c r="T38" s="154">
        <f t="shared" si="16"/>
        <v>35.188459952866268</v>
      </c>
      <c r="U38" s="155">
        <f t="shared" si="17"/>
        <v>0</v>
      </c>
      <c r="V38" s="163">
        <f>SUMIF($F$2:F38,F38,$U$2:U38)</f>
        <v>0</v>
      </c>
      <c r="W38" s="156">
        <f t="shared" si="18"/>
        <v>0.18279567521966711</v>
      </c>
      <c r="X38" s="156" t="str">
        <f t="shared" si="27"/>
        <v/>
      </c>
      <c r="Y38" s="156" t="str">
        <f t="shared" si="9"/>
        <v/>
      </c>
      <c r="Z38" s="154" t="str">
        <f>IFERROR(AVERAGEIF('Daily KPI'!$D:$D,Table14[[#This Row],[Month]],'Daily KPI'!$AB:$AB),"")</f>
        <v/>
      </c>
      <c r="AA38" s="164">
        <f>IFERROR(AVERAGEIF($F$2:F38,F38,$N$2:N38),"")</f>
        <v>8.0208999999999993</v>
      </c>
      <c r="AB38" s="155"/>
      <c r="AC38" s="154"/>
      <c r="AD38" s="165"/>
      <c r="AE38" s="156">
        <v>0.98040000000000005</v>
      </c>
      <c r="AF38" s="156">
        <v>0.98</v>
      </c>
      <c r="AG38" s="156"/>
      <c r="AH38" s="156"/>
      <c r="AI38" s="156"/>
      <c r="AJ38" s="156"/>
      <c r="AK38" s="156"/>
      <c r="AL38" s="156"/>
      <c r="AM38" s="183"/>
      <c r="AN38" s="183"/>
    </row>
    <row r="39" spans="1:40" x14ac:dyDescent="0.3">
      <c r="A39" s="148">
        <f t="shared" si="10"/>
        <v>38</v>
      </c>
      <c r="B39" s="149" t="str">
        <f t="shared" si="25"/>
        <v>May</v>
      </c>
      <c r="C39" s="149">
        <f t="shared" si="25"/>
        <v>5</v>
      </c>
      <c r="D39" s="150">
        <v>44317</v>
      </c>
      <c r="E39" s="151">
        <f t="shared" si="24"/>
        <v>2021</v>
      </c>
      <c r="F39" s="151" t="s">
        <v>1178</v>
      </c>
      <c r="G39" s="152">
        <f t="shared" si="23"/>
        <v>31</v>
      </c>
      <c r="H39" s="157">
        <f t="shared" si="26"/>
        <v>198.6</v>
      </c>
      <c r="I39" s="157">
        <f t="shared" si="26"/>
        <v>186.4</v>
      </c>
      <c r="J39" s="154"/>
      <c r="K39" s="153"/>
      <c r="L39" s="152"/>
      <c r="M39" s="161">
        <f t="shared" si="21"/>
        <v>1060.9585915437065</v>
      </c>
      <c r="N39" s="155">
        <v>8.0208999999999993</v>
      </c>
      <c r="O39" s="156">
        <f t="shared" si="13"/>
        <v>0.70962584466409462</v>
      </c>
      <c r="P39" s="154">
        <f t="shared" si="14"/>
        <v>6.0129032258064514</v>
      </c>
      <c r="Q39" s="152">
        <f>COUNTIFS('Daily KPI'!$D:$D,D39,'Daily KPI'!$O:$O,"&gt;0")</f>
        <v>0</v>
      </c>
      <c r="R39" s="155">
        <f t="shared" si="15"/>
        <v>0</v>
      </c>
      <c r="S39" s="163">
        <f>SUMIF($F$2:F39,F39,$R$2:R39)</f>
        <v>0</v>
      </c>
      <c r="T39" s="154">
        <f t="shared" si="16"/>
        <v>34.224470694958271</v>
      </c>
      <c r="U39" s="155">
        <f t="shared" si="17"/>
        <v>0</v>
      </c>
      <c r="V39" s="163">
        <f>SUMIF($F$2:F39,F39,$U$2:U39)</f>
        <v>0</v>
      </c>
      <c r="W39" s="156">
        <f t="shared" si="18"/>
        <v>0.17778798043734842</v>
      </c>
      <c r="X39" s="156" t="str">
        <f t="shared" si="27"/>
        <v/>
      </c>
      <c r="Y39" s="156" t="str">
        <f t="shared" si="9"/>
        <v/>
      </c>
      <c r="Z39" s="154" t="str">
        <f>IFERROR(AVERAGEIF('Daily KPI'!$D:$D,Table14[[#This Row],[Month]],'Daily KPI'!$AB:$AB),"")</f>
        <v/>
      </c>
      <c r="AA39" s="164">
        <f>IFERROR(AVERAGEIF($F$2:F39,F39,$N$2:N39),"")</f>
        <v>8.0208999999999993</v>
      </c>
      <c r="AB39" s="155"/>
      <c r="AC39" s="154"/>
      <c r="AD39" s="165"/>
      <c r="AE39" s="156">
        <v>0.98040000000000005</v>
      </c>
      <c r="AF39" s="156">
        <v>0.98</v>
      </c>
      <c r="AG39" s="156"/>
      <c r="AH39" s="156"/>
      <c r="AI39" s="156"/>
      <c r="AJ39" s="156"/>
      <c r="AK39" s="156"/>
      <c r="AL39" s="156"/>
      <c r="AM39" s="183"/>
      <c r="AN39" s="183"/>
    </row>
    <row r="40" spans="1:40" x14ac:dyDescent="0.3">
      <c r="A40" s="148">
        <f t="shared" si="10"/>
        <v>39</v>
      </c>
      <c r="B40" s="149" t="str">
        <f t="shared" si="25"/>
        <v>June</v>
      </c>
      <c r="C40" s="149">
        <f t="shared" si="25"/>
        <v>6</v>
      </c>
      <c r="D40" s="150">
        <v>44348</v>
      </c>
      <c r="E40" s="151">
        <f t="shared" si="24"/>
        <v>2021</v>
      </c>
      <c r="F40" s="151" t="s">
        <v>1178</v>
      </c>
      <c r="G40" s="152">
        <f t="shared" si="23"/>
        <v>30</v>
      </c>
      <c r="H40" s="157">
        <f t="shared" si="26"/>
        <v>154.80000000000001</v>
      </c>
      <c r="I40" s="157">
        <f t="shared" si="26"/>
        <v>142.80000000000001</v>
      </c>
      <c r="J40" s="154"/>
      <c r="K40" s="153"/>
      <c r="L40" s="152"/>
      <c r="M40" s="161">
        <f t="shared" si="21"/>
        <v>790.41415070006133</v>
      </c>
      <c r="N40" s="155">
        <v>8.0208999999999993</v>
      </c>
      <c r="O40" s="156">
        <f t="shared" si="13"/>
        <v>0.6900862870925315</v>
      </c>
      <c r="P40" s="154">
        <f t="shared" si="14"/>
        <v>4.7600000000000007</v>
      </c>
      <c r="Q40" s="152">
        <f>COUNTIFS('Daily KPI'!$D:$D,D40,'Daily KPI'!$O:$O,"&gt;0")</f>
        <v>0</v>
      </c>
      <c r="R40" s="155">
        <f t="shared" si="15"/>
        <v>0</v>
      </c>
      <c r="S40" s="163">
        <f>SUMIF($F$2:F40,F40,$R$2:R40)</f>
        <v>0</v>
      </c>
      <c r="T40" s="154">
        <f t="shared" si="16"/>
        <v>26.347138356668712</v>
      </c>
      <c r="U40" s="155">
        <f t="shared" si="17"/>
        <v>0</v>
      </c>
      <c r="V40" s="163">
        <f>SUMIF($F$2:F40,F40,$U$2:U40)</f>
        <v>0</v>
      </c>
      <c r="W40" s="156">
        <f t="shared" si="18"/>
        <v>0.13686711360668541</v>
      </c>
      <c r="X40" s="156" t="str">
        <f t="shared" si="27"/>
        <v/>
      </c>
      <c r="Y40" s="156" t="str">
        <f t="shared" si="9"/>
        <v/>
      </c>
      <c r="Z40" s="154" t="str">
        <f>IFERROR(AVERAGEIF('Daily KPI'!$D:$D,Table14[[#This Row],[Month]],'Daily KPI'!$AB:$AB),"")</f>
        <v/>
      </c>
      <c r="AA40" s="164">
        <f>IFERROR(AVERAGEIF($F$2:F40,F40,$N$2:N40),"")</f>
        <v>8.0208999999999993</v>
      </c>
      <c r="AB40" s="155"/>
      <c r="AC40" s="154"/>
      <c r="AD40" s="165"/>
      <c r="AE40" s="156">
        <v>0.98040000000000005</v>
      </c>
      <c r="AF40" s="156">
        <v>0.98</v>
      </c>
      <c r="AG40" s="156"/>
      <c r="AH40" s="156"/>
      <c r="AI40" s="156"/>
      <c r="AJ40" s="156"/>
      <c r="AK40" s="156"/>
      <c r="AL40" s="156"/>
      <c r="AM40" s="183"/>
      <c r="AN40" s="183"/>
    </row>
    <row r="41" spans="1:40" x14ac:dyDescent="0.3">
      <c r="A41" s="148">
        <f t="shared" si="10"/>
        <v>40</v>
      </c>
      <c r="B41" s="149" t="str">
        <f t="shared" si="25"/>
        <v>July</v>
      </c>
      <c r="C41" s="149">
        <f t="shared" si="25"/>
        <v>7</v>
      </c>
      <c r="D41" s="150">
        <v>44378</v>
      </c>
      <c r="E41" s="151">
        <f t="shared" si="24"/>
        <v>2021</v>
      </c>
      <c r="F41" s="151" t="s">
        <v>1178</v>
      </c>
      <c r="G41" s="152">
        <f t="shared" si="23"/>
        <v>31</v>
      </c>
      <c r="H41" s="157">
        <f t="shared" si="26"/>
        <v>134.4</v>
      </c>
      <c r="I41" s="157">
        <f t="shared" si="26"/>
        <v>125.4</v>
      </c>
      <c r="J41" s="154"/>
      <c r="K41" s="153"/>
      <c r="L41" s="152"/>
      <c r="M41" s="161">
        <f t="shared" si="21"/>
        <v>721.45184224972047</v>
      </c>
      <c r="N41" s="155">
        <v>8.0208999999999993</v>
      </c>
      <c r="O41" s="156">
        <f t="shared" si="13"/>
        <v>0.71727667514245075</v>
      </c>
      <c r="P41" s="154">
        <f t="shared" si="14"/>
        <v>4.0451612903225804</v>
      </c>
      <c r="Q41" s="152">
        <f>COUNTIFS('Daily KPI'!$D:$D,D41,'Daily KPI'!$O:$O,"&gt;0")</f>
        <v>0</v>
      </c>
      <c r="R41" s="155">
        <f t="shared" si="15"/>
        <v>0</v>
      </c>
      <c r="S41" s="163">
        <f>SUMIF($F$2:F41,F41,$R$2:R41)</f>
        <v>0</v>
      </c>
      <c r="T41" s="154">
        <f t="shared" si="16"/>
        <v>23.27264007257163</v>
      </c>
      <c r="U41" s="155">
        <f t="shared" si="17"/>
        <v>0</v>
      </c>
      <c r="V41" s="163">
        <f>SUMIF($F$2:F41,F41,$U$2:U41)</f>
        <v>0</v>
      </c>
      <c r="W41" s="156">
        <f t="shared" si="18"/>
        <v>0.12089582669739696</v>
      </c>
      <c r="X41" s="156" t="str">
        <f t="shared" si="27"/>
        <v/>
      </c>
      <c r="Y41" s="156" t="str">
        <f t="shared" si="9"/>
        <v/>
      </c>
      <c r="Z41" s="154" t="str">
        <f>IFERROR(AVERAGEIF('Daily KPI'!$D:$D,Table14[[#This Row],[Month]],'Daily KPI'!$AB:$AB),"")</f>
        <v/>
      </c>
      <c r="AA41" s="164">
        <f>IFERROR(AVERAGEIF($F$2:F41,F41,$N$2:N41),"")</f>
        <v>8.0208999999999993</v>
      </c>
      <c r="AB41" s="155"/>
      <c r="AC41" s="154"/>
      <c r="AD41" s="165"/>
      <c r="AE41" s="156">
        <v>0.98040000000000005</v>
      </c>
      <c r="AF41" s="156">
        <v>0.98</v>
      </c>
      <c r="AG41" s="156"/>
      <c r="AH41" s="156"/>
      <c r="AI41" s="156"/>
      <c r="AJ41" s="156"/>
      <c r="AK41" s="156"/>
      <c r="AL41" s="156"/>
      <c r="AM41" s="183"/>
      <c r="AN41" s="183"/>
    </row>
    <row r="42" spans="1:40" x14ac:dyDescent="0.3">
      <c r="A42" s="148">
        <f t="shared" si="10"/>
        <v>41</v>
      </c>
      <c r="B42" s="149" t="str">
        <f t="shared" si="25"/>
        <v>August</v>
      </c>
      <c r="C42" s="149">
        <f t="shared" si="25"/>
        <v>8</v>
      </c>
      <c r="D42" s="150">
        <v>44409</v>
      </c>
      <c r="E42" s="151">
        <f t="shared" si="24"/>
        <v>2021</v>
      </c>
      <c r="F42" s="151" t="s">
        <v>1178</v>
      </c>
      <c r="G42" s="152">
        <f t="shared" si="23"/>
        <v>31</v>
      </c>
      <c r="H42" s="157">
        <f t="shared" si="26"/>
        <v>134.6</v>
      </c>
      <c r="I42" s="157">
        <f t="shared" si="26"/>
        <v>130.69999999999999</v>
      </c>
      <c r="J42" s="154"/>
      <c r="K42" s="153"/>
      <c r="L42" s="152"/>
      <c r="M42" s="161">
        <f t="shared" si="21"/>
        <v>763.89018591146873</v>
      </c>
      <c r="N42" s="155">
        <v>8.0208999999999993</v>
      </c>
      <c r="O42" s="156">
        <f t="shared" si="13"/>
        <v>0.72867226748797886</v>
      </c>
      <c r="P42" s="154">
        <f t="shared" si="14"/>
        <v>4.2161290322580642</v>
      </c>
      <c r="Q42" s="152">
        <f>COUNTIFS('Daily KPI'!$D:$D,D42,'Daily KPI'!$O:$O,"&gt;0")</f>
        <v>0</v>
      </c>
      <c r="R42" s="155">
        <f t="shared" si="15"/>
        <v>0</v>
      </c>
      <c r="S42" s="163">
        <f>SUMIF($F$2:F42,F42,$R$2:R42)</f>
        <v>0</v>
      </c>
      <c r="T42" s="154">
        <f t="shared" si="16"/>
        <v>24.641618900369959</v>
      </c>
      <c r="U42" s="155">
        <f t="shared" si="17"/>
        <v>0</v>
      </c>
      <c r="V42" s="163">
        <f>SUMIF($F$2:F42,F42,$U$2:U42)</f>
        <v>0</v>
      </c>
      <c r="W42" s="156">
        <f t="shared" si="18"/>
        <v>0.12800734591489088</v>
      </c>
      <c r="X42" s="156" t="str">
        <f t="shared" si="27"/>
        <v/>
      </c>
      <c r="Y42" s="156" t="str">
        <f t="shared" si="9"/>
        <v/>
      </c>
      <c r="Z42" s="154" t="str">
        <f>IFERROR(AVERAGEIF('Daily KPI'!$D:$D,Table14[[#This Row],[Month]],'Daily KPI'!$AB:$AB),"")</f>
        <v/>
      </c>
      <c r="AA42" s="164">
        <f>IFERROR(AVERAGEIF($F$2:F42,F42,$N$2:N42),"")</f>
        <v>8.0208999999999993</v>
      </c>
      <c r="AB42" s="155"/>
      <c r="AC42" s="154"/>
      <c r="AD42" s="165"/>
      <c r="AE42" s="156">
        <v>0.98040000000000005</v>
      </c>
      <c r="AF42" s="156">
        <v>0.98</v>
      </c>
      <c r="AG42" s="156"/>
      <c r="AH42" s="156"/>
      <c r="AI42" s="156"/>
      <c r="AJ42" s="156"/>
      <c r="AK42" s="156"/>
      <c r="AL42" s="156"/>
      <c r="AM42" s="183"/>
      <c r="AN42" s="183"/>
    </row>
    <row r="43" spans="1:40" x14ac:dyDescent="0.3">
      <c r="A43" s="148">
        <f t="shared" si="10"/>
        <v>42</v>
      </c>
      <c r="B43" s="149" t="str">
        <f t="shared" si="25"/>
        <v>September</v>
      </c>
      <c r="C43" s="149">
        <f t="shared" si="25"/>
        <v>9</v>
      </c>
      <c r="D43" s="150">
        <v>44440</v>
      </c>
      <c r="E43" s="151">
        <f t="shared" si="24"/>
        <v>2021</v>
      </c>
      <c r="F43" s="151" t="s">
        <v>1178</v>
      </c>
      <c r="G43" s="152">
        <f t="shared" si="23"/>
        <v>30</v>
      </c>
      <c r="H43" s="157">
        <f t="shared" si="26"/>
        <v>142.5</v>
      </c>
      <c r="I43" s="157">
        <f t="shared" si="26"/>
        <v>145.4</v>
      </c>
      <c r="J43" s="154"/>
      <c r="K43" s="153"/>
      <c r="L43" s="152"/>
      <c r="M43" s="161">
        <f t="shared" si="21"/>
        <v>827.54770140409107</v>
      </c>
      <c r="N43" s="155">
        <v>8.0208999999999993</v>
      </c>
      <c r="O43" s="156">
        <f t="shared" si="13"/>
        <v>0.70958680060111445</v>
      </c>
      <c r="P43" s="154">
        <f t="shared" si="14"/>
        <v>4.8466666666666667</v>
      </c>
      <c r="Q43" s="152">
        <f>COUNTIFS('Daily KPI'!$D:$D,D43,'Daily KPI'!$O:$O,"&gt;0")</f>
        <v>0</v>
      </c>
      <c r="R43" s="155">
        <f t="shared" si="15"/>
        <v>0</v>
      </c>
      <c r="S43" s="163">
        <f>SUMIF($F$2:F97,F43,$R$2:R97)</f>
        <v>0</v>
      </c>
      <c r="T43" s="154">
        <f t="shared" si="16"/>
        <v>27.58492338013637</v>
      </c>
      <c r="U43" s="155">
        <f t="shared" si="17"/>
        <v>0</v>
      </c>
      <c r="V43" s="163">
        <f>SUMIF($F$2:F97,F43,$U$2:U97)</f>
        <v>0</v>
      </c>
      <c r="W43" s="156">
        <f t="shared" si="18"/>
        <v>0.14329711223250285</v>
      </c>
      <c r="X43" s="156" t="str">
        <f t="shared" si="27"/>
        <v/>
      </c>
      <c r="Y43" s="156" t="str">
        <f t="shared" si="9"/>
        <v/>
      </c>
      <c r="Z43" s="154" t="str">
        <f>IFERROR(AVERAGEIF('Daily KPI'!$D:$D,Table14[[#This Row],[Month]],'Daily KPI'!$AB:$AB),"")</f>
        <v/>
      </c>
      <c r="AA43" s="164">
        <f>IFERROR(AVERAGEIF($F$2:F97,F43,$N$2:N97),"")</f>
        <v>8.0208999999999993</v>
      </c>
      <c r="AB43" s="155"/>
      <c r="AC43" s="154"/>
      <c r="AD43" s="165"/>
      <c r="AE43" s="156">
        <v>0.98040000000000005</v>
      </c>
      <c r="AF43" s="156">
        <v>0.98</v>
      </c>
      <c r="AG43" s="156"/>
      <c r="AH43" s="156"/>
      <c r="AI43" s="156"/>
      <c r="AJ43" s="156"/>
      <c r="AK43" s="156"/>
      <c r="AL43" s="156"/>
      <c r="AM43" s="183"/>
      <c r="AN43" s="183"/>
    </row>
    <row r="44" spans="1:40" x14ac:dyDescent="0.3">
      <c r="A44" s="148">
        <f t="shared" si="10"/>
        <v>43</v>
      </c>
      <c r="B44" s="149" t="str">
        <f t="shared" si="25"/>
        <v>October</v>
      </c>
      <c r="C44" s="149">
        <f t="shared" si="25"/>
        <v>10</v>
      </c>
      <c r="D44" s="150">
        <v>44470</v>
      </c>
      <c r="E44" s="151">
        <f t="shared" si="24"/>
        <v>2021</v>
      </c>
      <c r="F44" s="151" t="s">
        <v>1178</v>
      </c>
      <c r="G44" s="152">
        <f t="shared" si="23"/>
        <v>31</v>
      </c>
      <c r="H44" s="157">
        <f t="shared" si="26"/>
        <v>145.69999999999999</v>
      </c>
      <c r="I44" s="157">
        <f t="shared" si="26"/>
        <v>158.80000000000001</v>
      </c>
      <c r="J44" s="154"/>
      <c r="K44" s="153"/>
      <c r="L44" s="152"/>
      <c r="M44" s="161">
        <f t="shared" si="21"/>
        <v>938.9483535161803</v>
      </c>
      <c r="N44" s="155">
        <v>8.0208999999999993</v>
      </c>
      <c r="O44" s="156">
        <f t="shared" si="13"/>
        <v>0.73717076724916697</v>
      </c>
      <c r="P44" s="154">
        <f t="shared" si="14"/>
        <v>5.1225806451612907</v>
      </c>
      <c r="Q44" s="152">
        <f>COUNTIFS('Daily KPI'!$D:$D,D44,'Daily KPI'!$O:$O,"&gt;0")</f>
        <v>0</v>
      </c>
      <c r="R44" s="155">
        <f t="shared" si="15"/>
        <v>0</v>
      </c>
      <c r="S44" s="163">
        <f>SUMIF($F$2:F44,F44,$R$2:R44)</f>
        <v>0</v>
      </c>
      <c r="T44" s="154">
        <f t="shared" si="16"/>
        <v>30.288656565038075</v>
      </c>
      <c r="U44" s="155">
        <f t="shared" si="17"/>
        <v>0</v>
      </c>
      <c r="V44" s="163">
        <f>SUMIF($F$2:F44,F44,$U$2:U44)</f>
        <v>0</v>
      </c>
      <c r="W44" s="156">
        <f t="shared" si="18"/>
        <v>0.15734236268705337</v>
      </c>
      <c r="X44" s="156" t="str">
        <f t="shared" si="27"/>
        <v/>
      </c>
      <c r="Y44" s="156" t="str">
        <f t="shared" si="9"/>
        <v/>
      </c>
      <c r="Z44" s="154" t="str">
        <f>IFERROR(AVERAGEIF('Daily KPI'!$D:$D,Table14[[#This Row],[Month]],'Daily KPI'!$AB:$AB),"")</f>
        <v/>
      </c>
      <c r="AA44" s="164">
        <f>IFERROR(AVERAGEIF($F$2:F44,F44,$N$2:N44),"")</f>
        <v>8.0208999999999993</v>
      </c>
      <c r="AB44" s="155"/>
      <c r="AC44" s="154"/>
      <c r="AD44" s="165"/>
      <c r="AE44" s="156">
        <v>0.98040000000000005</v>
      </c>
      <c r="AF44" s="156">
        <v>0.98</v>
      </c>
      <c r="AG44" s="156"/>
      <c r="AH44" s="156"/>
      <c r="AI44" s="156"/>
      <c r="AJ44" s="156"/>
      <c r="AK44" s="156"/>
      <c r="AL44" s="156"/>
      <c r="AM44" s="183"/>
      <c r="AN44" s="183"/>
    </row>
    <row r="45" spans="1:40" x14ac:dyDescent="0.3">
      <c r="A45" s="148">
        <f t="shared" si="10"/>
        <v>44</v>
      </c>
      <c r="B45" s="149" t="str">
        <f t="shared" si="25"/>
        <v>November</v>
      </c>
      <c r="C45" s="149">
        <f t="shared" si="25"/>
        <v>11</v>
      </c>
      <c r="D45" s="150">
        <v>44501</v>
      </c>
      <c r="E45" s="151">
        <f t="shared" si="24"/>
        <v>2021</v>
      </c>
      <c r="F45" s="151" t="s">
        <v>1178</v>
      </c>
      <c r="G45" s="152">
        <f t="shared" si="23"/>
        <v>30</v>
      </c>
      <c r="H45" s="157">
        <f t="shared" si="26"/>
        <v>138.9</v>
      </c>
      <c r="I45" s="157">
        <f t="shared" si="26"/>
        <v>163</v>
      </c>
      <c r="J45" s="154"/>
      <c r="K45" s="153"/>
      <c r="L45" s="152"/>
      <c r="M45" s="161">
        <f t="shared" si="21"/>
        <v>944.25314647389882</v>
      </c>
      <c r="N45" s="155">
        <v>8.0208999999999993</v>
      </c>
      <c r="O45" s="156">
        <f t="shared" si="13"/>
        <v>0.7222336756220531</v>
      </c>
      <c r="P45" s="154">
        <f t="shared" si="14"/>
        <v>5.4333333333333336</v>
      </c>
      <c r="Q45" s="152">
        <f>COUNTIFS('Daily KPI'!$D:$D,D45,'Daily KPI'!$O:$O,"&gt;0")</f>
        <v>0</v>
      </c>
      <c r="R45" s="155">
        <f t="shared" si="15"/>
        <v>0</v>
      </c>
      <c r="S45" s="163">
        <f>SUMIF($F$2:F45,F45,$R$2:R45)</f>
        <v>0</v>
      </c>
      <c r="T45" s="154">
        <f t="shared" si="16"/>
        <v>31.475104882463295</v>
      </c>
      <c r="U45" s="155">
        <f t="shared" si="17"/>
        <v>0</v>
      </c>
      <c r="V45" s="163">
        <f>SUMIF($F$2:F45,F45,$U$2:U45)</f>
        <v>0</v>
      </c>
      <c r="W45" s="156">
        <f t="shared" si="18"/>
        <v>0.1635056793422148</v>
      </c>
      <c r="X45" s="156" t="str">
        <f t="shared" si="27"/>
        <v/>
      </c>
      <c r="Y45" s="156" t="str">
        <f t="shared" si="9"/>
        <v/>
      </c>
      <c r="Z45" s="154" t="str">
        <f>IFERROR(AVERAGEIF('Daily KPI'!$D:$D,Table14[[#This Row],[Month]],'Daily KPI'!$AB:$AB),"")</f>
        <v/>
      </c>
      <c r="AA45" s="164">
        <f>IFERROR(AVERAGEIF($F$2:F45,F45,$N$2:N45),"")</f>
        <v>8.0208999999999993</v>
      </c>
      <c r="AB45" s="155"/>
      <c r="AC45" s="154"/>
      <c r="AD45" s="165"/>
      <c r="AE45" s="156">
        <v>0.98040000000000005</v>
      </c>
      <c r="AF45" s="156">
        <v>0.98</v>
      </c>
      <c r="AG45" s="156"/>
      <c r="AH45" s="156"/>
      <c r="AI45" s="156"/>
      <c r="AJ45" s="156"/>
      <c r="AK45" s="156"/>
      <c r="AL45" s="156"/>
      <c r="AM45" s="183"/>
      <c r="AN45" s="183"/>
    </row>
    <row r="46" spans="1:40" x14ac:dyDescent="0.3">
      <c r="A46" s="148">
        <f t="shared" si="10"/>
        <v>45</v>
      </c>
      <c r="B46" s="149" t="str">
        <f t="shared" si="25"/>
        <v>December</v>
      </c>
      <c r="C46" s="149">
        <f t="shared" si="25"/>
        <v>12</v>
      </c>
      <c r="D46" s="150">
        <v>44531</v>
      </c>
      <c r="E46" s="151">
        <f t="shared" si="24"/>
        <v>2021</v>
      </c>
      <c r="F46" s="151" t="s">
        <v>1178</v>
      </c>
      <c r="G46" s="152">
        <f t="shared" si="23"/>
        <v>31</v>
      </c>
      <c r="H46" s="157">
        <f t="shared" si="26"/>
        <v>134.69999999999999</v>
      </c>
      <c r="I46" s="157">
        <f t="shared" si="26"/>
        <v>163.69999999999999</v>
      </c>
      <c r="J46" s="154"/>
      <c r="K46" s="153"/>
      <c r="L46" s="152"/>
      <c r="M46" s="161">
        <f t="shared" si="21"/>
        <v>981.38669717792857</v>
      </c>
      <c r="N46" s="155">
        <v>8.0208999999999993</v>
      </c>
      <c r="O46" s="156">
        <f t="shared" si="13"/>
        <v>0.74742631726929265</v>
      </c>
      <c r="P46" s="154">
        <f t="shared" si="14"/>
        <v>5.2806451612903222</v>
      </c>
      <c r="Q46" s="152">
        <f>COUNTIFS('Daily KPI'!$D:$D,D46,'Daily KPI'!$O:$O,"&gt;0")</f>
        <v>0</v>
      </c>
      <c r="R46" s="155">
        <f t="shared" si="15"/>
        <v>0</v>
      </c>
      <c r="S46" s="163">
        <f>SUMIF($F$2:F46,F46,$R$2:R46)</f>
        <v>0</v>
      </c>
      <c r="T46" s="154">
        <f t="shared" si="16"/>
        <v>31.657635392836404</v>
      </c>
      <c r="U46" s="155">
        <f t="shared" si="17"/>
        <v>0</v>
      </c>
      <c r="V46" s="163">
        <f>SUMIF($F$2:F46,F46,$U$2:U46)</f>
        <v>0</v>
      </c>
      <c r="W46" s="156">
        <f t="shared" si="18"/>
        <v>0.16445388190454732</v>
      </c>
      <c r="X46" s="156" t="str">
        <f t="shared" si="27"/>
        <v/>
      </c>
      <c r="Y46" s="156" t="str">
        <f t="shared" si="9"/>
        <v/>
      </c>
      <c r="Z46" s="154" t="str">
        <f>IFERROR(AVERAGEIF('Daily KPI'!$D:$D,Table14[[#This Row],[Month]],'Daily KPI'!$AB:$AB),"")</f>
        <v/>
      </c>
      <c r="AA46" s="164">
        <f>IFERROR(AVERAGEIF($F$2:F46,F46,$N$2:N46),"")</f>
        <v>8.0208999999999993</v>
      </c>
      <c r="AB46" s="155"/>
      <c r="AC46" s="154"/>
      <c r="AD46" s="165"/>
      <c r="AE46" s="156">
        <v>0.98040000000000005</v>
      </c>
      <c r="AF46" s="156">
        <v>0.98</v>
      </c>
      <c r="AG46" s="156"/>
      <c r="AH46" s="156"/>
      <c r="AI46" s="156"/>
      <c r="AJ46" s="156"/>
      <c r="AK46" s="156"/>
      <c r="AL46" s="156"/>
      <c r="AM46" s="183"/>
      <c r="AN46" s="183"/>
    </row>
    <row r="47" spans="1:40" x14ac:dyDescent="0.3">
      <c r="A47" s="148">
        <f t="shared" si="10"/>
        <v>46</v>
      </c>
      <c r="B47" s="149" t="str">
        <f t="shared" ref="B47:C62" si="28">B35</f>
        <v>January</v>
      </c>
      <c r="C47" s="149">
        <f t="shared" si="28"/>
        <v>1</v>
      </c>
      <c r="D47" s="150">
        <v>44562</v>
      </c>
      <c r="E47" s="151">
        <f t="shared" si="24"/>
        <v>2022</v>
      </c>
      <c r="F47" s="151" t="s">
        <v>1178</v>
      </c>
      <c r="G47" s="152">
        <f t="shared" si="23"/>
        <v>31</v>
      </c>
      <c r="H47" s="157">
        <f t="shared" ref="H47:I62" si="29">H35</f>
        <v>151.6</v>
      </c>
      <c r="I47" s="157">
        <f t="shared" si="29"/>
        <v>183.9</v>
      </c>
      <c r="J47" s="154"/>
      <c r="K47" s="153"/>
      <c r="L47" s="152"/>
      <c r="M47" s="161">
        <f t="shared" si="21"/>
        <v>1087.4825563322993</v>
      </c>
      <c r="N47" s="155">
        <v>8.0208999999999993</v>
      </c>
      <c r="O47" s="156">
        <f t="shared" si="13"/>
        <v>0.73725456161784642</v>
      </c>
      <c r="P47" s="154">
        <f t="shared" si="14"/>
        <v>5.9322580645161294</v>
      </c>
      <c r="Q47" s="152">
        <f>COUNTIFS('Daily KPI'!$D:$D,D47,'Daily KPI'!$O:$O,"&gt;0")</f>
        <v>0</v>
      </c>
      <c r="R47" s="155">
        <f t="shared" si="15"/>
        <v>0</v>
      </c>
      <c r="S47" s="163">
        <f>SUMIF($F$2:F47,F47,$R$2:R47)</f>
        <v>0</v>
      </c>
      <c r="T47" s="154">
        <f t="shared" si="16"/>
        <v>35.080082462332236</v>
      </c>
      <c r="U47" s="155">
        <f t="shared" si="17"/>
        <v>0</v>
      </c>
      <c r="V47" s="163">
        <f>SUMIF($F$2:F47,F47,$U$2:U47)</f>
        <v>0</v>
      </c>
      <c r="W47" s="156">
        <f t="shared" si="18"/>
        <v>0.18223267994828218</v>
      </c>
      <c r="X47" s="156" t="str">
        <f t="shared" si="27"/>
        <v/>
      </c>
      <c r="Y47" s="156" t="str">
        <f t="shared" si="9"/>
        <v/>
      </c>
      <c r="Z47" s="154" t="str">
        <f>IFERROR(AVERAGEIF('Daily KPI'!$D:$D,Table14[[#This Row],[Month]],'Daily KPI'!$AB:$AB),"")</f>
        <v/>
      </c>
      <c r="AA47" s="164">
        <f>IFERROR(AVERAGEIF($F$2:F47,F47,$N$2:N47),"")</f>
        <v>8.0208999999999993</v>
      </c>
      <c r="AB47" s="155"/>
      <c r="AC47" s="154"/>
      <c r="AD47" s="165"/>
      <c r="AE47" s="156">
        <v>0.98040000000000005</v>
      </c>
      <c r="AF47" s="156">
        <v>0.98</v>
      </c>
      <c r="AG47" s="156"/>
      <c r="AH47" s="156"/>
      <c r="AI47" s="156"/>
      <c r="AJ47" s="156"/>
      <c r="AK47" s="156"/>
      <c r="AL47" s="156"/>
      <c r="AM47" s="183"/>
      <c r="AN47" s="183"/>
    </row>
    <row r="48" spans="1:40" x14ac:dyDescent="0.3">
      <c r="A48" s="148">
        <f t="shared" si="10"/>
        <v>47</v>
      </c>
      <c r="B48" s="149" t="str">
        <f t="shared" si="28"/>
        <v>February</v>
      </c>
      <c r="C48" s="149">
        <f t="shared" si="28"/>
        <v>2</v>
      </c>
      <c r="D48" s="150">
        <v>44593</v>
      </c>
      <c r="E48" s="151">
        <f t="shared" si="24"/>
        <v>2022</v>
      </c>
      <c r="F48" s="151" t="s">
        <v>1178</v>
      </c>
      <c r="G48" s="152">
        <f t="shared" si="23"/>
        <v>28</v>
      </c>
      <c r="H48" s="157">
        <f t="shared" si="29"/>
        <v>159.9</v>
      </c>
      <c r="I48" s="157">
        <f t="shared" si="29"/>
        <v>184</v>
      </c>
      <c r="J48" s="154"/>
      <c r="K48" s="153"/>
      <c r="L48" s="152"/>
      <c r="M48" s="161">
        <f t="shared" si="21"/>
        <v>1038.6058690088</v>
      </c>
      <c r="N48" s="155">
        <v>8.0208999999999993</v>
      </c>
      <c r="O48" s="156">
        <f t="shared" si="13"/>
        <v>0.70373612863622048</v>
      </c>
      <c r="P48" s="154">
        <f t="shared" si="14"/>
        <v>6.5714285714285712</v>
      </c>
      <c r="Q48" s="152">
        <f>COUNTIFS('Daily KPI'!$D:$D,D48,'Daily KPI'!$O:$O,"&gt;0")</f>
        <v>0</v>
      </c>
      <c r="R48" s="155">
        <f t="shared" si="15"/>
        <v>0</v>
      </c>
      <c r="S48" s="163">
        <f>SUMIF($F$2:F48,F48,$R$2:R48)</f>
        <v>0</v>
      </c>
      <c r="T48" s="154">
        <f t="shared" si="16"/>
        <v>37.093066750314286</v>
      </c>
      <c r="U48" s="155">
        <f t="shared" si="17"/>
        <v>0</v>
      </c>
      <c r="V48" s="163">
        <f>SUMIF($F$2:F48,F48,$U$2:U48)</f>
        <v>0</v>
      </c>
      <c r="W48" s="156">
        <f t="shared" si="18"/>
        <v>0.19268965426944132</v>
      </c>
      <c r="X48" s="156" t="str">
        <f t="shared" si="27"/>
        <v/>
      </c>
      <c r="Y48" s="156" t="str">
        <f t="shared" si="9"/>
        <v/>
      </c>
      <c r="Z48" s="154" t="str">
        <f>IFERROR(AVERAGEIF('Daily KPI'!$D:$D,Table14[[#This Row],[Month]],'Daily KPI'!$AB:$AB),"")</f>
        <v/>
      </c>
      <c r="AA48" s="164">
        <f>IFERROR(AVERAGEIF($F$2:F48,F48,$N$2:N48),"")</f>
        <v>8.0208999999999993</v>
      </c>
      <c r="AB48" s="155"/>
      <c r="AC48" s="154"/>
      <c r="AD48" s="165"/>
      <c r="AE48" s="156">
        <v>0.98040000000000005</v>
      </c>
      <c r="AF48" s="156">
        <v>0.98</v>
      </c>
      <c r="AG48" s="156"/>
      <c r="AH48" s="156"/>
      <c r="AI48" s="156"/>
      <c r="AJ48" s="156"/>
      <c r="AK48" s="156"/>
      <c r="AL48" s="156"/>
      <c r="AM48" s="183"/>
      <c r="AN48" s="183"/>
    </row>
    <row r="49" spans="1:40" x14ac:dyDescent="0.3">
      <c r="A49" s="148">
        <f t="shared" si="10"/>
        <v>48</v>
      </c>
      <c r="B49" s="149" t="str">
        <f t="shared" si="28"/>
        <v>March</v>
      </c>
      <c r="C49" s="149">
        <f t="shared" si="28"/>
        <v>3</v>
      </c>
      <c r="D49" s="150">
        <v>44621</v>
      </c>
      <c r="E49" s="151">
        <f t="shared" si="24"/>
        <v>2022</v>
      </c>
      <c r="F49" s="151" t="s">
        <v>1178</v>
      </c>
      <c r="G49" s="152">
        <f t="shared" si="23"/>
        <v>31</v>
      </c>
      <c r="H49" s="157">
        <f t="shared" si="29"/>
        <v>197.2</v>
      </c>
      <c r="I49" s="157">
        <f t="shared" si="29"/>
        <v>210.4</v>
      </c>
      <c r="J49" s="154"/>
      <c r="K49" s="153"/>
      <c r="L49" s="152"/>
      <c r="M49" s="161">
        <f t="shared" si="21"/>
        <v>1204.1880014021069</v>
      </c>
      <c r="N49" s="155">
        <v>8.0208999999999993</v>
      </c>
      <c r="O49" s="156">
        <f t="shared" si="13"/>
        <v>0.71355172148533519</v>
      </c>
      <c r="P49" s="154">
        <f t="shared" si="14"/>
        <v>6.7870967741935484</v>
      </c>
      <c r="Q49" s="152">
        <f>COUNTIFS('Daily KPI'!$D:$D,D49,'Daily KPI'!$O:$O,"&gt;0")</f>
        <v>0</v>
      </c>
      <c r="R49" s="155">
        <f t="shared" si="15"/>
        <v>0</v>
      </c>
      <c r="S49" s="163">
        <f>SUMIF($F$2:F97,F49,$R$2:R97)</f>
        <v>0</v>
      </c>
      <c r="T49" s="154">
        <f t="shared" si="16"/>
        <v>38.844774238777646</v>
      </c>
      <c r="U49" s="155">
        <f t="shared" si="17"/>
        <v>0</v>
      </c>
      <c r="V49" s="163">
        <f>SUMIF($F$2:F97,F49,$U$2:U97)</f>
        <v>0</v>
      </c>
      <c r="W49" s="156">
        <f t="shared" si="18"/>
        <v>0.20178935779639051</v>
      </c>
      <c r="X49" s="156" t="str">
        <f t="shared" si="27"/>
        <v/>
      </c>
      <c r="Y49" s="156" t="str">
        <f t="shared" si="9"/>
        <v/>
      </c>
      <c r="Z49" s="154" t="str">
        <f>IFERROR(AVERAGEIF('Daily KPI'!$D:$D,Table14[[#This Row],[Month]],'Daily KPI'!$AB:$AB),"")</f>
        <v/>
      </c>
      <c r="AA49" s="164">
        <f>IFERROR(AVERAGEIF($F$2:F97,F49,$N$2:N97),"")</f>
        <v>8.0208999999999993</v>
      </c>
      <c r="AB49" s="155"/>
      <c r="AC49" s="154"/>
      <c r="AD49" s="165"/>
      <c r="AE49" s="156">
        <v>0.98040000000000005</v>
      </c>
      <c r="AF49" s="156">
        <v>0.98</v>
      </c>
      <c r="AG49" s="156"/>
      <c r="AH49" s="156"/>
      <c r="AI49" s="156"/>
      <c r="AJ49" s="156"/>
      <c r="AK49" s="156"/>
      <c r="AL49" s="156"/>
      <c r="AM49" s="183"/>
      <c r="AN49" s="183"/>
    </row>
    <row r="50" spans="1:40" x14ac:dyDescent="0.3">
      <c r="A50" s="148">
        <f t="shared" si="10"/>
        <v>49</v>
      </c>
      <c r="B50" s="149" t="str">
        <f t="shared" si="28"/>
        <v>April</v>
      </c>
      <c r="C50" s="149">
        <f t="shared" si="28"/>
        <v>4</v>
      </c>
      <c r="D50" s="150">
        <v>44652</v>
      </c>
      <c r="E50" s="151">
        <f t="shared" si="24"/>
        <v>2022</v>
      </c>
      <c r="F50" s="151" t="s">
        <v>1179</v>
      </c>
      <c r="G50" s="152">
        <f t="shared" si="23"/>
        <v>30</v>
      </c>
      <c r="H50" s="157">
        <f t="shared" si="29"/>
        <v>193.6</v>
      </c>
      <c r="I50" s="157">
        <f t="shared" si="29"/>
        <v>191.7</v>
      </c>
      <c r="J50" s="154"/>
      <c r="K50" s="153"/>
      <c r="L50" s="152"/>
      <c r="M50" s="161">
        <f t="shared" si="21"/>
        <v>1055.6537985859879</v>
      </c>
      <c r="N50" s="155">
        <v>8.0208999999999993</v>
      </c>
      <c r="O50" s="156">
        <f t="shared" si="13"/>
        <v>0.68655652664663702</v>
      </c>
      <c r="P50" s="154">
        <f t="shared" si="14"/>
        <v>6.39</v>
      </c>
      <c r="Q50" s="152">
        <f>COUNTIFS('Daily KPI'!$D:$D,D50,'Daily KPI'!$O:$O,"&gt;0")</f>
        <v>0</v>
      </c>
      <c r="R50" s="155">
        <f t="shared" si="15"/>
        <v>0</v>
      </c>
      <c r="S50" s="163">
        <f>SUMIF($F$2:F50,F50,$R$2:R50)</f>
        <v>0</v>
      </c>
      <c r="T50" s="154">
        <f t="shared" si="16"/>
        <v>35.188459952866268</v>
      </c>
      <c r="U50" s="155">
        <f t="shared" si="17"/>
        <v>0</v>
      </c>
      <c r="V50" s="163">
        <f>SUMIF($F$2:F50,F50,$U$2:U50)</f>
        <v>0</v>
      </c>
      <c r="W50" s="156">
        <f t="shared" si="18"/>
        <v>0.18279567521966711</v>
      </c>
      <c r="X50" s="156" t="str">
        <f t="shared" si="27"/>
        <v/>
      </c>
      <c r="Y50" s="156" t="str">
        <f t="shared" si="9"/>
        <v/>
      </c>
      <c r="Z50" s="154" t="str">
        <f>IFERROR(AVERAGEIF('Daily KPI'!$D:$D,Table14[[#This Row],[Month]],'Daily KPI'!$AB:$AB),"")</f>
        <v/>
      </c>
      <c r="AA50" s="164">
        <f>IFERROR(AVERAGEIF($F$2:F50,F50,$N$2:N50),"")</f>
        <v>8.0208999999999993</v>
      </c>
      <c r="AB50" s="155"/>
      <c r="AC50" s="154"/>
      <c r="AD50" s="165"/>
      <c r="AE50" s="156">
        <v>0.98040000000000005</v>
      </c>
      <c r="AF50" s="156">
        <v>0.98</v>
      </c>
      <c r="AG50" s="156"/>
      <c r="AH50" s="156"/>
      <c r="AI50" s="156"/>
      <c r="AJ50" s="156"/>
      <c r="AK50" s="156"/>
      <c r="AL50" s="156"/>
      <c r="AM50" s="183"/>
      <c r="AN50" s="183"/>
    </row>
    <row r="51" spans="1:40" x14ac:dyDescent="0.3">
      <c r="A51" s="148">
        <f t="shared" si="10"/>
        <v>50</v>
      </c>
      <c r="B51" s="149" t="str">
        <f t="shared" si="28"/>
        <v>May</v>
      </c>
      <c r="C51" s="149">
        <f t="shared" si="28"/>
        <v>5</v>
      </c>
      <c r="D51" s="150">
        <v>44682</v>
      </c>
      <c r="E51" s="151">
        <f t="shared" si="24"/>
        <v>2022</v>
      </c>
      <c r="F51" s="151" t="s">
        <v>1179</v>
      </c>
      <c r="G51" s="152">
        <f t="shared" si="23"/>
        <v>31</v>
      </c>
      <c r="H51" s="157">
        <f t="shared" si="29"/>
        <v>198.6</v>
      </c>
      <c r="I51" s="157">
        <f t="shared" si="29"/>
        <v>186.4</v>
      </c>
      <c r="J51" s="154"/>
      <c r="K51" s="153"/>
      <c r="L51" s="152"/>
      <c r="M51" s="161">
        <f t="shared" si="21"/>
        <v>1060.9585915437065</v>
      </c>
      <c r="N51" s="155">
        <v>8.0208999999999993</v>
      </c>
      <c r="O51" s="156">
        <f t="shared" si="13"/>
        <v>0.70962584466409462</v>
      </c>
      <c r="P51" s="154">
        <f t="shared" si="14"/>
        <v>6.0129032258064514</v>
      </c>
      <c r="Q51" s="152">
        <f>COUNTIFS('Daily KPI'!$D:$D,D51,'Daily KPI'!$O:$O,"&gt;0")</f>
        <v>0</v>
      </c>
      <c r="R51" s="155">
        <f t="shared" si="15"/>
        <v>0</v>
      </c>
      <c r="S51" s="163">
        <f>SUMIF($F$2:F51,F51,$R$2:R51)</f>
        <v>0</v>
      </c>
      <c r="T51" s="154">
        <f t="shared" si="16"/>
        <v>34.224470694958271</v>
      </c>
      <c r="U51" s="155">
        <f t="shared" si="17"/>
        <v>0</v>
      </c>
      <c r="V51" s="163">
        <f>SUMIF($F$2:F51,F51,$U$2:U51)</f>
        <v>0</v>
      </c>
      <c r="W51" s="156">
        <f t="shared" si="18"/>
        <v>0.17778798043734842</v>
      </c>
      <c r="X51" s="156" t="str">
        <f t="shared" si="27"/>
        <v/>
      </c>
      <c r="Y51" s="156" t="str">
        <f t="shared" si="9"/>
        <v/>
      </c>
      <c r="Z51" s="154" t="str">
        <f>IFERROR(AVERAGEIF('Daily KPI'!$D:$D,Table14[[#This Row],[Month]],'Daily KPI'!$AB:$AB),"")</f>
        <v/>
      </c>
      <c r="AA51" s="164">
        <f>IFERROR(AVERAGEIF($F$2:F51,F51,$N$2:N51),"")</f>
        <v>8.0208999999999993</v>
      </c>
      <c r="AB51" s="155"/>
      <c r="AC51" s="154"/>
      <c r="AD51" s="165"/>
      <c r="AE51" s="156">
        <v>0.98040000000000005</v>
      </c>
      <c r="AF51" s="156">
        <v>0.98</v>
      </c>
      <c r="AG51" s="156"/>
      <c r="AH51" s="156"/>
      <c r="AI51" s="156"/>
      <c r="AJ51" s="156"/>
      <c r="AK51" s="156"/>
      <c r="AL51" s="156"/>
      <c r="AM51" s="183"/>
      <c r="AN51" s="183"/>
    </row>
    <row r="52" spans="1:40" x14ac:dyDescent="0.3">
      <c r="A52" s="148">
        <f t="shared" si="10"/>
        <v>51</v>
      </c>
      <c r="B52" s="149" t="str">
        <f t="shared" si="28"/>
        <v>June</v>
      </c>
      <c r="C52" s="149">
        <f t="shared" si="28"/>
        <v>6</v>
      </c>
      <c r="D52" s="150">
        <v>44713</v>
      </c>
      <c r="E52" s="151">
        <f t="shared" si="24"/>
        <v>2022</v>
      </c>
      <c r="F52" s="151" t="s">
        <v>1179</v>
      </c>
      <c r="G52" s="152">
        <f t="shared" si="23"/>
        <v>30</v>
      </c>
      <c r="H52" s="157">
        <f t="shared" si="29"/>
        <v>154.80000000000001</v>
      </c>
      <c r="I52" s="157">
        <f t="shared" si="29"/>
        <v>142.80000000000001</v>
      </c>
      <c r="J52" s="154"/>
      <c r="K52" s="153"/>
      <c r="L52" s="152"/>
      <c r="M52" s="161">
        <f t="shared" si="21"/>
        <v>790.41415070006133</v>
      </c>
      <c r="N52" s="155">
        <v>8.0208999999999993</v>
      </c>
      <c r="O52" s="156">
        <f t="shared" si="13"/>
        <v>0.6900862870925315</v>
      </c>
      <c r="P52" s="154">
        <f t="shared" si="14"/>
        <v>4.7600000000000007</v>
      </c>
      <c r="Q52" s="152">
        <f>COUNTIFS('Daily KPI'!$D:$D,D52,'Daily KPI'!$O:$O,"&gt;0")</f>
        <v>0</v>
      </c>
      <c r="R52" s="155">
        <f t="shared" si="15"/>
        <v>0</v>
      </c>
      <c r="S52" s="163">
        <f>SUMIF($F$2:F52,F52,$R$2:R52)</f>
        <v>0</v>
      </c>
      <c r="T52" s="154">
        <f t="shared" si="16"/>
        <v>26.347138356668712</v>
      </c>
      <c r="U52" s="155">
        <f t="shared" si="17"/>
        <v>0</v>
      </c>
      <c r="V52" s="163">
        <f>SUMIF($F$2:F52,F52,$U$2:U52)</f>
        <v>0</v>
      </c>
      <c r="W52" s="156">
        <f t="shared" si="18"/>
        <v>0.13686711360668541</v>
      </c>
      <c r="X52" s="156" t="str">
        <f t="shared" si="27"/>
        <v/>
      </c>
      <c r="Y52" s="156" t="str">
        <f t="shared" si="9"/>
        <v/>
      </c>
      <c r="Z52" s="154" t="str">
        <f>IFERROR(AVERAGEIF('Daily KPI'!$D:$D,Table14[[#This Row],[Month]],'Daily KPI'!$AB:$AB),"")</f>
        <v/>
      </c>
      <c r="AA52" s="164">
        <f>IFERROR(AVERAGEIF($F$2:F52,F52,$N$2:N52),"")</f>
        <v>8.0208999999999993</v>
      </c>
      <c r="AB52" s="155"/>
      <c r="AC52" s="154"/>
      <c r="AD52" s="165"/>
      <c r="AE52" s="156">
        <v>0.98040000000000005</v>
      </c>
      <c r="AF52" s="156">
        <v>0.98</v>
      </c>
      <c r="AG52" s="156"/>
      <c r="AH52" s="156"/>
      <c r="AI52" s="156"/>
      <c r="AJ52" s="156"/>
      <c r="AK52" s="156"/>
      <c r="AL52" s="156"/>
      <c r="AM52" s="183"/>
      <c r="AN52" s="183"/>
    </row>
    <row r="53" spans="1:40" x14ac:dyDescent="0.3">
      <c r="A53" s="148">
        <f t="shared" si="10"/>
        <v>52</v>
      </c>
      <c r="B53" s="149" t="str">
        <f t="shared" si="28"/>
        <v>July</v>
      </c>
      <c r="C53" s="149">
        <f t="shared" si="28"/>
        <v>7</v>
      </c>
      <c r="D53" s="150">
        <v>44743</v>
      </c>
      <c r="E53" s="151">
        <f t="shared" si="24"/>
        <v>2022</v>
      </c>
      <c r="F53" s="151" t="s">
        <v>1179</v>
      </c>
      <c r="G53" s="152">
        <f t="shared" si="23"/>
        <v>31</v>
      </c>
      <c r="H53" s="157">
        <f t="shared" si="29"/>
        <v>134.4</v>
      </c>
      <c r="I53" s="157">
        <f t="shared" si="29"/>
        <v>125.4</v>
      </c>
      <c r="J53" s="154"/>
      <c r="K53" s="153"/>
      <c r="L53" s="152"/>
      <c r="M53" s="161">
        <f t="shared" si="21"/>
        <v>721.45184224972047</v>
      </c>
      <c r="N53" s="155">
        <v>8.0208999999999993</v>
      </c>
      <c r="O53" s="156">
        <f t="shared" si="13"/>
        <v>0.71727667514245075</v>
      </c>
      <c r="P53" s="154">
        <f t="shared" si="14"/>
        <v>4.0451612903225804</v>
      </c>
      <c r="Q53" s="152">
        <f>COUNTIFS('Daily KPI'!$D:$D,D53,'Daily KPI'!$O:$O,"&gt;0")</f>
        <v>0</v>
      </c>
      <c r="R53" s="155">
        <f t="shared" si="15"/>
        <v>0</v>
      </c>
      <c r="S53" s="163">
        <f>SUMIF($F$2:F53,F53,$R$2:R53)</f>
        <v>0</v>
      </c>
      <c r="T53" s="154">
        <f t="shared" si="16"/>
        <v>23.27264007257163</v>
      </c>
      <c r="U53" s="155">
        <f t="shared" si="17"/>
        <v>0</v>
      </c>
      <c r="V53" s="163">
        <f>SUMIF($F$2:F53,F53,$U$2:U53)</f>
        <v>0</v>
      </c>
      <c r="W53" s="156">
        <f t="shared" si="18"/>
        <v>0.12089582669739696</v>
      </c>
      <c r="X53" s="156" t="str">
        <f t="shared" si="27"/>
        <v/>
      </c>
      <c r="Y53" s="156" t="str">
        <f t="shared" si="9"/>
        <v/>
      </c>
      <c r="Z53" s="154" t="str">
        <f>IFERROR(AVERAGEIF('Daily KPI'!$D:$D,Table14[[#This Row],[Month]],'Daily KPI'!$AB:$AB),"")</f>
        <v/>
      </c>
      <c r="AA53" s="164">
        <f>IFERROR(AVERAGEIF($F$2:F53,F53,$N$2:N53),"")</f>
        <v>8.0208999999999993</v>
      </c>
      <c r="AB53" s="155"/>
      <c r="AC53" s="154"/>
      <c r="AD53" s="165"/>
      <c r="AE53" s="156">
        <v>0.98040000000000005</v>
      </c>
      <c r="AF53" s="156">
        <v>0.98</v>
      </c>
      <c r="AG53" s="156"/>
      <c r="AH53" s="156"/>
      <c r="AI53" s="156"/>
      <c r="AJ53" s="156"/>
      <c r="AK53" s="156"/>
      <c r="AL53" s="156"/>
      <c r="AM53" s="183"/>
      <c r="AN53" s="183"/>
    </row>
    <row r="54" spans="1:40" x14ac:dyDescent="0.3">
      <c r="A54" s="148">
        <f t="shared" si="10"/>
        <v>53</v>
      </c>
      <c r="B54" s="149" t="str">
        <f t="shared" si="28"/>
        <v>August</v>
      </c>
      <c r="C54" s="149">
        <f t="shared" si="28"/>
        <v>8</v>
      </c>
      <c r="D54" s="150">
        <v>44774</v>
      </c>
      <c r="E54" s="151">
        <f t="shared" si="24"/>
        <v>2022</v>
      </c>
      <c r="F54" s="151" t="s">
        <v>1179</v>
      </c>
      <c r="G54" s="152">
        <f t="shared" si="23"/>
        <v>31</v>
      </c>
      <c r="H54" s="157">
        <f t="shared" si="29"/>
        <v>134.6</v>
      </c>
      <c r="I54" s="157">
        <f t="shared" si="29"/>
        <v>130.69999999999999</v>
      </c>
      <c r="J54" s="154"/>
      <c r="K54" s="153"/>
      <c r="L54" s="152"/>
      <c r="M54" s="161">
        <f t="shared" si="21"/>
        <v>763.89018591146873</v>
      </c>
      <c r="N54" s="155">
        <v>8.0208999999999993</v>
      </c>
      <c r="O54" s="156">
        <f t="shared" si="13"/>
        <v>0.72867226748797886</v>
      </c>
      <c r="P54" s="154">
        <f t="shared" si="14"/>
        <v>4.2161290322580642</v>
      </c>
      <c r="Q54" s="152">
        <f>COUNTIFS('Daily KPI'!$D:$D,D54,'Daily KPI'!$O:$O,"&gt;0")</f>
        <v>0</v>
      </c>
      <c r="R54" s="155">
        <f t="shared" si="15"/>
        <v>0</v>
      </c>
      <c r="S54" s="163">
        <f>SUMIF($F$2:F54,F54,$R$2:R54)</f>
        <v>0</v>
      </c>
      <c r="T54" s="154">
        <f t="shared" si="16"/>
        <v>24.641618900369959</v>
      </c>
      <c r="U54" s="155">
        <f t="shared" si="17"/>
        <v>0</v>
      </c>
      <c r="V54" s="163">
        <f>SUMIF($F$2:F54,F54,$U$2:U54)</f>
        <v>0</v>
      </c>
      <c r="W54" s="156">
        <f t="shared" si="18"/>
        <v>0.12800734591489088</v>
      </c>
      <c r="X54" s="156" t="str">
        <f t="shared" si="27"/>
        <v/>
      </c>
      <c r="Y54" s="156" t="str">
        <f t="shared" si="9"/>
        <v/>
      </c>
      <c r="Z54" s="154" t="str">
        <f>IFERROR(AVERAGEIF('Daily KPI'!$D:$D,Table14[[#This Row],[Month]],'Daily KPI'!$AB:$AB),"")</f>
        <v/>
      </c>
      <c r="AA54" s="164">
        <f>IFERROR(AVERAGEIF($F$2:F54,F54,$N$2:N54),"")</f>
        <v>8.0208999999999993</v>
      </c>
      <c r="AB54" s="155"/>
      <c r="AC54" s="154"/>
      <c r="AD54" s="165"/>
      <c r="AE54" s="156">
        <v>0.98040000000000005</v>
      </c>
      <c r="AF54" s="156">
        <v>0.98</v>
      </c>
      <c r="AG54" s="156"/>
      <c r="AH54" s="156"/>
      <c r="AI54" s="156"/>
      <c r="AJ54" s="156"/>
      <c r="AK54" s="156"/>
      <c r="AL54" s="156"/>
      <c r="AM54" s="183"/>
      <c r="AN54" s="183"/>
    </row>
    <row r="55" spans="1:40" x14ac:dyDescent="0.3">
      <c r="A55" s="148">
        <f t="shared" si="10"/>
        <v>54</v>
      </c>
      <c r="B55" s="149" t="str">
        <f t="shared" si="28"/>
        <v>September</v>
      </c>
      <c r="C55" s="149">
        <f t="shared" si="28"/>
        <v>9</v>
      </c>
      <c r="D55" s="150">
        <v>44805</v>
      </c>
      <c r="E55" s="151">
        <f t="shared" si="24"/>
        <v>2022</v>
      </c>
      <c r="F55" s="151" t="s">
        <v>1179</v>
      </c>
      <c r="G55" s="152">
        <f t="shared" si="23"/>
        <v>30</v>
      </c>
      <c r="H55" s="157">
        <f t="shared" si="29"/>
        <v>142.5</v>
      </c>
      <c r="I55" s="157">
        <f t="shared" si="29"/>
        <v>145.4</v>
      </c>
      <c r="J55" s="154"/>
      <c r="K55" s="153"/>
      <c r="L55" s="152"/>
      <c r="M55" s="161">
        <f t="shared" si="21"/>
        <v>827.54770140409107</v>
      </c>
      <c r="N55" s="155">
        <v>8.0208999999999993</v>
      </c>
      <c r="O55" s="156">
        <f t="shared" si="13"/>
        <v>0.70958680060111445</v>
      </c>
      <c r="P55" s="154">
        <f t="shared" si="14"/>
        <v>4.8466666666666667</v>
      </c>
      <c r="Q55" s="152">
        <f>COUNTIFS('Daily KPI'!$D:$D,D55,'Daily KPI'!$O:$O,"&gt;0")</f>
        <v>0</v>
      </c>
      <c r="R55" s="155">
        <f t="shared" si="15"/>
        <v>0</v>
      </c>
      <c r="S55" s="163">
        <f>SUMIF($F$2:F55,F55,$R$2:R55)</f>
        <v>0</v>
      </c>
      <c r="T55" s="154">
        <f t="shared" si="16"/>
        <v>27.58492338013637</v>
      </c>
      <c r="U55" s="155">
        <f t="shared" si="17"/>
        <v>0</v>
      </c>
      <c r="V55" s="163">
        <f>SUMIF($F$2:F55,F55,$U$2:U55)</f>
        <v>0</v>
      </c>
      <c r="W55" s="156">
        <f t="shared" si="18"/>
        <v>0.14329711223250285</v>
      </c>
      <c r="X55" s="156" t="str">
        <f t="shared" si="27"/>
        <v/>
      </c>
      <c r="Y55" s="156" t="str">
        <f t="shared" si="9"/>
        <v/>
      </c>
      <c r="Z55" s="154" t="str">
        <f>IFERROR(AVERAGEIF('Daily KPI'!$D:$D,Table14[[#This Row],[Month]],'Daily KPI'!$AB:$AB),"")</f>
        <v/>
      </c>
      <c r="AA55" s="164">
        <f>IFERROR(AVERAGEIF($F$2:F55,F55,$N$2:N55),"")</f>
        <v>8.0208999999999993</v>
      </c>
      <c r="AB55" s="155"/>
      <c r="AC55" s="154"/>
      <c r="AD55" s="165"/>
      <c r="AE55" s="156">
        <v>0.98040000000000005</v>
      </c>
      <c r="AF55" s="156">
        <v>0.98</v>
      </c>
      <c r="AG55" s="156"/>
      <c r="AH55" s="156"/>
      <c r="AI55" s="156"/>
      <c r="AJ55" s="156"/>
      <c r="AK55" s="156"/>
      <c r="AL55" s="156"/>
      <c r="AM55" s="183"/>
      <c r="AN55" s="183"/>
    </row>
    <row r="56" spans="1:40" x14ac:dyDescent="0.3">
      <c r="A56" s="148">
        <f t="shared" si="10"/>
        <v>55</v>
      </c>
      <c r="B56" s="149" t="str">
        <f t="shared" si="28"/>
        <v>October</v>
      </c>
      <c r="C56" s="149">
        <f t="shared" si="28"/>
        <v>10</v>
      </c>
      <c r="D56" s="150">
        <v>44835</v>
      </c>
      <c r="E56" s="151">
        <f t="shared" si="24"/>
        <v>2022</v>
      </c>
      <c r="F56" s="151" t="s">
        <v>1179</v>
      </c>
      <c r="G56" s="152">
        <f t="shared" si="23"/>
        <v>31</v>
      </c>
      <c r="H56" s="157">
        <f t="shared" si="29"/>
        <v>145.69999999999999</v>
      </c>
      <c r="I56" s="157">
        <f t="shared" si="29"/>
        <v>158.80000000000001</v>
      </c>
      <c r="J56" s="154"/>
      <c r="K56" s="153"/>
      <c r="L56" s="152"/>
      <c r="M56" s="161">
        <f t="shared" si="21"/>
        <v>938.9483535161803</v>
      </c>
      <c r="N56" s="155">
        <v>8.0208999999999993</v>
      </c>
      <c r="O56" s="156">
        <f t="shared" si="13"/>
        <v>0.73717076724916697</v>
      </c>
      <c r="P56" s="154">
        <f t="shared" si="14"/>
        <v>5.1225806451612907</v>
      </c>
      <c r="Q56" s="152">
        <f>COUNTIFS('Daily KPI'!$D:$D,D56,'Daily KPI'!$O:$O,"&gt;0")</f>
        <v>0</v>
      </c>
      <c r="R56" s="155">
        <f t="shared" si="15"/>
        <v>0</v>
      </c>
      <c r="S56" s="163">
        <f>SUMIF($F$2:F56,F56,$R$2:R56)</f>
        <v>0</v>
      </c>
      <c r="T56" s="154">
        <f t="shared" si="16"/>
        <v>30.288656565038075</v>
      </c>
      <c r="U56" s="155">
        <f t="shared" si="17"/>
        <v>0</v>
      </c>
      <c r="V56" s="163">
        <f>SUMIF($F$2:F56,F56,$U$2:U56)</f>
        <v>0</v>
      </c>
      <c r="W56" s="156">
        <f t="shared" si="18"/>
        <v>0.15734236268705337</v>
      </c>
      <c r="X56" s="156" t="str">
        <f t="shared" si="27"/>
        <v/>
      </c>
      <c r="Y56" s="156" t="str">
        <f t="shared" si="9"/>
        <v/>
      </c>
      <c r="Z56" s="154" t="str">
        <f>IFERROR(AVERAGEIF('Daily KPI'!$D:$D,Table14[[#This Row],[Month]],'Daily KPI'!$AB:$AB),"")</f>
        <v/>
      </c>
      <c r="AA56" s="164">
        <f>IFERROR(AVERAGEIF($F$2:F56,F56,$N$2:N56),"")</f>
        <v>8.0208999999999993</v>
      </c>
      <c r="AB56" s="155"/>
      <c r="AC56" s="154"/>
      <c r="AD56" s="165"/>
      <c r="AE56" s="156">
        <v>0.98040000000000005</v>
      </c>
      <c r="AF56" s="156">
        <v>0.98</v>
      </c>
      <c r="AG56" s="156"/>
      <c r="AH56" s="156"/>
      <c r="AI56" s="156"/>
      <c r="AJ56" s="156"/>
      <c r="AK56" s="156"/>
      <c r="AL56" s="156"/>
      <c r="AM56" s="183"/>
      <c r="AN56" s="183"/>
    </row>
    <row r="57" spans="1:40" x14ac:dyDescent="0.3">
      <c r="A57" s="148">
        <f t="shared" si="10"/>
        <v>56</v>
      </c>
      <c r="B57" s="149" t="str">
        <f t="shared" si="28"/>
        <v>November</v>
      </c>
      <c r="C57" s="149">
        <f t="shared" si="28"/>
        <v>11</v>
      </c>
      <c r="D57" s="150">
        <v>44866</v>
      </c>
      <c r="E57" s="151">
        <f t="shared" si="24"/>
        <v>2022</v>
      </c>
      <c r="F57" s="151" t="s">
        <v>1179</v>
      </c>
      <c r="G57" s="152">
        <f t="shared" si="23"/>
        <v>30</v>
      </c>
      <c r="H57" s="157">
        <f t="shared" si="29"/>
        <v>138.9</v>
      </c>
      <c r="I57" s="157">
        <f t="shared" si="29"/>
        <v>163</v>
      </c>
      <c r="J57" s="154"/>
      <c r="K57" s="153"/>
      <c r="L57" s="152"/>
      <c r="M57" s="161">
        <f t="shared" si="21"/>
        <v>944.25314647389882</v>
      </c>
      <c r="N57" s="155">
        <v>8.0208999999999993</v>
      </c>
      <c r="O57" s="156">
        <f t="shared" si="13"/>
        <v>0.7222336756220531</v>
      </c>
      <c r="P57" s="154">
        <f t="shared" si="14"/>
        <v>5.4333333333333336</v>
      </c>
      <c r="Q57" s="152">
        <f>COUNTIFS('Daily KPI'!$D:$D,D57,'Daily KPI'!$O:$O,"&gt;0")</f>
        <v>0</v>
      </c>
      <c r="R57" s="155">
        <f t="shared" si="15"/>
        <v>0</v>
      </c>
      <c r="S57" s="163">
        <f>SUMIF($F$2:F57,F57,$R$2:R57)</f>
        <v>0</v>
      </c>
      <c r="T57" s="154">
        <f t="shared" si="16"/>
        <v>31.475104882463295</v>
      </c>
      <c r="U57" s="155">
        <f t="shared" si="17"/>
        <v>0</v>
      </c>
      <c r="V57" s="163">
        <f>SUMIF($F$2:F57,F57,$U$2:U57)</f>
        <v>0</v>
      </c>
      <c r="W57" s="156">
        <f t="shared" si="18"/>
        <v>0.1635056793422148</v>
      </c>
      <c r="X57" s="156" t="str">
        <f t="shared" si="27"/>
        <v/>
      </c>
      <c r="Y57" s="156" t="str">
        <f t="shared" si="9"/>
        <v/>
      </c>
      <c r="Z57" s="154" t="str">
        <f>IFERROR(AVERAGEIF('Daily KPI'!$D:$D,Table14[[#This Row],[Month]],'Daily KPI'!$AB:$AB),"")</f>
        <v/>
      </c>
      <c r="AA57" s="164">
        <f>IFERROR(AVERAGEIF($F$2:F57,F57,$N$2:N57),"")</f>
        <v>8.0208999999999993</v>
      </c>
      <c r="AB57" s="155"/>
      <c r="AC57" s="154"/>
      <c r="AD57" s="165"/>
      <c r="AE57" s="156">
        <v>0.98040000000000005</v>
      </c>
      <c r="AF57" s="156">
        <v>0.98</v>
      </c>
      <c r="AG57" s="156"/>
      <c r="AH57" s="156"/>
      <c r="AI57" s="156"/>
      <c r="AJ57" s="156"/>
      <c r="AK57" s="156"/>
      <c r="AL57" s="156"/>
      <c r="AM57" s="183"/>
      <c r="AN57" s="183"/>
    </row>
    <row r="58" spans="1:40" x14ac:dyDescent="0.3">
      <c r="A58" s="148">
        <f t="shared" si="10"/>
        <v>57</v>
      </c>
      <c r="B58" s="149" t="str">
        <f t="shared" si="28"/>
        <v>December</v>
      </c>
      <c r="C58" s="149">
        <f t="shared" si="28"/>
        <v>12</v>
      </c>
      <c r="D58" s="150">
        <v>44896</v>
      </c>
      <c r="E58" s="151">
        <f t="shared" si="24"/>
        <v>2022</v>
      </c>
      <c r="F58" s="151" t="s">
        <v>1179</v>
      </c>
      <c r="G58" s="152">
        <f t="shared" si="23"/>
        <v>31</v>
      </c>
      <c r="H58" s="157">
        <f t="shared" si="29"/>
        <v>134.69999999999999</v>
      </c>
      <c r="I58" s="157">
        <f t="shared" si="29"/>
        <v>163.69999999999999</v>
      </c>
      <c r="J58" s="154"/>
      <c r="K58" s="153"/>
      <c r="L58" s="152"/>
      <c r="M58" s="161">
        <f t="shared" si="21"/>
        <v>981.38669717792857</v>
      </c>
      <c r="N58" s="155">
        <v>8.0208999999999993</v>
      </c>
      <c r="O58" s="156">
        <f t="shared" si="13"/>
        <v>0.74742631726929265</v>
      </c>
      <c r="P58" s="154">
        <f t="shared" si="14"/>
        <v>5.2806451612903222</v>
      </c>
      <c r="Q58" s="152">
        <f>COUNTIFS('Daily KPI'!$D:$D,D58,'Daily KPI'!$O:$O,"&gt;0")</f>
        <v>0</v>
      </c>
      <c r="R58" s="155">
        <f t="shared" si="15"/>
        <v>0</v>
      </c>
      <c r="S58" s="163">
        <f>SUMIF($F$2:F58,F58,$R$2:R58)</f>
        <v>0</v>
      </c>
      <c r="T58" s="154">
        <f t="shared" si="16"/>
        <v>31.657635392836404</v>
      </c>
      <c r="U58" s="155">
        <f t="shared" si="17"/>
        <v>0</v>
      </c>
      <c r="V58" s="163">
        <f>SUMIF($F$2:F58,F58,$U$2:U58)</f>
        <v>0</v>
      </c>
      <c r="W58" s="156">
        <f t="shared" si="18"/>
        <v>0.16445388190454732</v>
      </c>
      <c r="X58" s="156" t="str">
        <f t="shared" si="27"/>
        <v/>
      </c>
      <c r="Y58" s="156" t="str">
        <f t="shared" si="9"/>
        <v/>
      </c>
      <c r="Z58" s="154" t="str">
        <f>IFERROR(AVERAGEIF('Daily KPI'!$D:$D,Table14[[#This Row],[Month]],'Daily KPI'!$AB:$AB),"")</f>
        <v/>
      </c>
      <c r="AA58" s="164">
        <f>IFERROR(AVERAGEIF($F$2:F58,F58,$N$2:N58),"")</f>
        <v>8.0208999999999993</v>
      </c>
      <c r="AB58" s="155"/>
      <c r="AC58" s="154"/>
      <c r="AD58" s="165"/>
      <c r="AE58" s="156">
        <v>0.98040000000000005</v>
      </c>
      <c r="AF58" s="156">
        <v>0.98</v>
      </c>
      <c r="AG58" s="156"/>
      <c r="AH58" s="156"/>
      <c r="AI58" s="156"/>
      <c r="AJ58" s="156"/>
      <c r="AK58" s="156"/>
      <c r="AL58" s="156"/>
      <c r="AM58" s="183"/>
      <c r="AN58" s="183"/>
    </row>
    <row r="59" spans="1:40" x14ac:dyDescent="0.3">
      <c r="A59" s="148">
        <f t="shared" si="10"/>
        <v>58</v>
      </c>
      <c r="B59" s="149" t="str">
        <f t="shared" si="28"/>
        <v>January</v>
      </c>
      <c r="C59" s="149">
        <f t="shared" si="28"/>
        <v>1</v>
      </c>
      <c r="D59" s="150">
        <v>44927</v>
      </c>
      <c r="E59" s="151">
        <f t="shared" si="24"/>
        <v>2023</v>
      </c>
      <c r="F59" s="151" t="s">
        <v>1179</v>
      </c>
      <c r="G59" s="152">
        <f t="shared" si="23"/>
        <v>31</v>
      </c>
      <c r="H59" s="157">
        <f t="shared" si="29"/>
        <v>151.6</v>
      </c>
      <c r="I59" s="157">
        <f t="shared" si="29"/>
        <v>183.9</v>
      </c>
      <c r="J59" s="154"/>
      <c r="K59" s="153"/>
      <c r="L59" s="152"/>
      <c r="M59" s="161">
        <f t="shared" si="21"/>
        <v>1087.4825563322993</v>
      </c>
      <c r="N59" s="155">
        <v>8.0208999999999993</v>
      </c>
      <c r="O59" s="156">
        <f t="shared" si="13"/>
        <v>0.73725456161784642</v>
      </c>
      <c r="P59" s="154">
        <f t="shared" si="14"/>
        <v>5.9322580645161294</v>
      </c>
      <c r="Q59" s="152">
        <f>COUNTIFS('Daily KPI'!$D:$D,D59,'Daily KPI'!$O:$O,"&gt;0")</f>
        <v>0</v>
      </c>
      <c r="R59" s="155">
        <f t="shared" si="15"/>
        <v>0</v>
      </c>
      <c r="S59" s="163">
        <f>SUMIF($F$2:F59,F59,$R$2:R59)</f>
        <v>0</v>
      </c>
      <c r="T59" s="154">
        <f t="shared" si="16"/>
        <v>35.080082462332236</v>
      </c>
      <c r="U59" s="155">
        <f t="shared" si="17"/>
        <v>0</v>
      </c>
      <c r="V59" s="163">
        <f>SUMIF($F$2:F59,F59,$U$2:U59)</f>
        <v>0</v>
      </c>
      <c r="W59" s="156">
        <f t="shared" si="18"/>
        <v>0.18223267994828218</v>
      </c>
      <c r="X59" s="156" t="str">
        <f t="shared" si="27"/>
        <v/>
      </c>
      <c r="Y59" s="156" t="str">
        <f t="shared" si="9"/>
        <v/>
      </c>
      <c r="Z59" s="154" t="str">
        <f>IFERROR(AVERAGEIF('Daily KPI'!$D:$D,Table14[[#This Row],[Month]],'Daily KPI'!$AB:$AB),"")</f>
        <v/>
      </c>
      <c r="AA59" s="164">
        <f>IFERROR(AVERAGEIF($F$2:F59,F59,$N$2:N59),"")</f>
        <v>8.0208999999999993</v>
      </c>
      <c r="AB59" s="155"/>
      <c r="AC59" s="154"/>
      <c r="AD59" s="165"/>
      <c r="AE59" s="156">
        <v>0.98040000000000005</v>
      </c>
      <c r="AF59" s="156">
        <v>0.98</v>
      </c>
      <c r="AG59" s="156"/>
      <c r="AH59" s="156"/>
      <c r="AI59" s="156"/>
      <c r="AJ59" s="156"/>
      <c r="AK59" s="156"/>
      <c r="AL59" s="156"/>
      <c r="AM59" s="183"/>
      <c r="AN59" s="183"/>
    </row>
    <row r="60" spans="1:40" x14ac:dyDescent="0.3">
      <c r="A60" s="148">
        <f t="shared" si="10"/>
        <v>59</v>
      </c>
      <c r="B60" s="149" t="str">
        <f t="shared" si="28"/>
        <v>February</v>
      </c>
      <c r="C60" s="149">
        <f t="shared" si="28"/>
        <v>2</v>
      </c>
      <c r="D60" s="150">
        <v>44958</v>
      </c>
      <c r="E60" s="151">
        <f t="shared" si="24"/>
        <v>2023</v>
      </c>
      <c r="F60" s="151" t="s">
        <v>1179</v>
      </c>
      <c r="G60" s="152">
        <f t="shared" si="23"/>
        <v>28</v>
      </c>
      <c r="H60" s="157">
        <f t="shared" si="29"/>
        <v>159.9</v>
      </c>
      <c r="I60" s="157">
        <f t="shared" si="29"/>
        <v>184</v>
      </c>
      <c r="J60" s="154"/>
      <c r="K60" s="153"/>
      <c r="L60" s="152"/>
      <c r="M60" s="161">
        <f t="shared" si="21"/>
        <v>1038.6058690088</v>
      </c>
      <c r="N60" s="155">
        <v>8.0208999999999993</v>
      </c>
      <c r="O60" s="156">
        <f t="shared" si="13"/>
        <v>0.70373612863622048</v>
      </c>
      <c r="P60" s="154">
        <f t="shared" si="14"/>
        <v>6.5714285714285712</v>
      </c>
      <c r="Q60" s="152">
        <f>COUNTIFS('Daily KPI'!$D:$D,D60,'Daily KPI'!$O:$O,"&gt;0")</f>
        <v>0</v>
      </c>
      <c r="R60" s="155">
        <f t="shared" si="15"/>
        <v>0</v>
      </c>
      <c r="S60" s="163">
        <f>SUMIF($F$2:F60,F60,$R$2:R60)</f>
        <v>0</v>
      </c>
      <c r="T60" s="154">
        <f t="shared" si="16"/>
        <v>37.093066750314286</v>
      </c>
      <c r="U60" s="155">
        <f t="shared" si="17"/>
        <v>0</v>
      </c>
      <c r="V60" s="163">
        <f>SUMIF($F$2:F60,F60,$U$2:U60)</f>
        <v>0</v>
      </c>
      <c r="W60" s="156">
        <f t="shared" si="18"/>
        <v>0.19268965426944132</v>
      </c>
      <c r="X60" s="156" t="str">
        <f t="shared" si="27"/>
        <v/>
      </c>
      <c r="Y60" s="156" t="str">
        <f t="shared" si="9"/>
        <v/>
      </c>
      <c r="Z60" s="154" t="str">
        <f>IFERROR(AVERAGEIF('Daily KPI'!$D:$D,Table14[[#This Row],[Month]],'Daily KPI'!$AB:$AB),"")</f>
        <v/>
      </c>
      <c r="AA60" s="164">
        <f>IFERROR(AVERAGEIF($F$2:F60,F60,$N$2:N60),"")</f>
        <v>8.0208999999999993</v>
      </c>
      <c r="AB60" s="155"/>
      <c r="AC60" s="154"/>
      <c r="AD60" s="165"/>
      <c r="AE60" s="156">
        <v>0.98040000000000005</v>
      </c>
      <c r="AF60" s="156">
        <v>0.98</v>
      </c>
      <c r="AG60" s="156"/>
      <c r="AH60" s="156"/>
      <c r="AI60" s="156"/>
      <c r="AJ60" s="156"/>
      <c r="AK60" s="156"/>
      <c r="AL60" s="156"/>
      <c r="AM60" s="183"/>
      <c r="AN60" s="183"/>
    </row>
    <row r="61" spans="1:40" x14ac:dyDescent="0.3">
      <c r="A61" s="148">
        <f t="shared" si="10"/>
        <v>60</v>
      </c>
      <c r="B61" s="149" t="str">
        <f t="shared" si="28"/>
        <v>March</v>
      </c>
      <c r="C61" s="149">
        <f t="shared" si="28"/>
        <v>3</v>
      </c>
      <c r="D61" s="150">
        <v>44986</v>
      </c>
      <c r="E61" s="151">
        <f t="shared" si="24"/>
        <v>2023</v>
      </c>
      <c r="F61" s="151" t="s">
        <v>1179</v>
      </c>
      <c r="G61" s="152">
        <f t="shared" si="23"/>
        <v>31</v>
      </c>
      <c r="H61" s="157">
        <f t="shared" si="29"/>
        <v>197.2</v>
      </c>
      <c r="I61" s="157">
        <f t="shared" si="29"/>
        <v>210.4</v>
      </c>
      <c r="J61" s="154"/>
      <c r="K61" s="153"/>
      <c r="L61" s="152"/>
      <c r="M61" s="161">
        <f t="shared" si="21"/>
        <v>1204.1880014021069</v>
      </c>
      <c r="N61" s="155">
        <v>8.0208999999999993</v>
      </c>
      <c r="O61" s="156">
        <f t="shared" si="13"/>
        <v>0.71355172148533519</v>
      </c>
      <c r="P61" s="154">
        <f t="shared" si="14"/>
        <v>6.7870967741935484</v>
      </c>
      <c r="Q61" s="152">
        <f>COUNTIFS('Daily KPI'!$D:$D,D61,'Daily KPI'!$O:$O,"&gt;0")</f>
        <v>0</v>
      </c>
      <c r="R61" s="155">
        <f t="shared" si="15"/>
        <v>0</v>
      </c>
      <c r="S61" s="163">
        <f>SUMIF($F$2:F61,F61,$R$2:R61)</f>
        <v>0</v>
      </c>
      <c r="T61" s="154">
        <f t="shared" si="16"/>
        <v>38.844774238777646</v>
      </c>
      <c r="U61" s="155">
        <f t="shared" si="17"/>
        <v>0</v>
      </c>
      <c r="V61" s="163">
        <f>SUMIF($F$2:F61,F61,$U$2:U61)</f>
        <v>0</v>
      </c>
      <c r="W61" s="156">
        <f t="shared" si="18"/>
        <v>0.20178935779639051</v>
      </c>
      <c r="X61" s="156" t="str">
        <f t="shared" si="27"/>
        <v/>
      </c>
      <c r="Y61" s="156" t="str">
        <f t="shared" si="9"/>
        <v/>
      </c>
      <c r="Z61" s="154" t="str">
        <f>IFERROR(AVERAGEIF('Daily KPI'!$D:$D,Table14[[#This Row],[Month]],'Daily KPI'!$AB:$AB),"")</f>
        <v/>
      </c>
      <c r="AA61" s="164">
        <f>IFERROR(AVERAGEIF($F$2:F61,F61,$N$2:N61),"")</f>
        <v>8.0208999999999993</v>
      </c>
      <c r="AB61" s="155"/>
      <c r="AC61" s="154"/>
      <c r="AD61" s="165"/>
      <c r="AE61" s="156">
        <v>0.98040000000000005</v>
      </c>
      <c r="AF61" s="156">
        <v>0.98</v>
      </c>
      <c r="AG61" s="156"/>
      <c r="AH61" s="156"/>
      <c r="AI61" s="156"/>
      <c r="AJ61" s="156"/>
      <c r="AK61" s="156"/>
      <c r="AL61" s="156"/>
      <c r="AM61" s="183"/>
      <c r="AN61" s="183"/>
    </row>
    <row r="62" spans="1:40" x14ac:dyDescent="0.3">
      <c r="A62" s="148">
        <f t="shared" si="10"/>
        <v>61</v>
      </c>
      <c r="B62" s="149" t="str">
        <f t="shared" si="28"/>
        <v>April</v>
      </c>
      <c r="C62" s="149">
        <f t="shared" si="28"/>
        <v>4</v>
      </c>
      <c r="D62" s="150">
        <v>45017</v>
      </c>
      <c r="E62" s="151">
        <f t="shared" si="24"/>
        <v>2023</v>
      </c>
      <c r="F62" s="151" t="s">
        <v>1180</v>
      </c>
      <c r="G62" s="152">
        <f t="shared" si="23"/>
        <v>30</v>
      </c>
      <c r="H62" s="157">
        <f t="shared" si="29"/>
        <v>193.6</v>
      </c>
      <c r="I62" s="157">
        <f t="shared" si="29"/>
        <v>191.7</v>
      </c>
      <c r="J62" s="154"/>
      <c r="K62" s="153"/>
      <c r="L62" s="152"/>
      <c r="M62" s="161">
        <f t="shared" si="21"/>
        <v>1055.6537985859879</v>
      </c>
      <c r="N62" s="155">
        <v>8.0208999999999993</v>
      </c>
      <c r="O62" s="156">
        <f t="shared" si="13"/>
        <v>0.68655652664663702</v>
      </c>
      <c r="P62" s="154">
        <f t="shared" si="14"/>
        <v>6.39</v>
      </c>
      <c r="Q62" s="152">
        <f>COUNTIFS('Daily KPI'!$D:$D,D62,'Daily KPI'!$O:$O,"&gt;0")</f>
        <v>0</v>
      </c>
      <c r="R62" s="155">
        <f t="shared" si="15"/>
        <v>0</v>
      </c>
      <c r="S62" s="163">
        <f>SUMIF($F$2:F62,F62,$R$2:R62)</f>
        <v>0</v>
      </c>
      <c r="T62" s="154">
        <f t="shared" si="16"/>
        <v>35.188459952866268</v>
      </c>
      <c r="U62" s="155">
        <f t="shared" si="17"/>
        <v>0</v>
      </c>
      <c r="V62" s="163">
        <f>SUMIF($F$2:F62,F62,$U$2:U62)</f>
        <v>0</v>
      </c>
      <c r="W62" s="156">
        <f t="shared" si="18"/>
        <v>0.18279567521966711</v>
      </c>
      <c r="X62" s="156" t="str">
        <f t="shared" si="27"/>
        <v/>
      </c>
      <c r="Y62" s="156" t="str">
        <f t="shared" si="9"/>
        <v/>
      </c>
      <c r="Z62" s="154" t="str">
        <f>IFERROR(AVERAGEIF('Daily KPI'!$D:$D,Table14[[#This Row],[Month]],'Daily KPI'!$AB:$AB),"")</f>
        <v/>
      </c>
      <c r="AA62" s="164">
        <f>IFERROR(AVERAGEIF($F$2:F62,F62,$N$2:N62),"")</f>
        <v>8.0208999999999993</v>
      </c>
      <c r="AB62" s="155"/>
      <c r="AC62" s="154"/>
      <c r="AD62" s="165"/>
      <c r="AE62" s="156">
        <v>0.98040000000000005</v>
      </c>
      <c r="AF62" s="156">
        <v>0.98</v>
      </c>
      <c r="AG62" s="156"/>
      <c r="AH62" s="156"/>
      <c r="AI62" s="156"/>
      <c r="AJ62" s="156"/>
      <c r="AK62" s="156"/>
      <c r="AL62" s="156"/>
      <c r="AM62" s="183"/>
      <c r="AN62" s="183"/>
    </row>
    <row r="63" spans="1:40" x14ac:dyDescent="0.3">
      <c r="A63" s="148">
        <f t="shared" si="10"/>
        <v>62</v>
      </c>
      <c r="B63" s="149" t="str">
        <f t="shared" ref="B63:C78" si="30">B51</f>
        <v>May</v>
      </c>
      <c r="C63" s="149">
        <f t="shared" si="30"/>
        <v>5</v>
      </c>
      <c r="D63" s="150">
        <v>45047</v>
      </c>
      <c r="E63" s="151">
        <f t="shared" si="24"/>
        <v>2023</v>
      </c>
      <c r="F63" s="151" t="s">
        <v>1180</v>
      </c>
      <c r="G63" s="152">
        <f t="shared" si="23"/>
        <v>31</v>
      </c>
      <c r="H63" s="157">
        <f t="shared" ref="H63:I78" si="31">H51</f>
        <v>198.6</v>
      </c>
      <c r="I63" s="157">
        <f t="shared" si="31"/>
        <v>186.4</v>
      </c>
      <c r="J63" s="154"/>
      <c r="K63" s="153"/>
      <c r="L63" s="152"/>
      <c r="M63" s="161">
        <f t="shared" si="21"/>
        <v>1060.9585915437065</v>
      </c>
      <c r="N63" s="155">
        <v>8.0208999999999993</v>
      </c>
      <c r="O63" s="156">
        <f t="shared" si="13"/>
        <v>0.70962584466409462</v>
      </c>
      <c r="P63" s="154">
        <f t="shared" si="14"/>
        <v>6.0129032258064514</v>
      </c>
      <c r="Q63" s="152">
        <f>COUNTIFS('Daily KPI'!$D:$D,D63,'Daily KPI'!$O:$O,"&gt;0")</f>
        <v>0</v>
      </c>
      <c r="R63" s="155">
        <f t="shared" si="15"/>
        <v>0</v>
      </c>
      <c r="S63" s="163">
        <f>SUMIF($F$2:F63,F63,$R$2:R63)</f>
        <v>0</v>
      </c>
      <c r="T63" s="154">
        <f t="shared" si="16"/>
        <v>34.224470694958271</v>
      </c>
      <c r="U63" s="155">
        <f t="shared" si="17"/>
        <v>0</v>
      </c>
      <c r="V63" s="163">
        <f>SUMIF($F$2:F63,F63,$U$2:U63)</f>
        <v>0</v>
      </c>
      <c r="W63" s="156">
        <f t="shared" si="18"/>
        <v>0.17778798043734842</v>
      </c>
      <c r="X63" s="156" t="str">
        <f t="shared" si="27"/>
        <v/>
      </c>
      <c r="Y63" s="156" t="str">
        <f t="shared" si="9"/>
        <v/>
      </c>
      <c r="Z63" s="154" t="str">
        <f>IFERROR(AVERAGEIF('Daily KPI'!$D:$D,Table14[[#This Row],[Month]],'Daily KPI'!$AB:$AB),"")</f>
        <v/>
      </c>
      <c r="AA63" s="164">
        <f>IFERROR(AVERAGEIF($F$2:F63,F63,$N$2:N63),"")</f>
        <v>8.0208999999999993</v>
      </c>
      <c r="AB63" s="155"/>
      <c r="AC63" s="154"/>
      <c r="AD63" s="165"/>
      <c r="AE63" s="156">
        <v>0.98040000000000005</v>
      </c>
      <c r="AF63" s="156">
        <v>0.98</v>
      </c>
      <c r="AG63" s="156"/>
      <c r="AH63" s="156"/>
      <c r="AI63" s="156"/>
      <c r="AJ63" s="156"/>
      <c r="AK63" s="156"/>
      <c r="AL63" s="156"/>
      <c r="AM63" s="183"/>
      <c r="AN63" s="183"/>
    </row>
    <row r="64" spans="1:40" x14ac:dyDescent="0.3">
      <c r="A64" s="148">
        <f t="shared" si="10"/>
        <v>63</v>
      </c>
      <c r="B64" s="149" t="str">
        <f t="shared" si="30"/>
        <v>June</v>
      </c>
      <c r="C64" s="149">
        <f t="shared" si="30"/>
        <v>6</v>
      </c>
      <c r="D64" s="150">
        <v>45078</v>
      </c>
      <c r="E64" s="151">
        <f t="shared" si="24"/>
        <v>2023</v>
      </c>
      <c r="F64" s="151" t="s">
        <v>1180</v>
      </c>
      <c r="G64" s="152">
        <f t="shared" si="23"/>
        <v>30</v>
      </c>
      <c r="H64" s="157">
        <f t="shared" si="31"/>
        <v>154.80000000000001</v>
      </c>
      <c r="I64" s="157">
        <f t="shared" si="31"/>
        <v>142.80000000000001</v>
      </c>
      <c r="J64" s="154"/>
      <c r="K64" s="153"/>
      <c r="L64" s="152"/>
      <c r="M64" s="161">
        <f t="shared" si="21"/>
        <v>790.41415070006133</v>
      </c>
      <c r="N64" s="155">
        <v>8.0208999999999993</v>
      </c>
      <c r="O64" s="156">
        <f t="shared" si="13"/>
        <v>0.6900862870925315</v>
      </c>
      <c r="P64" s="154">
        <f t="shared" si="14"/>
        <v>4.7600000000000007</v>
      </c>
      <c r="Q64" s="152">
        <f>COUNTIFS('Daily KPI'!$D:$D,D64,'Daily KPI'!$O:$O,"&gt;0")</f>
        <v>0</v>
      </c>
      <c r="R64" s="155">
        <f t="shared" si="15"/>
        <v>0</v>
      </c>
      <c r="S64" s="163">
        <f>SUMIF($F$2:F64,F64,$R$2:R64)</f>
        <v>0</v>
      </c>
      <c r="T64" s="154">
        <f t="shared" si="16"/>
        <v>26.347138356668712</v>
      </c>
      <c r="U64" s="155">
        <f t="shared" si="17"/>
        <v>0</v>
      </c>
      <c r="V64" s="163">
        <f>SUMIF($F$2:F64,F64,$U$2:U64)</f>
        <v>0</v>
      </c>
      <c r="W64" s="156">
        <f t="shared" si="18"/>
        <v>0.13686711360668541</v>
      </c>
      <c r="X64" s="156" t="str">
        <f t="shared" si="27"/>
        <v/>
      </c>
      <c r="Y64" s="156" t="str">
        <f t="shared" si="9"/>
        <v/>
      </c>
      <c r="Z64" s="154" t="str">
        <f>IFERROR(AVERAGEIF('Daily KPI'!$D:$D,Table14[[#This Row],[Month]],'Daily KPI'!$AB:$AB),"")</f>
        <v/>
      </c>
      <c r="AA64" s="164">
        <f>IFERROR(AVERAGEIF($F$2:F64,F64,$N$2:N64),"")</f>
        <v>8.0208999999999993</v>
      </c>
      <c r="AB64" s="155"/>
      <c r="AC64" s="154"/>
      <c r="AD64" s="165"/>
      <c r="AE64" s="156">
        <v>0.98040000000000005</v>
      </c>
      <c r="AF64" s="156">
        <v>0.98</v>
      </c>
      <c r="AG64" s="156"/>
      <c r="AH64" s="156"/>
      <c r="AI64" s="156"/>
      <c r="AJ64" s="156"/>
      <c r="AK64" s="156"/>
      <c r="AL64" s="156"/>
      <c r="AM64" s="183"/>
      <c r="AN64" s="183"/>
    </row>
    <row r="65" spans="1:40" x14ac:dyDescent="0.3">
      <c r="A65" s="148">
        <f t="shared" si="10"/>
        <v>64</v>
      </c>
      <c r="B65" s="149" t="str">
        <f t="shared" si="30"/>
        <v>July</v>
      </c>
      <c r="C65" s="149">
        <f t="shared" si="30"/>
        <v>7</v>
      </c>
      <c r="D65" s="150">
        <v>45108</v>
      </c>
      <c r="E65" s="151">
        <f t="shared" si="24"/>
        <v>2023</v>
      </c>
      <c r="F65" s="151" t="s">
        <v>1180</v>
      </c>
      <c r="G65" s="152">
        <f t="shared" si="23"/>
        <v>31</v>
      </c>
      <c r="H65" s="157">
        <f t="shared" si="31"/>
        <v>134.4</v>
      </c>
      <c r="I65" s="157">
        <f t="shared" si="31"/>
        <v>125.4</v>
      </c>
      <c r="J65" s="154"/>
      <c r="K65" s="153"/>
      <c r="L65" s="152"/>
      <c r="M65" s="161">
        <f t="shared" si="21"/>
        <v>721.45184224972047</v>
      </c>
      <c r="N65" s="155">
        <v>8.0208999999999993</v>
      </c>
      <c r="O65" s="156">
        <f t="shared" si="13"/>
        <v>0.71727667514245075</v>
      </c>
      <c r="P65" s="154">
        <f t="shared" si="14"/>
        <v>4.0451612903225804</v>
      </c>
      <c r="Q65" s="152">
        <f>COUNTIFS('Daily KPI'!$D:$D,D65,'Daily KPI'!$O:$O,"&gt;0")</f>
        <v>0</v>
      </c>
      <c r="R65" s="155">
        <f t="shared" si="15"/>
        <v>0</v>
      </c>
      <c r="S65" s="163">
        <f>SUMIF($F$2:F65,F65,$R$2:R65)</f>
        <v>0</v>
      </c>
      <c r="T65" s="154">
        <f t="shared" si="16"/>
        <v>23.27264007257163</v>
      </c>
      <c r="U65" s="155">
        <f t="shared" si="17"/>
        <v>0</v>
      </c>
      <c r="V65" s="163">
        <f>SUMIF($F$2:F65,F65,$U$2:U65)</f>
        <v>0</v>
      </c>
      <c r="W65" s="156">
        <f t="shared" si="18"/>
        <v>0.12089582669739696</v>
      </c>
      <c r="X65" s="156" t="str">
        <f t="shared" si="27"/>
        <v/>
      </c>
      <c r="Y65" s="156" t="str">
        <f t="shared" si="9"/>
        <v/>
      </c>
      <c r="Z65" s="154" t="str">
        <f>IFERROR(AVERAGEIF('Daily KPI'!$D:$D,Table14[[#This Row],[Month]],'Daily KPI'!$AB:$AB),"")</f>
        <v/>
      </c>
      <c r="AA65" s="164">
        <f>IFERROR(AVERAGEIF($F$2:F65,F65,$N$2:N65),"")</f>
        <v>8.0208999999999993</v>
      </c>
      <c r="AB65" s="155"/>
      <c r="AC65" s="154"/>
      <c r="AD65" s="165"/>
      <c r="AE65" s="156">
        <v>0.98040000000000005</v>
      </c>
      <c r="AF65" s="156">
        <v>0.98</v>
      </c>
      <c r="AG65" s="156"/>
      <c r="AH65" s="156"/>
      <c r="AI65" s="156"/>
      <c r="AJ65" s="156"/>
      <c r="AK65" s="156"/>
      <c r="AL65" s="156"/>
      <c r="AM65" s="183"/>
      <c r="AN65" s="183"/>
    </row>
    <row r="66" spans="1:40" x14ac:dyDescent="0.3">
      <c r="A66" s="148">
        <f t="shared" si="10"/>
        <v>65</v>
      </c>
      <c r="B66" s="149" t="str">
        <f t="shared" si="30"/>
        <v>August</v>
      </c>
      <c r="C66" s="149">
        <f t="shared" si="30"/>
        <v>8</v>
      </c>
      <c r="D66" s="150">
        <v>45139</v>
      </c>
      <c r="E66" s="151">
        <f t="shared" si="24"/>
        <v>2023</v>
      </c>
      <c r="F66" s="151" t="s">
        <v>1180</v>
      </c>
      <c r="G66" s="152">
        <f t="shared" si="23"/>
        <v>31</v>
      </c>
      <c r="H66" s="157">
        <f t="shared" si="31"/>
        <v>134.6</v>
      </c>
      <c r="I66" s="157">
        <f t="shared" si="31"/>
        <v>130.69999999999999</v>
      </c>
      <c r="J66" s="154"/>
      <c r="K66" s="153"/>
      <c r="L66" s="152"/>
      <c r="M66" s="161">
        <f t="shared" si="21"/>
        <v>763.89018591146873</v>
      </c>
      <c r="N66" s="155">
        <v>8.0208999999999993</v>
      </c>
      <c r="O66" s="156">
        <f t="shared" si="13"/>
        <v>0.72867226748797886</v>
      </c>
      <c r="P66" s="154">
        <f t="shared" si="14"/>
        <v>4.2161290322580642</v>
      </c>
      <c r="Q66" s="152">
        <f>COUNTIFS('Daily KPI'!$D:$D,D66,'Daily KPI'!$O:$O,"&gt;0")</f>
        <v>0</v>
      </c>
      <c r="R66" s="155">
        <f t="shared" si="15"/>
        <v>0</v>
      </c>
      <c r="S66" s="163">
        <f>SUMIF($F$2:F66,F66,$R$2:R66)</f>
        <v>0</v>
      </c>
      <c r="T66" s="154">
        <f t="shared" si="16"/>
        <v>24.641618900369959</v>
      </c>
      <c r="U66" s="155">
        <f t="shared" si="17"/>
        <v>0</v>
      </c>
      <c r="V66" s="163">
        <f>SUMIF($F$2:F66,F66,$U$2:U66)</f>
        <v>0</v>
      </c>
      <c r="W66" s="156">
        <f t="shared" si="18"/>
        <v>0.12800734591489088</v>
      </c>
      <c r="X66" s="156" t="str">
        <f t="shared" ref="X66:X97" si="32">IFERROR(U66/(24*N66*Q66),"")</f>
        <v/>
      </c>
      <c r="Y66" s="156" t="str">
        <f t="shared" ref="Y66:Y97" si="33">IFERROR(V66/(24*N66*SUMIFS($Q:$Q,$F:$F,$F66,$D:$D,"&lt;="&amp;D66)),"")</f>
        <v/>
      </c>
      <c r="Z66" s="154" t="str">
        <f>IFERROR(AVERAGEIF('Daily KPI'!$D:$D,Table14[[#This Row],[Month]],'Daily KPI'!$AB:$AB),"")</f>
        <v/>
      </c>
      <c r="AA66" s="164">
        <f>IFERROR(AVERAGEIF($F$2:F66,F66,$N$2:N66),"")</f>
        <v>8.0208999999999993</v>
      </c>
      <c r="AB66" s="155"/>
      <c r="AC66" s="154"/>
      <c r="AD66" s="165"/>
      <c r="AE66" s="156">
        <v>0.98040000000000005</v>
      </c>
      <c r="AF66" s="156">
        <v>0.98</v>
      </c>
      <c r="AG66" s="156"/>
      <c r="AH66" s="156"/>
      <c r="AI66" s="156"/>
      <c r="AJ66" s="156"/>
      <c r="AK66" s="156"/>
      <c r="AL66" s="156"/>
      <c r="AM66" s="183"/>
      <c r="AN66" s="183"/>
    </row>
    <row r="67" spans="1:40" x14ac:dyDescent="0.3">
      <c r="A67" s="148">
        <f t="shared" ref="A67:A97" si="34">A66+1</f>
        <v>66</v>
      </c>
      <c r="B67" s="149" t="str">
        <f t="shared" si="30"/>
        <v>September</v>
      </c>
      <c r="C67" s="149">
        <f t="shared" si="30"/>
        <v>9</v>
      </c>
      <c r="D67" s="150">
        <v>45170</v>
      </c>
      <c r="E67" s="151">
        <f t="shared" si="24"/>
        <v>2023</v>
      </c>
      <c r="F67" s="151" t="s">
        <v>1180</v>
      </c>
      <c r="G67" s="152">
        <f t="shared" si="23"/>
        <v>30</v>
      </c>
      <c r="H67" s="157">
        <f t="shared" si="31"/>
        <v>142.5</v>
      </c>
      <c r="I67" s="157">
        <f t="shared" si="31"/>
        <v>145.4</v>
      </c>
      <c r="J67" s="154"/>
      <c r="K67" s="153"/>
      <c r="L67" s="152"/>
      <c r="M67" s="161">
        <f t="shared" si="21"/>
        <v>827.54770140409107</v>
      </c>
      <c r="N67" s="155">
        <v>8.0208999999999993</v>
      </c>
      <c r="O67" s="156">
        <f t="shared" si="13"/>
        <v>0.70958680060111445</v>
      </c>
      <c r="P67" s="154">
        <f t="shared" si="14"/>
        <v>4.8466666666666667</v>
      </c>
      <c r="Q67" s="152">
        <f>COUNTIFS('Daily KPI'!$D:$D,D67,'Daily KPI'!$O:$O,"&gt;0")</f>
        <v>0</v>
      </c>
      <c r="R67" s="155">
        <f t="shared" si="15"/>
        <v>0</v>
      </c>
      <c r="S67" s="163">
        <f>SUMIF($F$2:F67,F67,$R$2:R67)</f>
        <v>0</v>
      </c>
      <c r="T67" s="154">
        <f t="shared" si="16"/>
        <v>27.58492338013637</v>
      </c>
      <c r="U67" s="155">
        <f t="shared" si="17"/>
        <v>0</v>
      </c>
      <c r="V67" s="163">
        <f>SUMIF($F$2:F67,F67,$U$2:U67)</f>
        <v>0</v>
      </c>
      <c r="W67" s="156">
        <f t="shared" si="18"/>
        <v>0.14329711223250285</v>
      </c>
      <c r="X67" s="156" t="str">
        <f t="shared" si="32"/>
        <v/>
      </c>
      <c r="Y67" s="156" t="str">
        <f t="shared" si="33"/>
        <v/>
      </c>
      <c r="Z67" s="154" t="str">
        <f>IFERROR(AVERAGEIF('Daily KPI'!$D:$D,Table14[[#This Row],[Month]],'Daily KPI'!$AB:$AB),"")</f>
        <v/>
      </c>
      <c r="AA67" s="164">
        <f>IFERROR(AVERAGEIF($F$2:F67,F67,$N$2:N67),"")</f>
        <v>8.0208999999999993</v>
      </c>
      <c r="AB67" s="155"/>
      <c r="AC67" s="154"/>
      <c r="AD67" s="165"/>
      <c r="AE67" s="156">
        <v>0.98040000000000005</v>
      </c>
      <c r="AF67" s="156">
        <v>0.98</v>
      </c>
      <c r="AG67" s="156"/>
      <c r="AH67" s="156"/>
      <c r="AI67" s="156"/>
      <c r="AJ67" s="156"/>
      <c r="AK67" s="156"/>
      <c r="AL67" s="156"/>
      <c r="AM67" s="183"/>
      <c r="AN67" s="183"/>
    </row>
    <row r="68" spans="1:40" x14ac:dyDescent="0.3">
      <c r="A68" s="148">
        <f t="shared" si="34"/>
        <v>67</v>
      </c>
      <c r="B68" s="149" t="str">
        <f t="shared" si="30"/>
        <v>October</v>
      </c>
      <c r="C68" s="149">
        <f t="shared" si="30"/>
        <v>10</v>
      </c>
      <c r="D68" s="150">
        <v>45200</v>
      </c>
      <c r="E68" s="151">
        <f t="shared" si="24"/>
        <v>2023</v>
      </c>
      <c r="F68" s="151" t="s">
        <v>1180</v>
      </c>
      <c r="G68" s="152">
        <f t="shared" si="23"/>
        <v>31</v>
      </c>
      <c r="H68" s="157">
        <f t="shared" si="31"/>
        <v>145.69999999999999</v>
      </c>
      <c r="I68" s="157">
        <f t="shared" si="31"/>
        <v>158.80000000000001</v>
      </c>
      <c r="J68" s="154"/>
      <c r="K68" s="153"/>
      <c r="L68" s="152"/>
      <c r="M68" s="161">
        <f t="shared" si="21"/>
        <v>938.9483535161803</v>
      </c>
      <c r="N68" s="155">
        <v>8.0208999999999993</v>
      </c>
      <c r="O68" s="156">
        <f t="shared" si="13"/>
        <v>0.73717076724916697</v>
      </c>
      <c r="P68" s="154">
        <f t="shared" si="14"/>
        <v>5.1225806451612907</v>
      </c>
      <c r="Q68" s="152">
        <f>COUNTIFS('Daily KPI'!$D:$D,D68,'Daily KPI'!$O:$O,"&gt;0")</f>
        <v>0</v>
      </c>
      <c r="R68" s="155">
        <f t="shared" si="15"/>
        <v>0</v>
      </c>
      <c r="S68" s="163">
        <f>SUMIF($F$2:F68,F68,$R$2:R68)</f>
        <v>0</v>
      </c>
      <c r="T68" s="154">
        <f t="shared" si="16"/>
        <v>30.288656565038075</v>
      </c>
      <c r="U68" s="155">
        <f t="shared" si="17"/>
        <v>0</v>
      </c>
      <c r="V68" s="163">
        <f>SUMIF($F$2:F68,F68,$U$2:U68)</f>
        <v>0</v>
      </c>
      <c r="W68" s="156">
        <f t="shared" si="18"/>
        <v>0.15734236268705337</v>
      </c>
      <c r="X68" s="156" t="str">
        <f t="shared" si="32"/>
        <v/>
      </c>
      <c r="Y68" s="156" t="str">
        <f t="shared" si="33"/>
        <v/>
      </c>
      <c r="Z68" s="154" t="str">
        <f>IFERROR(AVERAGEIF('Daily KPI'!$D:$D,Table14[[#This Row],[Month]],'Daily KPI'!$AB:$AB),"")</f>
        <v/>
      </c>
      <c r="AA68" s="164">
        <f>IFERROR(AVERAGEIF($F$2:F68,F68,$N$2:N68),"")</f>
        <v>8.0208999999999993</v>
      </c>
      <c r="AB68" s="155"/>
      <c r="AC68" s="154"/>
      <c r="AD68" s="165"/>
      <c r="AE68" s="156">
        <v>0.98040000000000005</v>
      </c>
      <c r="AF68" s="156">
        <v>0.98</v>
      </c>
      <c r="AG68" s="156"/>
      <c r="AH68" s="156"/>
      <c r="AI68" s="156"/>
      <c r="AJ68" s="156"/>
      <c r="AK68" s="156"/>
      <c r="AL68" s="156"/>
      <c r="AM68" s="183"/>
      <c r="AN68" s="183"/>
    </row>
    <row r="69" spans="1:40" x14ac:dyDescent="0.3">
      <c r="A69" s="148">
        <f t="shared" si="34"/>
        <v>68</v>
      </c>
      <c r="B69" s="149" t="str">
        <f t="shared" si="30"/>
        <v>November</v>
      </c>
      <c r="C69" s="149">
        <f t="shared" si="30"/>
        <v>11</v>
      </c>
      <c r="D69" s="150">
        <v>45231</v>
      </c>
      <c r="E69" s="151">
        <f t="shared" si="24"/>
        <v>2023</v>
      </c>
      <c r="F69" s="151" t="s">
        <v>1180</v>
      </c>
      <c r="G69" s="152">
        <f t="shared" si="23"/>
        <v>30</v>
      </c>
      <c r="H69" s="157">
        <f t="shared" si="31"/>
        <v>138.9</v>
      </c>
      <c r="I69" s="157">
        <f t="shared" si="31"/>
        <v>163</v>
      </c>
      <c r="J69" s="154"/>
      <c r="K69" s="153"/>
      <c r="L69" s="152"/>
      <c r="M69" s="161">
        <f t="shared" si="21"/>
        <v>944.25314647389882</v>
      </c>
      <c r="N69" s="155">
        <v>8.0208999999999993</v>
      </c>
      <c r="O69" s="156">
        <f t="shared" si="13"/>
        <v>0.7222336756220531</v>
      </c>
      <c r="P69" s="154">
        <f t="shared" si="14"/>
        <v>5.4333333333333336</v>
      </c>
      <c r="Q69" s="152">
        <f>COUNTIFS('Daily KPI'!$D:$D,D69,'Daily KPI'!$O:$O,"&gt;0")</f>
        <v>0</v>
      </c>
      <c r="R69" s="155">
        <f t="shared" si="15"/>
        <v>0</v>
      </c>
      <c r="S69" s="163">
        <f>SUMIF($F$2:F69,F69,$R$2:R69)</f>
        <v>0</v>
      </c>
      <c r="T69" s="154">
        <f t="shared" si="16"/>
        <v>31.475104882463295</v>
      </c>
      <c r="U69" s="155">
        <f t="shared" si="17"/>
        <v>0</v>
      </c>
      <c r="V69" s="163">
        <f>SUMIF($F$2:F69,F69,$U$2:U69)</f>
        <v>0</v>
      </c>
      <c r="W69" s="156">
        <f t="shared" si="18"/>
        <v>0.1635056793422148</v>
      </c>
      <c r="X69" s="156" t="str">
        <f t="shared" si="32"/>
        <v/>
      </c>
      <c r="Y69" s="156" t="str">
        <f t="shared" si="33"/>
        <v/>
      </c>
      <c r="Z69" s="154" t="str">
        <f>IFERROR(AVERAGEIF('Daily KPI'!$D:$D,Table14[[#This Row],[Month]],'Daily KPI'!$AB:$AB),"")</f>
        <v/>
      </c>
      <c r="AA69" s="164">
        <f>IFERROR(AVERAGEIF($F$2:F69,F69,$N$2:N69),"")</f>
        <v>8.0208999999999993</v>
      </c>
      <c r="AB69" s="155"/>
      <c r="AC69" s="154"/>
      <c r="AD69" s="165"/>
      <c r="AE69" s="156">
        <v>0.98040000000000005</v>
      </c>
      <c r="AF69" s="156">
        <v>0.98</v>
      </c>
      <c r="AG69" s="156"/>
      <c r="AH69" s="156"/>
      <c r="AI69" s="156"/>
      <c r="AJ69" s="156"/>
      <c r="AK69" s="156"/>
      <c r="AL69" s="156"/>
      <c r="AM69" s="183"/>
      <c r="AN69" s="183"/>
    </row>
    <row r="70" spans="1:40" x14ac:dyDescent="0.3">
      <c r="A70" s="148">
        <f t="shared" si="34"/>
        <v>69</v>
      </c>
      <c r="B70" s="149" t="str">
        <f t="shared" si="30"/>
        <v>December</v>
      </c>
      <c r="C70" s="149">
        <f t="shared" si="30"/>
        <v>12</v>
      </c>
      <c r="D70" s="150">
        <v>45261</v>
      </c>
      <c r="E70" s="151">
        <f t="shared" si="24"/>
        <v>2023</v>
      </c>
      <c r="F70" s="151" t="s">
        <v>1180</v>
      </c>
      <c r="G70" s="152">
        <f t="shared" si="23"/>
        <v>31</v>
      </c>
      <c r="H70" s="157">
        <f t="shared" si="31"/>
        <v>134.69999999999999</v>
      </c>
      <c r="I70" s="157">
        <f t="shared" si="31"/>
        <v>163.69999999999999</v>
      </c>
      <c r="J70" s="154"/>
      <c r="K70" s="153"/>
      <c r="L70" s="152"/>
      <c r="M70" s="161">
        <f t="shared" si="21"/>
        <v>981.38669717792857</v>
      </c>
      <c r="N70" s="155">
        <v>8.0208999999999993</v>
      </c>
      <c r="O70" s="156">
        <f t="shared" ref="O70:O96" si="35">IFERROR(M70/I70/N70,"")</f>
        <v>0.74742631726929265</v>
      </c>
      <c r="P70" s="154">
        <f t="shared" ref="P70:P96" si="36">IFERROR(I70/G70,"")</f>
        <v>5.2806451612903222</v>
      </c>
      <c r="Q70" s="152">
        <f>COUNTIFS('Daily KPI'!$D:$D,D70,'Daily KPI'!$O:$O,"&gt;0")</f>
        <v>0</v>
      </c>
      <c r="R70" s="155">
        <f t="shared" ref="R70:R96" si="37">I70/G70*Q70</f>
        <v>0</v>
      </c>
      <c r="S70" s="163">
        <f>SUMIF($F$2:F70,F70,$R$2:R70)</f>
        <v>0</v>
      </c>
      <c r="T70" s="154">
        <f t="shared" ref="T70:T96" si="38">M70/G70</f>
        <v>31.657635392836404</v>
      </c>
      <c r="U70" s="155">
        <f t="shared" ref="U70:U96" si="39">M70/G70*Q70</f>
        <v>0</v>
      </c>
      <c r="V70" s="163">
        <f>SUMIF($F$2:F70,F70,$U$2:U70)</f>
        <v>0</v>
      </c>
      <c r="W70" s="156">
        <f t="shared" ref="W70:W96" si="40">IFERROR(T70/(24*N70),"")</f>
        <v>0.16445388190454732</v>
      </c>
      <c r="X70" s="156" t="str">
        <f t="shared" si="32"/>
        <v/>
      </c>
      <c r="Y70" s="156" t="str">
        <f t="shared" si="33"/>
        <v/>
      </c>
      <c r="Z70" s="154" t="str">
        <f>IFERROR(AVERAGEIF('Daily KPI'!$D:$D,Table14[[#This Row],[Month]],'Daily KPI'!$AB:$AB),"")</f>
        <v/>
      </c>
      <c r="AA70" s="164">
        <f>IFERROR(AVERAGEIF($F$2:F70,F70,$N$2:N70),"")</f>
        <v>8.0208999999999993</v>
      </c>
      <c r="AB70" s="155"/>
      <c r="AC70" s="154"/>
      <c r="AD70" s="165"/>
      <c r="AE70" s="156">
        <v>0.98040000000000005</v>
      </c>
      <c r="AF70" s="156">
        <v>0.98</v>
      </c>
      <c r="AG70" s="156"/>
      <c r="AH70" s="156"/>
      <c r="AI70" s="156"/>
      <c r="AJ70" s="156"/>
      <c r="AK70" s="156"/>
      <c r="AL70" s="156"/>
      <c r="AM70" s="183"/>
      <c r="AN70" s="183"/>
    </row>
    <row r="71" spans="1:40" x14ac:dyDescent="0.3">
      <c r="A71" s="148">
        <f t="shared" si="34"/>
        <v>70</v>
      </c>
      <c r="B71" s="149" t="str">
        <f t="shared" si="30"/>
        <v>January</v>
      </c>
      <c r="C71" s="149">
        <f t="shared" si="30"/>
        <v>1</v>
      </c>
      <c r="D71" s="150">
        <v>45292</v>
      </c>
      <c r="E71" s="151">
        <f t="shared" si="24"/>
        <v>2024</v>
      </c>
      <c r="F71" s="151" t="s">
        <v>1180</v>
      </c>
      <c r="G71" s="152">
        <f t="shared" si="23"/>
        <v>31</v>
      </c>
      <c r="H71" s="157">
        <f t="shared" si="31"/>
        <v>151.6</v>
      </c>
      <c r="I71" s="157">
        <f t="shared" si="31"/>
        <v>183.9</v>
      </c>
      <c r="J71" s="154"/>
      <c r="K71" s="153"/>
      <c r="L71" s="152"/>
      <c r="M71" s="161">
        <f t="shared" si="21"/>
        <v>1087.4825563322993</v>
      </c>
      <c r="N71" s="155">
        <v>8.0208999999999993</v>
      </c>
      <c r="O71" s="156">
        <f t="shared" si="35"/>
        <v>0.73725456161784642</v>
      </c>
      <c r="P71" s="154">
        <f t="shared" si="36"/>
        <v>5.9322580645161294</v>
      </c>
      <c r="Q71" s="152">
        <f>COUNTIFS('Daily KPI'!$D:$D,D71,'Daily KPI'!$O:$O,"&gt;0")</f>
        <v>0</v>
      </c>
      <c r="R71" s="155">
        <f t="shared" si="37"/>
        <v>0</v>
      </c>
      <c r="S71" s="163">
        <f>SUMIF($F$2:F71,F71,$R$2:R71)</f>
        <v>0</v>
      </c>
      <c r="T71" s="154">
        <f t="shared" si="38"/>
        <v>35.080082462332236</v>
      </c>
      <c r="U71" s="155">
        <f t="shared" si="39"/>
        <v>0</v>
      </c>
      <c r="V71" s="163">
        <f>SUMIF($F$2:F71,F71,$U$2:U71)</f>
        <v>0</v>
      </c>
      <c r="W71" s="156">
        <f t="shared" si="40"/>
        <v>0.18223267994828218</v>
      </c>
      <c r="X71" s="156" t="str">
        <f t="shared" si="32"/>
        <v/>
      </c>
      <c r="Y71" s="156" t="str">
        <f t="shared" si="33"/>
        <v/>
      </c>
      <c r="Z71" s="154" t="str">
        <f>IFERROR(AVERAGEIF('Daily KPI'!$D:$D,Table14[[#This Row],[Month]],'Daily KPI'!$AB:$AB),"")</f>
        <v/>
      </c>
      <c r="AA71" s="164">
        <f>IFERROR(AVERAGEIF($F$2:F71,F71,$N$2:N71),"")</f>
        <v>8.0208999999999993</v>
      </c>
      <c r="AB71" s="155"/>
      <c r="AC71" s="154"/>
      <c r="AD71" s="165"/>
      <c r="AE71" s="156">
        <v>0.98040000000000005</v>
      </c>
      <c r="AF71" s="156">
        <v>0.98</v>
      </c>
      <c r="AG71" s="156"/>
      <c r="AH71" s="156"/>
      <c r="AI71" s="156"/>
      <c r="AJ71" s="156"/>
      <c r="AK71" s="156"/>
      <c r="AL71" s="156"/>
      <c r="AM71" s="183"/>
      <c r="AN71" s="183"/>
    </row>
    <row r="72" spans="1:40" x14ac:dyDescent="0.3">
      <c r="A72" s="148">
        <f t="shared" si="34"/>
        <v>71</v>
      </c>
      <c r="B72" s="149" t="str">
        <f t="shared" si="30"/>
        <v>February</v>
      </c>
      <c r="C72" s="149">
        <f t="shared" si="30"/>
        <v>2</v>
      </c>
      <c r="D72" s="150">
        <v>45323</v>
      </c>
      <c r="E72" s="151">
        <f t="shared" si="24"/>
        <v>2024</v>
      </c>
      <c r="F72" s="151" t="s">
        <v>1180</v>
      </c>
      <c r="G72" s="152">
        <f t="shared" si="23"/>
        <v>29</v>
      </c>
      <c r="H72" s="157">
        <f t="shared" si="31"/>
        <v>159.9</v>
      </c>
      <c r="I72" s="157">
        <f t="shared" si="31"/>
        <v>184</v>
      </c>
      <c r="J72" s="154"/>
      <c r="K72" s="153"/>
      <c r="L72" s="152"/>
      <c r="M72" s="161">
        <f t="shared" si="21"/>
        <v>1038.6058690088</v>
      </c>
      <c r="N72" s="155">
        <v>8.0208999999999993</v>
      </c>
      <c r="O72" s="156">
        <f t="shared" si="35"/>
        <v>0.70373612863622048</v>
      </c>
      <c r="P72" s="154">
        <f t="shared" si="36"/>
        <v>6.3448275862068968</v>
      </c>
      <c r="Q72" s="152">
        <f>COUNTIFS('Daily KPI'!$D:$D,D72,'Daily KPI'!$O:$O,"&gt;0")</f>
        <v>0</v>
      </c>
      <c r="R72" s="155">
        <f t="shared" si="37"/>
        <v>0</v>
      </c>
      <c r="S72" s="163">
        <f>SUMIF($F$2:F72,F72,$R$2:R72)</f>
        <v>0</v>
      </c>
      <c r="T72" s="154">
        <f t="shared" si="38"/>
        <v>35.813995483062072</v>
      </c>
      <c r="U72" s="155">
        <f t="shared" si="39"/>
        <v>0</v>
      </c>
      <c r="V72" s="163">
        <f>SUMIF($F$2:F72,F72,$U$2:U72)</f>
        <v>0</v>
      </c>
      <c r="W72" s="156">
        <f t="shared" si="40"/>
        <v>0.18604518343256407</v>
      </c>
      <c r="X72" s="156" t="str">
        <f t="shared" si="32"/>
        <v/>
      </c>
      <c r="Y72" s="156" t="str">
        <f t="shared" si="33"/>
        <v/>
      </c>
      <c r="Z72" s="154" t="str">
        <f>IFERROR(AVERAGEIF('Daily KPI'!$D:$D,Table14[[#This Row],[Month]],'Daily KPI'!$AB:$AB),"")</f>
        <v/>
      </c>
      <c r="AA72" s="164">
        <f>IFERROR(AVERAGEIF($F$2:F72,F72,$N$2:N72),"")</f>
        <v>8.0208999999999993</v>
      </c>
      <c r="AB72" s="155"/>
      <c r="AC72" s="154"/>
      <c r="AD72" s="165"/>
      <c r="AE72" s="156">
        <v>0.98040000000000005</v>
      </c>
      <c r="AF72" s="156">
        <v>0.98</v>
      </c>
      <c r="AG72" s="156"/>
      <c r="AH72" s="156"/>
      <c r="AI72" s="156"/>
      <c r="AJ72" s="156"/>
      <c r="AK72" s="156"/>
      <c r="AL72" s="156"/>
      <c r="AM72" s="183"/>
      <c r="AN72" s="183"/>
    </row>
    <row r="73" spans="1:40" x14ac:dyDescent="0.3">
      <c r="A73" s="148">
        <f t="shared" si="34"/>
        <v>72</v>
      </c>
      <c r="B73" s="149" t="str">
        <f t="shared" si="30"/>
        <v>March</v>
      </c>
      <c r="C73" s="149">
        <f t="shared" si="30"/>
        <v>3</v>
      </c>
      <c r="D73" s="150">
        <v>45352</v>
      </c>
      <c r="E73" s="151">
        <f t="shared" si="24"/>
        <v>2024</v>
      </c>
      <c r="F73" s="151" t="s">
        <v>1180</v>
      </c>
      <c r="G73" s="152">
        <f t="shared" si="23"/>
        <v>31</v>
      </c>
      <c r="H73" s="157">
        <f t="shared" si="31"/>
        <v>197.2</v>
      </c>
      <c r="I73" s="157">
        <f t="shared" si="31"/>
        <v>210.4</v>
      </c>
      <c r="J73" s="154"/>
      <c r="K73" s="153"/>
      <c r="L73" s="152"/>
      <c r="M73" s="161">
        <f t="shared" si="21"/>
        <v>1204.1880014021069</v>
      </c>
      <c r="N73" s="155">
        <v>8.0208999999999993</v>
      </c>
      <c r="O73" s="156">
        <f t="shared" si="35"/>
        <v>0.71355172148533519</v>
      </c>
      <c r="P73" s="154">
        <f t="shared" si="36"/>
        <v>6.7870967741935484</v>
      </c>
      <c r="Q73" s="152">
        <f>COUNTIFS('Daily KPI'!$D:$D,D73,'Daily KPI'!$O:$O,"&gt;0")</f>
        <v>0</v>
      </c>
      <c r="R73" s="155">
        <f t="shared" si="37"/>
        <v>0</v>
      </c>
      <c r="S73" s="163">
        <f>SUMIF($F$2:F73,F73,$R$2:R73)</f>
        <v>0</v>
      </c>
      <c r="T73" s="154">
        <f t="shared" si="38"/>
        <v>38.844774238777646</v>
      </c>
      <c r="U73" s="155">
        <f t="shared" si="39"/>
        <v>0</v>
      </c>
      <c r="V73" s="163">
        <f>SUMIF($F$2:F73,F73,$U$2:U73)</f>
        <v>0</v>
      </c>
      <c r="W73" s="156">
        <f t="shared" si="40"/>
        <v>0.20178935779639051</v>
      </c>
      <c r="X73" s="156" t="str">
        <f t="shared" si="32"/>
        <v/>
      </c>
      <c r="Y73" s="156" t="str">
        <f t="shared" si="33"/>
        <v/>
      </c>
      <c r="Z73" s="154" t="str">
        <f>IFERROR(AVERAGEIF('Daily KPI'!$D:$D,Table14[[#This Row],[Month]],'Daily KPI'!$AB:$AB),"")</f>
        <v/>
      </c>
      <c r="AA73" s="164">
        <f>IFERROR(AVERAGEIF($F$2:F73,F73,$N$2:N73),"")</f>
        <v>8.0208999999999993</v>
      </c>
      <c r="AB73" s="155"/>
      <c r="AC73" s="154"/>
      <c r="AD73" s="165"/>
      <c r="AE73" s="156">
        <v>0.98040000000000005</v>
      </c>
      <c r="AF73" s="156">
        <v>0.98</v>
      </c>
      <c r="AG73" s="156"/>
      <c r="AH73" s="156"/>
      <c r="AI73" s="156"/>
      <c r="AJ73" s="156"/>
      <c r="AK73" s="156"/>
      <c r="AL73" s="156"/>
      <c r="AM73" s="183"/>
      <c r="AN73" s="183"/>
    </row>
    <row r="74" spans="1:40" x14ac:dyDescent="0.3">
      <c r="A74" s="148">
        <f t="shared" si="34"/>
        <v>73</v>
      </c>
      <c r="B74" s="149" t="str">
        <f t="shared" si="30"/>
        <v>April</v>
      </c>
      <c r="C74" s="149">
        <f t="shared" si="30"/>
        <v>4</v>
      </c>
      <c r="D74" s="150">
        <v>45383</v>
      </c>
      <c r="E74" s="151">
        <f t="shared" si="24"/>
        <v>2024</v>
      </c>
      <c r="F74" s="151" t="s">
        <v>1181</v>
      </c>
      <c r="G74" s="152">
        <f t="shared" si="23"/>
        <v>30</v>
      </c>
      <c r="H74" s="157">
        <f t="shared" si="31"/>
        <v>193.6</v>
      </c>
      <c r="I74" s="157">
        <f t="shared" si="31"/>
        <v>191.7</v>
      </c>
      <c r="J74" s="154"/>
      <c r="K74" s="153"/>
      <c r="L74" s="152"/>
      <c r="M74" s="161">
        <f t="shared" si="21"/>
        <v>1055.6537985859879</v>
      </c>
      <c r="N74" s="155">
        <v>8.0208999999999993</v>
      </c>
      <c r="O74" s="156">
        <f t="shared" si="35"/>
        <v>0.68655652664663702</v>
      </c>
      <c r="P74" s="154">
        <f t="shared" si="36"/>
        <v>6.39</v>
      </c>
      <c r="Q74" s="152">
        <f>COUNTIFS('Daily KPI'!$D:$D,D74,'Daily KPI'!$O:$O,"&gt;0")</f>
        <v>0</v>
      </c>
      <c r="R74" s="155">
        <f t="shared" si="37"/>
        <v>0</v>
      </c>
      <c r="S74" s="163">
        <f>SUMIF($F$2:F74,F74,$R$2:R74)</f>
        <v>0</v>
      </c>
      <c r="T74" s="154">
        <f t="shared" si="38"/>
        <v>35.188459952866268</v>
      </c>
      <c r="U74" s="155">
        <f t="shared" si="39"/>
        <v>0</v>
      </c>
      <c r="V74" s="163">
        <f>SUMIF($F$2:F74,F74,$U$2:U74)</f>
        <v>0</v>
      </c>
      <c r="W74" s="156">
        <f t="shared" si="40"/>
        <v>0.18279567521966711</v>
      </c>
      <c r="X74" s="156" t="str">
        <f t="shared" si="32"/>
        <v/>
      </c>
      <c r="Y74" s="156" t="str">
        <f t="shared" si="33"/>
        <v/>
      </c>
      <c r="Z74" s="154" t="str">
        <f>IFERROR(AVERAGEIF('Daily KPI'!$D:$D,Table14[[#This Row],[Month]],'Daily KPI'!$AB:$AB),"")</f>
        <v/>
      </c>
      <c r="AA74" s="164">
        <f>IFERROR(AVERAGEIF($F$2:F74,F74,$N$2:N74),"")</f>
        <v>8.0208999999999993</v>
      </c>
      <c r="AB74" s="155"/>
      <c r="AC74" s="154"/>
      <c r="AD74" s="165"/>
      <c r="AE74" s="156">
        <v>0.98040000000000005</v>
      </c>
      <c r="AF74" s="156">
        <v>0.98</v>
      </c>
      <c r="AG74" s="156"/>
      <c r="AH74" s="156"/>
      <c r="AI74" s="156"/>
      <c r="AJ74" s="156"/>
      <c r="AK74" s="156"/>
      <c r="AL74" s="156"/>
      <c r="AM74" s="183"/>
      <c r="AN74" s="183"/>
    </row>
    <row r="75" spans="1:40" x14ac:dyDescent="0.3">
      <c r="A75" s="148">
        <f t="shared" si="34"/>
        <v>74</v>
      </c>
      <c r="B75" s="149" t="str">
        <f t="shared" si="30"/>
        <v>May</v>
      </c>
      <c r="C75" s="149">
        <f t="shared" si="30"/>
        <v>5</v>
      </c>
      <c r="D75" s="150">
        <v>45413</v>
      </c>
      <c r="E75" s="151">
        <f t="shared" si="24"/>
        <v>2024</v>
      </c>
      <c r="F75" s="151" t="s">
        <v>1181</v>
      </c>
      <c r="G75" s="152">
        <f t="shared" si="23"/>
        <v>31</v>
      </c>
      <c r="H75" s="157">
        <f t="shared" si="31"/>
        <v>198.6</v>
      </c>
      <c r="I75" s="157">
        <f t="shared" si="31"/>
        <v>186.4</v>
      </c>
      <c r="J75" s="154"/>
      <c r="K75" s="153"/>
      <c r="L75" s="152"/>
      <c r="M75" s="161">
        <f t="shared" si="21"/>
        <v>1060.9585915437065</v>
      </c>
      <c r="N75" s="155">
        <v>8.0208999999999993</v>
      </c>
      <c r="O75" s="156">
        <f t="shared" si="35"/>
        <v>0.70962584466409462</v>
      </c>
      <c r="P75" s="154">
        <f t="shared" si="36"/>
        <v>6.0129032258064514</v>
      </c>
      <c r="Q75" s="152">
        <f>COUNTIFS('Daily KPI'!$D:$D,D75,'Daily KPI'!$O:$O,"&gt;0")</f>
        <v>0</v>
      </c>
      <c r="R75" s="155">
        <f t="shared" si="37"/>
        <v>0</v>
      </c>
      <c r="S75" s="163">
        <f>SUMIF($F$2:F75,F75,$R$2:R75)</f>
        <v>0</v>
      </c>
      <c r="T75" s="154">
        <f t="shared" si="38"/>
        <v>34.224470694958271</v>
      </c>
      <c r="U75" s="155">
        <f t="shared" si="39"/>
        <v>0</v>
      </c>
      <c r="V75" s="163">
        <f>SUMIF($F$2:F75,F75,$U$2:U75)</f>
        <v>0</v>
      </c>
      <c r="W75" s="156">
        <f t="shared" si="40"/>
        <v>0.17778798043734842</v>
      </c>
      <c r="X75" s="156" t="str">
        <f t="shared" si="32"/>
        <v/>
      </c>
      <c r="Y75" s="156" t="str">
        <f t="shared" si="33"/>
        <v/>
      </c>
      <c r="Z75" s="154" t="str">
        <f>IFERROR(AVERAGEIF('Daily KPI'!$D:$D,Table14[[#This Row],[Month]],'Daily KPI'!$AB:$AB),"")</f>
        <v/>
      </c>
      <c r="AA75" s="164">
        <f>IFERROR(AVERAGEIF($F$2:F75,F75,$N$2:N75),"")</f>
        <v>8.0208999999999993</v>
      </c>
      <c r="AB75" s="155"/>
      <c r="AC75" s="154"/>
      <c r="AD75" s="165"/>
      <c r="AE75" s="156">
        <v>0.98040000000000005</v>
      </c>
      <c r="AF75" s="156">
        <v>0.98</v>
      </c>
      <c r="AG75" s="156"/>
      <c r="AH75" s="156"/>
      <c r="AI75" s="156"/>
      <c r="AJ75" s="156"/>
      <c r="AK75" s="156"/>
      <c r="AL75" s="156"/>
      <c r="AM75" s="183"/>
      <c r="AN75" s="183"/>
    </row>
    <row r="76" spans="1:40" x14ac:dyDescent="0.3">
      <c r="A76" s="148">
        <f t="shared" si="34"/>
        <v>75</v>
      </c>
      <c r="B76" s="149" t="str">
        <f t="shared" si="30"/>
        <v>June</v>
      </c>
      <c r="C76" s="149">
        <f t="shared" si="30"/>
        <v>6</v>
      </c>
      <c r="D76" s="150">
        <v>45444</v>
      </c>
      <c r="E76" s="151">
        <f t="shared" si="24"/>
        <v>2024</v>
      </c>
      <c r="F76" s="151" t="s">
        <v>1181</v>
      </c>
      <c r="G76" s="152">
        <f t="shared" si="23"/>
        <v>30</v>
      </c>
      <c r="H76" s="157">
        <f t="shared" si="31"/>
        <v>154.80000000000001</v>
      </c>
      <c r="I76" s="157">
        <f t="shared" si="31"/>
        <v>142.80000000000001</v>
      </c>
      <c r="J76" s="154"/>
      <c r="K76" s="153"/>
      <c r="L76" s="152"/>
      <c r="M76" s="161">
        <f t="shared" si="21"/>
        <v>790.41415070006133</v>
      </c>
      <c r="N76" s="155">
        <v>8.0208999999999993</v>
      </c>
      <c r="O76" s="156">
        <f t="shared" si="35"/>
        <v>0.6900862870925315</v>
      </c>
      <c r="P76" s="154">
        <f t="shared" si="36"/>
        <v>4.7600000000000007</v>
      </c>
      <c r="Q76" s="152">
        <f>COUNTIFS('Daily KPI'!$D:$D,D76,'Daily KPI'!$O:$O,"&gt;0")</f>
        <v>0</v>
      </c>
      <c r="R76" s="155">
        <f t="shared" si="37"/>
        <v>0</v>
      </c>
      <c r="S76" s="163">
        <f>SUMIF($F$2:F76,F76,$R$2:R76)</f>
        <v>0</v>
      </c>
      <c r="T76" s="154">
        <f t="shared" si="38"/>
        <v>26.347138356668712</v>
      </c>
      <c r="U76" s="155">
        <f t="shared" si="39"/>
        <v>0</v>
      </c>
      <c r="V76" s="163">
        <f>SUMIF($F$2:F76,F76,$U$2:U76)</f>
        <v>0</v>
      </c>
      <c r="W76" s="156">
        <f t="shared" si="40"/>
        <v>0.13686711360668541</v>
      </c>
      <c r="X76" s="156" t="str">
        <f t="shared" si="32"/>
        <v/>
      </c>
      <c r="Y76" s="156" t="str">
        <f t="shared" si="33"/>
        <v/>
      </c>
      <c r="Z76" s="154" t="str">
        <f>IFERROR(AVERAGEIF('Daily KPI'!$D:$D,Table14[[#This Row],[Month]],'Daily KPI'!$AB:$AB),"")</f>
        <v/>
      </c>
      <c r="AA76" s="164">
        <f>IFERROR(AVERAGEIF($F$2:F76,F76,$N$2:N76),"")</f>
        <v>8.0208999999999993</v>
      </c>
      <c r="AB76" s="155"/>
      <c r="AC76" s="154"/>
      <c r="AD76" s="165"/>
      <c r="AE76" s="156">
        <v>0.98040000000000005</v>
      </c>
      <c r="AF76" s="156">
        <v>0.98</v>
      </c>
      <c r="AG76" s="156"/>
      <c r="AH76" s="156"/>
      <c r="AI76" s="156"/>
      <c r="AJ76" s="156"/>
      <c r="AK76" s="156"/>
      <c r="AL76" s="156"/>
      <c r="AM76" s="183"/>
      <c r="AN76" s="183"/>
    </row>
    <row r="77" spans="1:40" x14ac:dyDescent="0.3">
      <c r="A77" s="148">
        <f t="shared" si="34"/>
        <v>76</v>
      </c>
      <c r="B77" s="149" t="str">
        <f t="shared" si="30"/>
        <v>July</v>
      </c>
      <c r="C77" s="149">
        <f t="shared" si="30"/>
        <v>7</v>
      </c>
      <c r="D77" s="150">
        <v>45474</v>
      </c>
      <c r="E77" s="151">
        <f t="shared" si="24"/>
        <v>2024</v>
      </c>
      <c r="F77" s="151" t="s">
        <v>1181</v>
      </c>
      <c r="G77" s="152">
        <f t="shared" si="23"/>
        <v>31</v>
      </c>
      <c r="H77" s="157">
        <f t="shared" si="31"/>
        <v>134.4</v>
      </c>
      <c r="I77" s="157">
        <f t="shared" si="31"/>
        <v>125.4</v>
      </c>
      <c r="J77" s="154"/>
      <c r="K77" s="153"/>
      <c r="L77" s="152"/>
      <c r="M77" s="161">
        <f t="shared" si="21"/>
        <v>721.45184224972047</v>
      </c>
      <c r="N77" s="155">
        <v>8.0208999999999993</v>
      </c>
      <c r="O77" s="156">
        <f t="shared" si="35"/>
        <v>0.71727667514245075</v>
      </c>
      <c r="P77" s="154">
        <f t="shared" si="36"/>
        <v>4.0451612903225804</v>
      </c>
      <c r="Q77" s="152">
        <f>COUNTIFS('Daily KPI'!$D:$D,D77,'Daily KPI'!$O:$O,"&gt;0")</f>
        <v>0</v>
      </c>
      <c r="R77" s="155">
        <f t="shared" si="37"/>
        <v>0</v>
      </c>
      <c r="S77" s="163">
        <f>SUMIF($F$2:F77,F77,$R$2:R77)</f>
        <v>0</v>
      </c>
      <c r="T77" s="154">
        <f t="shared" si="38"/>
        <v>23.27264007257163</v>
      </c>
      <c r="U77" s="155">
        <f t="shared" si="39"/>
        <v>0</v>
      </c>
      <c r="V77" s="163">
        <f>SUMIF($F$2:F77,F77,$U$2:U77)</f>
        <v>0</v>
      </c>
      <c r="W77" s="156">
        <f t="shared" si="40"/>
        <v>0.12089582669739696</v>
      </c>
      <c r="X77" s="156" t="str">
        <f t="shared" si="32"/>
        <v/>
      </c>
      <c r="Y77" s="156" t="str">
        <f t="shared" si="33"/>
        <v/>
      </c>
      <c r="Z77" s="154" t="str">
        <f>IFERROR(AVERAGEIF('Daily KPI'!$D:$D,Table14[[#This Row],[Month]],'Daily KPI'!$AB:$AB),"")</f>
        <v/>
      </c>
      <c r="AA77" s="164">
        <f>IFERROR(AVERAGEIF($F$2:F77,F77,$N$2:N77),"")</f>
        <v>8.0208999999999993</v>
      </c>
      <c r="AB77" s="155"/>
      <c r="AC77" s="154"/>
      <c r="AD77" s="165"/>
      <c r="AE77" s="156">
        <v>0.98040000000000005</v>
      </c>
      <c r="AF77" s="156">
        <v>0.98</v>
      </c>
      <c r="AG77" s="156"/>
      <c r="AH77" s="156"/>
      <c r="AI77" s="156"/>
      <c r="AJ77" s="156"/>
      <c r="AK77" s="156"/>
      <c r="AL77" s="156"/>
      <c r="AM77" s="183"/>
      <c r="AN77" s="183"/>
    </row>
    <row r="78" spans="1:40" x14ac:dyDescent="0.3">
      <c r="A78" s="148">
        <f t="shared" si="34"/>
        <v>77</v>
      </c>
      <c r="B78" s="149" t="str">
        <f t="shared" si="30"/>
        <v>August</v>
      </c>
      <c r="C78" s="149">
        <f t="shared" si="30"/>
        <v>8</v>
      </c>
      <c r="D78" s="150">
        <v>45505</v>
      </c>
      <c r="E78" s="151">
        <f t="shared" si="24"/>
        <v>2024</v>
      </c>
      <c r="F78" s="151" t="s">
        <v>1181</v>
      </c>
      <c r="G78" s="152">
        <f t="shared" si="23"/>
        <v>31</v>
      </c>
      <c r="H78" s="157">
        <f t="shared" si="31"/>
        <v>134.6</v>
      </c>
      <c r="I78" s="157">
        <f t="shared" si="31"/>
        <v>130.69999999999999</v>
      </c>
      <c r="J78" s="154"/>
      <c r="K78" s="153"/>
      <c r="L78" s="152"/>
      <c r="M78" s="161">
        <f t="shared" si="21"/>
        <v>763.89018591146873</v>
      </c>
      <c r="N78" s="155">
        <v>8.0208999999999993</v>
      </c>
      <c r="O78" s="156">
        <f t="shared" si="35"/>
        <v>0.72867226748797886</v>
      </c>
      <c r="P78" s="154">
        <f t="shared" si="36"/>
        <v>4.2161290322580642</v>
      </c>
      <c r="Q78" s="152">
        <f>COUNTIFS('Daily KPI'!$D:$D,D78,'Daily KPI'!$O:$O,"&gt;0")</f>
        <v>0</v>
      </c>
      <c r="R78" s="155">
        <f t="shared" si="37"/>
        <v>0</v>
      </c>
      <c r="S78" s="163">
        <f>SUMIF($F$2:F78,F78,$R$2:R78)</f>
        <v>0</v>
      </c>
      <c r="T78" s="154">
        <f t="shared" si="38"/>
        <v>24.641618900369959</v>
      </c>
      <c r="U78" s="155">
        <f t="shared" si="39"/>
        <v>0</v>
      </c>
      <c r="V78" s="163">
        <f>SUMIF($F$2:F78,F78,$U$2:U78)</f>
        <v>0</v>
      </c>
      <c r="W78" s="156">
        <f t="shared" si="40"/>
        <v>0.12800734591489088</v>
      </c>
      <c r="X78" s="156" t="str">
        <f t="shared" si="32"/>
        <v/>
      </c>
      <c r="Y78" s="156" t="str">
        <f t="shared" si="33"/>
        <v/>
      </c>
      <c r="Z78" s="154" t="str">
        <f>IFERROR(AVERAGEIF('Daily KPI'!$D:$D,Table14[[#This Row],[Month]],'Daily KPI'!$AB:$AB),"")</f>
        <v/>
      </c>
      <c r="AA78" s="164">
        <f>IFERROR(AVERAGEIF($F$2:F78,F78,$N$2:N78),"")</f>
        <v>8.0208999999999993</v>
      </c>
      <c r="AB78" s="155"/>
      <c r="AC78" s="154"/>
      <c r="AD78" s="165"/>
      <c r="AE78" s="156">
        <v>0.98040000000000005</v>
      </c>
      <c r="AF78" s="156">
        <v>0.98</v>
      </c>
      <c r="AG78" s="156"/>
      <c r="AH78" s="156"/>
      <c r="AI78" s="156"/>
      <c r="AJ78" s="156"/>
      <c r="AK78" s="156"/>
      <c r="AL78" s="156"/>
      <c r="AM78" s="183"/>
      <c r="AN78" s="183"/>
    </row>
    <row r="79" spans="1:40" x14ac:dyDescent="0.3">
      <c r="A79" s="148">
        <f t="shared" si="34"/>
        <v>78</v>
      </c>
      <c r="B79" s="149" t="str">
        <f t="shared" ref="B79:C94" si="41">B67</f>
        <v>September</v>
      </c>
      <c r="C79" s="149">
        <f t="shared" si="41"/>
        <v>9</v>
      </c>
      <c r="D79" s="150">
        <v>45536</v>
      </c>
      <c r="E79" s="151">
        <f t="shared" si="24"/>
        <v>2024</v>
      </c>
      <c r="F79" s="151" t="s">
        <v>1181</v>
      </c>
      <c r="G79" s="152">
        <f t="shared" si="23"/>
        <v>30</v>
      </c>
      <c r="H79" s="157">
        <f t="shared" ref="H79:I94" si="42">H67</f>
        <v>142.5</v>
      </c>
      <c r="I79" s="157">
        <f t="shared" si="42"/>
        <v>145.4</v>
      </c>
      <c r="J79" s="154"/>
      <c r="K79" s="153"/>
      <c r="L79" s="152"/>
      <c r="M79" s="161">
        <f t="shared" ref="M79:M85" si="43">M67</f>
        <v>827.54770140409107</v>
      </c>
      <c r="N79" s="155">
        <v>8.0208999999999993</v>
      </c>
      <c r="O79" s="156">
        <f t="shared" si="35"/>
        <v>0.70958680060111445</v>
      </c>
      <c r="P79" s="154">
        <f t="shared" si="36"/>
        <v>4.8466666666666667</v>
      </c>
      <c r="Q79" s="152">
        <f>COUNTIFS('Daily KPI'!$D:$D,D79,'Daily KPI'!$O:$O,"&gt;0")</f>
        <v>0</v>
      </c>
      <c r="R79" s="155">
        <f t="shared" si="37"/>
        <v>0</v>
      </c>
      <c r="S79" s="163">
        <f>SUMIF($F$2:F79,F79,$R$2:R79)</f>
        <v>0</v>
      </c>
      <c r="T79" s="154">
        <f t="shared" si="38"/>
        <v>27.58492338013637</v>
      </c>
      <c r="U79" s="155">
        <f t="shared" si="39"/>
        <v>0</v>
      </c>
      <c r="V79" s="163">
        <f>SUMIF($F$2:F79,F79,$U$2:U79)</f>
        <v>0</v>
      </c>
      <c r="W79" s="156">
        <f t="shared" si="40"/>
        <v>0.14329711223250285</v>
      </c>
      <c r="X79" s="156" t="str">
        <f t="shared" si="32"/>
        <v/>
      </c>
      <c r="Y79" s="156" t="str">
        <f t="shared" si="33"/>
        <v/>
      </c>
      <c r="Z79" s="154" t="str">
        <f>IFERROR(AVERAGEIF('Daily KPI'!$D:$D,Table14[[#This Row],[Month]],'Daily KPI'!$AB:$AB),"")</f>
        <v/>
      </c>
      <c r="AA79" s="164">
        <f>IFERROR(AVERAGEIF($F$2:F79,F79,$N$2:N79),"")</f>
        <v>8.0208999999999993</v>
      </c>
      <c r="AB79" s="155"/>
      <c r="AC79" s="154"/>
      <c r="AD79" s="165"/>
      <c r="AE79" s="156">
        <v>0.98040000000000005</v>
      </c>
      <c r="AF79" s="156">
        <v>0.98</v>
      </c>
      <c r="AG79" s="156"/>
      <c r="AH79" s="156"/>
      <c r="AI79" s="156"/>
      <c r="AJ79" s="156"/>
      <c r="AK79" s="156"/>
      <c r="AL79" s="156"/>
      <c r="AM79" s="183"/>
      <c r="AN79" s="183"/>
    </row>
    <row r="80" spans="1:40" x14ac:dyDescent="0.3">
      <c r="A80" s="148">
        <f t="shared" si="34"/>
        <v>79</v>
      </c>
      <c r="B80" s="149" t="str">
        <f t="shared" si="41"/>
        <v>October</v>
      </c>
      <c r="C80" s="149">
        <f t="shared" si="41"/>
        <v>10</v>
      </c>
      <c r="D80" s="150">
        <v>45566</v>
      </c>
      <c r="E80" s="151">
        <f t="shared" si="24"/>
        <v>2024</v>
      </c>
      <c r="F80" s="151" t="s">
        <v>1181</v>
      </c>
      <c r="G80" s="152">
        <f t="shared" ref="G80:G96" si="44">DAY(EOMONTH(D80,0))</f>
        <v>31</v>
      </c>
      <c r="H80" s="157">
        <f t="shared" si="42"/>
        <v>145.69999999999999</v>
      </c>
      <c r="I80" s="157">
        <f t="shared" si="42"/>
        <v>158.80000000000001</v>
      </c>
      <c r="J80" s="154"/>
      <c r="K80" s="153"/>
      <c r="L80" s="152"/>
      <c r="M80" s="161">
        <f t="shared" si="43"/>
        <v>938.9483535161803</v>
      </c>
      <c r="N80" s="155">
        <v>8.0208999999999993</v>
      </c>
      <c r="O80" s="156">
        <f t="shared" si="35"/>
        <v>0.73717076724916697</v>
      </c>
      <c r="P80" s="154">
        <f t="shared" si="36"/>
        <v>5.1225806451612907</v>
      </c>
      <c r="Q80" s="152">
        <f>COUNTIFS('Daily KPI'!$D:$D,D80,'Daily KPI'!$O:$O,"&gt;0")</f>
        <v>0</v>
      </c>
      <c r="R80" s="155">
        <f t="shared" si="37"/>
        <v>0</v>
      </c>
      <c r="S80" s="163">
        <f>SUMIF($F$2:F80,F80,$R$2:R80)</f>
        <v>0</v>
      </c>
      <c r="T80" s="154">
        <f t="shared" si="38"/>
        <v>30.288656565038075</v>
      </c>
      <c r="U80" s="155">
        <f t="shared" si="39"/>
        <v>0</v>
      </c>
      <c r="V80" s="163">
        <f>SUMIF($F$2:F80,F80,$U$2:U80)</f>
        <v>0</v>
      </c>
      <c r="W80" s="156">
        <f t="shared" si="40"/>
        <v>0.15734236268705337</v>
      </c>
      <c r="X80" s="156" t="str">
        <f t="shared" si="32"/>
        <v/>
      </c>
      <c r="Y80" s="156" t="str">
        <f t="shared" si="33"/>
        <v/>
      </c>
      <c r="Z80" s="154" t="str">
        <f>IFERROR(AVERAGEIF('Daily KPI'!$D:$D,Table14[[#This Row],[Month]],'Daily KPI'!$AB:$AB),"")</f>
        <v/>
      </c>
      <c r="AA80" s="164">
        <f>IFERROR(AVERAGEIF($F$2:F80,F80,$N$2:N80),"")</f>
        <v>8.0208999999999993</v>
      </c>
      <c r="AB80" s="155"/>
      <c r="AC80" s="154"/>
      <c r="AD80" s="165"/>
      <c r="AE80" s="156">
        <v>0.98040000000000005</v>
      </c>
      <c r="AF80" s="156">
        <v>0.98</v>
      </c>
      <c r="AG80" s="156"/>
      <c r="AH80" s="156"/>
      <c r="AI80" s="156"/>
      <c r="AJ80" s="156"/>
      <c r="AK80" s="156"/>
      <c r="AL80" s="156"/>
      <c r="AM80" s="183"/>
      <c r="AN80" s="183"/>
    </row>
    <row r="81" spans="1:40" x14ac:dyDescent="0.3">
      <c r="A81" s="148">
        <f t="shared" si="34"/>
        <v>80</v>
      </c>
      <c r="B81" s="149" t="str">
        <f t="shared" si="41"/>
        <v>November</v>
      </c>
      <c r="C81" s="149">
        <f t="shared" si="41"/>
        <v>11</v>
      </c>
      <c r="D81" s="150">
        <v>45597</v>
      </c>
      <c r="E81" s="151">
        <f t="shared" si="24"/>
        <v>2024</v>
      </c>
      <c r="F81" s="151" t="s">
        <v>1181</v>
      </c>
      <c r="G81" s="152">
        <f t="shared" si="44"/>
        <v>30</v>
      </c>
      <c r="H81" s="157">
        <f t="shared" si="42"/>
        <v>138.9</v>
      </c>
      <c r="I81" s="157">
        <f t="shared" si="42"/>
        <v>163</v>
      </c>
      <c r="J81" s="154"/>
      <c r="K81" s="153"/>
      <c r="L81" s="152"/>
      <c r="M81" s="161">
        <f t="shared" si="43"/>
        <v>944.25314647389882</v>
      </c>
      <c r="N81" s="155">
        <v>8.0208999999999993</v>
      </c>
      <c r="O81" s="156">
        <f t="shared" si="35"/>
        <v>0.7222336756220531</v>
      </c>
      <c r="P81" s="154">
        <f t="shared" si="36"/>
        <v>5.4333333333333336</v>
      </c>
      <c r="Q81" s="152">
        <f>COUNTIFS('Daily KPI'!$D:$D,D81,'Daily KPI'!$O:$O,"&gt;0")</f>
        <v>0</v>
      </c>
      <c r="R81" s="155">
        <f t="shared" si="37"/>
        <v>0</v>
      </c>
      <c r="S81" s="163">
        <f>SUMIF($F$2:F81,F81,$R$2:R81)</f>
        <v>0</v>
      </c>
      <c r="T81" s="154">
        <f t="shared" si="38"/>
        <v>31.475104882463295</v>
      </c>
      <c r="U81" s="155">
        <f t="shared" si="39"/>
        <v>0</v>
      </c>
      <c r="V81" s="163">
        <f>SUMIF($F$2:F81,F81,$U$2:U81)</f>
        <v>0</v>
      </c>
      <c r="W81" s="156">
        <f t="shared" si="40"/>
        <v>0.1635056793422148</v>
      </c>
      <c r="X81" s="156" t="str">
        <f t="shared" si="32"/>
        <v/>
      </c>
      <c r="Y81" s="156" t="str">
        <f t="shared" si="33"/>
        <v/>
      </c>
      <c r="Z81" s="154" t="str">
        <f>IFERROR(AVERAGEIF('Daily KPI'!$D:$D,Table14[[#This Row],[Month]],'Daily KPI'!$AB:$AB),"")</f>
        <v/>
      </c>
      <c r="AA81" s="164">
        <f>IFERROR(AVERAGEIF($F$2:F81,F81,$N$2:N81),"")</f>
        <v>8.0208999999999993</v>
      </c>
      <c r="AB81" s="155"/>
      <c r="AC81" s="154"/>
      <c r="AD81" s="165"/>
      <c r="AE81" s="156">
        <v>0.98040000000000005</v>
      </c>
      <c r="AF81" s="156">
        <v>0.98</v>
      </c>
      <c r="AG81" s="156"/>
      <c r="AH81" s="156"/>
      <c r="AI81" s="156"/>
      <c r="AJ81" s="156"/>
      <c r="AK81" s="156"/>
      <c r="AL81" s="156"/>
      <c r="AM81" s="183"/>
      <c r="AN81" s="183"/>
    </row>
    <row r="82" spans="1:40" x14ac:dyDescent="0.3">
      <c r="A82" s="148">
        <f t="shared" si="34"/>
        <v>81</v>
      </c>
      <c r="B82" s="149" t="str">
        <f t="shared" si="41"/>
        <v>December</v>
      </c>
      <c r="C82" s="149">
        <f t="shared" si="41"/>
        <v>12</v>
      </c>
      <c r="D82" s="150">
        <v>45627</v>
      </c>
      <c r="E82" s="151">
        <f t="shared" si="24"/>
        <v>2024</v>
      </c>
      <c r="F82" s="151" t="s">
        <v>1181</v>
      </c>
      <c r="G82" s="152">
        <f t="shared" si="44"/>
        <v>31</v>
      </c>
      <c r="H82" s="157">
        <f t="shared" si="42"/>
        <v>134.69999999999999</v>
      </c>
      <c r="I82" s="157">
        <f t="shared" si="42"/>
        <v>163.69999999999999</v>
      </c>
      <c r="J82" s="154"/>
      <c r="K82" s="153"/>
      <c r="L82" s="152"/>
      <c r="M82" s="161">
        <f t="shared" si="43"/>
        <v>981.38669717792857</v>
      </c>
      <c r="N82" s="155">
        <v>8.0208999999999993</v>
      </c>
      <c r="O82" s="156">
        <f t="shared" si="35"/>
        <v>0.74742631726929265</v>
      </c>
      <c r="P82" s="154">
        <f t="shared" si="36"/>
        <v>5.2806451612903222</v>
      </c>
      <c r="Q82" s="152">
        <f>COUNTIFS('Daily KPI'!$D:$D,D82,'Daily KPI'!$O:$O,"&gt;0")</f>
        <v>0</v>
      </c>
      <c r="R82" s="155">
        <f t="shared" si="37"/>
        <v>0</v>
      </c>
      <c r="S82" s="163">
        <f>SUMIF($F$2:F82,F82,$R$2:R82)</f>
        <v>0</v>
      </c>
      <c r="T82" s="154">
        <f t="shared" si="38"/>
        <v>31.657635392836404</v>
      </c>
      <c r="U82" s="155">
        <f t="shared" si="39"/>
        <v>0</v>
      </c>
      <c r="V82" s="163">
        <f>SUMIF($F$2:F82,F82,$U$2:U82)</f>
        <v>0</v>
      </c>
      <c r="W82" s="156">
        <f t="shared" si="40"/>
        <v>0.16445388190454732</v>
      </c>
      <c r="X82" s="156" t="str">
        <f t="shared" si="32"/>
        <v/>
      </c>
      <c r="Y82" s="156" t="str">
        <f t="shared" si="33"/>
        <v/>
      </c>
      <c r="Z82" s="154" t="str">
        <f>IFERROR(AVERAGEIF('Daily KPI'!$D:$D,Table14[[#This Row],[Month]],'Daily KPI'!$AB:$AB),"")</f>
        <v/>
      </c>
      <c r="AA82" s="164">
        <f>IFERROR(AVERAGEIF($F$2:F82,F82,$N$2:N82),"")</f>
        <v>8.0208999999999993</v>
      </c>
      <c r="AB82" s="155"/>
      <c r="AC82" s="154"/>
      <c r="AD82" s="165"/>
      <c r="AE82" s="156">
        <v>0.98040000000000005</v>
      </c>
      <c r="AF82" s="156">
        <v>0.98</v>
      </c>
      <c r="AG82" s="156"/>
      <c r="AH82" s="156"/>
      <c r="AI82" s="156"/>
      <c r="AJ82" s="156"/>
      <c r="AK82" s="156"/>
      <c r="AL82" s="156"/>
      <c r="AM82" s="183"/>
      <c r="AN82" s="183"/>
    </row>
    <row r="83" spans="1:40" x14ac:dyDescent="0.3">
      <c r="A83" s="148">
        <f t="shared" si="34"/>
        <v>82</v>
      </c>
      <c r="B83" s="149" t="str">
        <f t="shared" si="41"/>
        <v>January</v>
      </c>
      <c r="C83" s="149">
        <f t="shared" si="41"/>
        <v>1</v>
      </c>
      <c r="D83" s="150">
        <v>45658</v>
      </c>
      <c r="E83" s="151">
        <f t="shared" si="24"/>
        <v>2025</v>
      </c>
      <c r="F83" s="151" t="s">
        <v>1181</v>
      </c>
      <c r="G83" s="152">
        <f t="shared" si="44"/>
        <v>31</v>
      </c>
      <c r="H83" s="157">
        <f t="shared" si="42"/>
        <v>151.6</v>
      </c>
      <c r="I83" s="157">
        <f t="shared" si="42"/>
        <v>183.9</v>
      </c>
      <c r="J83" s="154"/>
      <c r="K83" s="153"/>
      <c r="L83" s="152"/>
      <c r="M83" s="161">
        <f t="shared" si="43"/>
        <v>1087.4825563322993</v>
      </c>
      <c r="N83" s="155">
        <v>8.0208999999999993</v>
      </c>
      <c r="O83" s="156">
        <f t="shared" si="35"/>
        <v>0.73725456161784642</v>
      </c>
      <c r="P83" s="154">
        <f t="shared" si="36"/>
        <v>5.9322580645161294</v>
      </c>
      <c r="Q83" s="152">
        <f>COUNTIFS('Daily KPI'!$D:$D,D83,'Daily KPI'!$O:$O,"&gt;0")</f>
        <v>0</v>
      </c>
      <c r="R83" s="155">
        <f t="shared" si="37"/>
        <v>0</v>
      </c>
      <c r="S83" s="163">
        <f>SUMIF($F$2:F83,F83,$R$2:R83)</f>
        <v>0</v>
      </c>
      <c r="T83" s="154">
        <f t="shared" si="38"/>
        <v>35.080082462332236</v>
      </c>
      <c r="U83" s="155">
        <f t="shared" si="39"/>
        <v>0</v>
      </c>
      <c r="V83" s="163">
        <f>SUMIF($F$2:F83,F83,$U$2:U83)</f>
        <v>0</v>
      </c>
      <c r="W83" s="156">
        <f t="shared" si="40"/>
        <v>0.18223267994828218</v>
      </c>
      <c r="X83" s="156" t="str">
        <f t="shared" si="32"/>
        <v/>
      </c>
      <c r="Y83" s="156" t="str">
        <f t="shared" si="33"/>
        <v/>
      </c>
      <c r="Z83" s="154" t="str">
        <f>IFERROR(AVERAGEIF('Daily KPI'!$D:$D,Table14[[#This Row],[Month]],'Daily KPI'!$AB:$AB),"")</f>
        <v/>
      </c>
      <c r="AA83" s="164">
        <f>IFERROR(AVERAGEIF($F$2:F83,F83,$N$2:N83),"")</f>
        <v>8.0208999999999993</v>
      </c>
      <c r="AB83" s="155"/>
      <c r="AC83" s="154"/>
      <c r="AD83" s="165"/>
      <c r="AE83" s="156">
        <v>0.98040000000000005</v>
      </c>
      <c r="AF83" s="156">
        <v>0.98</v>
      </c>
      <c r="AG83" s="156"/>
      <c r="AH83" s="156"/>
      <c r="AI83" s="156"/>
      <c r="AJ83" s="156"/>
      <c r="AK83" s="156"/>
      <c r="AL83" s="156"/>
      <c r="AM83" s="183"/>
      <c r="AN83" s="183"/>
    </row>
    <row r="84" spans="1:40" x14ac:dyDescent="0.3">
      <c r="A84" s="148">
        <f t="shared" si="34"/>
        <v>83</v>
      </c>
      <c r="B84" s="149" t="str">
        <f t="shared" si="41"/>
        <v>February</v>
      </c>
      <c r="C84" s="149">
        <f t="shared" si="41"/>
        <v>2</v>
      </c>
      <c r="D84" s="150">
        <v>45689</v>
      </c>
      <c r="E84" s="151">
        <f t="shared" si="24"/>
        <v>2025</v>
      </c>
      <c r="F84" s="151" t="s">
        <v>1181</v>
      </c>
      <c r="G84" s="152">
        <f t="shared" si="44"/>
        <v>28</v>
      </c>
      <c r="H84" s="157">
        <f t="shared" si="42"/>
        <v>159.9</v>
      </c>
      <c r="I84" s="157">
        <f t="shared" si="42"/>
        <v>184</v>
      </c>
      <c r="J84" s="154"/>
      <c r="K84" s="153"/>
      <c r="L84" s="152"/>
      <c r="M84" s="161">
        <f t="shared" si="43"/>
        <v>1038.6058690088</v>
      </c>
      <c r="N84" s="155">
        <v>8.0208999999999993</v>
      </c>
      <c r="O84" s="156">
        <f t="shared" si="35"/>
        <v>0.70373612863622048</v>
      </c>
      <c r="P84" s="154">
        <f t="shared" si="36"/>
        <v>6.5714285714285712</v>
      </c>
      <c r="Q84" s="152">
        <f>COUNTIFS('Daily KPI'!$D:$D,D84,'Daily KPI'!$O:$O,"&gt;0")</f>
        <v>0</v>
      </c>
      <c r="R84" s="155">
        <f t="shared" si="37"/>
        <v>0</v>
      </c>
      <c r="S84" s="163">
        <f>SUMIF($F$2:F84,F84,$R$2:R84)</f>
        <v>0</v>
      </c>
      <c r="T84" s="154">
        <f t="shared" si="38"/>
        <v>37.093066750314286</v>
      </c>
      <c r="U84" s="155">
        <f t="shared" si="39"/>
        <v>0</v>
      </c>
      <c r="V84" s="163">
        <f>SUMIF($F$2:F84,F84,$U$2:U84)</f>
        <v>0</v>
      </c>
      <c r="W84" s="156">
        <f t="shared" si="40"/>
        <v>0.19268965426944132</v>
      </c>
      <c r="X84" s="156" t="str">
        <f t="shared" si="32"/>
        <v/>
      </c>
      <c r="Y84" s="156" t="str">
        <f t="shared" si="33"/>
        <v/>
      </c>
      <c r="Z84" s="154" t="str">
        <f>IFERROR(AVERAGEIF('Daily KPI'!$D:$D,Table14[[#This Row],[Month]],'Daily KPI'!$AB:$AB),"")</f>
        <v/>
      </c>
      <c r="AA84" s="164">
        <f>IFERROR(AVERAGEIF($F$2:F84,F84,$N$2:N84),"")</f>
        <v>8.0208999999999993</v>
      </c>
      <c r="AB84" s="155"/>
      <c r="AC84" s="154"/>
      <c r="AD84" s="165"/>
      <c r="AE84" s="156">
        <v>0.98040000000000005</v>
      </c>
      <c r="AF84" s="156">
        <v>0.98</v>
      </c>
      <c r="AG84" s="156"/>
      <c r="AH84" s="156"/>
      <c r="AI84" s="156"/>
      <c r="AJ84" s="156"/>
      <c r="AK84" s="156"/>
      <c r="AL84" s="156"/>
      <c r="AM84" s="183"/>
      <c r="AN84" s="183"/>
    </row>
    <row r="85" spans="1:40" x14ac:dyDescent="0.3">
      <c r="A85" s="148">
        <f t="shared" si="34"/>
        <v>84</v>
      </c>
      <c r="B85" s="149" t="str">
        <f t="shared" si="41"/>
        <v>March</v>
      </c>
      <c r="C85" s="149">
        <f t="shared" si="41"/>
        <v>3</v>
      </c>
      <c r="D85" s="150">
        <v>45717</v>
      </c>
      <c r="E85" s="151">
        <f t="shared" si="24"/>
        <v>2025</v>
      </c>
      <c r="F85" s="151" t="s">
        <v>1181</v>
      </c>
      <c r="G85" s="152">
        <f t="shared" si="44"/>
        <v>31</v>
      </c>
      <c r="H85" s="157">
        <f t="shared" si="42"/>
        <v>197.2</v>
      </c>
      <c r="I85" s="157">
        <f t="shared" si="42"/>
        <v>210.4</v>
      </c>
      <c r="J85" s="154"/>
      <c r="K85" s="153"/>
      <c r="L85" s="152"/>
      <c r="M85" s="161">
        <f t="shared" si="43"/>
        <v>1204.1880014021069</v>
      </c>
      <c r="N85" s="155">
        <v>8.0208999999999993</v>
      </c>
      <c r="O85" s="156">
        <f t="shared" si="35"/>
        <v>0.71355172148533519</v>
      </c>
      <c r="P85" s="154">
        <f t="shared" si="36"/>
        <v>6.7870967741935484</v>
      </c>
      <c r="Q85" s="152">
        <f>COUNTIFS('Daily KPI'!$D:$D,D85,'Daily KPI'!$O:$O,"&gt;0")</f>
        <v>2</v>
      </c>
      <c r="R85" s="155">
        <f t="shared" si="37"/>
        <v>13.574193548387097</v>
      </c>
      <c r="S85" s="163">
        <f>SUMIF($F$2:F85,F85,$R$2:R85)</f>
        <v>13.574193548387097</v>
      </c>
      <c r="T85" s="154">
        <f t="shared" si="38"/>
        <v>38.844774238777646</v>
      </c>
      <c r="U85" s="155">
        <f t="shared" si="39"/>
        <v>77.689548477555292</v>
      </c>
      <c r="V85" s="163">
        <f>SUMIF($F$2:F85,F85,$U$2:U85)</f>
        <v>77.689548477555292</v>
      </c>
      <c r="W85" s="156">
        <f t="shared" si="40"/>
        <v>0.20178935779639051</v>
      </c>
      <c r="X85" s="156">
        <f t="shared" si="32"/>
        <v>0.20178935779639051</v>
      </c>
      <c r="Y85" s="156">
        <f t="shared" si="33"/>
        <v>0.20178935779639051</v>
      </c>
      <c r="Z85" s="154">
        <f>IFERROR(AVERAGEIF('Daily KPI'!$D:$D,Table14[[#This Row],[Month]],'Daily KPI'!$AB:$AB),"")</f>
        <v>8.0208999999999993</v>
      </c>
      <c r="AA85" s="164">
        <f>IFERROR(AVERAGEIF($F$2:F85,F85,$N$2:N85),"")</f>
        <v>8.0208999999999993</v>
      </c>
      <c r="AB85" s="155"/>
      <c r="AC85" s="154"/>
      <c r="AD85" s="165"/>
      <c r="AE85" s="156">
        <v>0.98040000000000005</v>
      </c>
      <c r="AF85" s="156">
        <v>0.98</v>
      </c>
      <c r="AG85" s="156"/>
      <c r="AH85" s="156"/>
      <c r="AI85" s="156"/>
      <c r="AJ85" s="156"/>
      <c r="AK85" s="156"/>
      <c r="AL85" s="156"/>
      <c r="AM85" s="183"/>
      <c r="AN85" s="183"/>
    </row>
    <row r="86" spans="1:40" x14ac:dyDescent="0.3">
      <c r="A86" s="148">
        <f t="shared" si="34"/>
        <v>85</v>
      </c>
      <c r="B86" s="149" t="str">
        <f t="shared" si="41"/>
        <v>April</v>
      </c>
      <c r="C86" s="149">
        <f t="shared" si="41"/>
        <v>4</v>
      </c>
      <c r="D86" s="150">
        <v>45748</v>
      </c>
      <c r="E86" s="151">
        <f t="shared" si="24"/>
        <v>2025</v>
      </c>
      <c r="F86" s="151" t="s">
        <v>1182</v>
      </c>
      <c r="G86" s="152">
        <f t="shared" si="44"/>
        <v>30</v>
      </c>
      <c r="H86" s="157">
        <f t="shared" si="42"/>
        <v>193.6</v>
      </c>
      <c r="I86" s="157">
        <f t="shared" si="42"/>
        <v>191.7</v>
      </c>
      <c r="J86" s="154"/>
      <c r="K86" s="153"/>
      <c r="L86" s="152"/>
      <c r="M86" s="155">
        <v>1038.306851835873</v>
      </c>
      <c r="N86" s="155">
        <v>8.0208999999999993</v>
      </c>
      <c r="O86" s="156">
        <f t="shared" si="35"/>
        <v>0.67527474134483101</v>
      </c>
      <c r="P86" s="154">
        <f t="shared" si="36"/>
        <v>6.39</v>
      </c>
      <c r="Q86" s="152">
        <f>COUNTIFS('Daily KPI'!$D:$D,D86,'Daily KPI'!$O:$O,"&gt;0")</f>
        <v>30</v>
      </c>
      <c r="R86" s="155">
        <f t="shared" si="37"/>
        <v>191.7</v>
      </c>
      <c r="S86" s="163">
        <f>SUMIF($F$2:F86,F86,$R$2:R86)</f>
        <v>191.7</v>
      </c>
      <c r="T86" s="154">
        <f t="shared" si="38"/>
        <v>34.610228394529102</v>
      </c>
      <c r="U86" s="155">
        <f t="shared" si="39"/>
        <v>1038.306851835873</v>
      </c>
      <c r="V86" s="163">
        <f>SUMIF($F$2:F86,F86,$U$2:U86)</f>
        <v>1038.306851835873</v>
      </c>
      <c r="W86" s="156">
        <f t="shared" si="40"/>
        <v>0.17979189988306124</v>
      </c>
      <c r="X86" s="156">
        <f t="shared" si="32"/>
        <v>0.17979189988306124</v>
      </c>
      <c r="Y86" s="156">
        <f t="shared" si="33"/>
        <v>0.17979189988306124</v>
      </c>
      <c r="Z86" s="154">
        <f>IFERROR(AVERAGEIF('Daily KPI'!$D:$D,Table14[[#This Row],[Month]],'Daily KPI'!$AB:$AB),"")</f>
        <v>8.0209000000000046</v>
      </c>
      <c r="AA86" s="164">
        <f>IFERROR(AVERAGEIF($F$2:F86,F86,$N$2:N86),"")</f>
        <v>8.0208999999999993</v>
      </c>
      <c r="AB86" s="155"/>
      <c r="AC86" s="154"/>
      <c r="AD86" s="165"/>
      <c r="AE86" s="156">
        <v>0.98040000000000005</v>
      </c>
      <c r="AF86" s="156">
        <v>0.98</v>
      </c>
      <c r="AG86" s="156"/>
      <c r="AH86" s="156"/>
      <c r="AI86" s="156"/>
      <c r="AJ86" s="156"/>
      <c r="AK86" s="156"/>
      <c r="AL86" s="156"/>
      <c r="AM86" s="183"/>
      <c r="AN86" s="183"/>
    </row>
    <row r="87" spans="1:40" x14ac:dyDescent="0.3">
      <c r="A87" s="148">
        <f t="shared" si="34"/>
        <v>86</v>
      </c>
      <c r="B87" s="149" t="str">
        <f t="shared" si="41"/>
        <v>May</v>
      </c>
      <c r="C87" s="149">
        <f t="shared" si="41"/>
        <v>5</v>
      </c>
      <c r="D87" s="150">
        <v>45778</v>
      </c>
      <c r="E87" s="151">
        <f t="shared" si="24"/>
        <v>2025</v>
      </c>
      <c r="F87" s="151" t="s">
        <v>1182</v>
      </c>
      <c r="G87" s="152">
        <f t="shared" si="44"/>
        <v>31</v>
      </c>
      <c r="H87" s="157">
        <f t="shared" si="42"/>
        <v>198.6</v>
      </c>
      <c r="I87" s="157">
        <f t="shared" si="42"/>
        <v>186.4</v>
      </c>
      <c r="J87" s="154"/>
      <c r="K87" s="153"/>
      <c r="L87" s="152"/>
      <c r="M87" s="155">
        <v>1040.9100812301763</v>
      </c>
      <c r="N87" s="155">
        <v>8.0208999999999993</v>
      </c>
      <c r="O87" s="156">
        <f t="shared" si="35"/>
        <v>0.69621632879901718</v>
      </c>
      <c r="P87" s="154">
        <f t="shared" si="36"/>
        <v>6.0129032258064514</v>
      </c>
      <c r="Q87" s="152">
        <f>COUNTIFS('Daily KPI'!$D:$D,D87,'Daily KPI'!$O:$O,"&gt;0")</f>
        <v>31</v>
      </c>
      <c r="R87" s="155">
        <f t="shared" si="37"/>
        <v>186.4</v>
      </c>
      <c r="S87" s="163">
        <f>SUMIF($F$2:F87,F87,$R$2:R87)</f>
        <v>378.1</v>
      </c>
      <c r="T87" s="154">
        <f t="shared" si="38"/>
        <v>33.577744555812139</v>
      </c>
      <c r="U87" s="155">
        <f t="shared" si="39"/>
        <v>1040.9100812301763</v>
      </c>
      <c r="V87" s="163">
        <f>SUMIF($F$2:F87,F87,$U$2:U87)</f>
        <v>2079.216933066049</v>
      </c>
      <c r="W87" s="156">
        <f t="shared" si="40"/>
        <v>0.17442839205394728</v>
      </c>
      <c r="X87" s="156">
        <f t="shared" si="32"/>
        <v>0.17442839205394728</v>
      </c>
      <c r="Y87" s="156">
        <f t="shared" si="33"/>
        <v>0.17706618278957709</v>
      </c>
      <c r="Z87" s="154">
        <f>IFERROR(AVERAGEIF('Daily KPI'!$D:$D,Table14[[#This Row],[Month]],'Daily KPI'!$AB:$AB),"")</f>
        <v>8.0209000000000046</v>
      </c>
      <c r="AA87" s="164">
        <f>IFERROR(AVERAGEIF($F$2:F87,F87,$N$2:N87),"")</f>
        <v>8.0208999999999993</v>
      </c>
      <c r="AB87" s="155"/>
      <c r="AC87" s="154"/>
      <c r="AD87" s="165"/>
      <c r="AE87" s="156">
        <v>0.98040000000000005</v>
      </c>
      <c r="AF87" s="156">
        <v>0.98</v>
      </c>
      <c r="AG87" s="156"/>
      <c r="AH87" s="156"/>
      <c r="AI87" s="156"/>
      <c r="AJ87" s="156"/>
      <c r="AK87" s="156"/>
      <c r="AL87" s="156"/>
      <c r="AM87" s="183"/>
      <c r="AN87" s="183"/>
    </row>
    <row r="88" spans="1:40" x14ac:dyDescent="0.3">
      <c r="A88" s="148">
        <f t="shared" si="34"/>
        <v>87</v>
      </c>
      <c r="B88" s="149" t="str">
        <f t="shared" si="41"/>
        <v>June</v>
      </c>
      <c r="C88" s="149">
        <f t="shared" si="41"/>
        <v>6</v>
      </c>
      <c r="D88" s="150">
        <v>45809</v>
      </c>
      <c r="E88" s="151">
        <f t="shared" si="24"/>
        <v>2025</v>
      </c>
      <c r="F88" s="151" t="s">
        <v>1182</v>
      </c>
      <c r="G88" s="152">
        <f t="shared" si="44"/>
        <v>30</v>
      </c>
      <c r="H88" s="157">
        <f t="shared" si="42"/>
        <v>154.80000000000001</v>
      </c>
      <c r="I88" s="157">
        <f t="shared" si="42"/>
        <v>142.80000000000001</v>
      </c>
      <c r="J88" s="154"/>
      <c r="K88" s="153"/>
      <c r="L88" s="152"/>
      <c r="M88" s="155">
        <v>777.5924493389839</v>
      </c>
      <c r="N88" s="155">
        <v>8.0208999999999993</v>
      </c>
      <c r="O88" s="156">
        <f t="shared" si="35"/>
        <v>0.67889205394445518</v>
      </c>
      <c r="P88" s="154">
        <f t="shared" si="36"/>
        <v>4.7600000000000007</v>
      </c>
      <c r="Q88" s="152">
        <f>COUNTIFS('Daily KPI'!$D:$D,D88,'Daily KPI'!$O:$O,"&gt;0")</f>
        <v>30</v>
      </c>
      <c r="R88" s="155">
        <f t="shared" si="37"/>
        <v>142.80000000000001</v>
      </c>
      <c r="S88" s="163">
        <f>SUMIF($F$2:F88,F88,$R$2:R88)</f>
        <v>520.90000000000009</v>
      </c>
      <c r="T88" s="154">
        <f t="shared" si="38"/>
        <v>25.919748311299465</v>
      </c>
      <c r="U88" s="155">
        <f t="shared" si="39"/>
        <v>777.5924493389839</v>
      </c>
      <c r="V88" s="163">
        <f>SUMIF($F$2:F88,F88,$U$2:U88)</f>
        <v>2856.8093824050329</v>
      </c>
      <c r="W88" s="156">
        <f t="shared" si="40"/>
        <v>0.13464692403231696</v>
      </c>
      <c r="X88" s="156">
        <f t="shared" si="32"/>
        <v>0.13464692403231696</v>
      </c>
      <c r="Y88" s="156">
        <f t="shared" si="33"/>
        <v>0.16308181177070011</v>
      </c>
      <c r="Z88" s="154">
        <f>IFERROR(AVERAGEIF('Daily KPI'!$D:$D,Table14[[#This Row],[Month]],'Daily KPI'!$AB:$AB),"")</f>
        <v>8.0209000000000046</v>
      </c>
      <c r="AA88" s="164">
        <f>IFERROR(AVERAGEIF($F$2:F88,F88,$N$2:N88),"")</f>
        <v>8.0208999999999993</v>
      </c>
      <c r="AB88" s="155"/>
      <c r="AC88" s="154"/>
      <c r="AD88" s="165"/>
      <c r="AE88" s="156">
        <v>0.98040000000000005</v>
      </c>
      <c r="AF88" s="156">
        <v>0.98</v>
      </c>
      <c r="AG88" s="156"/>
      <c r="AH88" s="156"/>
      <c r="AI88" s="156"/>
      <c r="AJ88" s="156"/>
      <c r="AK88" s="156"/>
      <c r="AL88" s="156"/>
      <c r="AM88" s="183"/>
      <c r="AN88" s="183"/>
    </row>
    <row r="89" spans="1:40" x14ac:dyDescent="0.3">
      <c r="A89" s="148">
        <f t="shared" si="34"/>
        <v>88</v>
      </c>
      <c r="B89" s="149" t="str">
        <f t="shared" si="41"/>
        <v>July</v>
      </c>
      <c r="C89" s="149">
        <f t="shared" si="41"/>
        <v>7</v>
      </c>
      <c r="D89" s="150">
        <v>45839</v>
      </c>
      <c r="E89" s="151">
        <f t="shared" si="24"/>
        <v>2025</v>
      </c>
      <c r="F89" s="151" t="s">
        <v>1182</v>
      </c>
      <c r="G89" s="152">
        <f t="shared" si="44"/>
        <v>31</v>
      </c>
      <c r="H89" s="157">
        <f t="shared" si="42"/>
        <v>134.4</v>
      </c>
      <c r="I89" s="157">
        <f t="shared" si="42"/>
        <v>125.4</v>
      </c>
      <c r="J89" s="154"/>
      <c r="K89" s="153"/>
      <c r="L89" s="152"/>
      <c r="M89" s="155">
        <v>710.8284232941719</v>
      </c>
      <c r="N89" s="155">
        <v>8.0208999999999993</v>
      </c>
      <c r="O89" s="156">
        <f t="shared" si="35"/>
        <v>0.70671473575739119</v>
      </c>
      <c r="P89" s="154">
        <f t="shared" si="36"/>
        <v>4.0451612903225804</v>
      </c>
      <c r="Q89" s="152">
        <f>COUNTIFS('Daily KPI'!$D:$D,D89,'Daily KPI'!$O:$O,"&gt;0")</f>
        <v>13</v>
      </c>
      <c r="R89" s="155">
        <f t="shared" si="37"/>
        <v>52.587096774193547</v>
      </c>
      <c r="S89" s="163">
        <f>SUMIF($F$2:F89,F89,$R$2:R89)</f>
        <v>573.48709677419367</v>
      </c>
      <c r="T89" s="154">
        <f t="shared" si="38"/>
        <v>22.929949138521675</v>
      </c>
      <c r="U89" s="155">
        <f t="shared" si="39"/>
        <v>298.08933880078177</v>
      </c>
      <c r="V89" s="163">
        <f>SUMIF($F$2:F89,F89,$U$2:U89)</f>
        <v>3154.8987212058146</v>
      </c>
      <c r="W89" s="156">
        <f t="shared" si="40"/>
        <v>0.11911562884943125</v>
      </c>
      <c r="X89" s="156">
        <f t="shared" si="32"/>
        <v>0.11911562884943126</v>
      </c>
      <c r="Y89" s="156">
        <f t="shared" si="33"/>
        <v>0.15758603890554151</v>
      </c>
      <c r="Z89" s="154">
        <f>IFERROR(AVERAGEIF('Daily KPI'!$D:$D,Table14[[#This Row],[Month]],'Daily KPI'!$AB:$AB),"")</f>
        <v>8.0208999999999993</v>
      </c>
      <c r="AA89" s="164">
        <f>IFERROR(AVERAGEIF($F$2:F89,F89,$N$2:N89),"")</f>
        <v>8.0208999999999993</v>
      </c>
      <c r="AB89" s="155"/>
      <c r="AC89" s="154"/>
      <c r="AD89" s="165"/>
      <c r="AE89" s="156">
        <v>0.98040000000000005</v>
      </c>
      <c r="AF89" s="156">
        <v>0.98</v>
      </c>
      <c r="AG89" s="156"/>
      <c r="AH89" s="156"/>
      <c r="AI89" s="156"/>
      <c r="AJ89" s="156"/>
      <c r="AK89" s="156"/>
      <c r="AL89" s="156"/>
      <c r="AM89" s="183"/>
      <c r="AN89" s="183"/>
    </row>
    <row r="90" spans="1:40" x14ac:dyDescent="0.3">
      <c r="A90" s="148">
        <f t="shared" si="34"/>
        <v>89</v>
      </c>
      <c r="B90" s="149" t="str">
        <f t="shared" si="41"/>
        <v>August</v>
      </c>
      <c r="C90" s="149">
        <f t="shared" si="41"/>
        <v>8</v>
      </c>
      <c r="D90" s="150">
        <v>45870</v>
      </c>
      <c r="E90" s="151">
        <f t="shared" si="24"/>
        <v>2025</v>
      </c>
      <c r="F90" s="151" t="s">
        <v>1182</v>
      </c>
      <c r="G90" s="152">
        <f t="shared" si="44"/>
        <v>31</v>
      </c>
      <c r="H90" s="157">
        <f t="shared" si="42"/>
        <v>134.6</v>
      </c>
      <c r="I90" s="157">
        <f t="shared" si="42"/>
        <v>130.69999999999999</v>
      </c>
      <c r="J90" s="154"/>
      <c r="K90" s="153"/>
      <c r="L90" s="152"/>
      <c r="M90" s="155">
        <v>752.46786038214657</v>
      </c>
      <c r="N90" s="155">
        <v>8.0208999999999993</v>
      </c>
      <c r="O90" s="156">
        <f t="shared" si="35"/>
        <v>0.71777654975663252</v>
      </c>
      <c r="P90" s="154">
        <f t="shared" si="36"/>
        <v>4.2161290322580642</v>
      </c>
      <c r="Q90" s="152">
        <f>COUNTIFS('Daily KPI'!$D:$D,D90,'Daily KPI'!$O:$O,"&gt;0")</f>
        <v>0</v>
      </c>
      <c r="R90" s="155">
        <f t="shared" si="37"/>
        <v>0</v>
      </c>
      <c r="S90" s="163">
        <f>SUMIF($F$2:F90,F90,$R$2:R90)</f>
        <v>573.48709677419367</v>
      </c>
      <c r="T90" s="154">
        <f t="shared" si="38"/>
        <v>24.273156786520858</v>
      </c>
      <c r="U90" s="155">
        <f t="shared" si="39"/>
        <v>0</v>
      </c>
      <c r="V90" s="163">
        <f>SUMIF($F$2:F90,F90,$U$2:U90)</f>
        <v>3154.8987212058146</v>
      </c>
      <c r="W90" s="156">
        <f t="shared" si="40"/>
        <v>0.12609327292095679</v>
      </c>
      <c r="X90" s="156" t="str">
        <f t="shared" si="32"/>
        <v/>
      </c>
      <c r="Y90" s="156">
        <f t="shared" si="33"/>
        <v>0.15758603890554151</v>
      </c>
      <c r="Z90" s="154" t="str">
        <f>IFERROR(AVERAGEIF('Daily KPI'!$D:$D,Table14[[#This Row],[Month]],'Daily KPI'!$AB:$AB),"")</f>
        <v/>
      </c>
      <c r="AA90" s="164">
        <f>IFERROR(AVERAGEIF($F$2:F90,F90,$N$2:N90),"")</f>
        <v>8.0208999999999993</v>
      </c>
      <c r="AB90" s="155"/>
      <c r="AC90" s="154"/>
      <c r="AD90" s="165"/>
      <c r="AE90" s="156">
        <v>0.98040000000000005</v>
      </c>
      <c r="AF90" s="156">
        <v>0.98</v>
      </c>
      <c r="AG90" s="156"/>
      <c r="AH90" s="156"/>
      <c r="AI90" s="156"/>
      <c r="AJ90" s="156"/>
      <c r="AK90" s="156"/>
      <c r="AL90" s="156"/>
      <c r="AM90" s="183"/>
      <c r="AN90" s="183"/>
    </row>
    <row r="91" spans="1:40" x14ac:dyDescent="0.3">
      <c r="A91" s="148">
        <f t="shared" si="34"/>
        <v>90</v>
      </c>
      <c r="B91" s="149" t="str">
        <f t="shared" si="41"/>
        <v>September</v>
      </c>
      <c r="C91" s="149">
        <f t="shared" si="41"/>
        <v>9</v>
      </c>
      <c r="D91" s="150">
        <v>45901</v>
      </c>
      <c r="E91" s="151">
        <f t="shared" si="24"/>
        <v>2025</v>
      </c>
      <c r="F91" s="151" t="s">
        <v>1182</v>
      </c>
      <c r="G91" s="152">
        <f t="shared" si="44"/>
        <v>30</v>
      </c>
      <c r="H91" s="157">
        <f t="shared" si="42"/>
        <v>142.5</v>
      </c>
      <c r="I91" s="157">
        <f t="shared" si="42"/>
        <v>145.4</v>
      </c>
      <c r="J91" s="154"/>
      <c r="K91" s="153"/>
      <c r="L91" s="152"/>
      <c r="M91" s="155">
        <v>812.97092400213171</v>
      </c>
      <c r="N91" s="155">
        <v>8.0208999999999993</v>
      </c>
      <c r="O91" s="156">
        <f t="shared" si="35"/>
        <v>0.69708783670793795</v>
      </c>
      <c r="P91" s="154">
        <f t="shared" si="36"/>
        <v>4.8466666666666667</v>
      </c>
      <c r="Q91" s="152">
        <f>COUNTIFS('Daily KPI'!$D:$D,D91,'Daily KPI'!$O:$O,"&gt;0")</f>
        <v>0</v>
      </c>
      <c r="R91" s="155">
        <f t="shared" si="37"/>
        <v>0</v>
      </c>
      <c r="S91" s="163">
        <f>SUMIF($F$2:F91,F91,$R$2:R91)</f>
        <v>573.48709677419367</v>
      </c>
      <c r="T91" s="154">
        <f t="shared" si="38"/>
        <v>27.099030800071056</v>
      </c>
      <c r="U91" s="155">
        <f t="shared" si="39"/>
        <v>0</v>
      </c>
      <c r="V91" s="163">
        <f>SUMIF($F$2:F91,F91,$U$2:U91)</f>
        <v>3154.8987212058146</v>
      </c>
      <c r="W91" s="156">
        <f t="shared" si="40"/>
        <v>0.14077301591296412</v>
      </c>
      <c r="X91" s="156" t="str">
        <f t="shared" si="32"/>
        <v/>
      </c>
      <c r="Y91" s="156">
        <f t="shared" si="33"/>
        <v>0.15758603890554151</v>
      </c>
      <c r="Z91" s="154" t="str">
        <f>IFERROR(AVERAGEIF('Daily KPI'!$D:$D,Table14[[#This Row],[Month]],'Daily KPI'!$AB:$AB),"")</f>
        <v/>
      </c>
      <c r="AA91" s="164">
        <f>IFERROR(AVERAGEIF($F$2:F91,F91,$N$2:N91),"")</f>
        <v>8.0208999999999993</v>
      </c>
      <c r="AB91" s="155"/>
      <c r="AC91" s="154"/>
      <c r="AD91" s="165"/>
      <c r="AE91" s="156">
        <v>0.98040000000000005</v>
      </c>
      <c r="AF91" s="156">
        <v>0.98</v>
      </c>
      <c r="AG91" s="156"/>
      <c r="AH91" s="156"/>
      <c r="AI91" s="156"/>
      <c r="AJ91" s="156"/>
      <c r="AK91" s="156"/>
      <c r="AL91" s="156"/>
      <c r="AM91" s="183"/>
      <c r="AN91" s="183"/>
    </row>
    <row r="92" spans="1:40" x14ac:dyDescent="0.3">
      <c r="A92" s="148">
        <f t="shared" si="34"/>
        <v>91</v>
      </c>
      <c r="B92" s="149" t="str">
        <f t="shared" si="41"/>
        <v>October</v>
      </c>
      <c r="C92" s="149">
        <f t="shared" si="41"/>
        <v>10</v>
      </c>
      <c r="D92" s="150">
        <v>45931</v>
      </c>
      <c r="E92" s="151">
        <f t="shared" si="24"/>
        <v>2025</v>
      </c>
      <c r="F92" s="151" t="s">
        <v>1182</v>
      </c>
      <c r="G92" s="152">
        <f t="shared" si="44"/>
        <v>31</v>
      </c>
      <c r="H92" s="157">
        <f t="shared" si="42"/>
        <v>145.69999999999999</v>
      </c>
      <c r="I92" s="157">
        <f t="shared" si="42"/>
        <v>158.80000000000001</v>
      </c>
      <c r="J92" s="154"/>
      <c r="K92" s="153"/>
      <c r="L92" s="152"/>
      <c r="M92" s="155">
        <v>923.72805882412695</v>
      </c>
      <c r="N92" s="155">
        <v>8.0208999999999993</v>
      </c>
      <c r="O92" s="156">
        <f t="shared" si="35"/>
        <v>0.72522127474099773</v>
      </c>
      <c r="P92" s="154">
        <f t="shared" si="36"/>
        <v>5.1225806451612907</v>
      </c>
      <c r="Q92" s="152">
        <f>COUNTIFS('Daily KPI'!$D:$D,D92,'Daily KPI'!$O:$O,"&gt;0")</f>
        <v>0</v>
      </c>
      <c r="R92" s="155">
        <f t="shared" si="37"/>
        <v>0</v>
      </c>
      <c r="S92" s="163">
        <f>SUMIF($F$2:F92,F92,$R$2:R92)</f>
        <v>573.48709677419367</v>
      </c>
      <c r="T92" s="154">
        <f t="shared" si="38"/>
        <v>29.79767931690732</v>
      </c>
      <c r="U92" s="155">
        <f t="shared" si="39"/>
        <v>0</v>
      </c>
      <c r="V92" s="163">
        <f>SUMIF($F$2:F92,F92,$U$2:U92)</f>
        <v>3154.8987212058146</v>
      </c>
      <c r="W92" s="156">
        <f t="shared" si="40"/>
        <v>0.1547918527269764</v>
      </c>
      <c r="X92" s="156" t="str">
        <f t="shared" si="32"/>
        <v/>
      </c>
      <c r="Y92" s="156">
        <f t="shared" si="33"/>
        <v>0.15758603890554151</v>
      </c>
      <c r="Z92" s="154" t="str">
        <f>IFERROR(AVERAGEIF('Daily KPI'!$D:$D,Table14[[#This Row],[Month]],'Daily KPI'!$AB:$AB),"")</f>
        <v/>
      </c>
      <c r="AA92" s="164">
        <f>IFERROR(AVERAGEIF($F$2:F92,F92,$N$2:N92),"")</f>
        <v>8.0208999999999993</v>
      </c>
      <c r="AB92" s="155"/>
      <c r="AC92" s="154"/>
      <c r="AD92" s="165"/>
      <c r="AE92" s="156">
        <v>0.98040000000000005</v>
      </c>
      <c r="AF92" s="156">
        <v>0.98</v>
      </c>
      <c r="AG92" s="156"/>
      <c r="AH92" s="156"/>
      <c r="AI92" s="156"/>
      <c r="AJ92" s="156"/>
      <c r="AK92" s="156"/>
      <c r="AL92" s="156"/>
      <c r="AM92" s="183"/>
      <c r="AN92" s="183"/>
    </row>
    <row r="93" spans="1:40" x14ac:dyDescent="0.3">
      <c r="A93" s="148">
        <f t="shared" si="34"/>
        <v>92</v>
      </c>
      <c r="B93" s="149" t="str">
        <f t="shared" si="41"/>
        <v>November</v>
      </c>
      <c r="C93" s="149">
        <f t="shared" si="41"/>
        <v>11</v>
      </c>
      <c r="D93" s="150">
        <v>45962</v>
      </c>
      <c r="E93" s="151">
        <f t="shared" si="24"/>
        <v>2025</v>
      </c>
      <c r="F93" s="151" t="s">
        <v>1182</v>
      </c>
      <c r="G93" s="152">
        <f t="shared" si="44"/>
        <v>30</v>
      </c>
      <c r="H93" s="157">
        <f t="shared" si="42"/>
        <v>138.9</v>
      </c>
      <c r="I93" s="157">
        <f t="shared" si="42"/>
        <v>163</v>
      </c>
      <c r="J93" s="154"/>
      <c r="K93" s="153"/>
      <c r="L93" s="152"/>
      <c r="M93" s="155">
        <v>928.06106564490403</v>
      </c>
      <c r="N93" s="155">
        <v>8.0208999999999993</v>
      </c>
      <c r="O93" s="156">
        <f t="shared" si="35"/>
        <v>0.70984879123298372</v>
      </c>
      <c r="P93" s="154">
        <f t="shared" si="36"/>
        <v>5.4333333333333336</v>
      </c>
      <c r="Q93" s="152">
        <f>COUNTIFS('Daily KPI'!$D:$D,D93,'Daily KPI'!$O:$O,"&gt;0")</f>
        <v>0</v>
      </c>
      <c r="R93" s="155">
        <f t="shared" si="37"/>
        <v>0</v>
      </c>
      <c r="S93" s="163">
        <f>SUMIF($F$2:F93,F93,$R$2:R93)</f>
        <v>573.48709677419367</v>
      </c>
      <c r="T93" s="154">
        <f t="shared" si="38"/>
        <v>30.935368854830134</v>
      </c>
      <c r="U93" s="155">
        <f t="shared" si="39"/>
        <v>0</v>
      </c>
      <c r="V93" s="163">
        <f>SUMIF($F$2:F93,F93,$U$2:U93)</f>
        <v>3154.8987212058146</v>
      </c>
      <c r="W93" s="156">
        <f t="shared" si="40"/>
        <v>0.160701879126356</v>
      </c>
      <c r="X93" s="156" t="str">
        <f t="shared" si="32"/>
        <v/>
      </c>
      <c r="Y93" s="156">
        <f t="shared" si="33"/>
        <v>0.15758603890554151</v>
      </c>
      <c r="Z93" s="154" t="str">
        <f>IFERROR(AVERAGEIF('Daily KPI'!$D:$D,Table14[[#This Row],[Month]],'Daily KPI'!$AB:$AB),"")</f>
        <v/>
      </c>
      <c r="AA93" s="164">
        <f>IFERROR(AVERAGEIF($F$2:F93,F93,$N$2:N93),"")</f>
        <v>8.0208999999999993</v>
      </c>
      <c r="AB93" s="155"/>
      <c r="AC93" s="154"/>
      <c r="AD93" s="165"/>
      <c r="AE93" s="156">
        <v>0.98040000000000005</v>
      </c>
      <c r="AF93" s="156">
        <v>0.98</v>
      </c>
      <c r="AG93" s="156"/>
      <c r="AH93" s="156"/>
      <c r="AI93" s="156"/>
      <c r="AJ93" s="156"/>
      <c r="AK93" s="156"/>
      <c r="AL93" s="156"/>
      <c r="AM93" s="183"/>
      <c r="AN93" s="183"/>
    </row>
    <row r="94" spans="1:40" x14ac:dyDescent="0.3">
      <c r="A94" s="148">
        <f t="shared" si="34"/>
        <v>93</v>
      </c>
      <c r="B94" s="149" t="str">
        <f t="shared" si="41"/>
        <v>December</v>
      </c>
      <c r="C94" s="149">
        <f t="shared" si="41"/>
        <v>12</v>
      </c>
      <c r="D94" s="150">
        <v>45992</v>
      </c>
      <c r="E94" s="151">
        <f t="shared" ref="E94:E96" si="45">YEAR(D94)</f>
        <v>2025</v>
      </c>
      <c r="F94" s="151" t="s">
        <v>1182</v>
      </c>
      <c r="G94" s="152">
        <f t="shared" si="44"/>
        <v>31</v>
      </c>
      <c r="H94" s="157">
        <f t="shared" si="42"/>
        <v>134.69999999999999</v>
      </c>
      <c r="I94" s="157">
        <f t="shared" si="42"/>
        <v>163.69999999999999</v>
      </c>
      <c r="J94" s="154"/>
      <c r="K94" s="153"/>
      <c r="L94" s="152"/>
      <c r="M94" s="155">
        <v>966.35349351163529</v>
      </c>
      <c r="N94" s="155">
        <v>8.0208999999999993</v>
      </c>
      <c r="O94" s="156">
        <f t="shared" si="35"/>
        <v>0.73597699552347362</v>
      </c>
      <c r="P94" s="154">
        <f t="shared" si="36"/>
        <v>5.2806451612903222</v>
      </c>
      <c r="Q94" s="152">
        <f>COUNTIFS('Daily KPI'!$D:$D,D94,'Daily KPI'!$O:$O,"&gt;0")</f>
        <v>0</v>
      </c>
      <c r="R94" s="155">
        <f t="shared" si="37"/>
        <v>0</v>
      </c>
      <c r="S94" s="163">
        <f>SUMIF($F$2:F94,F94,$R$2:R94)</f>
        <v>573.48709677419367</v>
      </c>
      <c r="T94" s="154">
        <f t="shared" si="38"/>
        <v>31.172693339085008</v>
      </c>
      <c r="U94" s="155">
        <f t="shared" si="39"/>
        <v>0</v>
      </c>
      <c r="V94" s="163">
        <f>SUMIF($F$2:F94,F94,$U$2:U94)</f>
        <v>3154.8987212058146</v>
      </c>
      <c r="W94" s="156">
        <f t="shared" si="40"/>
        <v>0.16193472334300082</v>
      </c>
      <c r="X94" s="156" t="str">
        <f t="shared" si="32"/>
        <v/>
      </c>
      <c r="Y94" s="156">
        <f t="shared" si="33"/>
        <v>0.15758603890554151</v>
      </c>
      <c r="Z94" s="154" t="str">
        <f>IFERROR(AVERAGEIF('Daily KPI'!$D:$D,Table14[[#This Row],[Month]],'Daily KPI'!$AB:$AB),"")</f>
        <v/>
      </c>
      <c r="AA94" s="164">
        <f>IFERROR(AVERAGEIF($F$2:F94,F94,$N$2:N94),"")</f>
        <v>8.0208999999999993</v>
      </c>
      <c r="AB94" s="155"/>
      <c r="AC94" s="154"/>
      <c r="AD94" s="165"/>
      <c r="AE94" s="156">
        <v>0.98040000000000005</v>
      </c>
      <c r="AF94" s="156">
        <v>0.98</v>
      </c>
      <c r="AG94" s="156"/>
      <c r="AH94" s="156"/>
      <c r="AI94" s="156"/>
      <c r="AJ94" s="156"/>
      <c r="AK94" s="156"/>
      <c r="AL94" s="156"/>
      <c r="AM94" s="183"/>
      <c r="AN94" s="183"/>
    </row>
    <row r="95" spans="1:40" x14ac:dyDescent="0.3">
      <c r="A95" s="148">
        <f t="shared" si="34"/>
        <v>94</v>
      </c>
      <c r="B95" s="149" t="str">
        <f t="shared" ref="B95:C97" si="46">B83</f>
        <v>January</v>
      </c>
      <c r="C95" s="149">
        <f t="shared" si="46"/>
        <v>1</v>
      </c>
      <c r="D95" s="150">
        <v>46023</v>
      </c>
      <c r="E95" s="151">
        <f t="shared" si="45"/>
        <v>2026</v>
      </c>
      <c r="F95" s="151" t="s">
        <v>1182</v>
      </c>
      <c r="G95" s="152">
        <f t="shared" si="44"/>
        <v>31</v>
      </c>
      <c r="H95" s="157">
        <f t="shared" ref="H95:I97" si="47">H83</f>
        <v>151.6</v>
      </c>
      <c r="I95" s="157">
        <f t="shared" si="47"/>
        <v>183.9</v>
      </c>
      <c r="J95" s="154"/>
      <c r="K95" s="153"/>
      <c r="L95" s="152"/>
      <c r="M95" s="155">
        <v>1068.7455519246876</v>
      </c>
      <c r="N95" s="155">
        <v>8.0208999999999993</v>
      </c>
      <c r="O95" s="156">
        <f t="shared" si="35"/>
        <v>0.72455188248968172</v>
      </c>
      <c r="P95" s="154">
        <f t="shared" si="36"/>
        <v>5.9322580645161294</v>
      </c>
      <c r="Q95" s="152">
        <f>COUNTIFS('Daily KPI'!$D:$D,D95,'Daily KPI'!$O:$O,"&gt;0")</f>
        <v>0</v>
      </c>
      <c r="R95" s="155">
        <f t="shared" si="37"/>
        <v>0</v>
      </c>
      <c r="S95" s="163">
        <f>SUMIF($F$2:F95,F95,$R$2:R95)</f>
        <v>573.48709677419367</v>
      </c>
      <c r="T95" s="154">
        <f t="shared" si="38"/>
        <v>34.475662965312502</v>
      </c>
      <c r="U95" s="155">
        <f t="shared" si="39"/>
        <v>0</v>
      </c>
      <c r="V95" s="163">
        <f>SUMIF($F$2:F95,F95,$U$2:U95)</f>
        <v>3154.8987212058146</v>
      </c>
      <c r="W95" s="156">
        <f t="shared" si="40"/>
        <v>0.17909286450248987</v>
      </c>
      <c r="X95" s="156" t="str">
        <f t="shared" si="32"/>
        <v/>
      </c>
      <c r="Y95" s="156">
        <f t="shared" si="33"/>
        <v>0.15758603890554151</v>
      </c>
      <c r="Z95" s="154" t="str">
        <f>IFERROR(AVERAGEIF('Daily KPI'!$D:$D,Table14[[#This Row],[Month]],'Daily KPI'!$AB:$AB),"")</f>
        <v/>
      </c>
      <c r="AA95" s="164">
        <f>IFERROR(AVERAGEIF($F$2:F95,F95,$N$2:N95),"")</f>
        <v>8.0208999999999993</v>
      </c>
      <c r="AB95" s="155"/>
      <c r="AC95" s="154"/>
      <c r="AD95" s="165"/>
      <c r="AE95" s="156">
        <v>0.98040000000000005</v>
      </c>
      <c r="AF95" s="156">
        <v>0.98</v>
      </c>
      <c r="AG95" s="156"/>
      <c r="AH95" s="156"/>
      <c r="AI95" s="156"/>
      <c r="AJ95" s="156"/>
      <c r="AK95" s="156"/>
      <c r="AL95" s="156"/>
      <c r="AM95" s="183"/>
      <c r="AN95" s="183"/>
    </row>
    <row r="96" spans="1:40" x14ac:dyDescent="0.3">
      <c r="A96" s="148">
        <f t="shared" si="34"/>
        <v>95</v>
      </c>
      <c r="B96" s="149" t="str">
        <f t="shared" si="46"/>
        <v>February</v>
      </c>
      <c r="C96" s="149">
        <f t="shared" si="46"/>
        <v>2</v>
      </c>
      <c r="D96" s="150">
        <v>46054</v>
      </c>
      <c r="E96" s="151">
        <f t="shared" si="45"/>
        <v>2026</v>
      </c>
      <c r="F96" s="151" t="s">
        <v>1182</v>
      </c>
      <c r="G96" s="152">
        <f t="shared" si="44"/>
        <v>28</v>
      </c>
      <c r="H96" s="157">
        <f t="shared" si="47"/>
        <v>159.9</v>
      </c>
      <c r="I96" s="157">
        <f t="shared" si="47"/>
        <v>184</v>
      </c>
      <c r="J96" s="154"/>
      <c r="K96" s="153"/>
      <c r="L96" s="152"/>
      <c r="M96" s="155">
        <v>951.70152615819507</v>
      </c>
      <c r="N96" s="155">
        <v>8.0208999999999993</v>
      </c>
      <c r="O96" s="156">
        <f t="shared" si="35"/>
        <v>0.64485168784471436</v>
      </c>
      <c r="P96" s="154">
        <f t="shared" si="36"/>
        <v>6.5714285714285712</v>
      </c>
      <c r="Q96" s="152">
        <f>COUNTIFS('Daily KPI'!$D:$D,D96,'Daily KPI'!$O:$O,"&gt;0")</f>
        <v>0</v>
      </c>
      <c r="R96" s="155">
        <f t="shared" si="37"/>
        <v>0</v>
      </c>
      <c r="S96" s="163">
        <f>SUMIF($F$2:F97,F96,$R$2:R97)</f>
        <v>573.48709677419367</v>
      </c>
      <c r="T96" s="154">
        <f t="shared" si="38"/>
        <v>33.989340219935535</v>
      </c>
      <c r="U96" s="155">
        <f t="shared" si="39"/>
        <v>0</v>
      </c>
      <c r="V96" s="163">
        <f>SUMIF($F$2:F97,F96,$U$2:U97)</f>
        <v>3154.8987212058146</v>
      </c>
      <c r="W96" s="156">
        <f t="shared" si="40"/>
        <v>0.17656653357652891</v>
      </c>
      <c r="X96" s="156" t="str">
        <f t="shared" si="32"/>
        <v/>
      </c>
      <c r="Y96" s="156">
        <f t="shared" si="33"/>
        <v>0.15758603890554151</v>
      </c>
      <c r="Z96" s="154" t="str">
        <f>IFERROR(AVERAGEIF('Daily KPI'!$D:$D,Table14[[#This Row],[Month]],'Daily KPI'!$AB:$AB),"")</f>
        <v/>
      </c>
      <c r="AA96" s="164">
        <f>IFERROR(AVERAGEIF($F$2:F97,F96,$N$2:N97),"")</f>
        <v>8.0208999999999993</v>
      </c>
      <c r="AB96" s="155"/>
      <c r="AC96" s="154"/>
      <c r="AD96" s="165"/>
      <c r="AE96" s="156">
        <v>0.98040000000000005</v>
      </c>
      <c r="AF96" s="156">
        <v>0.98</v>
      </c>
      <c r="AG96" s="156"/>
      <c r="AH96" s="156"/>
      <c r="AI96" s="156"/>
      <c r="AJ96" s="156"/>
      <c r="AK96" s="156"/>
      <c r="AL96" s="156"/>
      <c r="AM96" s="183"/>
      <c r="AN96" s="183"/>
    </row>
    <row r="97" spans="1:40" x14ac:dyDescent="0.3">
      <c r="A97" s="148">
        <f t="shared" si="34"/>
        <v>96</v>
      </c>
      <c r="B97" s="149" t="str">
        <f t="shared" si="46"/>
        <v>March</v>
      </c>
      <c r="C97" s="149">
        <f t="shared" si="46"/>
        <v>3</v>
      </c>
      <c r="D97" s="150">
        <v>46082</v>
      </c>
      <c r="E97" s="151">
        <f>YEAR(D97)</f>
        <v>2026</v>
      </c>
      <c r="F97" s="151" t="s">
        <v>1182</v>
      </c>
      <c r="G97" s="152">
        <f>DAY(EOMONTH(D97,0))</f>
        <v>31</v>
      </c>
      <c r="H97" s="157">
        <f t="shared" si="47"/>
        <v>197.2</v>
      </c>
      <c r="I97" s="157">
        <f t="shared" si="47"/>
        <v>210.4</v>
      </c>
      <c r="J97" s="154"/>
      <c r="K97" s="153"/>
      <c r="L97" s="152"/>
      <c r="M97" s="155">
        <v>1184.7898847928143</v>
      </c>
      <c r="N97" s="155">
        <v>8.0208999999999993</v>
      </c>
      <c r="O97" s="156">
        <f>IFERROR(M97/I97/N97,"")</f>
        <v>0.70205720444645292</v>
      </c>
      <c r="P97" s="154">
        <f>IFERROR(I97/G97,"")</f>
        <v>6.7870967741935484</v>
      </c>
      <c r="Q97" s="152">
        <f>COUNTIFS('Daily KPI'!$D:$D,D97,'Daily KPI'!$O:$O,"&gt;0")</f>
        <v>0</v>
      </c>
      <c r="R97" s="155">
        <f>I97/G97*Q97</f>
        <v>0</v>
      </c>
      <c r="S97" s="163">
        <f>SUMIF($F$2:F97,F97,$R$2:R97)</f>
        <v>573.48709677419367</v>
      </c>
      <c r="T97" s="154">
        <f>M97/G97</f>
        <v>38.219028541703686</v>
      </c>
      <c r="U97" s="155">
        <f>M97/G97*Q97</f>
        <v>0</v>
      </c>
      <c r="V97" s="163">
        <f>SUMIF($F$2:F97,F97,$U$2:U97)</f>
        <v>3154.8987212058146</v>
      </c>
      <c r="W97" s="156">
        <f>IFERROR(T97/(24*N97),"")</f>
        <v>0.19853875781657757</v>
      </c>
      <c r="X97" s="156" t="str">
        <f t="shared" si="32"/>
        <v/>
      </c>
      <c r="Y97" s="156">
        <f t="shared" si="33"/>
        <v>0.15758603890554151</v>
      </c>
      <c r="Z97" s="154" t="str">
        <f>IFERROR(AVERAGEIF('Daily KPI'!$D:$D,Table14[[#This Row],[Month]],'Daily KPI'!$AB:$AB),"")</f>
        <v/>
      </c>
      <c r="AA97" s="164">
        <f>IFERROR(AVERAGEIF($F$2:F97,F97,$N$2:N97),"")</f>
        <v>8.0208999999999993</v>
      </c>
      <c r="AB97" s="155"/>
      <c r="AC97" s="154"/>
      <c r="AD97" s="165"/>
      <c r="AE97" s="156">
        <v>0.98040000000000005</v>
      </c>
      <c r="AF97" s="156">
        <v>0.98</v>
      </c>
      <c r="AG97" s="156"/>
      <c r="AH97" s="156"/>
      <c r="AI97" s="156"/>
      <c r="AJ97" s="156"/>
      <c r="AK97" s="156"/>
      <c r="AL97" s="156"/>
      <c r="AM97" s="185"/>
      <c r="AN97" s="18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72AC-6D8A-4AC4-B497-A561AC182F6C}">
  <dimension ref="A1:AS369"/>
  <sheetViews>
    <sheetView zoomScale="80" zoomScaleNormal="80" workbookViewId="0">
      <pane xSplit="1" ySplit="1" topLeftCell="B90" activePane="bottomRight" state="frozen"/>
      <selection activeCell="AB39" sqref="AB39"/>
      <selection pane="topRight" activeCell="AB39" sqref="AB39"/>
      <selection pane="bottomLeft" activeCell="AB39" sqref="AB39"/>
      <selection pane="bottomRight" activeCell="A96" sqref="A96"/>
    </sheetView>
  </sheetViews>
  <sheetFormatPr defaultColWidth="8.6640625" defaultRowHeight="14.4" x14ac:dyDescent="0.3"/>
  <cols>
    <col min="1" max="1" width="10.109375" style="134" bestFit="1" customWidth="1"/>
    <col min="2" max="5" width="9" style="134" customWidth="1"/>
    <col min="6" max="9" width="10.33203125" style="134" customWidth="1"/>
    <col min="10" max="12" width="11.33203125" style="134" customWidth="1"/>
    <col min="13" max="13" width="15.109375" style="134" bestFit="1" customWidth="1"/>
    <col min="14" max="37" width="11.33203125" style="134" customWidth="1"/>
    <col min="38" max="39" width="11.33203125" style="188" customWidth="1"/>
    <col min="40" max="40" width="11.33203125" style="216" customWidth="1"/>
    <col min="41" max="43" width="11.33203125" style="134" customWidth="1"/>
    <col min="44" max="44" width="8.6640625" style="133"/>
    <col min="45" max="16384" width="8.6640625" style="134"/>
  </cols>
  <sheetData>
    <row r="1" spans="1:45" ht="57.6" x14ac:dyDescent="0.3">
      <c r="A1" s="128" t="s">
        <v>41</v>
      </c>
      <c r="B1" s="129" t="s">
        <v>1092</v>
      </c>
      <c r="C1" s="129" t="s">
        <v>1093</v>
      </c>
      <c r="D1" s="129" t="s">
        <v>40</v>
      </c>
      <c r="E1" s="129" t="s">
        <v>55</v>
      </c>
      <c r="F1" s="130" t="s">
        <v>94</v>
      </c>
      <c r="G1" s="130" t="s">
        <v>1094</v>
      </c>
      <c r="H1" s="130" t="s">
        <v>1095</v>
      </c>
      <c r="I1" s="130" t="s">
        <v>1096</v>
      </c>
      <c r="J1" s="130" t="s">
        <v>1097</v>
      </c>
      <c r="K1" s="130" t="s">
        <v>1098</v>
      </c>
      <c r="L1" s="130" t="s">
        <v>1099</v>
      </c>
      <c r="M1" s="130" t="s">
        <v>1100</v>
      </c>
      <c r="N1" s="130" t="s">
        <v>1101</v>
      </c>
      <c r="O1" s="130" t="s">
        <v>93</v>
      </c>
      <c r="P1" s="130" t="s">
        <v>1102</v>
      </c>
      <c r="Q1" s="130" t="s">
        <v>1103</v>
      </c>
      <c r="R1" s="130" t="s">
        <v>1104</v>
      </c>
      <c r="S1" s="130" t="s">
        <v>1105</v>
      </c>
      <c r="T1" s="130" t="s">
        <v>1106</v>
      </c>
      <c r="U1" s="130" t="s">
        <v>92</v>
      </c>
      <c r="V1" s="130" t="s">
        <v>1107</v>
      </c>
      <c r="W1" s="130" t="s">
        <v>1108</v>
      </c>
      <c r="X1" s="130" t="s">
        <v>1109</v>
      </c>
      <c r="Y1" s="130" t="s">
        <v>1110</v>
      </c>
      <c r="Z1" s="130" t="s">
        <v>1111</v>
      </c>
      <c r="AA1" s="130" t="s">
        <v>1112</v>
      </c>
      <c r="AB1" s="130" t="s">
        <v>1113</v>
      </c>
      <c r="AC1" s="130" t="s">
        <v>1114</v>
      </c>
      <c r="AD1" s="130" t="s">
        <v>1115</v>
      </c>
      <c r="AE1" s="130" t="s">
        <v>1116</v>
      </c>
      <c r="AF1" s="130" t="s">
        <v>1117</v>
      </c>
      <c r="AG1" s="130" t="s">
        <v>1118</v>
      </c>
      <c r="AH1" s="130" t="s">
        <v>1119</v>
      </c>
      <c r="AI1" s="130" t="s">
        <v>1120</v>
      </c>
      <c r="AJ1" s="130" t="s">
        <v>1121</v>
      </c>
      <c r="AK1" s="130" t="s">
        <v>1122</v>
      </c>
      <c r="AL1" s="187" t="s">
        <v>1123</v>
      </c>
      <c r="AM1" s="187" t="s">
        <v>1124</v>
      </c>
      <c r="AN1" s="131" t="s">
        <v>1125</v>
      </c>
      <c r="AO1" s="130" t="s">
        <v>1126</v>
      </c>
      <c r="AP1" s="130" t="s">
        <v>1127</v>
      </c>
      <c r="AQ1" s="130" t="s">
        <v>1128</v>
      </c>
      <c r="AR1" s="130" t="s">
        <v>1193</v>
      </c>
      <c r="AS1" s="130" t="s">
        <v>1194</v>
      </c>
    </row>
    <row r="2" spans="1:45" x14ac:dyDescent="0.3">
      <c r="A2" s="132">
        <v>45745</v>
      </c>
      <c r="B2" s="133">
        <f>YEAR(Table13[[#This Row],[Date]])+IF(MONTH(Table13[[#This Row],[Date]])&gt;=4,1,0)</f>
        <v>2025</v>
      </c>
      <c r="C2" s="134">
        <f>YEAR(Table13[[#This Row],[Date]])</f>
        <v>2025</v>
      </c>
      <c r="D2" s="135">
        <f>Table13[[#This Row],[Date]]-DAY(Table13[[#This Row],[Date]])+1</f>
        <v>45717</v>
      </c>
      <c r="E2" s="134">
        <f t="shared" ref="E2:E52" si="0">DAY(EOMONTH(A2,0))</f>
        <v>31</v>
      </c>
      <c r="F2" s="136">
        <f>IFERROR(_xlfn.XLOOKUP($A2,'Raw Data'!$G:$G,'Raw Data'!$AM:$AM),"")</f>
        <v>12.083333333333336</v>
      </c>
      <c r="G2" s="137">
        <f>IFERROR(_xlfn.XLOOKUP($A2,'Raw Data'!$G:$G,'Raw Data'!$AB:$AB),"")</f>
        <v>0</v>
      </c>
      <c r="H2" s="137"/>
      <c r="I2" s="137">
        <f>IFERROR(_xlfn.XLOOKUP($A2,'Raw Data'!$G:$G,'Raw Data'!$AC:$AC),"")</f>
        <v>5.53</v>
      </c>
      <c r="J2" s="137"/>
      <c r="K2" s="137">
        <f>IFERROR(_xlfn.XLOOKUP($A2,'Raw Data'!$G:$G,'Raw Data'!AD:AD),"")</f>
        <v>0</v>
      </c>
      <c r="L2" s="137">
        <f>IFERROR(_xlfn.XLOOKUP($A2,'Raw Data'!$G:$G,'Raw Data'!AE:AE),"")</f>
        <v>45.37</v>
      </c>
      <c r="M2" s="137">
        <f>IFERROR(_xlfn.XLOOKUP($A2,'Raw Data'!$G:$G,'Raw Data'!AF:AF),"")</f>
        <v>0</v>
      </c>
      <c r="N2" s="137">
        <f>IFERROR(_xlfn.XLOOKUP($A2,'Raw Data'!$G:$G,'Raw Data'!AG:AG),"")</f>
        <v>0</v>
      </c>
      <c r="O2" s="138" t="str">
        <f>IFERROR(1-SUMIF('Plant BD'!$H:$H,$A2,'Plant BD'!$AE:$AE)/($AA2+SUMIF('Plant BD'!$H:$H,$A2,'Plant BD'!$AE:$AE)),"")</f>
        <v/>
      </c>
      <c r="P2" s="138"/>
      <c r="Q2" s="139"/>
      <c r="R2" s="138" t="str">
        <f>IFERROR(1-SUMIF('Grid BD'!$H:$H,$A2,'Grid BD'!$AD:$AD)/($AA2+SUMIF('Grid BD'!$H:$H,$A2,'Grid BD'!$AD:$AD)),"")</f>
        <v/>
      </c>
      <c r="T2" s="139"/>
      <c r="U2" s="140" t="str">
        <f t="shared" ref="U2:U52" si="1">IFERROR(AA2/I2/AB2/1000,"")</f>
        <v/>
      </c>
      <c r="V2" s="140"/>
      <c r="W2" s="141" t="str">
        <f t="shared" ref="W2:W52" si="2">IFERROR(AA2/(24*AB2*1000),"")</f>
        <v/>
      </c>
      <c r="X2" s="133">
        <f>IFERROR(_xlfn.XLOOKUP($A2,'Raw Data'!$G:$G,'Raw Data'!AI:AI),"")</f>
        <v>25201</v>
      </c>
      <c r="Y2" s="133" t="str">
        <f>IFERROR(_xlfn.XLOOKUP($A2,'Raw Data'!$G:$G,'Raw Data'!AJ:AJ),"")</f>
        <v/>
      </c>
      <c r="Z2" s="133" t="str">
        <f>IFERROR(_xlfn.XLOOKUP($A2,'Raw Data'!$G:$G,'Raw Data'!AK:AK),"")</f>
        <v/>
      </c>
      <c r="AA2" s="133" t="str">
        <f>IFERROR(_xlfn.XLOOKUP($A2,'Raw Data'!$G:$G,'Raw Data'!AL:AL),"")</f>
        <v/>
      </c>
      <c r="AB2" s="133">
        <f>IFERROR(_xlfn.XLOOKUP($A2,'Raw Data'!$G:$G,'Raw Data'!H:H),"")</f>
        <v>8.0208999999999993</v>
      </c>
      <c r="AC2" s="142">
        <f>IFERROR(_xlfn.XLOOKUP($D2,'Modelling New'!$D:$D,'Modelling New'!P:P),"")</f>
        <v>6.7870967741935484</v>
      </c>
      <c r="AD2" s="133">
        <f>IFERROR(_xlfn.XLOOKUP($D2,'Modelling New'!$D:$D,'Modelling New'!$T:$T)*1000,"")</f>
        <v>38844.774238777645</v>
      </c>
      <c r="AE2" s="143">
        <f>IFERROR(_xlfn.XLOOKUP($D2,'Modelling New'!$D:$D,'Modelling New'!O:O),"")</f>
        <v>0.71355172148533519</v>
      </c>
      <c r="AF2" s="145">
        <f>IFERROR(_xlfn.XLOOKUP($D2,'Modelling New'!$D:$D,'Modelling New'!W:W),"")</f>
        <v>0.20178935779639051</v>
      </c>
      <c r="AG2" s="145">
        <f>IFERROR(_xlfn.XLOOKUP($D2,'Modelling New'!$D:$D,'Modelling New'!AE:AE),"")</f>
        <v>0.98040000000000005</v>
      </c>
      <c r="AH2" s="167">
        <f>IFERROR(_xlfn.XLOOKUP($D2,'Modelling New'!$D:$D,'Modelling New'!AF:AF),"")</f>
        <v>0.98</v>
      </c>
      <c r="AN2" s="144"/>
      <c r="AO2" s="141"/>
      <c r="AP2" s="141"/>
      <c r="AQ2" s="141"/>
      <c r="AR2" s="133">
        <f>'Basic Data'!$B$98/1000</f>
        <v>8.0208999999999993</v>
      </c>
    </row>
    <row r="3" spans="1:45" x14ac:dyDescent="0.3">
      <c r="A3" s="132">
        <f t="shared" ref="A3:A53" si="3">A2+1</f>
        <v>45746</v>
      </c>
      <c r="B3" s="133">
        <f>YEAR(Table13[[#This Row],[Date]])+IF(MONTH(Table13[[#This Row],[Date]])&gt;=4,1,0)</f>
        <v>2025</v>
      </c>
      <c r="C3" s="134">
        <f>YEAR(Table13[[#This Row],[Date]])</f>
        <v>2025</v>
      </c>
      <c r="D3" s="135">
        <f>Table13[[#This Row],[Date]]-DAY(Table13[[#This Row],[Date]])+1</f>
        <v>45717</v>
      </c>
      <c r="E3" s="134">
        <f t="shared" si="0"/>
        <v>31</v>
      </c>
      <c r="F3" s="136">
        <f>IFERROR(_xlfn.XLOOKUP($A3,'Raw Data'!$G:$G,'Raw Data'!$AM:$AM),"")</f>
        <v>12.1</v>
      </c>
      <c r="G3" s="137">
        <f>IFERROR(_xlfn.XLOOKUP($A3,'Raw Data'!$G:$G,'Raw Data'!$AB:$AB),"")</f>
        <v>0</v>
      </c>
      <c r="H3" s="137"/>
      <c r="I3" s="137">
        <f>IFERROR(_xlfn.XLOOKUP($A3,'Raw Data'!$G:$G,'Raw Data'!$AC:$AC),"")</f>
        <v>5.95</v>
      </c>
      <c r="J3" s="137"/>
      <c r="K3" s="137">
        <f>IFERROR(_xlfn.XLOOKUP($A3,'Raw Data'!$G:$G,'Raw Data'!AD:AD),"")</f>
        <v>0</v>
      </c>
      <c r="L3" s="137">
        <f>IFERROR(_xlfn.XLOOKUP($A3,'Raw Data'!$G:$G,'Raw Data'!AE:AE),"")</f>
        <v>45.2</v>
      </c>
      <c r="M3" s="137">
        <f>IFERROR(_xlfn.XLOOKUP($A3,'Raw Data'!$G:$G,'Raw Data'!AF:AF),"")</f>
        <v>0</v>
      </c>
      <c r="N3" s="137">
        <f>IFERROR(_xlfn.XLOOKUP($A3,'Raw Data'!$G:$G,'Raw Data'!AG:AG),"")</f>
        <v>0</v>
      </c>
      <c r="O3" s="138">
        <f>IFERROR(1-SUMIF('Plant BD'!$H:$H,$A3,'Plant BD'!$AE:$AE)/($AA3+SUMIF('Plant BD'!$H:$H,$A3,'Plant BD'!$AE:$AE)),"")</f>
        <v>0.77118218880786249</v>
      </c>
      <c r="P3" s="138"/>
      <c r="Q3" s="139"/>
      <c r="R3" s="138">
        <f>IFERROR(1-SUMIF('Grid BD'!$H:$H,$A3,'Grid BD'!$AD:$AD)/($AA3+SUMIF('Grid BD'!$H:$H,$A3,'Grid BD'!$AD:$AD)),"")</f>
        <v>1</v>
      </c>
      <c r="T3" s="139"/>
      <c r="U3" s="140">
        <f t="shared" si="1"/>
        <v>0.56784423802054784</v>
      </c>
      <c r="V3" s="140"/>
      <c r="W3" s="141">
        <f t="shared" si="2"/>
        <v>0.14077805067592747</v>
      </c>
      <c r="X3" s="133">
        <f>IFERROR(_xlfn.XLOOKUP($A3,'Raw Data'!$G:$G,'Raw Data'!AI:AI),"")</f>
        <v>27454</v>
      </c>
      <c r="Y3" s="133">
        <f>IFERROR(_xlfn.XLOOKUP($A3,'Raw Data'!$G:$G,'Raw Data'!AJ:AJ),"")</f>
        <v>27199.99999999709</v>
      </c>
      <c r="Z3" s="133">
        <f>IFERROR(_xlfn.XLOOKUP($A3,'Raw Data'!$G:$G,'Raw Data'!AK:AK),"")</f>
        <v>99.999999999965894</v>
      </c>
      <c r="AA3" s="133">
        <f>IFERROR(_xlfn.XLOOKUP($A3,'Raw Data'!$G:$G,'Raw Data'!AL:AL),"")</f>
        <v>27099.999999997122</v>
      </c>
      <c r="AB3" s="133">
        <f>IFERROR(_xlfn.XLOOKUP($A3,'Raw Data'!$G:$G,'Raw Data'!H:H),"")</f>
        <v>8.0208999999999993</v>
      </c>
      <c r="AC3" s="142">
        <f>IFERROR(_xlfn.XLOOKUP($D3,'Modelling New'!$D:$D,'Modelling New'!P:P),"")</f>
        <v>6.7870967741935484</v>
      </c>
      <c r="AD3" s="133">
        <f>IFERROR(_xlfn.XLOOKUP($D3,'Modelling New'!$D:$D,'Modelling New'!$T:$T)*1000,"")</f>
        <v>38844.774238777645</v>
      </c>
      <c r="AE3" s="143">
        <f>IFERROR(_xlfn.XLOOKUP($D3,'Modelling New'!$D:$D,'Modelling New'!O:O),"")</f>
        <v>0.71355172148533519</v>
      </c>
      <c r="AF3" s="145">
        <f>IFERROR(_xlfn.XLOOKUP($D3,'Modelling New'!$D:$D,'Modelling New'!W:W),"")</f>
        <v>0.20178935779639051</v>
      </c>
      <c r="AG3" s="145">
        <f>IFERROR(_xlfn.XLOOKUP($D3,'Modelling New'!$D:$D,'Modelling New'!AE:AE),"")</f>
        <v>0.98040000000000005</v>
      </c>
      <c r="AH3" s="167">
        <f>IFERROR(_xlfn.XLOOKUP($D3,'Modelling New'!$D:$D,'Modelling New'!AF:AF),"")</f>
        <v>0.98</v>
      </c>
      <c r="AN3" s="144"/>
      <c r="AO3" s="141"/>
      <c r="AP3" s="141"/>
      <c r="AQ3" s="141"/>
      <c r="AR3" s="133">
        <f>'Basic Data'!$B$98/1000</f>
        <v>8.0208999999999993</v>
      </c>
    </row>
    <row r="4" spans="1:45" x14ac:dyDescent="0.3">
      <c r="A4" s="132">
        <f t="shared" si="3"/>
        <v>45747</v>
      </c>
      <c r="B4" s="133">
        <f>YEAR(Table13[[#This Row],[Date]])+IF(MONTH(Table13[[#This Row],[Date]])&gt;=4,1,0)</f>
        <v>2025</v>
      </c>
      <c r="C4" s="134">
        <f>YEAR(Table13[[#This Row],[Date]])</f>
        <v>2025</v>
      </c>
      <c r="D4" s="135">
        <f>Table13[[#This Row],[Date]]-DAY(Table13[[#This Row],[Date]])+1</f>
        <v>45717</v>
      </c>
      <c r="E4" s="134">
        <f t="shared" si="0"/>
        <v>31</v>
      </c>
      <c r="F4" s="136">
        <f>IFERROR(_xlfn.XLOOKUP($A4,'Raw Data'!$G:$G,'Raw Data'!$AM:$AM),"")</f>
        <v>12.150000000000002</v>
      </c>
      <c r="G4" s="137">
        <f>IFERROR(_xlfn.XLOOKUP($A4,'Raw Data'!$G:$G,'Raw Data'!$AB:$AB),"")</f>
        <v>0</v>
      </c>
      <c r="H4" s="137"/>
      <c r="I4" s="137">
        <f>IFERROR(_xlfn.XLOOKUP($A4,'Raw Data'!$G:$G,'Raw Data'!$AC:$AC),"")</f>
        <v>5.99</v>
      </c>
      <c r="J4" s="137"/>
      <c r="K4" s="137">
        <f>IFERROR(_xlfn.XLOOKUP($A4,'Raw Data'!$G:$G,'Raw Data'!AD:AD),"")</f>
        <v>0</v>
      </c>
      <c r="L4" s="137">
        <f>IFERROR(_xlfn.XLOOKUP($A4,'Raw Data'!$G:$G,'Raw Data'!AE:AE),"")</f>
        <v>44.04</v>
      </c>
      <c r="M4" s="137">
        <f>IFERROR(_xlfn.XLOOKUP($A4,'Raw Data'!$G:$G,'Raw Data'!AF:AF),"")</f>
        <v>0</v>
      </c>
      <c r="N4" s="137">
        <f>IFERROR(_xlfn.XLOOKUP($A4,'Raw Data'!$G:$G,'Raw Data'!AG:AG),"")</f>
        <v>0</v>
      </c>
      <c r="O4" s="138">
        <f>IFERROR(1-SUMIF('Plant BD'!$H:$H,$A4,'Plant BD'!$AE:$AE)/($AA4+SUMIF('Plant BD'!$H:$H,$A4,'Plant BD'!$AE:$AE)),"")</f>
        <v>0.77417369742358744</v>
      </c>
      <c r="P4" s="138"/>
      <c r="Q4" s="139"/>
      <c r="R4" s="138">
        <f>IFERROR(1-SUMIF('Grid BD'!$H:$H,$A4,'Grid BD'!$AD:$AD)/($AA4+SUMIF('Grid BD'!$H:$H,$A4,'Grid BD'!$AD:$AD)),"")</f>
        <v>1</v>
      </c>
      <c r="T4" s="139"/>
      <c r="U4" s="140">
        <f t="shared" si="1"/>
        <v>0.56821503738030121</v>
      </c>
      <c r="V4" s="140"/>
      <c r="W4" s="141">
        <f t="shared" si="2"/>
        <v>0.14181700307950015</v>
      </c>
      <c r="X4" s="133">
        <f>IFERROR(_xlfn.XLOOKUP($A4,'Raw Data'!$G:$G,'Raw Data'!AI:AI),"")</f>
        <v>27676.2</v>
      </c>
      <c r="Y4" s="133">
        <f>IFERROR(_xlfn.XLOOKUP($A4,'Raw Data'!$G:$G,'Raw Data'!AJ:AJ),"")</f>
        <v>27400.000000008731</v>
      </c>
      <c r="Z4" s="133">
        <f>IFERROR(_xlfn.XLOOKUP($A4,'Raw Data'!$G:$G,'Raw Data'!AK:AK),"")</f>
        <v>100.00000000002274</v>
      </c>
      <c r="AA4" s="133">
        <f>IFERROR(_xlfn.XLOOKUP($A4,'Raw Data'!$G:$G,'Raw Data'!AL:AL),"")</f>
        <v>27300.000000008709</v>
      </c>
      <c r="AB4" s="133">
        <f>IFERROR(_xlfn.XLOOKUP($A4,'Raw Data'!$G:$G,'Raw Data'!H:H),"")</f>
        <v>8.0208999999999993</v>
      </c>
      <c r="AC4" s="142">
        <f>IFERROR(_xlfn.XLOOKUP($D4,'Modelling New'!$D:$D,'Modelling New'!P:P),"")</f>
        <v>6.7870967741935484</v>
      </c>
      <c r="AD4" s="133">
        <f>IFERROR(_xlfn.XLOOKUP($D4,'Modelling New'!$D:$D,'Modelling New'!$T:$T)*1000,"")</f>
        <v>38844.774238777645</v>
      </c>
      <c r="AE4" s="143">
        <f>IFERROR(_xlfn.XLOOKUP($D4,'Modelling New'!$D:$D,'Modelling New'!O:O),"")</f>
        <v>0.71355172148533519</v>
      </c>
      <c r="AF4" s="145">
        <f>IFERROR(_xlfn.XLOOKUP($D4,'Modelling New'!$D:$D,'Modelling New'!W:W),"")</f>
        <v>0.20178935779639051</v>
      </c>
      <c r="AG4" s="145">
        <f>IFERROR(_xlfn.XLOOKUP($D4,'Modelling New'!$D:$D,'Modelling New'!AE:AE),"")</f>
        <v>0.98040000000000005</v>
      </c>
      <c r="AH4" s="167">
        <f>IFERROR(_xlfn.XLOOKUP($D4,'Modelling New'!$D:$D,'Modelling New'!AF:AF),"")</f>
        <v>0.98</v>
      </c>
      <c r="AN4" s="144"/>
      <c r="AO4" s="141"/>
      <c r="AP4" s="141"/>
      <c r="AQ4" s="141"/>
      <c r="AR4" s="133">
        <f>'Basic Data'!$B$98/1000</f>
        <v>8.0208999999999993</v>
      </c>
    </row>
    <row r="5" spans="1:45" x14ac:dyDescent="0.3">
      <c r="A5" s="132">
        <f t="shared" si="3"/>
        <v>45748</v>
      </c>
      <c r="B5" s="133">
        <f>YEAR(Table13[[#This Row],[Date]])+IF(MONTH(Table13[[#This Row],[Date]])&gt;=4,1,0)</f>
        <v>2026</v>
      </c>
      <c r="C5" s="134">
        <f>YEAR(Table13[[#This Row],[Date]])</f>
        <v>2025</v>
      </c>
      <c r="D5" s="135">
        <f>Table13[[#This Row],[Date]]-DAY(Table13[[#This Row],[Date]])+1</f>
        <v>45748</v>
      </c>
      <c r="E5" s="134">
        <f t="shared" si="0"/>
        <v>30</v>
      </c>
      <c r="F5" s="136">
        <f>IFERROR(_xlfn.XLOOKUP($A5,'Raw Data'!$G:$G,'Raw Data'!$AM:$AM),"")</f>
        <v>12.050000000000002</v>
      </c>
      <c r="G5" s="137">
        <f>IFERROR(_xlfn.XLOOKUP($A5,'Raw Data'!$G:$G,'Raw Data'!$AB:$AB),"")</f>
        <v>0</v>
      </c>
      <c r="H5" s="137"/>
      <c r="I5" s="137">
        <f>IFERROR(_xlfn.XLOOKUP($A5,'Raw Data'!$G:$G,'Raw Data'!$AC:$AC),"")</f>
        <v>6.04</v>
      </c>
      <c r="J5" s="137"/>
      <c r="K5" s="137">
        <f>IFERROR(_xlfn.XLOOKUP($A5,'Raw Data'!$G:$G,'Raw Data'!AD:AD),"")</f>
        <v>0</v>
      </c>
      <c r="L5" s="137">
        <f>IFERROR(_xlfn.XLOOKUP($A5,'Raw Data'!$G:$G,'Raw Data'!AE:AE),"")</f>
        <v>45.06</v>
      </c>
      <c r="M5" s="137">
        <f>IFERROR(_xlfn.XLOOKUP($A5,'Raw Data'!$G:$G,'Raw Data'!AF:AF),"")</f>
        <v>0</v>
      </c>
      <c r="N5" s="137">
        <f>IFERROR(_xlfn.XLOOKUP($A5,'Raw Data'!$G:$G,'Raw Data'!AG:AG),"")</f>
        <v>0</v>
      </c>
      <c r="O5" s="138">
        <f>IFERROR(1-SUMIF('Plant BD'!$H:$H,$A5,'Plant BD'!$AE:$AE)/($AA5+SUMIF('Plant BD'!$H:$H,$A5,'Plant BD'!$AE:$AE)),"")</f>
        <v>0.78522641333761389</v>
      </c>
      <c r="P5" s="138"/>
      <c r="Q5" s="139"/>
      <c r="R5" s="138">
        <f>IFERROR(1-SUMIF('Grid BD'!$H:$H,$A5,'Grid BD'!$AD:$AD)/($AA5+SUMIF('Grid BD'!$H:$H,$A5,'Grid BD'!$AD:$AD)),"")</f>
        <v>1</v>
      </c>
      <c r="T5" s="139"/>
      <c r="U5" s="140">
        <f t="shared" si="1"/>
        <v>0.56867163013436506</v>
      </c>
      <c r="V5" s="140"/>
      <c r="W5" s="141">
        <f t="shared" si="2"/>
        <v>0.14311569358381518</v>
      </c>
      <c r="X5" s="133">
        <f>IFERROR(_xlfn.XLOOKUP($A5,'Raw Data'!$G:$G,'Raw Data'!AI:AI),"")</f>
        <v>27882.6</v>
      </c>
      <c r="Y5" s="133">
        <f>IFERROR(_xlfn.XLOOKUP($A5,'Raw Data'!$G:$G,'Raw Data'!AJ:AJ),"")</f>
        <v>27649.999999994179</v>
      </c>
      <c r="Z5" s="133">
        <f>IFERROR(_xlfn.XLOOKUP($A5,'Raw Data'!$G:$G,'Raw Data'!AK:AK),"")</f>
        <v>100.00000000002274</v>
      </c>
      <c r="AA5" s="133">
        <f>IFERROR(_xlfn.XLOOKUP($A5,'Raw Data'!$G:$G,'Raw Data'!AL:AL),"")</f>
        <v>27549.999999994157</v>
      </c>
      <c r="AB5" s="133">
        <f>IFERROR(_xlfn.XLOOKUP($A5,'Raw Data'!$G:$G,'Raw Data'!H:H),"")</f>
        <v>8.0208999999999993</v>
      </c>
      <c r="AC5" s="142">
        <f>IFERROR(_xlfn.XLOOKUP($D5,'Modelling New'!$D:$D,'Modelling New'!P:P),"")</f>
        <v>6.39</v>
      </c>
      <c r="AD5" s="133">
        <f>IFERROR(_xlfn.XLOOKUP($D5,'Modelling New'!$D:$D,'Modelling New'!$T:$T)*1000,"")</f>
        <v>34610.228394529106</v>
      </c>
      <c r="AE5" s="143">
        <f>IFERROR(_xlfn.XLOOKUP($D5,'Modelling New'!$D:$D,'Modelling New'!O:O),"")</f>
        <v>0.67527474134483101</v>
      </c>
      <c r="AF5" s="145">
        <f>IFERROR(_xlfn.XLOOKUP($D5,'Modelling New'!$D:$D,'Modelling New'!W:W),"")</f>
        <v>0.17979189988306124</v>
      </c>
      <c r="AG5" s="145">
        <f>IFERROR(_xlfn.XLOOKUP($D5,'Modelling New'!$D:$D,'Modelling New'!AE:AE),"")</f>
        <v>0.98040000000000005</v>
      </c>
      <c r="AH5" s="167">
        <f>IFERROR(_xlfn.XLOOKUP($D5,'Modelling New'!$D:$D,'Modelling New'!AF:AF),"")</f>
        <v>0.98</v>
      </c>
      <c r="AN5" s="144"/>
      <c r="AO5" s="141"/>
      <c r="AP5" s="141"/>
      <c r="AQ5" s="141"/>
      <c r="AR5" s="133">
        <f>'Basic Data'!$B$98/1000</f>
        <v>8.0208999999999993</v>
      </c>
    </row>
    <row r="6" spans="1:45" x14ac:dyDescent="0.3">
      <c r="A6" s="132">
        <f t="shared" si="3"/>
        <v>45749</v>
      </c>
      <c r="B6" s="133">
        <f>YEAR(Table13[[#This Row],[Date]])+IF(MONTH(Table13[[#This Row],[Date]])&gt;=4,1,0)</f>
        <v>2026</v>
      </c>
      <c r="C6" s="134">
        <f>YEAR(Table13[[#This Row],[Date]])</f>
        <v>2025</v>
      </c>
      <c r="D6" s="135">
        <f>Table13[[#This Row],[Date]]-DAY(Table13[[#This Row],[Date]])+1</f>
        <v>45748</v>
      </c>
      <c r="E6" s="134">
        <f t="shared" si="0"/>
        <v>30</v>
      </c>
      <c r="F6" s="136">
        <f>IFERROR(_xlfn.XLOOKUP($A6,'Raw Data'!$G:$G,'Raw Data'!$AM:$AM),"")</f>
        <v>12.233333333333333</v>
      </c>
      <c r="G6" s="137">
        <f>IFERROR(_xlfn.XLOOKUP($A6,'Raw Data'!$G:$G,'Raw Data'!$AB:$AB),"")</f>
        <v>0</v>
      </c>
      <c r="H6" s="137"/>
      <c r="I6" s="137">
        <f>IFERROR(_xlfn.XLOOKUP($A6,'Raw Data'!$G:$G,'Raw Data'!$AC:$AC),"")</f>
        <v>6.71</v>
      </c>
      <c r="J6" s="137"/>
      <c r="K6" s="137">
        <f>IFERROR(_xlfn.XLOOKUP($A6,'Raw Data'!$G:$G,'Raw Data'!AD:AD),"")</f>
        <v>0</v>
      </c>
      <c r="L6" s="137">
        <f>IFERROR(_xlfn.XLOOKUP($A6,'Raw Data'!$G:$G,'Raw Data'!AE:AE),"")</f>
        <v>44.65</v>
      </c>
      <c r="M6" s="137">
        <f>IFERROR(_xlfn.XLOOKUP($A6,'Raw Data'!$G:$G,'Raw Data'!AF:AF),"")</f>
        <v>0</v>
      </c>
      <c r="N6" s="137">
        <f>IFERROR(_xlfn.XLOOKUP($A6,'Raw Data'!$G:$G,'Raw Data'!AG:AG),"")</f>
        <v>0</v>
      </c>
      <c r="O6" s="138">
        <f>IFERROR(1-SUMIF('Plant BD'!$H:$H,$A6,'Plant BD'!$AE:$AE)/($AA6+SUMIF('Plant BD'!$H:$H,$A6,'Plant BD'!$AE:$AE)),"")</f>
        <v>0.73585264965121833</v>
      </c>
      <c r="P6" s="138"/>
      <c r="Q6" s="139"/>
      <c r="R6" s="138">
        <f>IFERROR(1-SUMIF('Grid BD'!$H:$H,$A6,'Grid BD'!$AD:$AD)/($AA6+SUMIF('Grid BD'!$H:$H,$A6,'Grid BD'!$AD:$AD)),"")</f>
        <v>0.96755136146950538</v>
      </c>
      <c r="T6" s="139"/>
      <c r="U6" s="140">
        <f t="shared" si="1"/>
        <v>0.53325664347203938</v>
      </c>
      <c r="V6" s="140"/>
      <c r="W6" s="141">
        <f t="shared" si="2"/>
        <v>0.14908966990405764</v>
      </c>
      <c r="X6" s="133">
        <f>IFERROR(_xlfn.XLOOKUP($A6,'Raw Data'!$G:$G,'Raw Data'!AI:AI),"")</f>
        <v>29060.9</v>
      </c>
      <c r="Y6" s="133">
        <f>IFERROR(_xlfn.XLOOKUP($A6,'Raw Data'!$G:$G,'Raw Data'!AJ:AJ),"")</f>
        <v>28800.00000000291</v>
      </c>
      <c r="Z6" s="133">
        <f>IFERROR(_xlfn.XLOOKUP($A6,'Raw Data'!$G:$G,'Raw Data'!AK:AK),"")</f>
        <v>99.999999999965894</v>
      </c>
      <c r="AA6" s="133">
        <f>IFERROR(_xlfn.XLOOKUP($A6,'Raw Data'!$G:$G,'Raw Data'!AL:AL),"")</f>
        <v>28700.000000002943</v>
      </c>
      <c r="AB6" s="133">
        <f>IFERROR(_xlfn.XLOOKUP($A6,'Raw Data'!$G:$G,'Raw Data'!H:H),"")</f>
        <v>8.0208999999999993</v>
      </c>
      <c r="AC6" s="142">
        <f>IFERROR(_xlfn.XLOOKUP($D6,'Modelling New'!$D:$D,'Modelling New'!P:P),"")</f>
        <v>6.39</v>
      </c>
      <c r="AD6" s="133">
        <f>IFERROR(_xlfn.XLOOKUP($D6,'Modelling New'!$D:$D,'Modelling New'!$T:$T)*1000,"")</f>
        <v>34610.228394529106</v>
      </c>
      <c r="AE6" s="143">
        <f>IFERROR(_xlfn.XLOOKUP($D6,'Modelling New'!$D:$D,'Modelling New'!O:O),"")</f>
        <v>0.67527474134483101</v>
      </c>
      <c r="AF6" s="145">
        <f>IFERROR(_xlfn.XLOOKUP($D6,'Modelling New'!$D:$D,'Modelling New'!W:W),"")</f>
        <v>0.17979189988306124</v>
      </c>
      <c r="AG6" s="145">
        <f>IFERROR(_xlfn.XLOOKUP($D6,'Modelling New'!$D:$D,'Modelling New'!AE:AE),"")</f>
        <v>0.98040000000000005</v>
      </c>
      <c r="AH6" s="167">
        <f>IFERROR(_xlfn.XLOOKUP($D6,'Modelling New'!$D:$D,'Modelling New'!AF:AF),"")</f>
        <v>0.98</v>
      </c>
      <c r="AN6" s="144"/>
      <c r="AO6" s="141"/>
      <c r="AP6" s="141"/>
      <c r="AQ6" s="141"/>
      <c r="AR6" s="133">
        <f>'Basic Data'!$B$98/1000</f>
        <v>8.0208999999999993</v>
      </c>
    </row>
    <row r="7" spans="1:45" x14ac:dyDescent="0.3">
      <c r="A7" s="132">
        <f t="shared" si="3"/>
        <v>45750</v>
      </c>
      <c r="B7" s="133">
        <f>YEAR(Table13[[#This Row],[Date]])+IF(MONTH(Table13[[#This Row],[Date]])&gt;=4,1,0)</f>
        <v>2026</v>
      </c>
      <c r="C7" s="134">
        <f>YEAR(Table13[[#This Row],[Date]])</f>
        <v>2025</v>
      </c>
      <c r="D7" s="135">
        <f>Table13[[#This Row],[Date]]-DAY(Table13[[#This Row],[Date]])+1</f>
        <v>45748</v>
      </c>
      <c r="E7" s="134">
        <f t="shared" si="0"/>
        <v>30</v>
      </c>
      <c r="F7" s="136">
        <f>IFERROR(_xlfn.XLOOKUP($A7,'Raw Data'!$G:$G,'Raw Data'!$AM:$AM),"")</f>
        <v>11.450000000000001</v>
      </c>
      <c r="G7" s="137">
        <f>IFERROR(_xlfn.XLOOKUP($A7,'Raw Data'!$G:$G,'Raw Data'!$AB:$AB),"")</f>
        <v>0</v>
      </c>
      <c r="H7" s="137"/>
      <c r="I7" s="137">
        <f>IFERROR(_xlfn.XLOOKUP($A7,'Raw Data'!$G:$G,'Raw Data'!$AC:$AC),"")</f>
        <v>3.79</v>
      </c>
      <c r="J7" s="137"/>
      <c r="K7" s="137">
        <f>IFERROR(_xlfn.XLOOKUP($A7,'Raw Data'!$G:$G,'Raw Data'!AD:AD),"")</f>
        <v>0</v>
      </c>
      <c r="L7" s="137">
        <f>IFERROR(_xlfn.XLOOKUP($A7,'Raw Data'!$G:$G,'Raw Data'!AE:AE),"")</f>
        <v>36.42</v>
      </c>
      <c r="M7" s="137">
        <f>IFERROR(_xlfn.XLOOKUP($A7,'Raw Data'!$G:$G,'Raw Data'!AF:AF),"")</f>
        <v>0</v>
      </c>
      <c r="N7" s="137">
        <f>IFERROR(_xlfn.XLOOKUP($A7,'Raw Data'!$G:$G,'Raw Data'!AG:AG),"")</f>
        <v>0</v>
      </c>
      <c r="O7" s="138">
        <f>IFERROR(1-SUMIF('Plant BD'!$H:$H,$A7,'Plant BD'!$AE:$AE)/($AA7+SUMIF('Plant BD'!$H:$H,$A7,'Plant BD'!$AE:$AE)),"")</f>
        <v>0.79568966712476441</v>
      </c>
      <c r="P7" s="138"/>
      <c r="Q7" s="139"/>
      <c r="R7" s="138">
        <f>IFERROR(1-SUMIF('Grid BD'!$H:$H,$A7,'Grid BD'!$AD:$AD)/($AA7+SUMIF('Grid BD'!$H:$H,$A7,'Grid BD'!$AD:$AD)),"")</f>
        <v>0.73867038187190626</v>
      </c>
      <c r="T7" s="139"/>
      <c r="U7" s="140">
        <f t="shared" si="1"/>
        <v>0.48849952059601376</v>
      </c>
      <c r="V7" s="140"/>
      <c r="W7" s="141">
        <f t="shared" si="2"/>
        <v>7.7142215960787172E-2</v>
      </c>
      <c r="X7" s="133">
        <f>IFERROR(_xlfn.XLOOKUP($A7,'Raw Data'!$G:$G,'Raw Data'!AI:AI),"")</f>
        <v>15103.300000000001</v>
      </c>
      <c r="Y7" s="133">
        <f>IFERROR(_xlfn.XLOOKUP($A7,'Raw Data'!$G:$G,'Raw Data'!AJ:AJ),"")</f>
        <v>14949.99999999709</v>
      </c>
      <c r="Z7" s="133">
        <f>IFERROR(_xlfn.XLOOKUP($A7,'Raw Data'!$G:$G,'Raw Data'!AK:AK),"")</f>
        <v>100.00000000002274</v>
      </c>
      <c r="AA7" s="133">
        <f>IFERROR(_xlfn.XLOOKUP($A7,'Raw Data'!$G:$G,'Raw Data'!AL:AL),"")</f>
        <v>14849.999999997068</v>
      </c>
      <c r="AB7" s="133">
        <f>IFERROR(_xlfn.XLOOKUP($A7,'Raw Data'!$G:$G,'Raw Data'!H:H),"")</f>
        <v>8.0208999999999993</v>
      </c>
      <c r="AC7" s="142">
        <f>IFERROR(_xlfn.XLOOKUP($D7,'Modelling New'!$D:$D,'Modelling New'!P:P),"")</f>
        <v>6.39</v>
      </c>
      <c r="AD7" s="133">
        <f>IFERROR(_xlfn.XLOOKUP($D7,'Modelling New'!$D:$D,'Modelling New'!$T:$T)*1000,"")</f>
        <v>34610.228394529106</v>
      </c>
      <c r="AE7" s="143">
        <f>IFERROR(_xlfn.XLOOKUP($D7,'Modelling New'!$D:$D,'Modelling New'!O:O),"")</f>
        <v>0.67527474134483101</v>
      </c>
      <c r="AF7" s="145">
        <f>IFERROR(_xlfn.XLOOKUP($D7,'Modelling New'!$D:$D,'Modelling New'!W:W),"")</f>
        <v>0.17979189988306124</v>
      </c>
      <c r="AG7" s="145">
        <f>IFERROR(_xlfn.XLOOKUP($D7,'Modelling New'!$D:$D,'Modelling New'!AE:AE),"")</f>
        <v>0.98040000000000005</v>
      </c>
      <c r="AH7" s="167">
        <f>IFERROR(_xlfn.XLOOKUP($D7,'Modelling New'!$D:$D,'Modelling New'!AF:AF),"")</f>
        <v>0.98</v>
      </c>
      <c r="AN7" s="144"/>
      <c r="AO7" s="141"/>
      <c r="AP7" s="141"/>
      <c r="AQ7" s="141"/>
      <c r="AR7" s="133">
        <f>'Basic Data'!$B$98/1000</f>
        <v>8.0208999999999993</v>
      </c>
    </row>
    <row r="8" spans="1:45" x14ac:dyDescent="0.3">
      <c r="A8" s="132">
        <f t="shared" si="3"/>
        <v>45751</v>
      </c>
      <c r="B8" s="133">
        <f>YEAR(Table13[[#This Row],[Date]])+IF(MONTH(Table13[[#This Row],[Date]])&gt;=4,1,0)</f>
        <v>2026</v>
      </c>
      <c r="C8" s="134">
        <f>YEAR(Table13[[#This Row],[Date]])</f>
        <v>2025</v>
      </c>
      <c r="D8" s="135">
        <f>Table13[[#This Row],[Date]]-DAY(Table13[[#This Row],[Date]])+1</f>
        <v>45748</v>
      </c>
      <c r="E8" s="134">
        <f t="shared" si="0"/>
        <v>30</v>
      </c>
      <c r="F8" s="136">
        <f>IFERROR(_xlfn.XLOOKUP($A8,'Raw Data'!$G:$G,'Raw Data'!$AM:$AM),"")</f>
        <v>12.350000000000001</v>
      </c>
      <c r="G8" s="137">
        <f>IFERROR(_xlfn.XLOOKUP($A8,'Raw Data'!$G:$G,'Raw Data'!$AB:$AB),"")</f>
        <v>0</v>
      </c>
      <c r="H8" s="137"/>
      <c r="I8" s="137">
        <f>IFERROR(_xlfn.XLOOKUP($A8,'Raw Data'!$G:$G,'Raw Data'!$AC:$AC),"")</f>
        <v>6.83</v>
      </c>
      <c r="J8" s="137"/>
      <c r="K8" s="137">
        <f>IFERROR(_xlfn.XLOOKUP($A8,'Raw Data'!$G:$G,'Raw Data'!AD:AD),"")</f>
        <v>0</v>
      </c>
      <c r="L8" s="137">
        <f>IFERROR(_xlfn.XLOOKUP($A8,'Raw Data'!$G:$G,'Raw Data'!AE:AE),"")</f>
        <v>44.06</v>
      </c>
      <c r="M8" s="137">
        <f>IFERROR(_xlfn.XLOOKUP($A8,'Raw Data'!$G:$G,'Raw Data'!AF:AF),"")</f>
        <v>0</v>
      </c>
      <c r="N8" s="137">
        <f>IFERROR(_xlfn.XLOOKUP($A8,'Raw Data'!$G:$G,'Raw Data'!AG:AG),"")</f>
        <v>0</v>
      </c>
      <c r="O8" s="138">
        <f>IFERROR(1-SUMIF('Plant BD'!$H:$H,$A8,'Plant BD'!$AE:$AE)/($AA8+SUMIF('Plant BD'!$H:$H,$A8,'Plant BD'!$AE:$AE)),"")</f>
        <v>0.75012404818986345</v>
      </c>
      <c r="P8" s="138"/>
      <c r="Q8" s="139"/>
      <c r="R8" s="138">
        <f>IFERROR(1-SUMIF('Grid BD'!$H:$H,$A8,'Grid BD'!$AD:$AD)/($AA8+SUMIF('Grid BD'!$H:$H,$A8,'Grid BD'!$AD:$AD)),"")</f>
        <v>1</v>
      </c>
      <c r="T8" s="139"/>
      <c r="U8" s="140">
        <f t="shared" si="1"/>
        <v>0.58321281333341946</v>
      </c>
      <c r="V8" s="140"/>
      <c r="W8" s="141">
        <f t="shared" si="2"/>
        <v>0.1659726464611356</v>
      </c>
      <c r="X8" s="133">
        <f>IFERROR(_xlfn.XLOOKUP($A8,'Raw Data'!$G:$G,'Raw Data'!AI:AI),"")</f>
        <v>32349.9</v>
      </c>
      <c r="Y8" s="133">
        <f>IFERROR(_xlfn.XLOOKUP($A8,'Raw Data'!$G:$G,'Raw Data'!AJ:AJ),"")</f>
        <v>32050.00000000291</v>
      </c>
      <c r="Z8" s="133">
        <f>IFERROR(_xlfn.XLOOKUP($A8,'Raw Data'!$G:$G,'Raw Data'!AK:AK),"")</f>
        <v>99.999999999965894</v>
      </c>
      <c r="AA8" s="133">
        <f>IFERROR(_xlfn.XLOOKUP($A8,'Raw Data'!$G:$G,'Raw Data'!AL:AL),"")</f>
        <v>31950.000000002943</v>
      </c>
      <c r="AB8" s="133">
        <f>IFERROR(_xlfn.XLOOKUP($A8,'Raw Data'!$G:$G,'Raw Data'!H:H),"")</f>
        <v>8.0208999999999993</v>
      </c>
      <c r="AC8" s="142">
        <f>IFERROR(_xlfn.XLOOKUP($D8,'Modelling New'!$D:$D,'Modelling New'!P:P),"")</f>
        <v>6.39</v>
      </c>
      <c r="AD8" s="133">
        <f>IFERROR(_xlfn.XLOOKUP($D8,'Modelling New'!$D:$D,'Modelling New'!$T:$T)*1000,"")</f>
        <v>34610.228394529106</v>
      </c>
      <c r="AE8" s="143">
        <f>IFERROR(_xlfn.XLOOKUP($D8,'Modelling New'!$D:$D,'Modelling New'!O:O),"")</f>
        <v>0.67527474134483101</v>
      </c>
      <c r="AF8" s="145">
        <f>IFERROR(_xlfn.XLOOKUP($D8,'Modelling New'!$D:$D,'Modelling New'!W:W),"")</f>
        <v>0.17979189988306124</v>
      </c>
      <c r="AG8" s="145">
        <f>IFERROR(_xlfn.XLOOKUP($D8,'Modelling New'!$D:$D,'Modelling New'!AE:AE),"")</f>
        <v>0.98040000000000005</v>
      </c>
      <c r="AH8" s="167">
        <f>IFERROR(_xlfn.XLOOKUP($D8,'Modelling New'!$D:$D,'Modelling New'!AF:AF),"")</f>
        <v>0.98</v>
      </c>
      <c r="AN8" s="144"/>
      <c r="AO8" s="141"/>
      <c r="AP8" s="141"/>
      <c r="AQ8" s="141"/>
      <c r="AR8" s="133">
        <f>'Basic Data'!$B$98/1000</f>
        <v>8.0208999999999993</v>
      </c>
    </row>
    <row r="9" spans="1:45" x14ac:dyDescent="0.3">
      <c r="A9" s="132">
        <f t="shared" si="3"/>
        <v>45752</v>
      </c>
      <c r="B9" s="133">
        <f>YEAR(Table13[[#This Row],[Date]])+IF(MONTH(Table13[[#This Row],[Date]])&gt;=4,1,0)</f>
        <v>2026</v>
      </c>
      <c r="C9" s="134">
        <f>YEAR(Table13[[#This Row],[Date]])</f>
        <v>2025</v>
      </c>
      <c r="D9" s="135">
        <f>Table13[[#This Row],[Date]]-DAY(Table13[[#This Row],[Date]])+1</f>
        <v>45748</v>
      </c>
      <c r="E9" s="134">
        <f t="shared" si="0"/>
        <v>30</v>
      </c>
      <c r="F9" s="136">
        <f>IFERROR(_xlfn.XLOOKUP($A9,'Raw Data'!$G:$G,'Raw Data'!$AM:$AM),"")</f>
        <v>12.250000000000002</v>
      </c>
      <c r="G9" s="137">
        <f>IFERROR(_xlfn.XLOOKUP($A9,'Raw Data'!$G:$G,'Raw Data'!$AB:$AB),"")</f>
        <v>0</v>
      </c>
      <c r="H9" s="137"/>
      <c r="I9" s="137">
        <f>IFERROR(_xlfn.XLOOKUP($A9,'Raw Data'!$G:$G,'Raw Data'!$AC:$AC),"")</f>
        <v>6.96</v>
      </c>
      <c r="J9" s="137"/>
      <c r="K9" s="137">
        <f>IFERROR(_xlfn.XLOOKUP($A9,'Raw Data'!$G:$G,'Raw Data'!AD:AD),"")</f>
        <v>0</v>
      </c>
      <c r="L9" s="137">
        <f>IFERROR(_xlfn.XLOOKUP($A9,'Raw Data'!$G:$G,'Raw Data'!AE:AE),"")</f>
        <v>46.18</v>
      </c>
      <c r="M9" s="137">
        <f>IFERROR(_xlfn.XLOOKUP($A9,'Raw Data'!$G:$G,'Raw Data'!AF:AF),"")</f>
        <v>0</v>
      </c>
      <c r="N9" s="137">
        <f>IFERROR(_xlfn.XLOOKUP($A9,'Raw Data'!$G:$G,'Raw Data'!AG:AG),"")</f>
        <v>0</v>
      </c>
      <c r="O9" s="138">
        <f>IFERROR(1-SUMIF('Plant BD'!$H:$H,$A9,'Plant BD'!$AE:$AE)/($AA9+SUMIF('Plant BD'!$H:$H,$A9,'Plant BD'!$AE:$AE)),"")</f>
        <v>0.71496074669431287</v>
      </c>
      <c r="P9" s="138"/>
      <c r="Q9" s="139"/>
      <c r="R9" s="138">
        <f>IFERROR(1-SUMIF('Grid BD'!$H:$H,$A9,'Grid BD'!$AD:$AD)/($AA9+SUMIF('Grid BD'!$H:$H,$A9,'Grid BD'!$AD:$AD)),"")</f>
        <v>1</v>
      </c>
      <c r="T9" s="139"/>
      <c r="U9" s="140">
        <f t="shared" si="1"/>
        <v>0.56425863294223222</v>
      </c>
      <c r="V9" s="140"/>
      <c r="W9" s="141">
        <f t="shared" si="2"/>
        <v>0.16363500355324734</v>
      </c>
      <c r="X9" s="133">
        <f>IFERROR(_xlfn.XLOOKUP($A9,'Raw Data'!$G:$G,'Raw Data'!AI:AI),"")</f>
        <v>31819</v>
      </c>
      <c r="Y9" s="133">
        <f>IFERROR(_xlfn.XLOOKUP($A9,'Raw Data'!$G:$G,'Raw Data'!AJ:AJ),"")</f>
        <v>31600.000000005821</v>
      </c>
      <c r="Z9" s="133">
        <f>IFERROR(_xlfn.XLOOKUP($A9,'Raw Data'!$G:$G,'Raw Data'!AK:AK),"")</f>
        <v>100.00000000002274</v>
      </c>
      <c r="AA9" s="133">
        <f>IFERROR(_xlfn.XLOOKUP($A9,'Raw Data'!$G:$G,'Raw Data'!AL:AL),"")</f>
        <v>31500.000000005799</v>
      </c>
      <c r="AB9" s="133">
        <f>IFERROR(_xlfn.XLOOKUP($A9,'Raw Data'!$G:$G,'Raw Data'!H:H),"")</f>
        <v>8.0208999999999993</v>
      </c>
      <c r="AC9" s="142">
        <f>IFERROR(_xlfn.XLOOKUP($D9,'Modelling New'!$D:$D,'Modelling New'!P:P),"")</f>
        <v>6.39</v>
      </c>
      <c r="AD9" s="133">
        <f>IFERROR(_xlfn.XLOOKUP($D9,'Modelling New'!$D:$D,'Modelling New'!$T:$T)*1000,"")</f>
        <v>34610.228394529106</v>
      </c>
      <c r="AE9" s="143">
        <f>IFERROR(_xlfn.XLOOKUP($D9,'Modelling New'!$D:$D,'Modelling New'!O:O),"")</f>
        <v>0.67527474134483101</v>
      </c>
      <c r="AF9" s="145">
        <f>IFERROR(_xlfn.XLOOKUP($D9,'Modelling New'!$D:$D,'Modelling New'!W:W),"")</f>
        <v>0.17979189988306124</v>
      </c>
      <c r="AG9" s="145">
        <f>IFERROR(_xlfn.XLOOKUP($D9,'Modelling New'!$D:$D,'Modelling New'!AE:AE),"")</f>
        <v>0.98040000000000005</v>
      </c>
      <c r="AH9" s="167">
        <f>IFERROR(_xlfn.XLOOKUP($D9,'Modelling New'!$D:$D,'Modelling New'!AF:AF),"")</f>
        <v>0.98</v>
      </c>
      <c r="AN9" s="144"/>
      <c r="AO9" s="141"/>
      <c r="AP9" s="141"/>
      <c r="AQ9" s="141"/>
      <c r="AR9" s="133">
        <f>'Basic Data'!$B$98/1000</f>
        <v>8.0208999999999993</v>
      </c>
    </row>
    <row r="10" spans="1:45" x14ac:dyDescent="0.3">
      <c r="A10" s="132">
        <f t="shared" si="3"/>
        <v>45753</v>
      </c>
      <c r="B10" s="133">
        <f>YEAR(Table13[[#This Row],[Date]])+IF(MONTH(Table13[[#This Row],[Date]])&gt;=4,1,0)</f>
        <v>2026</v>
      </c>
      <c r="C10" s="134">
        <f>YEAR(Table13[[#This Row],[Date]])</f>
        <v>2025</v>
      </c>
      <c r="D10" s="135">
        <f>Table13[[#This Row],[Date]]-DAY(Table13[[#This Row],[Date]])+1</f>
        <v>45748</v>
      </c>
      <c r="E10" s="134">
        <f t="shared" si="0"/>
        <v>30</v>
      </c>
      <c r="F10" s="136">
        <f>IFERROR(_xlfn.XLOOKUP($A10,'Raw Data'!$G:$G,'Raw Data'!$AM:$AM),"")</f>
        <v>12.2</v>
      </c>
      <c r="G10" s="137">
        <f>IFERROR(_xlfn.XLOOKUP($A10,'Raw Data'!$G:$G,'Raw Data'!$AB:$AB),"")</f>
        <v>0</v>
      </c>
      <c r="H10" s="137"/>
      <c r="I10" s="137">
        <f>IFERROR(_xlfn.XLOOKUP($A10,'Raw Data'!$G:$G,'Raw Data'!$AC:$AC),"")</f>
        <v>6.77</v>
      </c>
      <c r="J10" s="137"/>
      <c r="K10" s="137">
        <f>IFERROR(_xlfn.XLOOKUP($A10,'Raw Data'!$G:$G,'Raw Data'!AD:AD),"")</f>
        <v>0</v>
      </c>
      <c r="L10" s="137">
        <f>IFERROR(_xlfn.XLOOKUP($A10,'Raw Data'!$G:$G,'Raw Data'!AE:AE),"")</f>
        <v>45.22</v>
      </c>
      <c r="M10" s="137">
        <f>IFERROR(_xlfn.XLOOKUP($A10,'Raw Data'!$G:$G,'Raw Data'!AF:AF),"")</f>
        <v>0</v>
      </c>
      <c r="N10" s="137">
        <f>IFERROR(_xlfn.XLOOKUP($A10,'Raw Data'!$G:$G,'Raw Data'!AG:AG),"")</f>
        <v>0</v>
      </c>
      <c r="O10" s="138">
        <f>IFERROR(1-SUMIF('Plant BD'!$H:$H,$A10,'Plant BD'!$AE:$AE)/($AA10+SUMIF('Plant BD'!$H:$H,$A10,'Plant BD'!$AE:$AE)),"")</f>
        <v>0.77508534895068304</v>
      </c>
      <c r="P10" s="138"/>
      <c r="Q10" s="139"/>
      <c r="R10" s="138">
        <f>IFERROR(1-SUMIF('Grid BD'!$H:$H,$A10,'Grid BD'!$AD:$AD)/($AA10+SUMIF('Grid BD'!$H:$H,$A10,'Grid BD'!$AD:$AD)),"")</f>
        <v>1</v>
      </c>
      <c r="T10" s="139"/>
      <c r="U10" s="140">
        <f t="shared" si="1"/>
        <v>0.6242922271032213</v>
      </c>
      <c r="V10" s="140"/>
      <c r="W10" s="141">
        <f t="shared" si="2"/>
        <v>0.17610243239536699</v>
      </c>
      <c r="X10" s="133">
        <f>IFERROR(_xlfn.XLOOKUP($A10,'Raw Data'!$G:$G,'Raw Data'!AI:AI),"")</f>
        <v>34264.9</v>
      </c>
      <c r="Y10" s="133">
        <f>IFERROR(_xlfn.XLOOKUP($A10,'Raw Data'!$G:$G,'Raw Data'!AJ:AJ),"")</f>
        <v>34000</v>
      </c>
      <c r="Z10" s="133">
        <f>IFERROR(_xlfn.XLOOKUP($A10,'Raw Data'!$G:$G,'Raw Data'!AK:AK),"")</f>
        <v>100.00000000002274</v>
      </c>
      <c r="AA10" s="133">
        <f>IFERROR(_xlfn.XLOOKUP($A10,'Raw Data'!$G:$G,'Raw Data'!AL:AL),"")</f>
        <v>33899.999999999978</v>
      </c>
      <c r="AB10" s="133">
        <f>IFERROR(_xlfn.XLOOKUP($A10,'Raw Data'!$G:$G,'Raw Data'!H:H),"")</f>
        <v>8.0208999999999993</v>
      </c>
      <c r="AC10" s="142">
        <f>IFERROR(_xlfn.XLOOKUP($D10,'Modelling New'!$D:$D,'Modelling New'!P:P),"")</f>
        <v>6.39</v>
      </c>
      <c r="AD10" s="133">
        <f>IFERROR(_xlfn.XLOOKUP($D10,'Modelling New'!$D:$D,'Modelling New'!$T:$T)*1000,"")</f>
        <v>34610.228394529106</v>
      </c>
      <c r="AE10" s="143">
        <f>IFERROR(_xlfn.XLOOKUP($D10,'Modelling New'!$D:$D,'Modelling New'!O:O),"")</f>
        <v>0.67527474134483101</v>
      </c>
      <c r="AF10" s="145">
        <f>IFERROR(_xlfn.XLOOKUP($D10,'Modelling New'!$D:$D,'Modelling New'!W:W),"")</f>
        <v>0.17979189988306124</v>
      </c>
      <c r="AG10" s="145">
        <f>IFERROR(_xlfn.XLOOKUP($D10,'Modelling New'!$D:$D,'Modelling New'!AE:AE),"")</f>
        <v>0.98040000000000005</v>
      </c>
      <c r="AH10" s="167">
        <f>IFERROR(_xlfn.XLOOKUP($D10,'Modelling New'!$D:$D,'Modelling New'!AF:AF),"")</f>
        <v>0.98</v>
      </c>
      <c r="AN10" s="144"/>
      <c r="AO10" s="141"/>
      <c r="AP10" s="141"/>
      <c r="AQ10" s="141"/>
      <c r="AR10" s="133">
        <f>'Basic Data'!$B$98/1000</f>
        <v>8.0208999999999993</v>
      </c>
    </row>
    <row r="11" spans="1:45" x14ac:dyDescent="0.3">
      <c r="A11" s="132">
        <f t="shared" si="3"/>
        <v>45754</v>
      </c>
      <c r="B11" s="133">
        <f>YEAR(Table13[[#This Row],[Date]])+IF(MONTH(Table13[[#This Row],[Date]])&gt;=4,1,0)</f>
        <v>2026</v>
      </c>
      <c r="C11" s="134">
        <f>YEAR(Table13[[#This Row],[Date]])</f>
        <v>2025</v>
      </c>
      <c r="D11" s="135">
        <f>Table13[[#This Row],[Date]]-DAY(Table13[[#This Row],[Date]])+1</f>
        <v>45748</v>
      </c>
      <c r="E11" s="134">
        <f t="shared" si="0"/>
        <v>30</v>
      </c>
      <c r="F11" s="136">
        <f>IFERROR(_xlfn.XLOOKUP($A11,'Raw Data'!$G:$G,'Raw Data'!$AM:$AM),"")</f>
        <v>12.250000000000002</v>
      </c>
      <c r="G11" s="137">
        <f>IFERROR(_xlfn.XLOOKUP($A11,'Raw Data'!$G:$G,'Raw Data'!$AB:$AB),"")</f>
        <v>0</v>
      </c>
      <c r="H11" s="137"/>
      <c r="I11" s="137">
        <f>IFERROR(_xlfn.XLOOKUP($A11,'Raw Data'!$G:$G,'Raw Data'!$AC:$AC),"")</f>
        <v>5.97</v>
      </c>
      <c r="J11" s="137"/>
      <c r="K11" s="137">
        <f>IFERROR(_xlfn.XLOOKUP($A11,'Raw Data'!$G:$G,'Raw Data'!AD:AD),"")</f>
        <v>0</v>
      </c>
      <c r="L11" s="137">
        <f>IFERROR(_xlfn.XLOOKUP($A11,'Raw Data'!$G:$G,'Raw Data'!AE:AE),"")</f>
        <v>45.66</v>
      </c>
      <c r="M11" s="137">
        <f>IFERROR(_xlfn.XLOOKUP($A11,'Raw Data'!$G:$G,'Raw Data'!AF:AF),"")</f>
        <v>0</v>
      </c>
      <c r="N11" s="137">
        <f>IFERROR(_xlfn.XLOOKUP($A11,'Raw Data'!$G:$G,'Raw Data'!AG:AG),"")</f>
        <v>0</v>
      </c>
      <c r="O11" s="138">
        <f>IFERROR(1-SUMIF('Plant BD'!$H:$H,$A11,'Plant BD'!$AE:$AE)/($AA11+SUMIF('Plant BD'!$H:$H,$A11,'Plant BD'!$AE:$AE)),"")</f>
        <v>0.81724170535259277</v>
      </c>
      <c r="P11" s="138"/>
      <c r="Q11" s="139"/>
      <c r="R11" s="138">
        <f>IFERROR(1-SUMIF('Grid BD'!$H:$H,$A11,'Grid BD'!$AD:$AD)/($AA11+SUMIF('Grid BD'!$H:$H,$A11,'Grid BD'!$AD:$AD)),"")</f>
        <v>1</v>
      </c>
      <c r="T11" s="139"/>
      <c r="U11" s="140">
        <f t="shared" si="1"/>
        <v>0.73509798198246445</v>
      </c>
      <c r="V11" s="140"/>
      <c r="W11" s="141">
        <f t="shared" si="2"/>
        <v>0.18285562301813799</v>
      </c>
      <c r="X11" s="133">
        <f>IFERROR(_xlfn.XLOOKUP($A11,'Raw Data'!$G:$G,'Raw Data'!AI:AI),"")</f>
        <v>35585</v>
      </c>
      <c r="Y11" s="133">
        <f>IFERROR(_xlfn.XLOOKUP($A11,'Raw Data'!$G:$G,'Raw Data'!AJ:AJ),"")</f>
        <v>35299.999999988358</v>
      </c>
      <c r="Z11" s="133">
        <f>IFERROR(_xlfn.XLOOKUP($A11,'Raw Data'!$G:$G,'Raw Data'!AK:AK),"")</f>
        <v>99.999999999965894</v>
      </c>
      <c r="AA11" s="133">
        <f>IFERROR(_xlfn.XLOOKUP($A11,'Raw Data'!$G:$G,'Raw Data'!AL:AL),"")</f>
        <v>35199.999999988395</v>
      </c>
      <c r="AB11" s="133">
        <f>IFERROR(_xlfn.XLOOKUP($A11,'Raw Data'!$G:$G,'Raw Data'!H:H),"")</f>
        <v>8.0208999999999993</v>
      </c>
      <c r="AC11" s="142">
        <f>IFERROR(_xlfn.XLOOKUP($D11,'Modelling New'!$D:$D,'Modelling New'!P:P),"")</f>
        <v>6.39</v>
      </c>
      <c r="AD11" s="133">
        <f>IFERROR(_xlfn.XLOOKUP($D11,'Modelling New'!$D:$D,'Modelling New'!$T:$T)*1000,"")</f>
        <v>34610.228394529106</v>
      </c>
      <c r="AE11" s="143">
        <f>IFERROR(_xlfn.XLOOKUP($D11,'Modelling New'!$D:$D,'Modelling New'!O:O),"")</f>
        <v>0.67527474134483101</v>
      </c>
      <c r="AF11" s="145">
        <f>IFERROR(_xlfn.XLOOKUP($D11,'Modelling New'!$D:$D,'Modelling New'!W:W),"")</f>
        <v>0.17979189988306124</v>
      </c>
      <c r="AG11" s="145">
        <f>IFERROR(_xlfn.XLOOKUP($D11,'Modelling New'!$D:$D,'Modelling New'!AE:AE),"")</f>
        <v>0.98040000000000005</v>
      </c>
      <c r="AH11" s="167">
        <f>IFERROR(_xlfn.XLOOKUP($D11,'Modelling New'!$D:$D,'Modelling New'!AF:AF),"")</f>
        <v>0.98</v>
      </c>
      <c r="AN11" s="144"/>
      <c r="AO11" s="141"/>
      <c r="AP11" s="141"/>
      <c r="AQ11" s="141"/>
      <c r="AR11" s="133">
        <f>'Basic Data'!$B$98/1000</f>
        <v>8.0208999999999993</v>
      </c>
    </row>
    <row r="12" spans="1:45" x14ac:dyDescent="0.3">
      <c r="A12" s="132">
        <f t="shared" si="3"/>
        <v>45755</v>
      </c>
      <c r="B12" s="133">
        <f>YEAR(Table13[[#This Row],[Date]])+IF(MONTH(Table13[[#This Row],[Date]])&gt;=4,1,0)</f>
        <v>2026</v>
      </c>
      <c r="C12" s="134">
        <f>YEAR(Table13[[#This Row],[Date]])</f>
        <v>2025</v>
      </c>
      <c r="D12" s="135">
        <f>Table13[[#This Row],[Date]]-DAY(Table13[[#This Row],[Date]])+1</f>
        <v>45748</v>
      </c>
      <c r="E12" s="134">
        <f t="shared" si="0"/>
        <v>30</v>
      </c>
      <c r="F12" s="136">
        <f>IFERROR(_xlfn.XLOOKUP($A12,'Raw Data'!$G:$G,'Raw Data'!$AM:$AM),"")</f>
        <v>12.200000000000003</v>
      </c>
      <c r="G12" s="137">
        <f>IFERROR(_xlfn.XLOOKUP($A12,'Raw Data'!$G:$G,'Raw Data'!$AB:$AB),"")</f>
        <v>0</v>
      </c>
      <c r="H12" s="137"/>
      <c r="I12" s="137">
        <f>IFERROR(_xlfn.XLOOKUP($A12,'Raw Data'!$G:$G,'Raw Data'!$AC:$AC),"")</f>
        <v>5.83</v>
      </c>
      <c r="J12" s="137"/>
      <c r="K12" s="137">
        <f>IFERROR(_xlfn.XLOOKUP($A12,'Raw Data'!$G:$G,'Raw Data'!AD:AD),"")</f>
        <v>0</v>
      </c>
      <c r="L12" s="137">
        <f>IFERROR(_xlfn.XLOOKUP($A12,'Raw Data'!$G:$G,'Raw Data'!AE:AE),"")</f>
        <v>43.19</v>
      </c>
      <c r="M12" s="137">
        <f>IFERROR(_xlfn.XLOOKUP($A12,'Raw Data'!$G:$G,'Raw Data'!AF:AF),"")</f>
        <v>0</v>
      </c>
      <c r="N12" s="137">
        <f>IFERROR(_xlfn.XLOOKUP($A12,'Raw Data'!$G:$G,'Raw Data'!AG:AG),"")</f>
        <v>0</v>
      </c>
      <c r="O12" s="138">
        <f>IFERROR(1-SUMIF('Plant BD'!$H:$H,$A12,'Plant BD'!$AE:$AE)/($AA12+SUMIF('Plant BD'!$H:$H,$A12,'Plant BD'!$AE:$AE)),"")</f>
        <v>0.87016506936805027</v>
      </c>
      <c r="P12" s="138"/>
      <c r="Q12" s="139"/>
      <c r="R12" s="138">
        <f>IFERROR(1-SUMIF('Grid BD'!$H:$H,$A12,'Grid BD'!$AD:$AD)/($AA12+SUMIF('Grid BD'!$H:$H,$A12,'Grid BD'!$AD:$AD)),"")</f>
        <v>1</v>
      </c>
      <c r="T12" s="139"/>
      <c r="U12" s="140">
        <f t="shared" si="1"/>
        <v>0.7495426773884426</v>
      </c>
      <c r="V12" s="140"/>
      <c r="W12" s="141">
        <f t="shared" si="2"/>
        <v>0.18207640871560915</v>
      </c>
      <c r="X12" s="133">
        <f>IFERROR(_xlfn.XLOOKUP($A12,'Raw Data'!$G:$G,'Raw Data'!AI:AI),"")</f>
        <v>35437.799999999996</v>
      </c>
      <c r="Y12" s="133">
        <f>IFERROR(_xlfn.XLOOKUP($A12,'Raw Data'!$G:$G,'Raw Data'!AJ:AJ),"")</f>
        <v>35150.000000008731</v>
      </c>
      <c r="Z12" s="133">
        <f>IFERROR(_xlfn.XLOOKUP($A12,'Raw Data'!$G:$G,'Raw Data'!AK:AK),"")</f>
        <v>100.00000000002274</v>
      </c>
      <c r="AA12" s="133">
        <f>IFERROR(_xlfn.XLOOKUP($A12,'Raw Data'!$G:$G,'Raw Data'!AL:AL),"")</f>
        <v>35050.000000008709</v>
      </c>
      <c r="AB12" s="133">
        <f>IFERROR(_xlfn.XLOOKUP($A12,'Raw Data'!$G:$G,'Raw Data'!H:H),"")</f>
        <v>8.0208999999999993</v>
      </c>
      <c r="AC12" s="142">
        <f>IFERROR(_xlfn.XLOOKUP($D12,'Modelling New'!$D:$D,'Modelling New'!P:P),"")</f>
        <v>6.39</v>
      </c>
      <c r="AD12" s="133">
        <f>IFERROR(_xlfn.XLOOKUP($D12,'Modelling New'!$D:$D,'Modelling New'!$T:$T)*1000,"")</f>
        <v>34610.228394529106</v>
      </c>
      <c r="AE12" s="143">
        <f>IFERROR(_xlfn.XLOOKUP($D12,'Modelling New'!$D:$D,'Modelling New'!O:O),"")</f>
        <v>0.67527474134483101</v>
      </c>
      <c r="AF12" s="145">
        <f>IFERROR(_xlfn.XLOOKUP($D12,'Modelling New'!$D:$D,'Modelling New'!W:W),"")</f>
        <v>0.17979189988306124</v>
      </c>
      <c r="AG12" s="145">
        <f>IFERROR(_xlfn.XLOOKUP($D12,'Modelling New'!$D:$D,'Modelling New'!AE:AE),"")</f>
        <v>0.98040000000000005</v>
      </c>
      <c r="AH12" s="167">
        <f>IFERROR(_xlfn.XLOOKUP($D12,'Modelling New'!$D:$D,'Modelling New'!AF:AF),"")</f>
        <v>0.98</v>
      </c>
      <c r="AN12" s="144"/>
      <c r="AO12" s="141"/>
      <c r="AP12" s="141"/>
      <c r="AQ12" s="141"/>
      <c r="AR12" s="133">
        <f>'Basic Data'!$B$98/1000</f>
        <v>8.0208999999999993</v>
      </c>
    </row>
    <row r="13" spans="1:45" x14ac:dyDescent="0.3">
      <c r="A13" s="132">
        <f t="shared" si="3"/>
        <v>45756</v>
      </c>
      <c r="B13" s="133">
        <f>YEAR(Table13[[#This Row],[Date]])+IF(MONTH(Table13[[#This Row],[Date]])&gt;=4,1,0)</f>
        <v>2026</v>
      </c>
      <c r="C13" s="134">
        <f>YEAR(Table13[[#This Row],[Date]])</f>
        <v>2025</v>
      </c>
      <c r="D13" s="135">
        <f>Table13[[#This Row],[Date]]-DAY(Table13[[#This Row],[Date]])+1</f>
        <v>45748</v>
      </c>
      <c r="E13" s="134">
        <f t="shared" si="0"/>
        <v>30</v>
      </c>
      <c r="F13" s="136">
        <f>IFERROR(_xlfn.XLOOKUP($A13,'Raw Data'!$G:$G,'Raw Data'!$AM:$AM),"")</f>
        <v>12.233333333333334</v>
      </c>
      <c r="G13" s="137">
        <f>IFERROR(_xlfn.XLOOKUP($A13,'Raw Data'!$G:$G,'Raw Data'!$AB:$AB),"")</f>
        <v>0</v>
      </c>
      <c r="H13" s="137"/>
      <c r="I13" s="137">
        <f>IFERROR(_xlfn.XLOOKUP($A13,'Raw Data'!$G:$G,'Raw Data'!$AC:$AC),"")</f>
        <v>6.34</v>
      </c>
      <c r="J13" s="137"/>
      <c r="K13" s="137">
        <f>IFERROR(_xlfn.XLOOKUP($A13,'Raw Data'!$G:$G,'Raw Data'!AD:AD),"")</f>
        <v>0</v>
      </c>
      <c r="L13" s="137">
        <f>IFERROR(_xlfn.XLOOKUP($A13,'Raw Data'!$G:$G,'Raw Data'!AE:AE),"")</f>
        <v>44.41</v>
      </c>
      <c r="M13" s="137">
        <f>IFERROR(_xlfn.XLOOKUP($A13,'Raw Data'!$G:$G,'Raw Data'!AF:AF),"")</f>
        <v>0</v>
      </c>
      <c r="N13" s="137">
        <f>IFERROR(_xlfn.XLOOKUP($A13,'Raw Data'!$G:$G,'Raw Data'!AG:AG),"")</f>
        <v>0</v>
      </c>
      <c r="O13" s="138">
        <f>IFERROR(1-SUMIF('Plant BD'!$H:$H,$A13,'Plant BD'!$AE:$AE)/($AA13+SUMIF('Plant BD'!$H:$H,$A13,'Plant BD'!$AE:$AE)),"")</f>
        <v>0.84304360467856565</v>
      </c>
      <c r="P13" s="138"/>
      <c r="Q13" s="139"/>
      <c r="R13" s="138">
        <f>IFERROR(1-SUMIF('Grid BD'!$H:$H,$A13,'Grid BD'!$AD:$AD)/($AA13+SUMIF('Grid BD'!$H:$H,$A13,'Grid BD'!$AD:$AD)),"")</f>
        <v>1</v>
      </c>
      <c r="T13" s="139"/>
      <c r="U13" s="140">
        <f t="shared" si="1"/>
        <v>0.71972854199156144</v>
      </c>
      <c r="V13" s="140"/>
      <c r="W13" s="141">
        <f t="shared" si="2"/>
        <v>0.19012828984277078</v>
      </c>
      <c r="X13" s="133">
        <f>IFERROR(_xlfn.XLOOKUP($A13,'Raw Data'!$G:$G,'Raw Data'!AI:AI),"")</f>
        <v>36980</v>
      </c>
      <c r="Y13" s="133">
        <f>IFERROR(_xlfn.XLOOKUP($A13,'Raw Data'!$G:$G,'Raw Data'!AJ:AJ),"")</f>
        <v>36699.99999999709</v>
      </c>
      <c r="Z13" s="133">
        <f>IFERROR(_xlfn.XLOOKUP($A13,'Raw Data'!$G:$G,'Raw Data'!AK:AK),"")</f>
        <v>99.999999999965894</v>
      </c>
      <c r="AA13" s="133">
        <f>IFERROR(_xlfn.XLOOKUP($A13,'Raw Data'!$G:$G,'Raw Data'!AL:AL),"")</f>
        <v>36599.999999997126</v>
      </c>
      <c r="AB13" s="133">
        <f>IFERROR(_xlfn.XLOOKUP($A13,'Raw Data'!$G:$G,'Raw Data'!H:H),"")</f>
        <v>8.0208999999999993</v>
      </c>
      <c r="AC13" s="142">
        <f>IFERROR(_xlfn.XLOOKUP($D13,'Modelling New'!$D:$D,'Modelling New'!P:P),"")</f>
        <v>6.39</v>
      </c>
      <c r="AD13" s="133">
        <f>IFERROR(_xlfn.XLOOKUP($D13,'Modelling New'!$D:$D,'Modelling New'!$T:$T)*1000,"")</f>
        <v>34610.228394529106</v>
      </c>
      <c r="AE13" s="143">
        <f>IFERROR(_xlfn.XLOOKUP($D13,'Modelling New'!$D:$D,'Modelling New'!O:O),"")</f>
        <v>0.67527474134483101</v>
      </c>
      <c r="AF13" s="145">
        <f>IFERROR(_xlfn.XLOOKUP($D13,'Modelling New'!$D:$D,'Modelling New'!W:W),"")</f>
        <v>0.17979189988306124</v>
      </c>
      <c r="AG13" s="145">
        <f>IFERROR(_xlfn.XLOOKUP($D13,'Modelling New'!$D:$D,'Modelling New'!AE:AE),"")</f>
        <v>0.98040000000000005</v>
      </c>
      <c r="AH13" s="167">
        <f>IFERROR(_xlfn.XLOOKUP($D13,'Modelling New'!$D:$D,'Modelling New'!AF:AF),"")</f>
        <v>0.98</v>
      </c>
      <c r="AN13" s="144"/>
      <c r="AO13" s="141"/>
      <c r="AP13" s="141"/>
      <c r="AQ13" s="141"/>
      <c r="AR13" s="133">
        <f>'Basic Data'!$B$98/1000</f>
        <v>8.0208999999999993</v>
      </c>
    </row>
    <row r="14" spans="1:45" x14ac:dyDescent="0.3">
      <c r="A14" s="132">
        <f t="shared" si="3"/>
        <v>45757</v>
      </c>
      <c r="B14" s="133">
        <f>YEAR(Table13[[#This Row],[Date]])+IF(MONTH(Table13[[#This Row],[Date]])&gt;=4,1,0)</f>
        <v>2026</v>
      </c>
      <c r="C14" s="134">
        <f>YEAR(Table13[[#This Row],[Date]])</f>
        <v>2025</v>
      </c>
      <c r="D14" s="135">
        <f>Table13[[#This Row],[Date]]-DAY(Table13[[#This Row],[Date]])+1</f>
        <v>45748</v>
      </c>
      <c r="E14" s="134">
        <f t="shared" si="0"/>
        <v>30</v>
      </c>
      <c r="F14" s="136">
        <f>IFERROR(_xlfn.XLOOKUP($A14,'Raw Data'!$G:$G,'Raw Data'!$AM:$AM),"")</f>
        <v>11.799999999999999</v>
      </c>
      <c r="G14" s="137">
        <f>IFERROR(_xlfn.XLOOKUP($A14,'Raw Data'!$G:$G,'Raw Data'!$AB:$AB),"")</f>
        <v>0</v>
      </c>
      <c r="H14" s="137"/>
      <c r="I14" s="137">
        <f>IFERROR(_xlfn.XLOOKUP($A14,'Raw Data'!$G:$G,'Raw Data'!$AC:$AC),"")</f>
        <v>4.8499999999999996</v>
      </c>
      <c r="J14" s="137"/>
      <c r="K14" s="137">
        <f>IFERROR(_xlfn.XLOOKUP($A14,'Raw Data'!$G:$G,'Raw Data'!AD:AD),"")</f>
        <v>0</v>
      </c>
      <c r="L14" s="137">
        <f>IFERROR(_xlfn.XLOOKUP($A14,'Raw Data'!$G:$G,'Raw Data'!AE:AE),"")</f>
        <v>40.22</v>
      </c>
      <c r="M14" s="137">
        <f>IFERROR(_xlfn.XLOOKUP($A14,'Raw Data'!$G:$G,'Raw Data'!AF:AF),"")</f>
        <v>0</v>
      </c>
      <c r="N14" s="137">
        <f>IFERROR(_xlfn.XLOOKUP($A14,'Raw Data'!$G:$G,'Raw Data'!AG:AG),"")</f>
        <v>0</v>
      </c>
      <c r="O14" s="138">
        <f>IFERROR(1-SUMIF('Plant BD'!$H:$H,$A14,'Plant BD'!$AE:$AE)/($AA14+SUMIF('Plant BD'!$H:$H,$A14,'Plant BD'!$AE:$AE)),"")</f>
        <v>1</v>
      </c>
      <c r="P14" s="138"/>
      <c r="Q14" s="139"/>
      <c r="R14" s="138">
        <f>IFERROR(1-SUMIF('Grid BD'!$H:$H,$A14,'Grid BD'!$AD:$AD)/($AA14+SUMIF('Grid BD'!$H:$H,$A14,'Grid BD'!$AD:$AD)),"")</f>
        <v>0.97368808503109194</v>
      </c>
      <c r="T14" s="139"/>
      <c r="U14" s="140">
        <f t="shared" si="1"/>
        <v>0.83930216844575978</v>
      </c>
      <c r="V14" s="140"/>
      <c r="W14" s="141">
        <f t="shared" si="2"/>
        <v>0.16960897987341392</v>
      </c>
      <c r="X14" s="133">
        <f>IFERROR(_xlfn.XLOOKUP($A14,'Raw Data'!$G:$G,'Raw Data'!AI:AI),"")</f>
        <v>33025</v>
      </c>
      <c r="Y14" s="133">
        <f>IFERROR(_xlfn.XLOOKUP($A14,'Raw Data'!$G:$G,'Raw Data'!AJ:AJ),"")</f>
        <v>32750</v>
      </c>
      <c r="Z14" s="133">
        <f>IFERROR(_xlfn.XLOOKUP($A14,'Raw Data'!$G:$G,'Raw Data'!AK:AK),"")</f>
        <v>100.00000000002274</v>
      </c>
      <c r="AA14" s="133">
        <f>IFERROR(_xlfn.XLOOKUP($A14,'Raw Data'!$G:$G,'Raw Data'!AL:AL),"")</f>
        <v>32649.999999999978</v>
      </c>
      <c r="AB14" s="133">
        <f>IFERROR(_xlfn.XLOOKUP($A14,'Raw Data'!$G:$G,'Raw Data'!H:H),"")</f>
        <v>8.0208999999999993</v>
      </c>
      <c r="AC14" s="142">
        <f>IFERROR(_xlfn.XLOOKUP($D14,'Modelling New'!$D:$D,'Modelling New'!P:P),"")</f>
        <v>6.39</v>
      </c>
      <c r="AD14" s="133">
        <f>IFERROR(_xlfn.XLOOKUP($D14,'Modelling New'!$D:$D,'Modelling New'!$T:$T)*1000,"")</f>
        <v>34610.228394529106</v>
      </c>
      <c r="AE14" s="143">
        <f>IFERROR(_xlfn.XLOOKUP($D14,'Modelling New'!$D:$D,'Modelling New'!O:O),"")</f>
        <v>0.67527474134483101</v>
      </c>
      <c r="AF14" s="145">
        <f>IFERROR(_xlfn.XLOOKUP($D14,'Modelling New'!$D:$D,'Modelling New'!W:W),"")</f>
        <v>0.17979189988306124</v>
      </c>
      <c r="AG14" s="145">
        <f>IFERROR(_xlfn.XLOOKUP($D14,'Modelling New'!$D:$D,'Modelling New'!AE:AE),"")</f>
        <v>0.98040000000000005</v>
      </c>
      <c r="AH14" s="167">
        <f>IFERROR(_xlfn.XLOOKUP($D14,'Modelling New'!$D:$D,'Modelling New'!AF:AF),"")</f>
        <v>0.98</v>
      </c>
      <c r="AN14" s="144"/>
      <c r="AO14" s="141"/>
      <c r="AP14" s="141"/>
      <c r="AQ14" s="141"/>
      <c r="AR14" s="133">
        <f>'Basic Data'!$B$98/1000</f>
        <v>8.0208999999999993</v>
      </c>
    </row>
    <row r="15" spans="1:45" x14ac:dyDescent="0.3">
      <c r="A15" s="132">
        <f t="shared" si="3"/>
        <v>45758</v>
      </c>
      <c r="B15" s="133">
        <f>YEAR(Table13[[#This Row],[Date]])+IF(MONTH(Table13[[#This Row],[Date]])&gt;=4,1,0)</f>
        <v>2026</v>
      </c>
      <c r="C15" s="134">
        <f>YEAR(Table13[[#This Row],[Date]])</f>
        <v>2025</v>
      </c>
      <c r="D15" s="135">
        <f>Table13[[#This Row],[Date]]-DAY(Table13[[#This Row],[Date]])+1</f>
        <v>45748</v>
      </c>
      <c r="E15" s="134">
        <f t="shared" si="0"/>
        <v>30</v>
      </c>
      <c r="F15" s="136">
        <f>IFERROR(_xlfn.XLOOKUP($A15,'Raw Data'!$G:$G,'Raw Data'!$AM:$AM),"")</f>
        <v>12.466666666666669</v>
      </c>
      <c r="G15" s="137">
        <f>IFERROR(_xlfn.XLOOKUP($A15,'Raw Data'!$G:$G,'Raw Data'!$AB:$AB),"")</f>
        <v>0</v>
      </c>
      <c r="H15" s="137"/>
      <c r="I15" s="137">
        <f>IFERROR(_xlfn.XLOOKUP($A15,'Raw Data'!$G:$G,'Raw Data'!$AC:$AC),"")</f>
        <v>6.33</v>
      </c>
      <c r="J15" s="137"/>
      <c r="K15" s="137">
        <f>IFERROR(_xlfn.XLOOKUP($A15,'Raw Data'!$G:$G,'Raw Data'!AD:AD),"")</f>
        <v>0</v>
      </c>
      <c r="L15" s="137">
        <f>IFERROR(_xlfn.XLOOKUP($A15,'Raw Data'!$G:$G,'Raw Data'!AE:AE),"")</f>
        <v>41.85</v>
      </c>
      <c r="M15" s="137">
        <f>IFERROR(_xlfn.XLOOKUP($A15,'Raw Data'!$G:$G,'Raw Data'!AF:AF),"")</f>
        <v>0</v>
      </c>
      <c r="N15" s="137">
        <f>IFERROR(_xlfn.XLOOKUP($A15,'Raw Data'!$G:$G,'Raw Data'!AG:AG),"")</f>
        <v>0</v>
      </c>
      <c r="O15" s="138">
        <f>IFERROR(1-SUMIF('Plant BD'!$H:$H,$A15,'Plant BD'!$AE:$AE)/($AA15+SUMIF('Plant BD'!$H:$H,$A15,'Plant BD'!$AE:$AE)),"")</f>
        <v>0.96690123972020015</v>
      </c>
      <c r="P15" s="138"/>
      <c r="Q15" s="139"/>
      <c r="R15" s="138">
        <f>IFERROR(1-SUMIF('Grid BD'!$H:$H,$A15,'Grid BD'!$AD:$AD)/($AA15+SUMIF('Grid BD'!$H:$H,$A15,'Grid BD'!$AD:$AD)),"")</f>
        <v>1</v>
      </c>
      <c r="T15" s="139"/>
      <c r="U15" s="140">
        <f t="shared" si="1"/>
        <v>0.77404416034189194</v>
      </c>
      <c r="V15" s="140"/>
      <c r="W15" s="141">
        <f t="shared" si="2"/>
        <v>0.20415414729017398</v>
      </c>
      <c r="X15" s="133">
        <f>IFERROR(_xlfn.XLOOKUP($A15,'Raw Data'!$G:$G,'Raw Data'!AI:AI),"")</f>
        <v>39702.299999999996</v>
      </c>
      <c r="Y15" s="133">
        <f>IFERROR(_xlfn.XLOOKUP($A15,'Raw Data'!$G:$G,'Raw Data'!AJ:AJ),"")</f>
        <v>39399.999999994179</v>
      </c>
      <c r="Z15" s="133">
        <f>IFERROR(_xlfn.XLOOKUP($A15,'Raw Data'!$G:$G,'Raw Data'!AK:AK),"")</f>
        <v>100.00000000002274</v>
      </c>
      <c r="AA15" s="133">
        <f>IFERROR(_xlfn.XLOOKUP($A15,'Raw Data'!$G:$G,'Raw Data'!AL:AL),"")</f>
        <v>39299.999999994157</v>
      </c>
      <c r="AB15" s="133">
        <f>IFERROR(_xlfn.XLOOKUP($A15,'Raw Data'!$G:$G,'Raw Data'!H:H),"")</f>
        <v>8.0208999999999993</v>
      </c>
      <c r="AC15" s="142">
        <f>IFERROR(_xlfn.XLOOKUP($D15,'Modelling New'!$D:$D,'Modelling New'!P:P),"")</f>
        <v>6.39</v>
      </c>
      <c r="AD15" s="133">
        <f>IFERROR(_xlfn.XLOOKUP($D15,'Modelling New'!$D:$D,'Modelling New'!$T:$T)*1000,"")</f>
        <v>34610.228394529106</v>
      </c>
      <c r="AE15" s="143">
        <f>IFERROR(_xlfn.XLOOKUP($D15,'Modelling New'!$D:$D,'Modelling New'!O:O),"")</f>
        <v>0.67527474134483101</v>
      </c>
      <c r="AF15" s="145">
        <f>IFERROR(_xlfn.XLOOKUP($D15,'Modelling New'!$D:$D,'Modelling New'!W:W),"")</f>
        <v>0.17979189988306124</v>
      </c>
      <c r="AG15" s="145">
        <f>IFERROR(_xlfn.XLOOKUP($D15,'Modelling New'!$D:$D,'Modelling New'!AE:AE),"")</f>
        <v>0.98040000000000005</v>
      </c>
      <c r="AH15" s="167">
        <f>IFERROR(_xlfn.XLOOKUP($D15,'Modelling New'!$D:$D,'Modelling New'!AF:AF),"")</f>
        <v>0.98</v>
      </c>
      <c r="AN15" s="144"/>
      <c r="AO15" s="141"/>
      <c r="AP15" s="141"/>
      <c r="AQ15" s="141"/>
      <c r="AR15" s="133">
        <f>'Basic Data'!$B$98/1000</f>
        <v>8.0208999999999993</v>
      </c>
    </row>
    <row r="16" spans="1:45" x14ac:dyDescent="0.3">
      <c r="A16" s="132">
        <f t="shared" si="3"/>
        <v>45759</v>
      </c>
      <c r="B16" s="133">
        <f>YEAR(Table13[[#This Row],[Date]])+IF(MONTH(Table13[[#This Row],[Date]])&gt;=4,1,0)</f>
        <v>2026</v>
      </c>
      <c r="C16" s="134">
        <f>YEAR(Table13[[#This Row],[Date]])</f>
        <v>2025</v>
      </c>
      <c r="D16" s="135">
        <f>Table13[[#This Row],[Date]]-DAY(Table13[[#This Row],[Date]])+1</f>
        <v>45748</v>
      </c>
      <c r="E16" s="134">
        <f t="shared" si="0"/>
        <v>30</v>
      </c>
      <c r="F16" s="136">
        <f>IFERROR(_xlfn.XLOOKUP($A16,'Raw Data'!$G:$G,'Raw Data'!$AM:$AM),"")</f>
        <v>12.333333333333336</v>
      </c>
      <c r="G16" s="137">
        <f>IFERROR(_xlfn.XLOOKUP($A16,'Raw Data'!$G:$G,'Raw Data'!$AB:$AB),"")</f>
        <v>0</v>
      </c>
      <c r="H16" s="137"/>
      <c r="I16" s="137">
        <f>IFERROR(_xlfn.XLOOKUP($A16,'Raw Data'!$G:$G,'Raw Data'!$AC:$AC),"")</f>
        <v>6.54</v>
      </c>
      <c r="J16" s="137"/>
      <c r="K16" s="137">
        <f>IFERROR(_xlfn.XLOOKUP($A16,'Raw Data'!$G:$G,'Raw Data'!AD:AD),"")</f>
        <v>0</v>
      </c>
      <c r="L16" s="137">
        <f>IFERROR(_xlfn.XLOOKUP($A16,'Raw Data'!$G:$G,'Raw Data'!AE:AE),"")</f>
        <v>43.84</v>
      </c>
      <c r="M16" s="137">
        <f>IFERROR(_xlfn.XLOOKUP($A16,'Raw Data'!$G:$G,'Raw Data'!AF:AF),"")</f>
        <v>0</v>
      </c>
      <c r="N16" s="137">
        <f>IFERROR(_xlfn.XLOOKUP($A16,'Raw Data'!$G:$G,'Raw Data'!AG:AG),"")</f>
        <v>0</v>
      </c>
      <c r="O16" s="138">
        <f>IFERROR(1-SUMIF('Plant BD'!$H:$H,$A16,'Plant BD'!$AE:$AE)/($AA16+SUMIF('Plant BD'!$H:$H,$A16,'Plant BD'!$AE:$AE)),"")</f>
        <v>0.96517659727048144</v>
      </c>
      <c r="P16" s="138"/>
      <c r="Q16" s="139"/>
      <c r="R16" s="138">
        <f>IFERROR(1-SUMIF('Grid BD'!$H:$H,$A16,'Grid BD'!$AD:$AD)/($AA16+SUMIF('Grid BD'!$H:$H,$A16,'Grid BD'!$AD:$AD)),"")</f>
        <v>1</v>
      </c>
      <c r="T16" s="139"/>
      <c r="U16" s="140">
        <f t="shared" si="1"/>
        <v>0.73965785791364658</v>
      </c>
      <c r="V16" s="140"/>
      <c r="W16" s="141">
        <f t="shared" si="2"/>
        <v>0.20155676628146865</v>
      </c>
      <c r="X16" s="133">
        <f>IFERROR(_xlfn.XLOOKUP($A16,'Raw Data'!$G:$G,'Raw Data'!AI:AI),"")</f>
        <v>39165</v>
      </c>
      <c r="Y16" s="133">
        <f>IFERROR(_xlfn.XLOOKUP($A16,'Raw Data'!$G:$G,'Raw Data'!AJ:AJ),"")</f>
        <v>38900.000000008731</v>
      </c>
      <c r="Z16" s="133">
        <f>IFERROR(_xlfn.XLOOKUP($A16,'Raw Data'!$G:$G,'Raw Data'!AK:AK),"")</f>
        <v>99.999999999965894</v>
      </c>
      <c r="AA16" s="133">
        <f>IFERROR(_xlfn.XLOOKUP($A16,'Raw Data'!$G:$G,'Raw Data'!AL:AL),"")</f>
        <v>38800.000000008768</v>
      </c>
      <c r="AB16" s="133">
        <f>IFERROR(_xlfn.XLOOKUP($A16,'Raw Data'!$G:$G,'Raw Data'!H:H),"")</f>
        <v>8.0208999999999993</v>
      </c>
      <c r="AC16" s="142">
        <f>IFERROR(_xlfn.XLOOKUP($D16,'Modelling New'!$D:$D,'Modelling New'!P:P),"")</f>
        <v>6.39</v>
      </c>
      <c r="AD16" s="133">
        <f>IFERROR(_xlfn.XLOOKUP($D16,'Modelling New'!$D:$D,'Modelling New'!$T:$T)*1000,"")</f>
        <v>34610.228394529106</v>
      </c>
      <c r="AE16" s="143">
        <f>IFERROR(_xlfn.XLOOKUP($D16,'Modelling New'!$D:$D,'Modelling New'!O:O),"")</f>
        <v>0.67527474134483101</v>
      </c>
      <c r="AF16" s="145">
        <f>IFERROR(_xlfn.XLOOKUP($D16,'Modelling New'!$D:$D,'Modelling New'!W:W),"")</f>
        <v>0.17979189988306124</v>
      </c>
      <c r="AG16" s="145">
        <f>IFERROR(_xlfn.XLOOKUP($D16,'Modelling New'!$D:$D,'Modelling New'!AE:AE),"")</f>
        <v>0.98040000000000005</v>
      </c>
      <c r="AH16" s="167">
        <f>IFERROR(_xlfn.XLOOKUP($D16,'Modelling New'!$D:$D,'Modelling New'!AF:AF),"")</f>
        <v>0.98</v>
      </c>
      <c r="AN16" s="144"/>
      <c r="AO16" s="141"/>
      <c r="AP16" s="141"/>
      <c r="AQ16" s="141"/>
      <c r="AR16" s="133">
        <f>'Basic Data'!$B$98/1000</f>
        <v>8.0208999999999993</v>
      </c>
    </row>
    <row r="17" spans="1:44" x14ac:dyDescent="0.3">
      <c r="A17" s="132">
        <f t="shared" si="3"/>
        <v>45760</v>
      </c>
      <c r="B17" s="133">
        <f>YEAR(Table13[[#This Row],[Date]])+IF(MONTH(Table13[[#This Row],[Date]])&gt;=4,1,0)</f>
        <v>2026</v>
      </c>
      <c r="C17" s="134">
        <f>YEAR(Table13[[#This Row],[Date]])</f>
        <v>2025</v>
      </c>
      <c r="D17" s="135">
        <f>Table13[[#This Row],[Date]]-DAY(Table13[[#This Row],[Date]])+1</f>
        <v>45748</v>
      </c>
      <c r="E17" s="134">
        <f t="shared" si="0"/>
        <v>30</v>
      </c>
      <c r="F17" s="136">
        <f>IFERROR(_xlfn.XLOOKUP($A17,'Raw Data'!$G:$G,'Raw Data'!$AM:$AM),"")</f>
        <v>12.416666666666668</v>
      </c>
      <c r="G17" s="137">
        <f>IFERROR(_xlfn.XLOOKUP($A17,'Raw Data'!$G:$G,'Raw Data'!$AB:$AB),"")</f>
        <v>0</v>
      </c>
      <c r="H17" s="137"/>
      <c r="I17" s="137">
        <f>IFERROR(_xlfn.XLOOKUP($A17,'Raw Data'!$G:$G,'Raw Data'!$AC:$AC),"")</f>
        <v>6.35</v>
      </c>
      <c r="J17" s="137"/>
      <c r="K17" s="137">
        <f>IFERROR(_xlfn.XLOOKUP($A17,'Raw Data'!$G:$G,'Raw Data'!AD:AD),"")</f>
        <v>0</v>
      </c>
      <c r="L17" s="137">
        <f>IFERROR(_xlfn.XLOOKUP($A17,'Raw Data'!$G:$G,'Raw Data'!AE:AE),"")</f>
        <v>45.16</v>
      </c>
      <c r="M17" s="137">
        <f>IFERROR(_xlfn.XLOOKUP($A17,'Raw Data'!$G:$G,'Raw Data'!AF:AF),"")</f>
        <v>0</v>
      </c>
      <c r="N17" s="137">
        <f>IFERROR(_xlfn.XLOOKUP($A17,'Raw Data'!$G:$G,'Raw Data'!AG:AG),"")</f>
        <v>0</v>
      </c>
      <c r="O17" s="138">
        <f>IFERROR(1-SUMIF('Plant BD'!$H:$H,$A17,'Plant BD'!$AE:$AE)/($AA17+SUMIF('Plant BD'!$H:$H,$A17,'Plant BD'!$AE:$AE)),"")</f>
        <v>0.97868764000228869</v>
      </c>
      <c r="P17" s="138"/>
      <c r="Q17" s="139"/>
      <c r="R17" s="138">
        <f>IFERROR(1-SUMIF('Grid BD'!$H:$H,$A17,'Grid BD'!$AD:$AD)/($AA17+SUMIF('Grid BD'!$H:$H,$A17,'Grid BD'!$AD:$AD)),"")</f>
        <v>0.95170005702607319</v>
      </c>
      <c r="T17" s="139"/>
      <c r="U17" s="140">
        <f t="shared" si="1"/>
        <v>0.713686674664743</v>
      </c>
      <c r="V17" s="140"/>
      <c r="W17" s="141">
        <f t="shared" si="2"/>
        <v>0.18882959933837987</v>
      </c>
      <c r="X17" s="133">
        <f>IFERROR(_xlfn.XLOOKUP($A17,'Raw Data'!$G:$G,'Raw Data'!AI:AI),"")</f>
        <v>36720.399999999994</v>
      </c>
      <c r="Y17" s="133">
        <f>IFERROR(_xlfn.XLOOKUP($A17,'Raw Data'!$G:$G,'Raw Data'!AJ:AJ),"")</f>
        <v>36449.99999999709</v>
      </c>
      <c r="Z17" s="133">
        <f>IFERROR(_xlfn.XLOOKUP($A17,'Raw Data'!$G:$G,'Raw Data'!AK:AK),"")</f>
        <v>100.00000000002274</v>
      </c>
      <c r="AA17" s="133">
        <f>IFERROR(_xlfn.XLOOKUP($A17,'Raw Data'!$G:$G,'Raw Data'!AL:AL),"")</f>
        <v>36349.999999997068</v>
      </c>
      <c r="AB17" s="133">
        <f>IFERROR(_xlfn.XLOOKUP($A17,'Raw Data'!$G:$G,'Raw Data'!H:H),"")</f>
        <v>8.0208999999999993</v>
      </c>
      <c r="AC17" s="142">
        <f>IFERROR(_xlfn.XLOOKUP($D17,'Modelling New'!$D:$D,'Modelling New'!P:P),"")</f>
        <v>6.39</v>
      </c>
      <c r="AD17" s="133">
        <f>IFERROR(_xlfn.XLOOKUP($D17,'Modelling New'!$D:$D,'Modelling New'!$T:$T)*1000,"")</f>
        <v>34610.228394529106</v>
      </c>
      <c r="AE17" s="143">
        <f>IFERROR(_xlfn.XLOOKUP($D17,'Modelling New'!$D:$D,'Modelling New'!O:O),"")</f>
        <v>0.67527474134483101</v>
      </c>
      <c r="AF17" s="145">
        <f>IFERROR(_xlfn.XLOOKUP($D17,'Modelling New'!$D:$D,'Modelling New'!W:W),"")</f>
        <v>0.17979189988306124</v>
      </c>
      <c r="AG17" s="145">
        <f>IFERROR(_xlfn.XLOOKUP($D17,'Modelling New'!$D:$D,'Modelling New'!AE:AE),"")</f>
        <v>0.98040000000000005</v>
      </c>
      <c r="AH17" s="167">
        <f>IFERROR(_xlfn.XLOOKUP($D17,'Modelling New'!$D:$D,'Modelling New'!AF:AF),"")</f>
        <v>0.98</v>
      </c>
      <c r="AN17" s="144"/>
      <c r="AO17" s="141"/>
      <c r="AP17" s="141"/>
      <c r="AQ17" s="141"/>
      <c r="AR17" s="133">
        <f>'Basic Data'!$B$98/1000</f>
        <v>8.0208999999999993</v>
      </c>
    </row>
    <row r="18" spans="1:44" x14ac:dyDescent="0.3">
      <c r="A18" s="132">
        <f t="shared" si="3"/>
        <v>45761</v>
      </c>
      <c r="B18" s="133">
        <f>YEAR(Table13[[#This Row],[Date]])+IF(MONTH(Table13[[#This Row],[Date]])&gt;=4,1,0)</f>
        <v>2026</v>
      </c>
      <c r="C18" s="134">
        <f>YEAR(Table13[[#This Row],[Date]])</f>
        <v>2025</v>
      </c>
      <c r="D18" s="135">
        <f>Table13[[#This Row],[Date]]-DAY(Table13[[#This Row],[Date]])+1</f>
        <v>45748</v>
      </c>
      <c r="E18" s="134">
        <f t="shared" si="0"/>
        <v>30</v>
      </c>
      <c r="F18" s="136">
        <f>IFERROR(_xlfn.XLOOKUP($A18,'Raw Data'!$G:$G,'Raw Data'!$AM:$AM),"")</f>
        <v>12.466666666666669</v>
      </c>
      <c r="G18" s="137">
        <f>IFERROR(_xlfn.XLOOKUP($A18,'Raw Data'!$G:$G,'Raw Data'!$AB:$AB),"")</f>
        <v>0</v>
      </c>
      <c r="H18" s="137"/>
      <c r="I18" s="137">
        <f>IFERROR(_xlfn.XLOOKUP($A18,'Raw Data'!$G:$G,'Raw Data'!$AC:$AC),"")</f>
        <v>6.09</v>
      </c>
      <c r="J18" s="137"/>
      <c r="K18" s="137">
        <f>IFERROR(_xlfn.XLOOKUP($A18,'Raw Data'!$G:$G,'Raw Data'!AD:AD),"")</f>
        <v>0</v>
      </c>
      <c r="L18" s="137">
        <f>IFERROR(_xlfn.XLOOKUP($A18,'Raw Data'!$G:$G,'Raw Data'!AE:AE),"")</f>
        <v>43.95</v>
      </c>
      <c r="M18" s="137">
        <f>IFERROR(_xlfn.XLOOKUP($A18,'Raw Data'!$G:$G,'Raw Data'!AF:AF),"")</f>
        <v>0</v>
      </c>
      <c r="N18" s="137">
        <f>IFERROR(_xlfn.XLOOKUP($A18,'Raw Data'!$G:$G,'Raw Data'!AG:AG),"")</f>
        <v>0</v>
      </c>
      <c r="O18" s="138">
        <f>IFERROR(1-SUMIF('Plant BD'!$H:$H,$A18,'Plant BD'!$AE:$AE)/($AA18+SUMIF('Plant BD'!$H:$H,$A18,'Plant BD'!$AE:$AE)),"")</f>
        <v>0.96036026374984751</v>
      </c>
      <c r="P18" s="138"/>
      <c r="Q18" s="139"/>
      <c r="R18" s="138">
        <f>IFERROR(1-SUMIF('Grid BD'!$H:$H,$A18,'Grid BD'!$AD:$AD)/($AA18+SUMIF('Grid BD'!$H:$H,$A18,'Grid BD'!$AD:$AD)),"")</f>
        <v>1</v>
      </c>
      <c r="T18" s="139"/>
      <c r="U18" s="140">
        <f t="shared" si="1"/>
        <v>0.79124158415286294</v>
      </c>
      <c r="V18" s="140"/>
      <c r="W18" s="141">
        <f t="shared" si="2"/>
        <v>0.20077755197878894</v>
      </c>
      <c r="X18" s="133">
        <f>IFERROR(_xlfn.XLOOKUP($A18,'Raw Data'!$G:$G,'Raw Data'!AI:AI),"")</f>
        <v>39032</v>
      </c>
      <c r="Y18" s="133">
        <f>IFERROR(_xlfn.XLOOKUP($A18,'Raw Data'!$G:$G,'Raw Data'!AJ:AJ),"")</f>
        <v>38750</v>
      </c>
      <c r="Z18" s="133">
        <f>IFERROR(_xlfn.XLOOKUP($A18,'Raw Data'!$G:$G,'Raw Data'!AK:AK),"")</f>
        <v>99.999999999965894</v>
      </c>
      <c r="AA18" s="133">
        <f>IFERROR(_xlfn.XLOOKUP($A18,'Raw Data'!$G:$G,'Raw Data'!AL:AL),"")</f>
        <v>38650.000000000036</v>
      </c>
      <c r="AB18" s="133">
        <f>IFERROR(_xlfn.XLOOKUP($A18,'Raw Data'!$G:$G,'Raw Data'!H:H),"")</f>
        <v>8.0208999999999993</v>
      </c>
      <c r="AC18" s="142">
        <f>IFERROR(_xlfn.XLOOKUP($D18,'Modelling New'!$D:$D,'Modelling New'!P:P),"")</f>
        <v>6.39</v>
      </c>
      <c r="AD18" s="133">
        <f>IFERROR(_xlfn.XLOOKUP($D18,'Modelling New'!$D:$D,'Modelling New'!$T:$T)*1000,"")</f>
        <v>34610.228394529106</v>
      </c>
      <c r="AE18" s="143">
        <f>IFERROR(_xlfn.XLOOKUP($D18,'Modelling New'!$D:$D,'Modelling New'!O:O),"")</f>
        <v>0.67527474134483101</v>
      </c>
      <c r="AF18" s="145">
        <f>IFERROR(_xlfn.XLOOKUP($D18,'Modelling New'!$D:$D,'Modelling New'!W:W),"")</f>
        <v>0.17979189988306124</v>
      </c>
      <c r="AG18" s="145">
        <f>IFERROR(_xlfn.XLOOKUP($D18,'Modelling New'!$D:$D,'Modelling New'!AE:AE),"")</f>
        <v>0.98040000000000005</v>
      </c>
      <c r="AH18" s="167">
        <f>IFERROR(_xlfn.XLOOKUP($D18,'Modelling New'!$D:$D,'Modelling New'!AF:AF),"")</f>
        <v>0.98</v>
      </c>
      <c r="AN18" s="144"/>
      <c r="AO18" s="141"/>
      <c r="AP18" s="141"/>
      <c r="AQ18" s="141"/>
      <c r="AR18" s="133">
        <f>'Basic Data'!$B$98/1000</f>
        <v>8.0208999999999993</v>
      </c>
    </row>
    <row r="19" spans="1:44" x14ac:dyDescent="0.3">
      <c r="A19" s="132">
        <f t="shared" si="3"/>
        <v>45762</v>
      </c>
      <c r="B19" s="133">
        <f>YEAR(Table13[[#This Row],[Date]])+IF(MONTH(Table13[[#This Row],[Date]])&gt;=4,1,0)</f>
        <v>2026</v>
      </c>
      <c r="C19" s="134">
        <f>YEAR(Table13[[#This Row],[Date]])</f>
        <v>2025</v>
      </c>
      <c r="D19" s="135">
        <f>Table13[[#This Row],[Date]]-DAY(Table13[[#This Row],[Date]])+1</f>
        <v>45748</v>
      </c>
      <c r="E19" s="134">
        <f t="shared" si="0"/>
        <v>30</v>
      </c>
      <c r="F19" s="136">
        <f>IFERROR(_xlfn.XLOOKUP($A19,'Raw Data'!$G:$G,'Raw Data'!$AM:$AM),"")</f>
        <v>12.600000000000001</v>
      </c>
      <c r="G19" s="137">
        <f>IFERROR(_xlfn.XLOOKUP($A19,'Raw Data'!$G:$G,'Raw Data'!$AB:$AB),"")</f>
        <v>0</v>
      </c>
      <c r="H19" s="137"/>
      <c r="I19" s="137">
        <f>IFERROR(_xlfn.XLOOKUP($A19,'Raw Data'!$G:$G,'Raw Data'!$AC:$AC),"")</f>
        <v>5.28</v>
      </c>
      <c r="J19" s="137"/>
      <c r="K19" s="137">
        <f>IFERROR(_xlfn.XLOOKUP($A19,'Raw Data'!$G:$G,'Raw Data'!AD:AD),"")</f>
        <v>0</v>
      </c>
      <c r="L19" s="137">
        <f>IFERROR(_xlfn.XLOOKUP($A19,'Raw Data'!$G:$G,'Raw Data'!AE:AE),"")</f>
        <v>42.86</v>
      </c>
      <c r="M19" s="137">
        <f>IFERROR(_xlfn.XLOOKUP($A19,'Raw Data'!$G:$G,'Raw Data'!AF:AF),"")</f>
        <v>0</v>
      </c>
      <c r="N19" s="137">
        <f>IFERROR(_xlfn.XLOOKUP($A19,'Raw Data'!$G:$G,'Raw Data'!AG:AG),"")</f>
        <v>0</v>
      </c>
      <c r="O19" s="138">
        <f>IFERROR(1-SUMIF('Plant BD'!$H:$H,$A19,'Plant BD'!$AE:$AE)/($AA19+SUMIF('Plant BD'!$H:$H,$A19,'Plant BD'!$AE:$AE)),"")</f>
        <v>0.98809050890719852</v>
      </c>
      <c r="P19" s="138"/>
      <c r="Q19" s="139"/>
      <c r="R19" s="138">
        <f>IFERROR(1-SUMIF('Grid BD'!$H:$H,$A19,'Grid BD'!$AD:$AD)/($AA19+SUMIF('Grid BD'!$H:$H,$A19,'Grid BD'!$AD:$AD)),"")</f>
        <v>0.99295188691174296</v>
      </c>
      <c r="T19" s="139"/>
      <c r="U19" s="140">
        <f t="shared" si="1"/>
        <v>0.80046560179712278</v>
      </c>
      <c r="V19" s="140"/>
      <c r="W19" s="141">
        <f t="shared" si="2"/>
        <v>0.17610243239536699</v>
      </c>
      <c r="X19" s="133">
        <f>IFERROR(_xlfn.XLOOKUP($A19,'Raw Data'!$G:$G,'Raw Data'!AI:AI),"")</f>
        <v>34340</v>
      </c>
      <c r="Y19" s="133">
        <f>IFERROR(_xlfn.XLOOKUP($A19,'Raw Data'!$G:$G,'Raw Data'!AJ:AJ),"")</f>
        <v>34000</v>
      </c>
      <c r="Z19" s="133">
        <f>IFERROR(_xlfn.XLOOKUP($A19,'Raw Data'!$G:$G,'Raw Data'!AK:AK),"")</f>
        <v>100.00000000002274</v>
      </c>
      <c r="AA19" s="133">
        <f>IFERROR(_xlfn.XLOOKUP($A19,'Raw Data'!$G:$G,'Raw Data'!AL:AL),"")</f>
        <v>33899.999999999978</v>
      </c>
      <c r="AB19" s="133">
        <f>IFERROR(_xlfn.XLOOKUP($A19,'Raw Data'!$G:$G,'Raw Data'!H:H),"")</f>
        <v>8.0208999999999993</v>
      </c>
      <c r="AC19" s="142">
        <f>IFERROR(_xlfn.XLOOKUP($D19,'Modelling New'!$D:$D,'Modelling New'!P:P),"")</f>
        <v>6.39</v>
      </c>
      <c r="AD19" s="133">
        <f>IFERROR(_xlfn.XLOOKUP($D19,'Modelling New'!$D:$D,'Modelling New'!$T:$T)*1000,"")</f>
        <v>34610.228394529106</v>
      </c>
      <c r="AE19" s="143">
        <f>IFERROR(_xlfn.XLOOKUP($D19,'Modelling New'!$D:$D,'Modelling New'!O:O),"")</f>
        <v>0.67527474134483101</v>
      </c>
      <c r="AF19" s="145">
        <f>IFERROR(_xlfn.XLOOKUP($D19,'Modelling New'!$D:$D,'Modelling New'!W:W),"")</f>
        <v>0.17979189988306124</v>
      </c>
      <c r="AG19" s="145">
        <f>IFERROR(_xlfn.XLOOKUP($D19,'Modelling New'!$D:$D,'Modelling New'!AE:AE),"")</f>
        <v>0.98040000000000005</v>
      </c>
      <c r="AH19" s="167">
        <f>IFERROR(_xlfn.XLOOKUP($D19,'Modelling New'!$D:$D,'Modelling New'!AF:AF),"")</f>
        <v>0.98</v>
      </c>
      <c r="AN19" s="144"/>
      <c r="AO19" s="141"/>
      <c r="AP19" s="141"/>
      <c r="AQ19" s="141"/>
      <c r="AR19" s="133">
        <f>'Basic Data'!$B$98/1000</f>
        <v>8.0208999999999993</v>
      </c>
    </row>
    <row r="20" spans="1:44" x14ac:dyDescent="0.3">
      <c r="A20" s="132">
        <f t="shared" si="3"/>
        <v>45763</v>
      </c>
      <c r="B20" s="133">
        <f>YEAR(Table13[[#This Row],[Date]])+IF(MONTH(Table13[[#This Row],[Date]])&gt;=4,1,0)</f>
        <v>2026</v>
      </c>
      <c r="C20" s="134">
        <f>YEAR(Table13[[#This Row],[Date]])</f>
        <v>2025</v>
      </c>
      <c r="D20" s="135">
        <f>Table13[[#This Row],[Date]]-DAY(Table13[[#This Row],[Date]])+1</f>
        <v>45748</v>
      </c>
      <c r="E20" s="134">
        <f t="shared" si="0"/>
        <v>30</v>
      </c>
      <c r="F20" s="136">
        <f>IFERROR(_xlfn.XLOOKUP($A20,'Raw Data'!$G:$G,'Raw Data'!$AM:$AM),"")</f>
        <v>12.5</v>
      </c>
      <c r="G20" s="137">
        <f>IFERROR(_xlfn.XLOOKUP($A20,'Raw Data'!$G:$G,'Raw Data'!$AB:$AB),"")</f>
        <v>0</v>
      </c>
      <c r="H20" s="137"/>
      <c r="I20" s="137">
        <f>IFERROR(_xlfn.XLOOKUP($A20,'Raw Data'!$G:$G,'Raw Data'!$AC:$AC),"")</f>
        <v>5.92</v>
      </c>
      <c r="J20" s="137"/>
      <c r="K20" s="137">
        <f>IFERROR(_xlfn.XLOOKUP($A20,'Raw Data'!$G:$G,'Raw Data'!AD:AD),"")</f>
        <v>0</v>
      </c>
      <c r="L20" s="137">
        <f>IFERROR(_xlfn.XLOOKUP($A20,'Raw Data'!$G:$G,'Raw Data'!AE:AE),"")</f>
        <v>42.54</v>
      </c>
      <c r="M20" s="137">
        <f>IFERROR(_xlfn.XLOOKUP($A20,'Raw Data'!$G:$G,'Raw Data'!AF:AF),"")</f>
        <v>0</v>
      </c>
      <c r="N20" s="137">
        <f>IFERROR(_xlfn.XLOOKUP($A20,'Raw Data'!$G:$G,'Raw Data'!AG:AG),"")</f>
        <v>0</v>
      </c>
      <c r="O20" s="138">
        <f>IFERROR(1-SUMIF('Plant BD'!$H:$H,$A20,'Plant BD'!$AE:$AE)/($AA20+SUMIF('Plant BD'!$H:$H,$A20,'Plant BD'!$AE:$AE)),"")</f>
        <v>0.98361888655629426</v>
      </c>
      <c r="P20" s="138"/>
      <c r="Q20" s="139"/>
      <c r="R20" s="138">
        <f>IFERROR(1-SUMIF('Grid BD'!$H:$H,$A20,'Grid BD'!$AD:$AD)/($AA20+SUMIF('Grid BD'!$H:$H,$A20,'Grid BD'!$AD:$AD)),"")</f>
        <v>0.93160906285719181</v>
      </c>
      <c r="T20" s="139"/>
      <c r="U20" s="140">
        <f t="shared" si="1"/>
        <v>0.6212654575059019</v>
      </c>
      <c r="V20" s="140"/>
      <c r="W20" s="141">
        <f t="shared" si="2"/>
        <v>0.15324547951812242</v>
      </c>
      <c r="X20" s="133">
        <f>IFERROR(_xlfn.XLOOKUP($A20,'Raw Data'!$G:$G,'Raw Data'!AI:AI),"")</f>
        <v>29859.4</v>
      </c>
      <c r="Y20" s="133">
        <f>IFERROR(_xlfn.XLOOKUP($A20,'Raw Data'!$G:$G,'Raw Data'!AJ:AJ),"")</f>
        <v>29600.000000005821</v>
      </c>
      <c r="Z20" s="133">
        <f>IFERROR(_xlfn.XLOOKUP($A20,'Raw Data'!$G:$G,'Raw Data'!AK:AK),"")</f>
        <v>100.00000000002274</v>
      </c>
      <c r="AA20" s="133">
        <f>IFERROR(_xlfn.XLOOKUP($A20,'Raw Data'!$G:$G,'Raw Data'!AL:AL),"")</f>
        <v>29500.000000005799</v>
      </c>
      <c r="AB20" s="133">
        <f>IFERROR(_xlfn.XLOOKUP($A20,'Raw Data'!$G:$G,'Raw Data'!H:H),"")</f>
        <v>8.0208999999999993</v>
      </c>
      <c r="AC20" s="142">
        <f>IFERROR(_xlfn.XLOOKUP($D20,'Modelling New'!$D:$D,'Modelling New'!P:P),"")</f>
        <v>6.39</v>
      </c>
      <c r="AD20" s="133">
        <f>IFERROR(_xlfn.XLOOKUP($D20,'Modelling New'!$D:$D,'Modelling New'!$T:$T)*1000,"")</f>
        <v>34610.228394529106</v>
      </c>
      <c r="AE20" s="143">
        <f>IFERROR(_xlfn.XLOOKUP($D20,'Modelling New'!$D:$D,'Modelling New'!O:O),"")</f>
        <v>0.67527474134483101</v>
      </c>
      <c r="AF20" s="145">
        <f>IFERROR(_xlfn.XLOOKUP($D20,'Modelling New'!$D:$D,'Modelling New'!W:W),"")</f>
        <v>0.17979189988306124</v>
      </c>
      <c r="AG20" s="145">
        <f>IFERROR(_xlfn.XLOOKUP($D20,'Modelling New'!$D:$D,'Modelling New'!AE:AE),"")</f>
        <v>0.98040000000000005</v>
      </c>
      <c r="AH20" s="167">
        <f>IFERROR(_xlfn.XLOOKUP($D20,'Modelling New'!$D:$D,'Modelling New'!AF:AF),"")</f>
        <v>0.98</v>
      </c>
      <c r="AN20" s="144"/>
      <c r="AO20" s="141"/>
      <c r="AP20" s="141"/>
      <c r="AQ20" s="141"/>
      <c r="AR20" s="133">
        <f>'Basic Data'!$B$98/1000</f>
        <v>8.0208999999999993</v>
      </c>
    </row>
    <row r="21" spans="1:44" x14ac:dyDescent="0.3">
      <c r="A21" s="132">
        <f t="shared" si="3"/>
        <v>45764</v>
      </c>
      <c r="B21" s="133">
        <f>YEAR(Table13[[#This Row],[Date]])+IF(MONTH(Table13[[#This Row],[Date]])&gt;=4,1,0)</f>
        <v>2026</v>
      </c>
      <c r="C21" s="134">
        <f>YEAR(Table13[[#This Row],[Date]])</f>
        <v>2025</v>
      </c>
      <c r="D21" s="135">
        <f>Table13[[#This Row],[Date]]-DAY(Table13[[#This Row],[Date]])+1</f>
        <v>45748</v>
      </c>
      <c r="E21" s="134">
        <f t="shared" si="0"/>
        <v>30</v>
      </c>
      <c r="F21" s="136">
        <f>IFERROR(_xlfn.XLOOKUP($A21,'Raw Data'!$G:$G,'Raw Data'!$AM:$AM),"")</f>
        <v>12.5</v>
      </c>
      <c r="G21" s="137">
        <f>IFERROR(_xlfn.XLOOKUP($A21,'Raw Data'!$G:$G,'Raw Data'!$AB:$AB),"")</f>
        <v>0</v>
      </c>
      <c r="H21" s="137"/>
      <c r="I21" s="137">
        <f>IFERROR(_xlfn.XLOOKUP($A21,'Raw Data'!$G:$G,'Raw Data'!$AC:$AC),"")</f>
        <v>5.66</v>
      </c>
      <c r="J21" s="137"/>
      <c r="K21" s="137">
        <f>IFERROR(_xlfn.XLOOKUP($A21,'Raw Data'!$G:$G,'Raw Data'!AD:AD),"")</f>
        <v>0</v>
      </c>
      <c r="L21" s="137">
        <f>IFERROR(_xlfn.XLOOKUP($A21,'Raw Data'!$G:$G,'Raw Data'!AE:AE),"")</f>
        <v>43.35</v>
      </c>
      <c r="M21" s="137">
        <f>IFERROR(_xlfn.XLOOKUP($A21,'Raw Data'!$G:$G,'Raw Data'!AF:AF),"")</f>
        <v>0</v>
      </c>
      <c r="N21" s="137">
        <f>IFERROR(_xlfn.XLOOKUP($A21,'Raw Data'!$G:$G,'Raw Data'!AG:AG),"")</f>
        <v>0</v>
      </c>
      <c r="O21" s="138">
        <f>IFERROR(1-SUMIF('Plant BD'!$H:$H,$A21,'Plant BD'!$AE:$AE)/($AA21+SUMIF('Plant BD'!$H:$H,$A21,'Plant BD'!$AE:$AE)),"")</f>
        <v>1</v>
      </c>
      <c r="P21" s="138"/>
      <c r="Q21" s="139"/>
      <c r="R21" s="138">
        <f>IFERROR(1-SUMIF('Grid BD'!$H:$H,$A21,'Grid BD'!$AD:$AD)/($AA21+SUMIF('Grid BD'!$H:$H,$A21,'Grid BD'!$AD:$AD)),"")</f>
        <v>1</v>
      </c>
      <c r="T21" s="139"/>
      <c r="U21" s="140">
        <f t="shared" si="1"/>
        <v>0.78747452492358649</v>
      </c>
      <c r="V21" s="140"/>
      <c r="W21" s="141">
        <f t="shared" si="2"/>
        <v>0.18571274212781247</v>
      </c>
      <c r="X21" s="133">
        <f>IFERROR(_xlfn.XLOOKUP($A21,'Raw Data'!$G:$G,'Raw Data'!AI:AI),"")</f>
        <v>36154.400000000001</v>
      </c>
      <c r="Y21" s="133">
        <f>IFERROR(_xlfn.XLOOKUP($A21,'Raw Data'!$G:$G,'Raw Data'!AJ:AJ),"")</f>
        <v>35849.999999991269</v>
      </c>
      <c r="Z21" s="133">
        <f>IFERROR(_xlfn.XLOOKUP($A21,'Raw Data'!$G:$G,'Raw Data'!AK:AK),"")</f>
        <v>99.999999999965894</v>
      </c>
      <c r="AA21" s="133">
        <f>IFERROR(_xlfn.XLOOKUP($A21,'Raw Data'!$G:$G,'Raw Data'!AL:AL),"")</f>
        <v>35749.999999991305</v>
      </c>
      <c r="AB21" s="133">
        <f>IFERROR(_xlfn.XLOOKUP($A21,'Raw Data'!$G:$G,'Raw Data'!H:H),"")</f>
        <v>8.0208999999999993</v>
      </c>
      <c r="AC21" s="142">
        <f>IFERROR(_xlfn.XLOOKUP($D21,'Modelling New'!$D:$D,'Modelling New'!P:P),"")</f>
        <v>6.39</v>
      </c>
      <c r="AD21" s="133">
        <f>IFERROR(_xlfn.XLOOKUP($D21,'Modelling New'!$D:$D,'Modelling New'!$T:$T)*1000,"")</f>
        <v>34610.228394529106</v>
      </c>
      <c r="AE21" s="143">
        <f>IFERROR(_xlfn.XLOOKUP($D21,'Modelling New'!$D:$D,'Modelling New'!O:O),"")</f>
        <v>0.67527474134483101</v>
      </c>
      <c r="AF21" s="145">
        <f>IFERROR(_xlfn.XLOOKUP($D21,'Modelling New'!$D:$D,'Modelling New'!W:W),"")</f>
        <v>0.17979189988306124</v>
      </c>
      <c r="AG21" s="145">
        <f>IFERROR(_xlfn.XLOOKUP($D21,'Modelling New'!$D:$D,'Modelling New'!AE:AE),"")</f>
        <v>0.98040000000000005</v>
      </c>
      <c r="AH21" s="167">
        <f>IFERROR(_xlfn.XLOOKUP($D21,'Modelling New'!$D:$D,'Modelling New'!AF:AF),"")</f>
        <v>0.98</v>
      </c>
      <c r="AN21" s="144"/>
      <c r="AO21" s="141"/>
      <c r="AP21" s="141"/>
      <c r="AQ21" s="141"/>
      <c r="AR21" s="133">
        <f>'Basic Data'!$B$98/1000</f>
        <v>8.0208999999999993</v>
      </c>
    </row>
    <row r="22" spans="1:44" x14ac:dyDescent="0.3">
      <c r="A22" s="132">
        <f t="shared" si="3"/>
        <v>45765</v>
      </c>
      <c r="B22" s="133">
        <f>YEAR(Table13[[#This Row],[Date]])+IF(MONTH(Table13[[#This Row],[Date]])&gt;=4,1,0)</f>
        <v>2026</v>
      </c>
      <c r="C22" s="134">
        <f>YEAR(Table13[[#This Row],[Date]])</f>
        <v>2025</v>
      </c>
      <c r="D22" s="135">
        <f>Table13[[#This Row],[Date]]-DAY(Table13[[#This Row],[Date]])+1</f>
        <v>45748</v>
      </c>
      <c r="E22" s="134">
        <f t="shared" si="0"/>
        <v>30</v>
      </c>
      <c r="F22" s="136">
        <f>IFERROR(_xlfn.XLOOKUP($A22,'Raw Data'!$G:$G,'Raw Data'!$AM:$AM),"")</f>
        <v>12.516666666666667</v>
      </c>
      <c r="G22" s="137">
        <f>IFERROR(_xlfn.XLOOKUP($A22,'Raw Data'!$G:$G,'Raw Data'!$AB:$AB),"")</f>
        <v>0</v>
      </c>
      <c r="H22" s="137"/>
      <c r="I22" s="137">
        <f>IFERROR(_xlfn.XLOOKUP($A22,'Raw Data'!$G:$G,'Raw Data'!$AC:$AC),"")</f>
        <v>5.38</v>
      </c>
      <c r="J22" s="137"/>
      <c r="K22" s="137">
        <f>IFERROR(_xlfn.XLOOKUP($A22,'Raw Data'!$G:$G,'Raw Data'!AD:AD),"")</f>
        <v>0</v>
      </c>
      <c r="L22" s="137">
        <f>IFERROR(_xlfn.XLOOKUP($A22,'Raw Data'!$G:$G,'Raw Data'!AE:AE),"")</f>
        <v>43.02</v>
      </c>
      <c r="M22" s="137">
        <f>IFERROR(_xlfn.XLOOKUP($A22,'Raw Data'!$G:$G,'Raw Data'!AF:AF),"")</f>
        <v>0</v>
      </c>
      <c r="N22" s="137">
        <f>IFERROR(_xlfn.XLOOKUP($A22,'Raw Data'!$G:$G,'Raw Data'!AG:AG),"")</f>
        <v>0</v>
      </c>
      <c r="O22" s="138">
        <f>IFERROR(1-SUMIF('Plant BD'!$H:$H,$A22,'Plant BD'!$AE:$AE)/($AA22+SUMIF('Plant BD'!$H:$H,$A22,'Plant BD'!$AE:$AE)),"")</f>
        <v>1</v>
      </c>
      <c r="P22" s="138"/>
      <c r="Q22" s="139"/>
      <c r="R22" s="138">
        <f>IFERROR(1-SUMIF('Grid BD'!$H:$H,$A22,'Grid BD'!$AD:$AD)/($AA22+SUMIF('Grid BD'!$H:$H,$A22,'Grid BD'!$AD:$AD)),"")</f>
        <v>1</v>
      </c>
      <c r="T22" s="139"/>
      <c r="U22" s="140">
        <f t="shared" si="1"/>
        <v>0.62337144210749373</v>
      </c>
      <c r="V22" s="140"/>
      <c r="W22" s="141">
        <f t="shared" si="2"/>
        <v>0.13973909827242983</v>
      </c>
      <c r="X22" s="133">
        <f>IFERROR(_xlfn.XLOOKUP($A22,'Raw Data'!$G:$G,'Raw Data'!AI:AI),"")</f>
        <v>27239.5</v>
      </c>
      <c r="Y22" s="133">
        <f>IFERROR(_xlfn.XLOOKUP($A22,'Raw Data'!$G:$G,'Raw Data'!AJ:AJ),"")</f>
        <v>27000</v>
      </c>
      <c r="Z22" s="133">
        <f>IFERROR(_xlfn.XLOOKUP($A22,'Raw Data'!$G:$G,'Raw Data'!AK:AK),"")</f>
        <v>100.00000000002274</v>
      </c>
      <c r="AA22" s="133">
        <f>IFERROR(_xlfn.XLOOKUP($A22,'Raw Data'!$G:$G,'Raw Data'!AL:AL),"")</f>
        <v>26899.999999999978</v>
      </c>
      <c r="AB22" s="133">
        <f>IFERROR(_xlfn.XLOOKUP($A22,'Raw Data'!$G:$G,'Raw Data'!H:H),"")</f>
        <v>8.0208999999999993</v>
      </c>
      <c r="AC22" s="142">
        <f>IFERROR(_xlfn.XLOOKUP($D22,'Modelling New'!$D:$D,'Modelling New'!P:P),"")</f>
        <v>6.39</v>
      </c>
      <c r="AD22" s="133">
        <f>IFERROR(_xlfn.XLOOKUP($D22,'Modelling New'!$D:$D,'Modelling New'!$T:$T)*1000,"")</f>
        <v>34610.228394529106</v>
      </c>
      <c r="AE22" s="143">
        <f>IFERROR(_xlfn.XLOOKUP($D22,'Modelling New'!$D:$D,'Modelling New'!O:O),"")</f>
        <v>0.67527474134483101</v>
      </c>
      <c r="AF22" s="145">
        <f>IFERROR(_xlfn.XLOOKUP($D22,'Modelling New'!$D:$D,'Modelling New'!W:W),"")</f>
        <v>0.17979189988306124</v>
      </c>
      <c r="AG22" s="145">
        <f>IFERROR(_xlfn.XLOOKUP($D22,'Modelling New'!$D:$D,'Modelling New'!AE:AE),"")</f>
        <v>0.98040000000000005</v>
      </c>
      <c r="AH22" s="167">
        <f>IFERROR(_xlfn.XLOOKUP($D22,'Modelling New'!$D:$D,'Modelling New'!AF:AF),"")</f>
        <v>0.98</v>
      </c>
      <c r="AN22" s="144"/>
      <c r="AO22" s="141"/>
      <c r="AP22" s="141"/>
      <c r="AQ22" s="141"/>
      <c r="AR22" s="133">
        <f>'Basic Data'!$B$98/1000</f>
        <v>8.0208999999999993</v>
      </c>
    </row>
    <row r="23" spans="1:44" x14ac:dyDescent="0.3">
      <c r="A23" s="132">
        <f t="shared" si="3"/>
        <v>45766</v>
      </c>
      <c r="B23" s="133">
        <f>YEAR(Table13[[#This Row],[Date]])+IF(MONTH(Table13[[#This Row],[Date]])&gt;=4,1,0)</f>
        <v>2026</v>
      </c>
      <c r="C23" s="134">
        <f>YEAR(Table13[[#This Row],[Date]])</f>
        <v>2025</v>
      </c>
      <c r="D23" s="135">
        <f>Table13[[#This Row],[Date]]-DAY(Table13[[#This Row],[Date]])+1</f>
        <v>45748</v>
      </c>
      <c r="E23" s="134">
        <f t="shared" si="0"/>
        <v>30</v>
      </c>
      <c r="F23" s="136">
        <f>IFERROR(_xlfn.XLOOKUP($A23,'Raw Data'!$G:$G,'Raw Data'!$AM:$AM),"")</f>
        <v>12.416666666666668</v>
      </c>
      <c r="G23" s="137">
        <f>IFERROR(_xlfn.XLOOKUP($A23,'Raw Data'!$G:$G,'Raw Data'!$AB:$AB),"")</f>
        <v>0</v>
      </c>
      <c r="H23" s="137"/>
      <c r="I23" s="137">
        <f>IFERROR(_xlfn.XLOOKUP($A23,'Raw Data'!$G:$G,'Raw Data'!$AC:$AC),"")</f>
        <v>5.54</v>
      </c>
      <c r="J23" s="137"/>
      <c r="K23" s="137">
        <f>IFERROR(_xlfn.XLOOKUP($A23,'Raw Data'!$G:$G,'Raw Data'!AD:AD),"")</f>
        <v>0</v>
      </c>
      <c r="L23" s="137">
        <f>IFERROR(_xlfn.XLOOKUP($A23,'Raw Data'!$G:$G,'Raw Data'!AE:AE),"")</f>
        <v>43.31</v>
      </c>
      <c r="M23" s="137">
        <f>IFERROR(_xlfn.XLOOKUP($A23,'Raw Data'!$G:$G,'Raw Data'!AF:AF),"")</f>
        <v>0</v>
      </c>
      <c r="N23" s="137">
        <f>IFERROR(_xlfn.XLOOKUP($A23,'Raw Data'!$G:$G,'Raw Data'!AG:AG),"")</f>
        <v>0</v>
      </c>
      <c r="O23" s="138">
        <f>IFERROR(1-SUMIF('Plant BD'!$H:$H,$A23,'Plant BD'!$AE:$AE)/($AA23+SUMIF('Plant BD'!$H:$H,$A23,'Plant BD'!$AE:$AE)),"")</f>
        <v>1</v>
      </c>
      <c r="P23" s="138"/>
      <c r="Q23" s="139"/>
      <c r="R23" s="138">
        <f>IFERROR(1-SUMIF('Grid BD'!$H:$H,$A23,'Grid BD'!$AD:$AD)/($AA23+SUMIF('Grid BD'!$H:$H,$A23,'Grid BD'!$AD:$AD)),"")</f>
        <v>0.95910968906347527</v>
      </c>
      <c r="T23" s="139"/>
      <c r="U23" s="140">
        <f t="shared" si="1"/>
        <v>0.74939599358068676</v>
      </c>
      <c r="V23" s="140"/>
      <c r="W23" s="141">
        <f t="shared" si="2"/>
        <v>0.17298557518487517</v>
      </c>
      <c r="X23" s="133">
        <f>IFERROR(_xlfn.XLOOKUP($A23,'Raw Data'!$G:$G,'Raw Data'!AI:AI),"")</f>
        <v>33721.5</v>
      </c>
      <c r="Y23" s="133">
        <f>IFERROR(_xlfn.XLOOKUP($A23,'Raw Data'!$G:$G,'Raw Data'!AJ:AJ),"")</f>
        <v>33400.000000008731</v>
      </c>
      <c r="Z23" s="133">
        <f>IFERROR(_xlfn.XLOOKUP($A23,'Raw Data'!$G:$G,'Raw Data'!AK:AK),"")</f>
        <v>99.999999999965894</v>
      </c>
      <c r="AA23" s="133">
        <f>IFERROR(_xlfn.XLOOKUP($A23,'Raw Data'!$G:$G,'Raw Data'!AL:AL),"")</f>
        <v>33300.000000008768</v>
      </c>
      <c r="AB23" s="133">
        <f>IFERROR(_xlfn.XLOOKUP($A23,'Raw Data'!$G:$G,'Raw Data'!H:H),"")</f>
        <v>8.0208999999999993</v>
      </c>
      <c r="AC23" s="142">
        <f>IFERROR(_xlfn.XLOOKUP($D23,'Modelling New'!$D:$D,'Modelling New'!P:P),"")</f>
        <v>6.39</v>
      </c>
      <c r="AD23" s="133">
        <f>IFERROR(_xlfn.XLOOKUP($D23,'Modelling New'!$D:$D,'Modelling New'!$T:$T)*1000,"")</f>
        <v>34610.228394529106</v>
      </c>
      <c r="AE23" s="143">
        <f>IFERROR(_xlfn.XLOOKUP($D23,'Modelling New'!$D:$D,'Modelling New'!O:O),"")</f>
        <v>0.67527474134483101</v>
      </c>
      <c r="AF23" s="145">
        <f>IFERROR(_xlfn.XLOOKUP($D23,'Modelling New'!$D:$D,'Modelling New'!W:W),"")</f>
        <v>0.17979189988306124</v>
      </c>
      <c r="AG23" s="145">
        <f>IFERROR(_xlfn.XLOOKUP($D23,'Modelling New'!$D:$D,'Modelling New'!AE:AE),"")</f>
        <v>0.98040000000000005</v>
      </c>
      <c r="AH23" s="167">
        <f>IFERROR(_xlfn.XLOOKUP($D23,'Modelling New'!$D:$D,'Modelling New'!AF:AF),"")</f>
        <v>0.98</v>
      </c>
      <c r="AN23" s="144"/>
      <c r="AO23" s="141"/>
      <c r="AP23" s="141"/>
      <c r="AQ23" s="141"/>
      <c r="AR23" s="133">
        <f>'Basic Data'!$B$98/1000</f>
        <v>8.0208999999999993</v>
      </c>
    </row>
    <row r="24" spans="1:44" x14ac:dyDescent="0.3">
      <c r="A24" s="132">
        <f t="shared" si="3"/>
        <v>45767</v>
      </c>
      <c r="B24" s="133">
        <f>YEAR(Table13[[#This Row],[Date]])+IF(MONTH(Table13[[#This Row],[Date]])&gt;=4,1,0)</f>
        <v>2026</v>
      </c>
      <c r="C24" s="134">
        <f>YEAR(Table13[[#This Row],[Date]])</f>
        <v>2025</v>
      </c>
      <c r="D24" s="135">
        <f>Table13[[#This Row],[Date]]-DAY(Table13[[#This Row],[Date]])+1</f>
        <v>45748</v>
      </c>
      <c r="E24" s="134">
        <f t="shared" si="0"/>
        <v>30</v>
      </c>
      <c r="F24" s="136">
        <f>IFERROR(_xlfn.XLOOKUP($A24,'Raw Data'!$G:$G,'Raw Data'!$AM:$AM),"")</f>
        <v>12.5</v>
      </c>
      <c r="G24" s="137">
        <f>IFERROR(_xlfn.XLOOKUP($A24,'Raw Data'!$G:$G,'Raw Data'!$AB:$AB),"")</f>
        <v>0</v>
      </c>
      <c r="H24" s="137"/>
      <c r="I24" s="137">
        <f>IFERROR(_xlfn.XLOOKUP($A24,'Raw Data'!$G:$G,'Raw Data'!$AC:$AC),"")</f>
        <v>5.12</v>
      </c>
      <c r="J24" s="137"/>
      <c r="K24" s="137">
        <f>IFERROR(_xlfn.XLOOKUP($A24,'Raw Data'!$G:$G,'Raw Data'!AD:AD),"")</f>
        <v>0</v>
      </c>
      <c r="L24" s="137">
        <f>IFERROR(_xlfn.XLOOKUP($A24,'Raw Data'!$G:$G,'Raw Data'!AE:AE),"")</f>
        <v>45.39</v>
      </c>
      <c r="M24" s="137">
        <f>IFERROR(_xlfn.XLOOKUP($A24,'Raw Data'!$G:$G,'Raw Data'!AF:AF),"")</f>
        <v>0</v>
      </c>
      <c r="N24" s="137">
        <f>IFERROR(_xlfn.XLOOKUP($A24,'Raw Data'!$G:$G,'Raw Data'!AG:AG),"")</f>
        <v>0</v>
      </c>
      <c r="O24" s="138">
        <f>IFERROR(1-SUMIF('Plant BD'!$H:$H,$A24,'Plant BD'!$AE:$AE)/($AA24+SUMIF('Plant BD'!$H:$H,$A24,'Plant BD'!$AE:$AE)),"")</f>
        <v>1</v>
      </c>
      <c r="P24" s="138"/>
      <c r="Q24" s="139"/>
      <c r="R24" s="138">
        <f>IFERROR(1-SUMIF('Grid BD'!$H:$H,$A24,'Grid BD'!$AD:$AD)/($AA24+SUMIF('Grid BD'!$H:$H,$A24,'Grid BD'!$AD:$AD)),"")</f>
        <v>1</v>
      </c>
      <c r="T24" s="139"/>
      <c r="U24" s="140">
        <f>IFERROR(AA24/I24/AB24/1000,"")</f>
        <v>0.97767044533655778</v>
      </c>
      <c r="V24" s="140"/>
      <c r="W24" s="141">
        <f t="shared" si="2"/>
        <v>0.20856969500513231</v>
      </c>
      <c r="X24" s="133">
        <f>IFERROR(_xlfn.XLOOKUP($A24,'Raw Data'!$G:$G,'Raw Data'!AI:AI),"")</f>
        <v>40625.899999999994</v>
      </c>
      <c r="Y24" s="133">
        <f>IFERROR(_xlfn.XLOOKUP($A24,'Raw Data'!$G:$G,'Raw Data'!AJ:AJ),"")</f>
        <v>40250</v>
      </c>
      <c r="Z24" s="133">
        <f>IFERROR(_xlfn.XLOOKUP($A24,'Raw Data'!$G:$G,'Raw Data'!AK:AK),"")</f>
        <v>100.00000000002274</v>
      </c>
      <c r="AA24" s="133">
        <f>IFERROR(_xlfn.XLOOKUP($A24,'Raw Data'!$G:$G,'Raw Data'!AL:AL),"")</f>
        <v>40149.999999999978</v>
      </c>
      <c r="AB24" s="133">
        <f>IFERROR(_xlfn.XLOOKUP($A24,'Raw Data'!$G:$G,'Raw Data'!H:H),"")</f>
        <v>8.0208999999999993</v>
      </c>
      <c r="AC24" s="142">
        <f>IFERROR(_xlfn.XLOOKUP($D24,'Modelling New'!$D:$D,'Modelling New'!P:P),"")</f>
        <v>6.39</v>
      </c>
      <c r="AD24" s="133">
        <f>IFERROR(_xlfn.XLOOKUP($D24,'Modelling New'!$D:$D,'Modelling New'!$T:$T)*1000,"")</f>
        <v>34610.228394529106</v>
      </c>
      <c r="AE24" s="143">
        <f>IFERROR(_xlfn.XLOOKUP($D24,'Modelling New'!$D:$D,'Modelling New'!O:O),"")</f>
        <v>0.67527474134483101</v>
      </c>
      <c r="AF24" s="145">
        <f>IFERROR(_xlfn.XLOOKUP($D24,'Modelling New'!$D:$D,'Modelling New'!W:W),"")</f>
        <v>0.17979189988306124</v>
      </c>
      <c r="AG24" s="145">
        <f>IFERROR(_xlfn.XLOOKUP($D24,'Modelling New'!$D:$D,'Modelling New'!AE:AE),"")</f>
        <v>0.98040000000000005</v>
      </c>
      <c r="AH24" s="167">
        <f>IFERROR(_xlfn.XLOOKUP($D24,'Modelling New'!$D:$D,'Modelling New'!AF:AF),"")</f>
        <v>0.98</v>
      </c>
      <c r="AN24" s="144"/>
      <c r="AO24" s="141"/>
      <c r="AP24" s="141"/>
      <c r="AQ24" s="141"/>
      <c r="AR24" s="133">
        <f>'Basic Data'!$B$98/1000</f>
        <v>8.0208999999999993</v>
      </c>
    </row>
    <row r="25" spans="1:44" x14ac:dyDescent="0.3">
      <c r="A25" s="132">
        <f t="shared" si="3"/>
        <v>45768</v>
      </c>
      <c r="B25" s="133">
        <f>YEAR(Table13[[#This Row],[Date]])+IF(MONTH(Table13[[#This Row],[Date]])&gt;=4,1,0)</f>
        <v>2026</v>
      </c>
      <c r="C25" s="134">
        <f>YEAR(Table13[[#This Row],[Date]])</f>
        <v>2025</v>
      </c>
      <c r="D25" s="135">
        <f>Table13[[#This Row],[Date]]-DAY(Table13[[#This Row],[Date]])+1</f>
        <v>45748</v>
      </c>
      <c r="E25" s="134">
        <f t="shared" si="0"/>
        <v>30</v>
      </c>
      <c r="F25" s="136">
        <f>IFERROR(_xlfn.XLOOKUP($A25,'Raw Data'!$G:$G,'Raw Data'!$AM:$AM),"")</f>
        <v>12.450000000000001</v>
      </c>
      <c r="G25" s="137">
        <f>IFERROR(_xlfn.XLOOKUP($A25,'Raw Data'!$G:$G,'Raw Data'!$AB:$AB),"")</f>
        <v>0</v>
      </c>
      <c r="H25" s="137"/>
      <c r="I25" s="137">
        <f>IFERROR(_xlfn.XLOOKUP($A25,'Raw Data'!$G:$G,'Raw Data'!$AC:$AC),"")</f>
        <v>5.26</v>
      </c>
      <c r="J25" s="137"/>
      <c r="K25" s="137">
        <f>IFERROR(_xlfn.XLOOKUP($A25,'Raw Data'!$G:$G,'Raw Data'!AD:AD),"")</f>
        <v>0</v>
      </c>
      <c r="L25" s="137">
        <f>IFERROR(_xlfn.XLOOKUP($A25,'Raw Data'!$G:$G,'Raw Data'!AE:AE),"")</f>
        <v>43.8</v>
      </c>
      <c r="M25" s="137">
        <f>IFERROR(_xlfn.XLOOKUP($A25,'Raw Data'!$G:$G,'Raw Data'!AF:AF),"")</f>
        <v>0</v>
      </c>
      <c r="N25" s="137">
        <f>IFERROR(_xlfn.XLOOKUP($A25,'Raw Data'!$G:$G,'Raw Data'!AG:AG),"")</f>
        <v>0</v>
      </c>
      <c r="O25" s="138">
        <f>IFERROR(1-SUMIF('Plant BD'!$H:$H,$A25,'Plant BD'!$AE:$AE)/($AA25+SUMIF('Plant BD'!$H:$H,$A25,'Plant BD'!$AE:$AE)),"")</f>
        <v>1</v>
      </c>
      <c r="P25" s="138"/>
      <c r="Q25" s="139"/>
      <c r="R25" s="138">
        <f>IFERROR(1-SUMIF('Grid BD'!$H:$H,$A25,'Grid BD'!$AD:$AD)/($AA25+SUMIF('Grid BD'!$H:$H,$A25,'Grid BD'!$AD:$AD)),"")</f>
        <v>0.80246603901457814</v>
      </c>
      <c r="T25" s="139"/>
      <c r="U25" s="140">
        <f t="shared" si="1"/>
        <v>0.68736774985216254</v>
      </c>
      <c r="V25" s="140"/>
      <c r="W25" s="141">
        <f t="shared" si="2"/>
        <v>0.15064809850926561</v>
      </c>
      <c r="X25" s="133">
        <f>IFERROR(_xlfn.XLOOKUP($A25,'Raw Data'!$G:$G,'Raw Data'!AI:AI),"")</f>
        <v>29341.9</v>
      </c>
      <c r="Y25" s="133">
        <f>IFERROR(_xlfn.XLOOKUP($A25,'Raw Data'!$G:$G,'Raw Data'!AJ:AJ),"")</f>
        <v>29099.999999991269</v>
      </c>
      <c r="Z25" s="133">
        <f>IFERROR(_xlfn.XLOOKUP($A25,'Raw Data'!$G:$G,'Raw Data'!AK:AK),"")</f>
        <v>100.00000000002274</v>
      </c>
      <c r="AA25" s="133">
        <f>IFERROR(_xlfn.XLOOKUP($A25,'Raw Data'!$G:$G,'Raw Data'!AL:AL),"")</f>
        <v>28999.999999991247</v>
      </c>
      <c r="AB25" s="133">
        <f>IFERROR(_xlfn.XLOOKUP($A25,'Raw Data'!$G:$G,'Raw Data'!H:H),"")</f>
        <v>8.0208999999999993</v>
      </c>
      <c r="AC25" s="142">
        <f>IFERROR(_xlfn.XLOOKUP($D25,'Modelling New'!$D:$D,'Modelling New'!P:P),"")</f>
        <v>6.39</v>
      </c>
      <c r="AD25" s="133">
        <f>IFERROR(_xlfn.XLOOKUP($D25,'Modelling New'!$D:$D,'Modelling New'!$T:$T)*1000,"")</f>
        <v>34610.228394529106</v>
      </c>
      <c r="AE25" s="143">
        <f>IFERROR(_xlfn.XLOOKUP($D25,'Modelling New'!$D:$D,'Modelling New'!O:O),"")</f>
        <v>0.67527474134483101</v>
      </c>
      <c r="AF25" s="145">
        <f>IFERROR(_xlfn.XLOOKUP($D25,'Modelling New'!$D:$D,'Modelling New'!W:W),"")</f>
        <v>0.17979189988306124</v>
      </c>
      <c r="AG25" s="145">
        <f>IFERROR(_xlfn.XLOOKUP($D25,'Modelling New'!$D:$D,'Modelling New'!AE:AE),"")</f>
        <v>0.98040000000000005</v>
      </c>
      <c r="AH25" s="167">
        <f>IFERROR(_xlfn.XLOOKUP($D25,'Modelling New'!$D:$D,'Modelling New'!AF:AF),"")</f>
        <v>0.98</v>
      </c>
      <c r="AN25" s="144"/>
      <c r="AO25" s="141"/>
      <c r="AP25" s="141"/>
      <c r="AQ25" s="141"/>
      <c r="AR25" s="133">
        <f>'Basic Data'!$B$98/1000</f>
        <v>8.0208999999999993</v>
      </c>
    </row>
    <row r="26" spans="1:44" x14ac:dyDescent="0.3">
      <c r="A26" s="132">
        <f t="shared" si="3"/>
        <v>45769</v>
      </c>
      <c r="B26" s="133">
        <f>YEAR(Table13[[#This Row],[Date]])+IF(MONTH(Table13[[#This Row],[Date]])&gt;=4,1,0)</f>
        <v>2026</v>
      </c>
      <c r="C26" s="134">
        <f>YEAR(Table13[[#This Row],[Date]])</f>
        <v>2025</v>
      </c>
      <c r="D26" s="135">
        <f>Table13[[#This Row],[Date]]-DAY(Table13[[#This Row],[Date]])+1</f>
        <v>45748</v>
      </c>
      <c r="E26" s="134">
        <f t="shared" si="0"/>
        <v>30</v>
      </c>
      <c r="F26" s="136">
        <f>IFERROR(_xlfn.XLOOKUP($A26,'Raw Data'!$G:$G,'Raw Data'!$AM:$AM),"")</f>
        <v>12.5</v>
      </c>
      <c r="G26" s="137">
        <f>IFERROR(_xlfn.XLOOKUP($A26,'Raw Data'!$G:$G,'Raw Data'!$AB:$AB),"")</f>
        <v>0</v>
      </c>
      <c r="H26" s="137"/>
      <c r="I26" s="137">
        <f>IFERROR(_xlfn.XLOOKUP($A26,'Raw Data'!$G:$G,'Raw Data'!$AC:$AC),"")</f>
        <v>5.79</v>
      </c>
      <c r="J26" s="137"/>
      <c r="K26" s="137">
        <f>IFERROR(_xlfn.XLOOKUP($A26,'Raw Data'!$G:$G,'Raw Data'!AD:AD),"")</f>
        <v>0</v>
      </c>
      <c r="L26" s="137">
        <f>IFERROR(_xlfn.XLOOKUP($A26,'Raw Data'!$G:$G,'Raw Data'!AE:AE),"")</f>
        <v>46.12</v>
      </c>
      <c r="M26" s="137">
        <f>IFERROR(_xlfn.XLOOKUP($A26,'Raw Data'!$G:$G,'Raw Data'!AF:AF),"")</f>
        <v>0</v>
      </c>
      <c r="N26" s="137">
        <f>IFERROR(_xlfn.XLOOKUP($A26,'Raw Data'!$G:$G,'Raw Data'!AG:AG),"")</f>
        <v>0</v>
      </c>
      <c r="O26" s="138">
        <f>IFERROR(1-SUMIF('Plant BD'!$H:$H,$A26,'Plant BD'!$AE:$AE)/($AA26+SUMIF('Plant BD'!$H:$H,$A26,'Plant BD'!$AE:$AE)),"")</f>
        <v>1</v>
      </c>
      <c r="P26" s="138"/>
      <c r="Q26" s="139"/>
      <c r="R26" s="138">
        <f>IFERROR(1-SUMIF('Grid BD'!$H:$H,$A26,'Grid BD'!$AD:$AD)/($AA26+SUMIF('Grid BD'!$H:$H,$A26,'Grid BD'!$AD:$AD)),"")</f>
        <v>1</v>
      </c>
      <c r="T26" s="139"/>
      <c r="U26" s="140">
        <f t="shared" si="1"/>
        <v>0.7299582689963412</v>
      </c>
      <c r="V26" s="140"/>
      <c r="W26" s="141">
        <f t="shared" si="2"/>
        <v>0.1761024323953673</v>
      </c>
      <c r="X26" s="133">
        <f>IFERROR(_xlfn.XLOOKUP($A26,'Raw Data'!$G:$G,'Raw Data'!AI:AI),"")</f>
        <v>34331.300000000003</v>
      </c>
      <c r="Y26" s="133">
        <f>IFERROR(_xlfn.XLOOKUP($A26,'Raw Data'!$G:$G,'Raw Data'!AJ:AJ),"")</f>
        <v>34000</v>
      </c>
      <c r="Z26" s="133">
        <f>IFERROR(_xlfn.XLOOKUP($A26,'Raw Data'!$G:$G,'Raw Data'!AK:AK),"")</f>
        <v>99.999999999965894</v>
      </c>
      <c r="AA26" s="133">
        <f>IFERROR(_xlfn.XLOOKUP($A26,'Raw Data'!$G:$G,'Raw Data'!AL:AL),"")</f>
        <v>33900.000000000036</v>
      </c>
      <c r="AB26" s="133">
        <f>IFERROR(_xlfn.XLOOKUP($A26,'Raw Data'!$G:$G,'Raw Data'!H:H),"")</f>
        <v>8.0208999999999993</v>
      </c>
      <c r="AC26" s="142">
        <f>IFERROR(_xlfn.XLOOKUP($D26,'Modelling New'!$D:$D,'Modelling New'!P:P),"")</f>
        <v>6.39</v>
      </c>
      <c r="AD26" s="133">
        <f>IFERROR(_xlfn.XLOOKUP($D26,'Modelling New'!$D:$D,'Modelling New'!$T:$T)*1000,"")</f>
        <v>34610.228394529106</v>
      </c>
      <c r="AE26" s="143">
        <f>IFERROR(_xlfn.XLOOKUP($D26,'Modelling New'!$D:$D,'Modelling New'!O:O),"")</f>
        <v>0.67527474134483101</v>
      </c>
      <c r="AF26" s="145">
        <f>IFERROR(_xlfn.XLOOKUP($D26,'Modelling New'!$D:$D,'Modelling New'!W:W),"")</f>
        <v>0.17979189988306124</v>
      </c>
      <c r="AG26" s="145">
        <f>IFERROR(_xlfn.XLOOKUP($D26,'Modelling New'!$D:$D,'Modelling New'!AE:AE),"")</f>
        <v>0.98040000000000005</v>
      </c>
      <c r="AH26" s="167">
        <f>IFERROR(_xlfn.XLOOKUP($D26,'Modelling New'!$D:$D,'Modelling New'!AF:AF),"")</f>
        <v>0.98</v>
      </c>
      <c r="AN26" s="144"/>
      <c r="AO26" s="141"/>
      <c r="AP26" s="141"/>
      <c r="AQ26" s="141"/>
      <c r="AR26" s="133">
        <f>'Basic Data'!$B$98/1000</f>
        <v>8.0208999999999993</v>
      </c>
    </row>
    <row r="27" spans="1:44" x14ac:dyDescent="0.3">
      <c r="A27" s="132">
        <f t="shared" si="3"/>
        <v>45770</v>
      </c>
      <c r="B27" s="133">
        <f>YEAR(Table13[[#This Row],[Date]])+IF(MONTH(Table13[[#This Row],[Date]])&gt;=4,1,0)</f>
        <v>2026</v>
      </c>
      <c r="C27" s="134">
        <f>YEAR(Table13[[#This Row],[Date]])</f>
        <v>2025</v>
      </c>
      <c r="D27" s="135">
        <f>Table13[[#This Row],[Date]]-DAY(Table13[[#This Row],[Date]])+1</f>
        <v>45748</v>
      </c>
      <c r="E27" s="134">
        <f t="shared" si="0"/>
        <v>30</v>
      </c>
      <c r="F27" s="136">
        <f>IFERROR(_xlfn.XLOOKUP($A27,'Raw Data'!$G:$G,'Raw Data'!$AM:$AM),"")</f>
        <v>12.383333333333335</v>
      </c>
      <c r="G27" s="137">
        <f>IFERROR(_xlfn.XLOOKUP($A27,'Raw Data'!$G:$G,'Raw Data'!$AB:$AB),"")</f>
        <v>0</v>
      </c>
      <c r="H27" s="137"/>
      <c r="I27" s="137">
        <f>IFERROR(_xlfn.XLOOKUP($A27,'Raw Data'!$G:$G,'Raw Data'!$AC:$AC),"")</f>
        <v>5.92</v>
      </c>
      <c r="J27" s="137"/>
      <c r="K27" s="137">
        <f>IFERROR(_xlfn.XLOOKUP($A27,'Raw Data'!$G:$G,'Raw Data'!AD:AD),"")</f>
        <v>0</v>
      </c>
      <c r="L27" s="137">
        <f>IFERROR(_xlfn.XLOOKUP($A27,'Raw Data'!$G:$G,'Raw Data'!AE:AE),"")</f>
        <v>47.02</v>
      </c>
      <c r="M27" s="137">
        <f>IFERROR(_xlfn.XLOOKUP($A27,'Raw Data'!$G:$G,'Raw Data'!AF:AF),"")</f>
        <v>0</v>
      </c>
      <c r="N27" s="137">
        <f>IFERROR(_xlfn.XLOOKUP($A27,'Raw Data'!$G:$G,'Raw Data'!AG:AG),"")</f>
        <v>0</v>
      </c>
      <c r="O27" s="138">
        <f>IFERROR(1-SUMIF('Plant BD'!$H:$H,$A27,'Plant BD'!$AE:$AE)/($AA27+SUMIF('Plant BD'!$H:$H,$A27,'Plant BD'!$AE:$AE)),"")</f>
        <v>1</v>
      </c>
      <c r="P27" s="138"/>
      <c r="Q27" s="139"/>
      <c r="R27" s="138">
        <f>IFERROR(1-SUMIF('Grid BD'!$H:$H,$A27,'Grid BD'!$AD:$AD)/($AA27+SUMIF('Grid BD'!$H:$H,$A27,'Grid BD'!$AD:$AD)),"")</f>
        <v>1</v>
      </c>
      <c r="T27" s="139"/>
      <c r="U27" s="140">
        <f t="shared" si="1"/>
        <v>0.68655098015886784</v>
      </c>
      <c r="V27" s="140"/>
      <c r="W27" s="141">
        <f t="shared" si="2"/>
        <v>0.16934924177252067</v>
      </c>
      <c r="X27" s="133">
        <f>IFERROR(_xlfn.XLOOKUP($A27,'Raw Data'!$G:$G,'Raw Data'!AI:AI),"")</f>
        <v>33061.399999999994</v>
      </c>
      <c r="Y27" s="133">
        <f>IFERROR(_xlfn.XLOOKUP($A27,'Raw Data'!$G:$G,'Raw Data'!AJ:AJ),"")</f>
        <v>32699.99999999709</v>
      </c>
      <c r="Z27" s="133">
        <f>IFERROR(_xlfn.XLOOKUP($A27,'Raw Data'!$G:$G,'Raw Data'!AK:AK),"")</f>
        <v>100.00000000002274</v>
      </c>
      <c r="AA27" s="133">
        <f>IFERROR(_xlfn.XLOOKUP($A27,'Raw Data'!$G:$G,'Raw Data'!AL:AL),"")</f>
        <v>32599.999999997068</v>
      </c>
      <c r="AB27" s="133">
        <f>IFERROR(_xlfn.XLOOKUP($A27,'Raw Data'!$G:$G,'Raw Data'!H:H),"")</f>
        <v>8.0208999999999993</v>
      </c>
      <c r="AC27" s="142">
        <f>IFERROR(_xlfn.XLOOKUP($D27,'Modelling New'!$D:$D,'Modelling New'!P:P),"")</f>
        <v>6.39</v>
      </c>
      <c r="AD27" s="133">
        <f>IFERROR(_xlfn.XLOOKUP($D27,'Modelling New'!$D:$D,'Modelling New'!$T:$T)*1000,"")</f>
        <v>34610.228394529106</v>
      </c>
      <c r="AE27" s="143">
        <f>IFERROR(_xlfn.XLOOKUP($D27,'Modelling New'!$D:$D,'Modelling New'!O:O),"")</f>
        <v>0.67527474134483101</v>
      </c>
      <c r="AF27" s="145">
        <f>IFERROR(_xlfn.XLOOKUP($D27,'Modelling New'!$D:$D,'Modelling New'!W:W),"")</f>
        <v>0.17979189988306124</v>
      </c>
      <c r="AG27" s="145">
        <f>IFERROR(_xlfn.XLOOKUP($D27,'Modelling New'!$D:$D,'Modelling New'!AE:AE),"")</f>
        <v>0.98040000000000005</v>
      </c>
      <c r="AH27" s="167">
        <f>IFERROR(_xlfn.XLOOKUP($D27,'Modelling New'!$D:$D,'Modelling New'!AF:AF),"")</f>
        <v>0.98</v>
      </c>
      <c r="AN27" s="144"/>
      <c r="AO27" s="141"/>
      <c r="AP27" s="141"/>
      <c r="AQ27" s="141"/>
      <c r="AR27" s="133">
        <f>'Basic Data'!$B$98/1000</f>
        <v>8.0208999999999993</v>
      </c>
    </row>
    <row r="28" spans="1:44" x14ac:dyDescent="0.3">
      <c r="A28" s="132">
        <f t="shared" si="3"/>
        <v>45771</v>
      </c>
      <c r="B28" s="133">
        <f>YEAR(Table13[[#This Row],[Date]])+IF(MONTH(Table13[[#This Row],[Date]])&gt;=4,1,0)</f>
        <v>2026</v>
      </c>
      <c r="C28" s="134">
        <f>YEAR(Table13[[#This Row],[Date]])</f>
        <v>2025</v>
      </c>
      <c r="D28" s="135">
        <f>Table13[[#This Row],[Date]]-DAY(Table13[[#This Row],[Date]])+1</f>
        <v>45748</v>
      </c>
      <c r="E28" s="134">
        <f t="shared" si="0"/>
        <v>30</v>
      </c>
      <c r="F28" s="136">
        <f>IFERROR(_xlfn.XLOOKUP($A28,'Raw Data'!$G:$G,'Raw Data'!$AM:$AM),"")</f>
        <v>12.233333333333333</v>
      </c>
      <c r="G28" s="137">
        <f>IFERROR(_xlfn.XLOOKUP($A28,'Raw Data'!$G:$G,'Raw Data'!$AB:$AB),"")</f>
        <v>0</v>
      </c>
      <c r="H28" s="137"/>
      <c r="I28" s="137">
        <f>IFERROR(_xlfn.XLOOKUP($A28,'Raw Data'!$G:$G,'Raw Data'!$AC:$AC),"")</f>
        <v>5.6</v>
      </c>
      <c r="J28" s="137"/>
      <c r="K28" s="137">
        <f>IFERROR(_xlfn.XLOOKUP($A28,'Raw Data'!$G:$G,'Raw Data'!AD:AD),"")</f>
        <v>0</v>
      </c>
      <c r="L28" s="137">
        <f>IFERROR(_xlfn.XLOOKUP($A28,'Raw Data'!$G:$G,'Raw Data'!AE:AE),"")</f>
        <v>46.38</v>
      </c>
      <c r="M28" s="137">
        <f>IFERROR(_xlfn.XLOOKUP($A28,'Raw Data'!$G:$G,'Raw Data'!AF:AF),"")</f>
        <v>0</v>
      </c>
      <c r="N28" s="137">
        <f>IFERROR(_xlfn.XLOOKUP($A28,'Raw Data'!$G:$G,'Raw Data'!AG:AG),"")</f>
        <v>0</v>
      </c>
      <c r="O28" s="138">
        <f>IFERROR(1-SUMIF('Plant BD'!$H:$H,$A28,'Plant BD'!$AE:$AE)/($AA28+SUMIF('Plant BD'!$H:$H,$A28,'Plant BD'!$AE:$AE)),"")</f>
        <v>1</v>
      </c>
      <c r="P28" s="138"/>
      <c r="Q28" s="139"/>
      <c r="R28" s="138">
        <f>IFERROR(1-SUMIF('Grid BD'!$H:$H,$A28,'Grid BD'!$AD:$AD)/($AA28+SUMIF('Grid BD'!$H:$H,$A28,'Grid BD'!$AD:$AD)),"")</f>
        <v>0.97772101564103819</v>
      </c>
      <c r="T28" s="139"/>
      <c r="U28" s="140">
        <f t="shared" si="1"/>
        <v>0.78366695579234413</v>
      </c>
      <c r="V28" s="140"/>
      <c r="W28" s="141">
        <f t="shared" si="2"/>
        <v>0.18285562301821359</v>
      </c>
      <c r="X28" s="133">
        <f>IFERROR(_xlfn.XLOOKUP($A28,'Raw Data'!$G:$G,'Raw Data'!AI:AI),"")</f>
        <v>35600.400000000001</v>
      </c>
      <c r="Y28" s="133">
        <f>IFERROR(_xlfn.XLOOKUP($A28,'Raw Data'!$G:$G,'Raw Data'!AJ:AJ),"")</f>
        <v>35300.00000000291</v>
      </c>
      <c r="Z28" s="133">
        <f>IFERROR(_xlfn.XLOOKUP($A28,'Raw Data'!$G:$G,'Raw Data'!AK:AK),"")</f>
        <v>99.999999999965894</v>
      </c>
      <c r="AA28" s="133">
        <f>IFERROR(_xlfn.XLOOKUP($A28,'Raw Data'!$G:$G,'Raw Data'!AL:AL),"")</f>
        <v>35200.000000002947</v>
      </c>
      <c r="AB28" s="133">
        <f>IFERROR(_xlfn.XLOOKUP($A28,'Raw Data'!$G:$G,'Raw Data'!H:H),"")</f>
        <v>8.0208999999999993</v>
      </c>
      <c r="AC28" s="142">
        <f>IFERROR(_xlfn.XLOOKUP($D28,'Modelling New'!$D:$D,'Modelling New'!P:P),"")</f>
        <v>6.39</v>
      </c>
      <c r="AD28" s="133">
        <f>IFERROR(_xlfn.XLOOKUP($D28,'Modelling New'!$D:$D,'Modelling New'!$T:$T)*1000,"")</f>
        <v>34610.228394529106</v>
      </c>
      <c r="AE28" s="143">
        <f>IFERROR(_xlfn.XLOOKUP($D28,'Modelling New'!$D:$D,'Modelling New'!O:O),"")</f>
        <v>0.67527474134483101</v>
      </c>
      <c r="AF28" s="145">
        <f>IFERROR(_xlfn.XLOOKUP($D28,'Modelling New'!$D:$D,'Modelling New'!W:W),"")</f>
        <v>0.17979189988306124</v>
      </c>
      <c r="AG28" s="145">
        <f>IFERROR(_xlfn.XLOOKUP($D28,'Modelling New'!$D:$D,'Modelling New'!AE:AE),"")</f>
        <v>0.98040000000000005</v>
      </c>
      <c r="AH28" s="167">
        <f>IFERROR(_xlfn.XLOOKUP($D28,'Modelling New'!$D:$D,'Modelling New'!AF:AF),"")</f>
        <v>0.98</v>
      </c>
      <c r="AN28" s="144"/>
      <c r="AO28" s="141"/>
      <c r="AP28" s="141"/>
      <c r="AQ28" s="141"/>
      <c r="AR28" s="133">
        <f>'Basic Data'!$B$98/1000</f>
        <v>8.0208999999999993</v>
      </c>
    </row>
    <row r="29" spans="1:44" x14ac:dyDescent="0.3">
      <c r="A29" s="132">
        <f t="shared" si="3"/>
        <v>45772</v>
      </c>
      <c r="B29" s="133">
        <f>YEAR(Table13[[#This Row],[Date]])+IF(MONTH(Table13[[#This Row],[Date]])&gt;=4,1,0)</f>
        <v>2026</v>
      </c>
      <c r="C29" s="134">
        <f>YEAR(Table13[[#This Row],[Date]])</f>
        <v>2025</v>
      </c>
      <c r="D29" s="135">
        <f>Table13[[#This Row],[Date]]-DAY(Table13[[#This Row],[Date]])+1</f>
        <v>45748</v>
      </c>
      <c r="E29" s="134">
        <f t="shared" si="0"/>
        <v>30</v>
      </c>
      <c r="F29" s="136">
        <f>IFERROR(_xlfn.XLOOKUP($A29,'Raw Data'!$G:$G,'Raw Data'!$AM:$AM),"")</f>
        <v>12.083333333333332</v>
      </c>
      <c r="G29" s="137">
        <f>IFERROR(_xlfn.XLOOKUP($A29,'Raw Data'!$G:$G,'Raw Data'!$AB:$AB),"")</f>
        <v>0</v>
      </c>
      <c r="H29" s="137"/>
      <c r="I29" s="137">
        <f>IFERROR(_xlfn.XLOOKUP($A29,'Raw Data'!$G:$G,'Raw Data'!$AC:$AC),"")</f>
        <v>5.72</v>
      </c>
      <c r="J29" s="137"/>
      <c r="K29" s="137">
        <f>IFERROR(_xlfn.XLOOKUP($A29,'Raw Data'!$G:$G,'Raw Data'!AD:AD),"")</f>
        <v>0</v>
      </c>
      <c r="L29" s="137">
        <f>IFERROR(_xlfn.XLOOKUP($A29,'Raw Data'!$G:$G,'Raw Data'!AE:AE),"")</f>
        <v>46.34</v>
      </c>
      <c r="M29" s="137">
        <f>IFERROR(_xlfn.XLOOKUP($A29,'Raw Data'!$G:$G,'Raw Data'!AF:AF),"")</f>
        <v>0</v>
      </c>
      <c r="N29" s="137">
        <f>IFERROR(_xlfn.XLOOKUP($A29,'Raw Data'!$G:$G,'Raw Data'!AG:AG),"")</f>
        <v>0</v>
      </c>
      <c r="O29" s="138">
        <f>IFERROR(1-SUMIF('Plant BD'!$H:$H,$A29,'Plant BD'!$AE:$AE)/($AA29+SUMIF('Plant BD'!$H:$H,$A29,'Plant BD'!$AE:$AE)),"")</f>
        <v>1</v>
      </c>
      <c r="P29" s="138"/>
      <c r="Q29" s="139"/>
      <c r="R29" s="138">
        <f>IFERROR(1-SUMIF('Grid BD'!$H:$H,$A29,'Grid BD'!$AD:$AD)/($AA29+SUMIF('Grid BD'!$H:$H,$A29,'Grid BD'!$AD:$AD)),"")</f>
        <v>0.94500469178433966</v>
      </c>
      <c r="T29" s="139"/>
      <c r="U29" s="140">
        <f t="shared" si="1"/>
        <v>0.69093967534298495</v>
      </c>
      <c r="V29" s="140"/>
      <c r="W29" s="141">
        <f t="shared" si="2"/>
        <v>0.16467395595674472</v>
      </c>
      <c r="X29" s="133">
        <f>IFERROR(_xlfn.XLOOKUP($A29,'Raw Data'!$G:$G,'Raw Data'!AI:AI),"")</f>
        <v>32081</v>
      </c>
      <c r="Y29" s="133">
        <f>IFERROR(_xlfn.XLOOKUP($A29,'Raw Data'!$G:$G,'Raw Data'!AJ:AJ),"")</f>
        <v>31800.00000000291</v>
      </c>
      <c r="Z29" s="133">
        <f>IFERROR(_xlfn.XLOOKUP($A29,'Raw Data'!$G:$G,'Raw Data'!AK:AK),"")</f>
        <v>100.00000000002274</v>
      </c>
      <c r="AA29" s="133">
        <f>IFERROR(_xlfn.XLOOKUP($A29,'Raw Data'!$G:$G,'Raw Data'!AL:AL),"")</f>
        <v>31700.000000002889</v>
      </c>
      <c r="AB29" s="133">
        <f>IFERROR(_xlfn.XLOOKUP($A29,'Raw Data'!$G:$G,'Raw Data'!H:H),"")</f>
        <v>8.0208999999999993</v>
      </c>
      <c r="AC29" s="142">
        <f>IFERROR(_xlfn.XLOOKUP($D29,'Modelling New'!$D:$D,'Modelling New'!P:P),"")</f>
        <v>6.39</v>
      </c>
      <c r="AD29" s="133">
        <f>IFERROR(_xlfn.XLOOKUP($D29,'Modelling New'!$D:$D,'Modelling New'!$T:$T)*1000,"")</f>
        <v>34610.228394529106</v>
      </c>
      <c r="AE29" s="143">
        <f>IFERROR(_xlfn.XLOOKUP($D29,'Modelling New'!$D:$D,'Modelling New'!O:O),"")</f>
        <v>0.67527474134483101</v>
      </c>
      <c r="AF29" s="145">
        <f>IFERROR(_xlfn.XLOOKUP($D29,'Modelling New'!$D:$D,'Modelling New'!W:W),"")</f>
        <v>0.17979189988306124</v>
      </c>
      <c r="AG29" s="145">
        <f>IFERROR(_xlfn.XLOOKUP($D29,'Modelling New'!$D:$D,'Modelling New'!AE:AE),"")</f>
        <v>0.98040000000000005</v>
      </c>
      <c r="AH29" s="167">
        <f>IFERROR(_xlfn.XLOOKUP($D29,'Modelling New'!$D:$D,'Modelling New'!AF:AF),"")</f>
        <v>0.98</v>
      </c>
      <c r="AN29" s="144"/>
      <c r="AO29" s="141"/>
      <c r="AP29" s="141"/>
      <c r="AQ29" s="141"/>
      <c r="AR29" s="133">
        <f>'Basic Data'!$B$98/1000</f>
        <v>8.0208999999999993</v>
      </c>
    </row>
    <row r="30" spans="1:44" x14ac:dyDescent="0.3">
      <c r="A30" s="132">
        <f t="shared" si="3"/>
        <v>45773</v>
      </c>
      <c r="B30" s="133">
        <f>YEAR(Table13[[#This Row],[Date]])+IF(MONTH(Table13[[#This Row],[Date]])&gt;=4,1,0)</f>
        <v>2026</v>
      </c>
      <c r="C30" s="134">
        <f>YEAR(Table13[[#This Row],[Date]])</f>
        <v>2025</v>
      </c>
      <c r="D30" s="135">
        <f>Table13[[#This Row],[Date]]-DAY(Table13[[#This Row],[Date]])+1</f>
        <v>45748</v>
      </c>
      <c r="E30" s="134">
        <f t="shared" si="0"/>
        <v>30</v>
      </c>
      <c r="F30" s="136">
        <f>IFERROR(_xlfn.XLOOKUP($A30,'Raw Data'!$G:$G,'Raw Data'!$AM:$AM),"")</f>
        <v>12.416666666666668</v>
      </c>
      <c r="G30" s="137">
        <f>IFERROR(_xlfn.XLOOKUP($A30,'Raw Data'!$G:$G,'Raw Data'!$AB:$AB),"")</f>
        <v>0</v>
      </c>
      <c r="H30" s="137"/>
      <c r="I30" s="137">
        <f>IFERROR(_xlfn.XLOOKUP($A30,'Raw Data'!$G:$G,'Raw Data'!$AC:$AC),"")</f>
        <v>5.2</v>
      </c>
      <c r="J30" s="137"/>
      <c r="K30" s="137">
        <f>IFERROR(_xlfn.XLOOKUP($A30,'Raw Data'!$G:$G,'Raw Data'!AD:AD),"")</f>
        <v>0</v>
      </c>
      <c r="L30" s="137">
        <f>IFERROR(_xlfn.XLOOKUP($A30,'Raw Data'!$G:$G,'Raw Data'!AE:AE),"")</f>
        <v>45.56</v>
      </c>
      <c r="M30" s="137">
        <f>IFERROR(_xlfn.XLOOKUP($A30,'Raw Data'!$G:$G,'Raw Data'!AF:AF),"")</f>
        <v>0</v>
      </c>
      <c r="N30" s="137">
        <f>IFERROR(_xlfn.XLOOKUP($A30,'Raw Data'!$G:$G,'Raw Data'!AG:AG),"")</f>
        <v>0</v>
      </c>
      <c r="O30" s="138">
        <f>IFERROR(1-SUMIF('Plant BD'!$H:$H,$A30,'Plant BD'!$AE:$AE)/($AA30+SUMIF('Plant BD'!$H:$H,$A30,'Plant BD'!$AE:$AE)),"")</f>
        <v>1</v>
      </c>
      <c r="P30" s="138"/>
      <c r="Q30" s="139"/>
      <c r="R30" s="138">
        <f>IFERROR(1-SUMIF('Grid BD'!$H:$H,$A30,'Grid BD'!$AD:$AD)/($AA30+SUMIF('Grid BD'!$H:$H,$A30,'Grid BD'!$AD:$AD)),"")</f>
        <v>0.99136860951956929</v>
      </c>
      <c r="T30" s="139"/>
      <c r="U30" s="140">
        <f t="shared" si="1"/>
        <v>0.88350914006375103</v>
      </c>
      <c r="V30" s="140"/>
      <c r="W30" s="141">
        <f t="shared" si="2"/>
        <v>0.191426980347146</v>
      </c>
      <c r="X30" s="133">
        <f>IFERROR(_xlfn.XLOOKUP($A30,'Raw Data'!$G:$G,'Raw Data'!AI:AI),"")</f>
        <v>37233.199999999997</v>
      </c>
      <c r="Y30" s="133">
        <f>IFERROR(_xlfn.XLOOKUP($A30,'Raw Data'!$G:$G,'Raw Data'!AJ:AJ),"")</f>
        <v>36899.999999994179</v>
      </c>
      <c r="Z30" s="133">
        <f>IFERROR(_xlfn.XLOOKUP($A30,'Raw Data'!$G:$G,'Raw Data'!AK:AK),"")</f>
        <v>50.000000000011369</v>
      </c>
      <c r="AA30" s="133">
        <f>IFERROR(_xlfn.XLOOKUP($A30,'Raw Data'!$G:$G,'Raw Data'!AL:AL),"")</f>
        <v>36849.999999994165</v>
      </c>
      <c r="AB30" s="133">
        <f>IFERROR(_xlfn.XLOOKUP($A30,'Raw Data'!$G:$G,'Raw Data'!H:H),"")</f>
        <v>8.0208999999999993</v>
      </c>
      <c r="AC30" s="142">
        <f>IFERROR(_xlfn.XLOOKUP($D30,'Modelling New'!$D:$D,'Modelling New'!P:P),"")</f>
        <v>6.39</v>
      </c>
      <c r="AD30" s="133">
        <f>IFERROR(_xlfn.XLOOKUP($D30,'Modelling New'!$D:$D,'Modelling New'!$T:$T)*1000,"")</f>
        <v>34610.228394529106</v>
      </c>
      <c r="AE30" s="143">
        <f>IFERROR(_xlfn.XLOOKUP($D30,'Modelling New'!$D:$D,'Modelling New'!O:O),"")</f>
        <v>0.67527474134483101</v>
      </c>
      <c r="AF30" s="145">
        <f>IFERROR(_xlfn.XLOOKUP($D30,'Modelling New'!$D:$D,'Modelling New'!W:W),"")</f>
        <v>0.17979189988306124</v>
      </c>
      <c r="AG30" s="145">
        <f>IFERROR(_xlfn.XLOOKUP($D30,'Modelling New'!$D:$D,'Modelling New'!AE:AE),"")</f>
        <v>0.98040000000000005</v>
      </c>
      <c r="AH30" s="167">
        <f>IFERROR(_xlfn.XLOOKUP($D30,'Modelling New'!$D:$D,'Modelling New'!AF:AF),"")</f>
        <v>0.98</v>
      </c>
      <c r="AN30" s="144"/>
      <c r="AO30" s="141"/>
      <c r="AP30" s="141"/>
      <c r="AQ30" s="141"/>
      <c r="AR30" s="133">
        <f>'Basic Data'!$B$98/1000</f>
        <v>8.0208999999999993</v>
      </c>
    </row>
    <row r="31" spans="1:44" x14ac:dyDescent="0.3">
      <c r="A31" s="132">
        <f t="shared" si="3"/>
        <v>45774</v>
      </c>
      <c r="B31" s="133">
        <f>YEAR(Table13[[#This Row],[Date]])+IF(MONTH(Table13[[#This Row],[Date]])&gt;=4,1,0)</f>
        <v>2026</v>
      </c>
      <c r="C31" s="134">
        <f>YEAR(Table13[[#This Row],[Date]])</f>
        <v>2025</v>
      </c>
      <c r="D31" s="135">
        <f>Table13[[#This Row],[Date]]-DAY(Table13[[#This Row],[Date]])+1</f>
        <v>45748</v>
      </c>
      <c r="E31" s="134">
        <f t="shared" si="0"/>
        <v>30</v>
      </c>
      <c r="F31" s="136">
        <f>IFERROR(_xlfn.XLOOKUP($A31,'Raw Data'!$G:$G,'Raw Data'!$AM:$AM),"")</f>
        <v>12.55</v>
      </c>
      <c r="G31" s="137">
        <f>IFERROR(_xlfn.XLOOKUP($A31,'Raw Data'!$G:$G,'Raw Data'!$AB:$AB),"")</f>
        <v>0</v>
      </c>
      <c r="H31" s="137"/>
      <c r="I31" s="137">
        <f>IFERROR(_xlfn.XLOOKUP($A31,'Raw Data'!$G:$G,'Raw Data'!$AC:$AC),"")</f>
        <v>4.6900000000000004</v>
      </c>
      <c r="J31" s="137"/>
      <c r="K31" s="137">
        <f>IFERROR(_xlfn.XLOOKUP($A31,'Raw Data'!$G:$G,'Raw Data'!AD:AD),"")</f>
        <v>0</v>
      </c>
      <c r="L31" s="137">
        <f>IFERROR(_xlfn.XLOOKUP($A31,'Raw Data'!$G:$G,'Raw Data'!AE:AE),"")</f>
        <v>41.92</v>
      </c>
      <c r="M31" s="137">
        <f>IFERROR(_xlfn.XLOOKUP($A31,'Raw Data'!$G:$G,'Raw Data'!AF:AF),"")</f>
        <v>0</v>
      </c>
      <c r="N31" s="137">
        <f>IFERROR(_xlfn.XLOOKUP($A31,'Raw Data'!$G:$G,'Raw Data'!AG:AG),"")</f>
        <v>0</v>
      </c>
      <c r="O31" s="138">
        <f>IFERROR(1-SUMIF('Plant BD'!$H:$H,$A31,'Plant BD'!$AE:$AE)/($AA31+SUMIF('Plant BD'!$H:$H,$A31,'Plant BD'!$AE:$AE)),"")</f>
        <v>1</v>
      </c>
      <c r="P31" s="138"/>
      <c r="Q31" s="139"/>
      <c r="R31" s="138">
        <f>IFERROR(1-SUMIF('Grid BD'!$H:$H,$A31,'Grid BD'!$AD:$AD)/($AA31+SUMIF('Grid BD'!$H:$H,$A31,'Grid BD'!$AD:$AD)),"")</f>
        <v>1</v>
      </c>
      <c r="T31" s="139"/>
      <c r="U31" s="140">
        <f t="shared" si="1"/>
        <v>0.72571600722985308</v>
      </c>
      <c r="V31" s="140"/>
      <c r="W31" s="141">
        <f t="shared" si="2"/>
        <v>0.14181700307950046</v>
      </c>
      <c r="X31" s="133">
        <f>IFERROR(_xlfn.XLOOKUP($A31,'Raw Data'!$G:$G,'Raw Data'!AI:AI),"")</f>
        <v>27668.3</v>
      </c>
      <c r="Y31" s="133">
        <f>IFERROR(_xlfn.XLOOKUP($A31,'Raw Data'!$G:$G,'Raw Data'!AJ:AJ),"")</f>
        <v>27400.000000008731</v>
      </c>
      <c r="Z31" s="133">
        <f>IFERROR(_xlfn.XLOOKUP($A31,'Raw Data'!$G:$G,'Raw Data'!AK:AK),"")</f>
        <v>99.999999999965894</v>
      </c>
      <c r="AA31" s="133">
        <f>IFERROR(_xlfn.XLOOKUP($A31,'Raw Data'!$G:$G,'Raw Data'!AL:AL),"")</f>
        <v>27300.000000008764</v>
      </c>
      <c r="AB31" s="133">
        <f>IFERROR(_xlfn.XLOOKUP($A31,'Raw Data'!$G:$G,'Raw Data'!H:H),"")</f>
        <v>8.0208999999999993</v>
      </c>
      <c r="AC31" s="142">
        <f>IFERROR(_xlfn.XLOOKUP($D31,'Modelling New'!$D:$D,'Modelling New'!P:P),"")</f>
        <v>6.39</v>
      </c>
      <c r="AD31" s="133">
        <f>IFERROR(_xlfn.XLOOKUP($D31,'Modelling New'!$D:$D,'Modelling New'!$T:$T)*1000,"")</f>
        <v>34610.228394529106</v>
      </c>
      <c r="AE31" s="143">
        <f>IFERROR(_xlfn.XLOOKUP($D31,'Modelling New'!$D:$D,'Modelling New'!O:O),"")</f>
        <v>0.67527474134483101</v>
      </c>
      <c r="AF31" s="145">
        <f>IFERROR(_xlfn.XLOOKUP($D31,'Modelling New'!$D:$D,'Modelling New'!W:W),"")</f>
        <v>0.17979189988306124</v>
      </c>
      <c r="AG31" s="145">
        <f>IFERROR(_xlfn.XLOOKUP($D31,'Modelling New'!$D:$D,'Modelling New'!AE:AE),"")</f>
        <v>0.98040000000000005</v>
      </c>
      <c r="AH31" s="167">
        <f>IFERROR(_xlfn.XLOOKUP($D31,'Modelling New'!$D:$D,'Modelling New'!AF:AF),"")</f>
        <v>0.98</v>
      </c>
      <c r="AN31" s="144"/>
      <c r="AO31" s="141"/>
      <c r="AP31" s="141"/>
      <c r="AQ31" s="141"/>
      <c r="AR31" s="133">
        <f>'Basic Data'!$B$98/1000</f>
        <v>8.0208999999999993</v>
      </c>
    </row>
    <row r="32" spans="1:44" x14ac:dyDescent="0.3">
      <c r="A32" s="132">
        <f t="shared" si="3"/>
        <v>45775</v>
      </c>
      <c r="B32" s="133">
        <f>YEAR(Table13[[#This Row],[Date]])+IF(MONTH(Table13[[#This Row],[Date]])&gt;=4,1,0)</f>
        <v>2026</v>
      </c>
      <c r="C32" s="134">
        <f>YEAR(Table13[[#This Row],[Date]])</f>
        <v>2025</v>
      </c>
      <c r="D32" s="135">
        <f>Table13[[#This Row],[Date]]-DAY(Table13[[#This Row],[Date]])+1</f>
        <v>45748</v>
      </c>
      <c r="E32" s="134">
        <f t="shared" si="0"/>
        <v>30</v>
      </c>
      <c r="F32" s="136">
        <f>IFERROR(_xlfn.XLOOKUP($A32,'Raw Data'!$G:$G,'Raw Data'!$AM:$AM),"")</f>
        <v>12.633333333333333</v>
      </c>
      <c r="G32" s="137">
        <f>IFERROR(_xlfn.XLOOKUP($A32,'Raw Data'!$G:$G,'Raw Data'!$AB:$AB),"")</f>
        <v>0</v>
      </c>
      <c r="H32" s="137"/>
      <c r="I32" s="137">
        <f>IFERROR(_xlfn.XLOOKUP($A32,'Raw Data'!$G:$G,'Raw Data'!$AC:$AC),"")</f>
        <v>6.33</v>
      </c>
      <c r="J32" s="137"/>
      <c r="K32" s="137">
        <f>IFERROR(_xlfn.XLOOKUP($A32,'Raw Data'!$G:$G,'Raw Data'!AD:AD),"")</f>
        <v>0</v>
      </c>
      <c r="L32" s="137">
        <f>IFERROR(_xlfn.XLOOKUP($A32,'Raw Data'!$G:$G,'Raw Data'!AE:AE),"")</f>
        <v>44.84</v>
      </c>
      <c r="M32" s="137">
        <f>IFERROR(_xlfn.XLOOKUP($A32,'Raw Data'!$G:$G,'Raw Data'!AF:AF),"")</f>
        <v>0</v>
      </c>
      <c r="N32" s="137">
        <f>IFERROR(_xlfn.XLOOKUP($A32,'Raw Data'!$G:$G,'Raw Data'!AG:AG),"")</f>
        <v>0</v>
      </c>
      <c r="O32" s="138">
        <f>IFERROR(1-SUMIF('Plant BD'!$H:$H,$A32,'Plant BD'!$AE:$AE)/($AA32+SUMIF('Plant BD'!$H:$H,$A32,'Plant BD'!$AE:$AE)),"")</f>
        <v>1</v>
      </c>
      <c r="P32" s="138"/>
      <c r="Q32" s="139"/>
      <c r="R32" s="138">
        <f>IFERROR(1-SUMIF('Grid BD'!$H:$H,$A32,'Grid BD'!$AD:$AD)/($AA32+SUMIF('Grid BD'!$H:$H,$A32,'Grid BD'!$AD:$AD)),"")</f>
        <v>1</v>
      </c>
      <c r="T32" s="139"/>
      <c r="U32" s="140">
        <f t="shared" si="1"/>
        <v>0.79373994050326624</v>
      </c>
      <c r="V32" s="140"/>
      <c r="W32" s="141">
        <f t="shared" si="2"/>
        <v>0.20934890930773645</v>
      </c>
      <c r="X32" s="133">
        <f>IFERROR(_xlfn.XLOOKUP($A32,'Raw Data'!$G:$G,'Raw Data'!AI:AI),"")</f>
        <v>40735.300000000003</v>
      </c>
      <c r="Y32" s="133">
        <f>IFERROR(_xlfn.XLOOKUP($A32,'Raw Data'!$G:$G,'Raw Data'!AJ:AJ),"")</f>
        <v>40399.999999994179</v>
      </c>
      <c r="Z32" s="133">
        <f>IFERROR(_xlfn.XLOOKUP($A32,'Raw Data'!$G:$G,'Raw Data'!AK:AK),"")</f>
        <v>100.00000000002274</v>
      </c>
      <c r="AA32" s="133">
        <f>IFERROR(_xlfn.XLOOKUP($A32,'Raw Data'!$G:$G,'Raw Data'!AL:AL),"")</f>
        <v>40299.999999994157</v>
      </c>
      <c r="AB32" s="133">
        <f>IFERROR(_xlfn.XLOOKUP($A32,'Raw Data'!$G:$G,'Raw Data'!H:H),"")</f>
        <v>8.0208999999999993</v>
      </c>
      <c r="AC32" s="142">
        <f>IFERROR(_xlfn.XLOOKUP($D32,'Modelling New'!$D:$D,'Modelling New'!P:P),"")</f>
        <v>6.39</v>
      </c>
      <c r="AD32" s="133">
        <f>IFERROR(_xlfn.XLOOKUP($D32,'Modelling New'!$D:$D,'Modelling New'!$T:$T)*1000,"")</f>
        <v>34610.228394529106</v>
      </c>
      <c r="AE32" s="143">
        <f>IFERROR(_xlfn.XLOOKUP($D32,'Modelling New'!$D:$D,'Modelling New'!O:O),"")</f>
        <v>0.67527474134483101</v>
      </c>
      <c r="AF32" s="145">
        <f>IFERROR(_xlfn.XLOOKUP($D32,'Modelling New'!$D:$D,'Modelling New'!W:W),"")</f>
        <v>0.17979189988306124</v>
      </c>
      <c r="AG32" s="145">
        <f>IFERROR(_xlfn.XLOOKUP($D32,'Modelling New'!$D:$D,'Modelling New'!AE:AE),"")</f>
        <v>0.98040000000000005</v>
      </c>
      <c r="AH32" s="167">
        <f>IFERROR(_xlfn.XLOOKUP($D32,'Modelling New'!$D:$D,'Modelling New'!AF:AF),"")</f>
        <v>0.98</v>
      </c>
      <c r="AN32" s="144"/>
      <c r="AO32" s="141"/>
      <c r="AP32" s="141"/>
      <c r="AQ32" s="141"/>
      <c r="AR32" s="133">
        <f>'Basic Data'!$B$98/1000</f>
        <v>8.0208999999999993</v>
      </c>
    </row>
    <row r="33" spans="1:44" x14ac:dyDescent="0.3">
      <c r="A33" s="132">
        <f t="shared" si="3"/>
        <v>45776</v>
      </c>
      <c r="B33" s="133">
        <f>YEAR(Table13[[#This Row],[Date]])+IF(MONTH(Table13[[#This Row],[Date]])&gt;=4,1,0)</f>
        <v>2026</v>
      </c>
      <c r="C33" s="134">
        <f>YEAR(Table13[[#This Row],[Date]])</f>
        <v>2025</v>
      </c>
      <c r="D33" s="135">
        <f>Table13[[#This Row],[Date]]-DAY(Table13[[#This Row],[Date]])+1</f>
        <v>45748</v>
      </c>
      <c r="E33" s="134">
        <f t="shared" si="0"/>
        <v>30</v>
      </c>
      <c r="F33" s="136">
        <f>IFERROR(_xlfn.XLOOKUP($A33,'Raw Data'!$G:$G,'Raw Data'!$AM:$AM),"")</f>
        <v>12.600000000000001</v>
      </c>
      <c r="G33" s="137">
        <f>IFERROR(_xlfn.XLOOKUP($A33,'Raw Data'!$G:$G,'Raw Data'!$AB:$AB),"")</f>
        <v>0</v>
      </c>
      <c r="H33" s="137"/>
      <c r="I33" s="137">
        <f>IFERROR(_xlfn.XLOOKUP($A33,'Raw Data'!$G:$G,'Raw Data'!$AC:$AC),"")</f>
        <v>5.62</v>
      </c>
      <c r="J33" s="137"/>
      <c r="K33" s="137">
        <f>IFERROR(_xlfn.XLOOKUP($A33,'Raw Data'!$G:$G,'Raw Data'!AD:AD),"")</f>
        <v>0</v>
      </c>
      <c r="L33" s="137">
        <f>IFERROR(_xlfn.XLOOKUP($A33,'Raw Data'!$G:$G,'Raw Data'!AE:AE),"")</f>
        <v>44.35</v>
      </c>
      <c r="M33" s="137">
        <f>IFERROR(_xlfn.XLOOKUP($A33,'Raw Data'!$G:$G,'Raw Data'!AF:AF),"")</f>
        <v>0</v>
      </c>
      <c r="N33" s="137">
        <f>IFERROR(_xlfn.XLOOKUP($A33,'Raw Data'!$G:$G,'Raw Data'!AG:AG),"")</f>
        <v>0</v>
      </c>
      <c r="O33" s="138">
        <f>IFERROR(1-SUMIF('Plant BD'!$H:$H,$A33,'Plant BD'!$AE:$AE)/($AA33+SUMIF('Plant BD'!$H:$H,$A33,'Plant BD'!$AE:$AE)),"")</f>
        <v>0.99791127876342944</v>
      </c>
      <c r="P33" s="138"/>
      <c r="Q33" s="139"/>
      <c r="R33" s="138">
        <f>IFERROR(1-SUMIF('Grid BD'!$H:$H,$A33,'Grid BD'!$AD:$AD)/($AA33+SUMIF('Grid BD'!$H:$H,$A33,'Grid BD'!$AD:$AD)),"")</f>
        <v>1</v>
      </c>
      <c r="T33" s="139"/>
      <c r="U33" s="140">
        <f t="shared" si="1"/>
        <v>0.75314805905876259</v>
      </c>
      <c r="V33" s="140"/>
      <c r="W33" s="141">
        <f t="shared" si="2"/>
        <v>0.17636217049626024</v>
      </c>
      <c r="X33" s="133">
        <f>IFERROR(_xlfn.XLOOKUP($A33,'Raw Data'!$G:$G,'Raw Data'!AI:AI),"")</f>
        <v>34322.399999999994</v>
      </c>
      <c r="Y33" s="133">
        <f>IFERROR(_xlfn.XLOOKUP($A33,'Raw Data'!$G:$G,'Raw Data'!AJ:AJ),"")</f>
        <v>34050.00000000291</v>
      </c>
      <c r="Z33" s="133">
        <f>IFERROR(_xlfn.XLOOKUP($A33,'Raw Data'!$G:$G,'Raw Data'!AK:AK),"")</f>
        <v>100.00000000002274</v>
      </c>
      <c r="AA33" s="133">
        <f>IFERROR(_xlfn.XLOOKUP($A33,'Raw Data'!$G:$G,'Raw Data'!AL:AL),"")</f>
        <v>33950.000000002889</v>
      </c>
      <c r="AB33" s="133">
        <f>IFERROR(_xlfn.XLOOKUP($A33,'Raw Data'!$G:$G,'Raw Data'!H:H),"")</f>
        <v>8.0208999999999993</v>
      </c>
      <c r="AC33" s="142">
        <f>IFERROR(_xlfn.XLOOKUP($D33,'Modelling New'!$D:$D,'Modelling New'!P:P),"")</f>
        <v>6.39</v>
      </c>
      <c r="AD33" s="133">
        <f>IFERROR(_xlfn.XLOOKUP($D33,'Modelling New'!$D:$D,'Modelling New'!$T:$T)*1000,"")</f>
        <v>34610.228394529106</v>
      </c>
      <c r="AE33" s="143">
        <f>IFERROR(_xlfn.XLOOKUP($D33,'Modelling New'!$D:$D,'Modelling New'!O:O),"")</f>
        <v>0.67527474134483101</v>
      </c>
      <c r="AF33" s="145">
        <f>IFERROR(_xlfn.XLOOKUP($D33,'Modelling New'!$D:$D,'Modelling New'!W:W),"")</f>
        <v>0.17979189988306124</v>
      </c>
      <c r="AG33" s="145">
        <f>IFERROR(_xlfn.XLOOKUP($D33,'Modelling New'!$D:$D,'Modelling New'!AE:AE),"")</f>
        <v>0.98040000000000005</v>
      </c>
      <c r="AH33" s="167">
        <f>IFERROR(_xlfn.XLOOKUP($D33,'Modelling New'!$D:$D,'Modelling New'!AF:AF),"")</f>
        <v>0.98</v>
      </c>
      <c r="AN33" s="144"/>
      <c r="AO33" s="141"/>
      <c r="AP33" s="141"/>
      <c r="AQ33" s="141"/>
      <c r="AR33" s="133">
        <f>'Basic Data'!$B$98/1000</f>
        <v>8.0208999999999993</v>
      </c>
    </row>
    <row r="34" spans="1:44" x14ac:dyDescent="0.3">
      <c r="A34" s="132">
        <f t="shared" si="3"/>
        <v>45777</v>
      </c>
      <c r="B34" s="133">
        <f>YEAR(Table13[[#This Row],[Date]])+IF(MONTH(Table13[[#This Row],[Date]])&gt;=4,1,0)</f>
        <v>2026</v>
      </c>
      <c r="C34" s="134">
        <f>YEAR(Table13[[#This Row],[Date]])</f>
        <v>2025</v>
      </c>
      <c r="D34" s="135">
        <f>Table13[[#This Row],[Date]]-DAY(Table13[[#This Row],[Date]])+1</f>
        <v>45748</v>
      </c>
      <c r="E34" s="134">
        <f t="shared" si="0"/>
        <v>30</v>
      </c>
      <c r="F34" s="136">
        <f>IFERROR(_xlfn.XLOOKUP($A34,'Raw Data'!$G:$G,'Raw Data'!$AM:$AM),"")</f>
        <v>12.600000000000001</v>
      </c>
      <c r="G34" s="137">
        <f>IFERROR(_xlfn.XLOOKUP($A34,'Raw Data'!$G:$G,'Raw Data'!$AB:$AB),"")</f>
        <v>0</v>
      </c>
      <c r="H34" s="137"/>
      <c r="I34" s="137">
        <f>IFERROR(_xlfn.XLOOKUP($A34,'Raw Data'!$G:$G,'Raw Data'!$AC:$AC),"")</f>
        <v>5.77</v>
      </c>
      <c r="J34" s="137"/>
      <c r="K34" s="137">
        <f>IFERROR(_xlfn.XLOOKUP($A34,'Raw Data'!$G:$G,'Raw Data'!AD:AD),"")</f>
        <v>0</v>
      </c>
      <c r="L34" s="137">
        <f>IFERROR(_xlfn.XLOOKUP($A34,'Raw Data'!$G:$G,'Raw Data'!AE:AE),"")</f>
        <v>46.33</v>
      </c>
      <c r="M34" s="137">
        <f>IFERROR(_xlfn.XLOOKUP($A34,'Raw Data'!$G:$G,'Raw Data'!AF:AF),"")</f>
        <v>0</v>
      </c>
      <c r="N34" s="137">
        <f>IFERROR(_xlfn.XLOOKUP($A34,'Raw Data'!$G:$G,'Raw Data'!AG:AG),"")</f>
        <v>0</v>
      </c>
      <c r="O34" s="138">
        <f>IFERROR(1-SUMIF('Plant BD'!$H:$H,$A34,'Plant BD'!$AE:$AE)/($AA34+SUMIF('Plant BD'!$H:$H,$A34,'Plant BD'!$AE:$AE)),"")</f>
        <v>1</v>
      </c>
      <c r="P34" s="138"/>
      <c r="Q34" s="139"/>
      <c r="R34" s="138">
        <f>IFERROR(1-SUMIF('Grid BD'!$H:$H,$A34,'Grid BD'!$AD:$AD)/($AA34+SUMIF('Grid BD'!$H:$H,$A34,'Grid BD'!$AD:$AD)),"")</f>
        <v>1</v>
      </c>
      <c r="T34" s="139"/>
      <c r="U34" s="140">
        <f t="shared" si="1"/>
        <v>0.85673059547875796</v>
      </c>
      <c r="V34" s="140"/>
      <c r="W34" s="141">
        <f t="shared" si="2"/>
        <v>0.20597231399635138</v>
      </c>
      <c r="X34" s="133">
        <f>IFERROR(_xlfn.XLOOKUP($A34,'Raw Data'!$G:$G,'Raw Data'!AI:AI),"")</f>
        <v>40093.5</v>
      </c>
      <c r="Y34" s="133">
        <f>IFERROR(_xlfn.XLOOKUP($A34,'Raw Data'!$G:$G,'Raw Data'!AJ:AJ),"")</f>
        <v>39750</v>
      </c>
      <c r="Z34" s="133">
        <f>IFERROR(_xlfn.XLOOKUP($A34,'Raw Data'!$G:$G,'Raw Data'!AK:AK),"")</f>
        <v>99.999999999965894</v>
      </c>
      <c r="AA34" s="133">
        <f>IFERROR(_xlfn.XLOOKUP($A34,'Raw Data'!$G:$G,'Raw Data'!AL:AL),"")</f>
        <v>39650.000000000036</v>
      </c>
      <c r="AB34" s="133">
        <f>IFERROR(_xlfn.XLOOKUP($A34,'Raw Data'!$G:$G,'Raw Data'!H:H),"")</f>
        <v>8.0208999999999993</v>
      </c>
      <c r="AC34" s="142">
        <f>IFERROR(_xlfn.XLOOKUP($D34,'Modelling New'!$D:$D,'Modelling New'!P:P),"")</f>
        <v>6.39</v>
      </c>
      <c r="AD34" s="133">
        <f>IFERROR(_xlfn.XLOOKUP($D34,'Modelling New'!$D:$D,'Modelling New'!$T:$T)*1000,"")</f>
        <v>34610.228394529106</v>
      </c>
      <c r="AE34" s="143">
        <f>IFERROR(_xlfn.XLOOKUP($D34,'Modelling New'!$D:$D,'Modelling New'!O:O),"")</f>
        <v>0.67527474134483101</v>
      </c>
      <c r="AF34" s="145">
        <f>IFERROR(_xlfn.XLOOKUP($D34,'Modelling New'!$D:$D,'Modelling New'!W:W),"")</f>
        <v>0.17979189988306124</v>
      </c>
      <c r="AG34" s="145">
        <f>IFERROR(_xlfn.XLOOKUP($D34,'Modelling New'!$D:$D,'Modelling New'!AE:AE),"")</f>
        <v>0.98040000000000005</v>
      </c>
      <c r="AH34" s="167">
        <f>IFERROR(_xlfn.XLOOKUP($D34,'Modelling New'!$D:$D,'Modelling New'!AF:AF),"")</f>
        <v>0.98</v>
      </c>
      <c r="AN34" s="144"/>
      <c r="AO34" s="141"/>
      <c r="AP34" s="141"/>
      <c r="AQ34" s="141"/>
      <c r="AR34" s="133">
        <f>'Basic Data'!$B$98/1000</f>
        <v>8.0208999999999993</v>
      </c>
    </row>
    <row r="35" spans="1:44" x14ac:dyDescent="0.3">
      <c r="A35" s="132">
        <f t="shared" si="3"/>
        <v>45778</v>
      </c>
      <c r="B35" s="133">
        <f>YEAR(Table13[[#This Row],[Date]])+IF(MONTH(Table13[[#This Row],[Date]])&gt;=4,1,0)</f>
        <v>2026</v>
      </c>
      <c r="C35" s="134">
        <f>YEAR(Table13[[#This Row],[Date]])</f>
        <v>2025</v>
      </c>
      <c r="D35" s="135">
        <f>Table13[[#This Row],[Date]]-DAY(Table13[[#This Row],[Date]])+1</f>
        <v>45778</v>
      </c>
      <c r="E35" s="134">
        <f t="shared" si="0"/>
        <v>31</v>
      </c>
      <c r="F35" s="136">
        <f>IFERROR(_xlfn.XLOOKUP($A35,'Raw Data'!$G:$G,'Raw Data'!$AM:$AM),"")</f>
        <v>12.633333333333333</v>
      </c>
      <c r="G35" s="137">
        <f>IFERROR(_xlfn.XLOOKUP($A35,'Raw Data'!$G:$G,'Raw Data'!$AB:$AB),"")</f>
        <v>0</v>
      </c>
      <c r="H35" s="137"/>
      <c r="I35" s="137">
        <f>IFERROR(_xlfn.XLOOKUP($A35,'Raw Data'!$G:$G,'Raw Data'!$AC:$AC),"")</f>
        <v>5.52</v>
      </c>
      <c r="J35" s="137"/>
      <c r="K35" s="137">
        <f>IFERROR(_xlfn.XLOOKUP($A35,'Raw Data'!$G:$G,'Raw Data'!AD:AD),"")</f>
        <v>0</v>
      </c>
      <c r="L35" s="137">
        <f>IFERROR(_xlfn.XLOOKUP($A35,'Raw Data'!$G:$G,'Raw Data'!AE:AE),"")</f>
        <v>45.19</v>
      </c>
      <c r="M35" s="137">
        <f>IFERROR(_xlfn.XLOOKUP($A35,'Raw Data'!$G:$G,'Raw Data'!AF:AF),"")</f>
        <v>0</v>
      </c>
      <c r="N35" s="137">
        <f>IFERROR(_xlfn.XLOOKUP($A35,'Raw Data'!$G:$G,'Raw Data'!AG:AG),"")</f>
        <v>0</v>
      </c>
      <c r="O35" s="138">
        <f>IFERROR(1-SUMIF('Plant BD'!$H:$H,$A35,'Plant BD'!$AE:$AE)/($AA35+SUMIF('Plant BD'!$H:$H,$A35,'Plant BD'!$AE:$AE)),"")</f>
        <v>1</v>
      </c>
      <c r="P35" s="138"/>
      <c r="Q35" s="139"/>
      <c r="R35" s="138">
        <f>IFERROR(1-SUMIF('Grid BD'!$H:$H,$A35,'Grid BD'!$AD:$AD)/($AA35+SUMIF('Grid BD'!$H:$H,$A35,'Grid BD'!$AD:$AD)),"")</f>
        <v>0.95488645952592599</v>
      </c>
      <c r="T35" s="139"/>
      <c r="U35" s="140">
        <f t="shared" si="1"/>
        <v>0.84358417980844502</v>
      </c>
      <c r="V35" s="140"/>
      <c r="W35" s="141">
        <f t="shared" si="2"/>
        <v>0.19402436135594231</v>
      </c>
      <c r="X35" s="133">
        <f>IFERROR(_xlfn.XLOOKUP($A35,'Raw Data'!$G:$G,'Raw Data'!AI:AI),"")</f>
        <v>37802.400000000001</v>
      </c>
      <c r="Y35" s="133">
        <f>IFERROR(_xlfn.XLOOKUP($A35,'Raw Data'!$G:$G,'Raw Data'!AJ:AJ),"")</f>
        <v>37449.99999999709</v>
      </c>
      <c r="Z35" s="133">
        <f>IFERROR(_xlfn.XLOOKUP($A35,'Raw Data'!$G:$G,'Raw Data'!AK:AK),"")</f>
        <v>100.00000000002274</v>
      </c>
      <c r="AA35" s="133">
        <f>IFERROR(_xlfn.XLOOKUP($A35,'Raw Data'!$G:$G,'Raw Data'!AL:AL),"")</f>
        <v>37349.999999997068</v>
      </c>
      <c r="AB35" s="133">
        <f>IFERROR(_xlfn.XLOOKUP($A35,'Raw Data'!$G:$G,'Raw Data'!H:H),"")</f>
        <v>8.0208999999999993</v>
      </c>
      <c r="AC35" s="142">
        <f>IFERROR(_xlfn.XLOOKUP($D35,'Modelling New'!$D:$D,'Modelling New'!P:P),"")</f>
        <v>6.0129032258064514</v>
      </c>
      <c r="AD35" s="133">
        <f>IFERROR(_xlfn.XLOOKUP($D35,'Modelling New'!$D:$D,'Modelling New'!$T:$T)*1000,"")</f>
        <v>33577.74455581214</v>
      </c>
      <c r="AE35" s="143">
        <f>IFERROR(_xlfn.XLOOKUP($D35,'Modelling New'!$D:$D,'Modelling New'!O:O),"")</f>
        <v>0.69621632879901718</v>
      </c>
      <c r="AF35" s="145">
        <f>IFERROR(_xlfn.XLOOKUP($D35,'Modelling New'!$D:$D,'Modelling New'!W:W),"")</f>
        <v>0.17442839205394728</v>
      </c>
      <c r="AG35" s="145">
        <f>IFERROR(_xlfn.XLOOKUP($D35,'Modelling New'!$D:$D,'Modelling New'!AE:AE),"")</f>
        <v>0.98040000000000005</v>
      </c>
      <c r="AH35" s="167">
        <f>IFERROR(_xlfn.XLOOKUP($D35,'Modelling New'!$D:$D,'Modelling New'!AF:AF),"")</f>
        <v>0.98</v>
      </c>
      <c r="AN35" s="144"/>
      <c r="AO35" s="141"/>
      <c r="AP35" s="141"/>
      <c r="AQ35" s="141"/>
      <c r="AR35" s="133">
        <f>'Basic Data'!$B$98/1000</f>
        <v>8.0208999999999993</v>
      </c>
    </row>
    <row r="36" spans="1:44" x14ac:dyDescent="0.3">
      <c r="A36" s="132">
        <f t="shared" si="3"/>
        <v>45779</v>
      </c>
      <c r="B36" s="133">
        <f>YEAR(Table13[[#This Row],[Date]])+IF(MONTH(Table13[[#This Row],[Date]])&gt;=4,1,0)</f>
        <v>2026</v>
      </c>
      <c r="C36" s="134">
        <f>YEAR(Table13[[#This Row],[Date]])</f>
        <v>2025</v>
      </c>
      <c r="D36" s="135">
        <f>Table13[[#This Row],[Date]]-DAY(Table13[[#This Row],[Date]])+1</f>
        <v>45778</v>
      </c>
      <c r="E36" s="134">
        <f t="shared" si="0"/>
        <v>31</v>
      </c>
      <c r="F36" s="136">
        <f>IFERROR(_xlfn.XLOOKUP($A36,'Raw Data'!$G:$G,'Raw Data'!$AM:$AM),"")</f>
        <v>12.600000000000001</v>
      </c>
      <c r="G36" s="137">
        <f>IFERROR(_xlfn.XLOOKUP($A36,'Raw Data'!$G:$G,'Raw Data'!$AB:$AB),"")</f>
        <v>0</v>
      </c>
      <c r="H36" s="137"/>
      <c r="I36" s="137">
        <f>IFERROR(_xlfn.XLOOKUP($A36,'Raw Data'!$G:$G,'Raw Data'!$AC:$AC),"")</f>
        <v>6.17</v>
      </c>
      <c r="J36" s="137"/>
      <c r="K36" s="137">
        <f>IFERROR(_xlfn.XLOOKUP($A36,'Raw Data'!$G:$G,'Raw Data'!AD:AD),"")</f>
        <v>0</v>
      </c>
      <c r="L36" s="137">
        <f>IFERROR(_xlfn.XLOOKUP($A36,'Raw Data'!$G:$G,'Raw Data'!AE:AE),"")</f>
        <v>45.19</v>
      </c>
      <c r="M36" s="137">
        <f>IFERROR(_xlfn.XLOOKUP($A36,'Raw Data'!$G:$G,'Raw Data'!AF:AF),"")</f>
        <v>0</v>
      </c>
      <c r="N36" s="137">
        <f>IFERROR(_xlfn.XLOOKUP($A36,'Raw Data'!$G:$G,'Raw Data'!AG:AG),"")</f>
        <v>0</v>
      </c>
      <c r="O36" s="138">
        <f>IFERROR(1-SUMIF('Plant BD'!$H:$H,$A36,'Plant BD'!$AE:$AE)/($AA36+SUMIF('Plant BD'!$H:$H,$A36,'Plant BD'!$AE:$AE)),"")</f>
        <v>1</v>
      </c>
      <c r="P36" s="138"/>
      <c r="Q36" s="139"/>
      <c r="R36" s="138">
        <f>IFERROR(1-SUMIF('Grid BD'!$H:$H,$A36,'Grid BD'!$AD:$AD)/($AA36+SUMIF('Grid BD'!$H:$H,$A36,'Grid BD'!$AD:$AD)),"")</f>
        <v>0.89555939982185195</v>
      </c>
      <c r="T36" s="139"/>
      <c r="U36" s="140">
        <f t="shared" si="1"/>
        <v>0.62539209508034943</v>
      </c>
      <c r="V36" s="140"/>
      <c r="W36" s="141">
        <f t="shared" si="2"/>
        <v>0.16077788444357316</v>
      </c>
      <c r="X36" s="133">
        <f>IFERROR(_xlfn.XLOOKUP($A36,'Raw Data'!$G:$G,'Raw Data'!AI:AI),"")</f>
        <v>31347.7</v>
      </c>
      <c r="Y36" s="133">
        <f>IFERROR(_xlfn.XLOOKUP($A36,'Raw Data'!$G:$G,'Raw Data'!AJ:AJ),"")</f>
        <v>31050.00000000291</v>
      </c>
      <c r="Z36" s="133">
        <f>IFERROR(_xlfn.XLOOKUP($A36,'Raw Data'!$G:$G,'Raw Data'!AK:AK),"")</f>
        <v>99.999999999965894</v>
      </c>
      <c r="AA36" s="133">
        <f>IFERROR(_xlfn.XLOOKUP($A36,'Raw Data'!$G:$G,'Raw Data'!AL:AL),"")</f>
        <v>30950.000000002943</v>
      </c>
      <c r="AB36" s="133">
        <f>IFERROR(_xlfn.XLOOKUP($A36,'Raw Data'!$G:$G,'Raw Data'!H:H),"")</f>
        <v>8.0208999999999993</v>
      </c>
      <c r="AC36" s="142">
        <f>IFERROR(_xlfn.XLOOKUP($D36,'Modelling New'!$D:$D,'Modelling New'!P:P),"")</f>
        <v>6.0129032258064514</v>
      </c>
      <c r="AD36" s="133">
        <f>IFERROR(_xlfn.XLOOKUP($D36,'Modelling New'!$D:$D,'Modelling New'!$T:$T)*1000,"")</f>
        <v>33577.74455581214</v>
      </c>
      <c r="AE36" s="143">
        <f>IFERROR(_xlfn.XLOOKUP($D36,'Modelling New'!$D:$D,'Modelling New'!O:O),"")</f>
        <v>0.69621632879901718</v>
      </c>
      <c r="AF36" s="145">
        <f>IFERROR(_xlfn.XLOOKUP($D36,'Modelling New'!$D:$D,'Modelling New'!W:W),"")</f>
        <v>0.17442839205394728</v>
      </c>
      <c r="AG36" s="145">
        <f>IFERROR(_xlfn.XLOOKUP($D36,'Modelling New'!$D:$D,'Modelling New'!AE:AE),"")</f>
        <v>0.98040000000000005</v>
      </c>
      <c r="AH36" s="167">
        <f>IFERROR(_xlfn.XLOOKUP($D36,'Modelling New'!$D:$D,'Modelling New'!AF:AF),"")</f>
        <v>0.98</v>
      </c>
      <c r="AN36" s="144"/>
      <c r="AO36" s="141"/>
      <c r="AP36" s="141"/>
      <c r="AQ36" s="141"/>
      <c r="AR36" s="133">
        <f>'Basic Data'!$B$98/1000</f>
        <v>8.0208999999999993</v>
      </c>
    </row>
    <row r="37" spans="1:44" x14ac:dyDescent="0.3">
      <c r="A37" s="132">
        <f t="shared" si="3"/>
        <v>45780</v>
      </c>
      <c r="B37" s="133">
        <f>YEAR(Table13[[#This Row],[Date]])+IF(MONTH(Table13[[#This Row],[Date]])&gt;=4,1,0)</f>
        <v>2026</v>
      </c>
      <c r="C37" s="134">
        <f>YEAR(Table13[[#This Row],[Date]])</f>
        <v>2025</v>
      </c>
      <c r="D37" s="135">
        <f>Table13[[#This Row],[Date]]-DAY(Table13[[#This Row],[Date]])+1</f>
        <v>45778</v>
      </c>
      <c r="E37" s="134">
        <f t="shared" si="0"/>
        <v>31</v>
      </c>
      <c r="F37" s="136">
        <f>IFERROR(_xlfn.XLOOKUP($A37,'Raw Data'!$G:$G,'Raw Data'!$AM:$AM),"")</f>
        <v>12.583333333333334</v>
      </c>
      <c r="G37" s="137">
        <f>IFERROR(_xlfn.XLOOKUP($A37,'Raw Data'!$G:$G,'Raw Data'!$AB:$AB),"")</f>
        <v>0</v>
      </c>
      <c r="H37" s="137"/>
      <c r="I37" s="137">
        <f>IFERROR(_xlfn.XLOOKUP($A37,'Raw Data'!$G:$G,'Raw Data'!$AC:$AC),"")</f>
        <v>5.93</v>
      </c>
      <c r="J37" s="137"/>
      <c r="K37" s="137">
        <f>IFERROR(_xlfn.XLOOKUP($A37,'Raw Data'!$G:$G,'Raw Data'!AD:AD),"")</f>
        <v>0</v>
      </c>
      <c r="L37" s="137">
        <f>IFERROR(_xlfn.XLOOKUP($A37,'Raw Data'!$G:$G,'Raw Data'!AE:AE),"")</f>
        <v>45.51</v>
      </c>
      <c r="M37" s="137">
        <f>IFERROR(_xlfn.XLOOKUP($A37,'Raw Data'!$G:$G,'Raw Data'!AF:AF),"")</f>
        <v>0</v>
      </c>
      <c r="N37" s="137">
        <f>IFERROR(_xlfn.XLOOKUP($A37,'Raw Data'!$G:$G,'Raw Data'!AG:AG),"")</f>
        <v>0</v>
      </c>
      <c r="O37" s="138">
        <f>IFERROR(1-SUMIF('Plant BD'!$H:$H,$A37,'Plant BD'!$AE:$AE)/($AA37+SUMIF('Plant BD'!$H:$H,$A37,'Plant BD'!$AE:$AE)),"")</f>
        <v>1</v>
      </c>
      <c r="P37" s="138"/>
      <c r="Q37" s="139"/>
      <c r="R37" s="138">
        <f>IFERROR(1-SUMIF('Grid BD'!$H:$H,$A37,'Grid BD'!$AD:$AD)/($AA37+SUMIF('Grid BD'!$H:$H,$A37,'Grid BD'!$AD:$AD)),"")</f>
        <v>1</v>
      </c>
      <c r="T37" s="139"/>
      <c r="U37" s="140">
        <f t="shared" si="1"/>
        <v>0.80418069681670401</v>
      </c>
      <c r="V37" s="140"/>
      <c r="W37" s="141">
        <f t="shared" si="2"/>
        <v>0.19869964717179389</v>
      </c>
      <c r="X37" s="133">
        <f>IFERROR(_xlfn.XLOOKUP($A37,'Raw Data'!$G:$G,'Raw Data'!AI:AI),"")</f>
        <v>38672.899999999994</v>
      </c>
      <c r="Y37" s="133">
        <f>IFERROR(_xlfn.XLOOKUP($A37,'Raw Data'!$G:$G,'Raw Data'!AJ:AJ),"")</f>
        <v>38350.000000005821</v>
      </c>
      <c r="Z37" s="133">
        <f>IFERROR(_xlfn.XLOOKUP($A37,'Raw Data'!$G:$G,'Raw Data'!AK:AK),"")</f>
        <v>100.00000000002274</v>
      </c>
      <c r="AA37" s="133">
        <f>IFERROR(_xlfn.XLOOKUP($A37,'Raw Data'!$G:$G,'Raw Data'!AL:AL),"")</f>
        <v>38250.000000005799</v>
      </c>
      <c r="AB37" s="133">
        <f>IFERROR(_xlfn.XLOOKUP($A37,'Raw Data'!$G:$G,'Raw Data'!H:H),"")</f>
        <v>8.0208999999999993</v>
      </c>
      <c r="AC37" s="142">
        <f>IFERROR(_xlfn.XLOOKUP($D37,'Modelling New'!$D:$D,'Modelling New'!P:P),"")</f>
        <v>6.0129032258064514</v>
      </c>
      <c r="AD37" s="133">
        <f>IFERROR(_xlfn.XLOOKUP($D37,'Modelling New'!$D:$D,'Modelling New'!$T:$T)*1000,"")</f>
        <v>33577.74455581214</v>
      </c>
      <c r="AE37" s="143">
        <f>IFERROR(_xlfn.XLOOKUP($D37,'Modelling New'!$D:$D,'Modelling New'!O:O),"")</f>
        <v>0.69621632879901718</v>
      </c>
      <c r="AF37" s="145">
        <f>IFERROR(_xlfn.XLOOKUP($D37,'Modelling New'!$D:$D,'Modelling New'!W:W),"")</f>
        <v>0.17442839205394728</v>
      </c>
      <c r="AG37" s="145">
        <f>IFERROR(_xlfn.XLOOKUP($D37,'Modelling New'!$D:$D,'Modelling New'!AE:AE),"")</f>
        <v>0.98040000000000005</v>
      </c>
      <c r="AH37" s="167">
        <f>IFERROR(_xlfn.XLOOKUP($D37,'Modelling New'!$D:$D,'Modelling New'!AF:AF),"")</f>
        <v>0.98</v>
      </c>
      <c r="AN37" s="144"/>
      <c r="AO37" s="141"/>
      <c r="AP37" s="141"/>
      <c r="AQ37" s="141"/>
      <c r="AR37" s="133">
        <f>'Basic Data'!$B$98/1000</f>
        <v>8.0208999999999993</v>
      </c>
    </row>
    <row r="38" spans="1:44" x14ac:dyDescent="0.3">
      <c r="A38" s="132">
        <f t="shared" si="3"/>
        <v>45781</v>
      </c>
      <c r="B38" s="133">
        <f>YEAR(Table13[[#This Row],[Date]])+IF(MONTH(Table13[[#This Row],[Date]])&gt;=4,1,0)</f>
        <v>2026</v>
      </c>
      <c r="C38" s="134">
        <f>YEAR(Table13[[#This Row],[Date]])</f>
        <v>2025</v>
      </c>
      <c r="D38" s="135">
        <f>Table13[[#This Row],[Date]]-DAY(Table13[[#This Row],[Date]])+1</f>
        <v>45778</v>
      </c>
      <c r="E38" s="134">
        <f t="shared" si="0"/>
        <v>31</v>
      </c>
      <c r="F38" s="136">
        <f>IFERROR(_xlfn.XLOOKUP($A38,'Raw Data'!$G:$G,'Raw Data'!$AM:$AM),"")</f>
        <v>12.716666666666667</v>
      </c>
      <c r="G38" s="137">
        <f>IFERROR(_xlfn.XLOOKUP($A38,'Raw Data'!$G:$G,'Raw Data'!$AB:$AB),"")</f>
        <v>0</v>
      </c>
      <c r="H38" s="137"/>
      <c r="I38" s="137">
        <f>IFERROR(_xlfn.XLOOKUP($A38,'Raw Data'!$G:$G,'Raw Data'!$AC:$AC),"")</f>
        <v>5.27</v>
      </c>
      <c r="J38" s="137"/>
      <c r="K38" s="137">
        <f>IFERROR(_xlfn.XLOOKUP($A38,'Raw Data'!$G:$G,'Raw Data'!AD:AD),"")</f>
        <v>0</v>
      </c>
      <c r="L38" s="137">
        <f>IFERROR(_xlfn.XLOOKUP($A38,'Raw Data'!$G:$G,'Raw Data'!AE:AE),"")</f>
        <v>42.88</v>
      </c>
      <c r="M38" s="137">
        <f>IFERROR(_xlfn.XLOOKUP($A38,'Raw Data'!$G:$G,'Raw Data'!AF:AF),"")</f>
        <v>0</v>
      </c>
      <c r="N38" s="137">
        <f>IFERROR(_xlfn.XLOOKUP($A38,'Raw Data'!$G:$G,'Raw Data'!AG:AG),"")</f>
        <v>0</v>
      </c>
      <c r="O38" s="138">
        <f>IFERROR(1-SUMIF('Plant BD'!$H:$H,$A38,'Plant BD'!$AE:$AE)/($AA38+SUMIF('Plant BD'!$H:$H,$A38,'Plant BD'!$AE:$AE)),"")</f>
        <v>1</v>
      </c>
      <c r="P38" s="138"/>
      <c r="Q38" s="139"/>
      <c r="R38" s="138">
        <f>IFERROR(1-SUMIF('Grid BD'!$H:$H,$A38,'Grid BD'!$AD:$AD)/($AA38+SUMIF('Grid BD'!$H:$H,$A38,'Grid BD'!$AD:$AD)),"")</f>
        <v>0.49001336039343768</v>
      </c>
      <c r="T38" s="139"/>
      <c r="U38" s="140">
        <f t="shared" si="1"/>
        <v>0.48497588475135395</v>
      </c>
      <c r="V38" s="140"/>
      <c r="W38" s="141">
        <f t="shared" si="2"/>
        <v>0.10649262135998479</v>
      </c>
      <c r="X38" s="133">
        <f>IFERROR(_xlfn.XLOOKUP($A38,'Raw Data'!$G:$G,'Raw Data'!AI:AI),"")</f>
        <v>20778</v>
      </c>
      <c r="Y38" s="133">
        <f>IFERROR(_xlfn.XLOOKUP($A38,'Raw Data'!$G:$G,'Raw Data'!AJ:AJ),"")</f>
        <v>20599.999999991269</v>
      </c>
      <c r="Z38" s="133">
        <f>IFERROR(_xlfn.XLOOKUP($A38,'Raw Data'!$G:$G,'Raw Data'!AK:AK),"")</f>
        <v>100.00000000002274</v>
      </c>
      <c r="AA38" s="133">
        <f>IFERROR(_xlfn.XLOOKUP($A38,'Raw Data'!$G:$G,'Raw Data'!AL:AL),"")</f>
        <v>20499.999999991247</v>
      </c>
      <c r="AB38" s="133">
        <f>IFERROR(_xlfn.XLOOKUP($A38,'Raw Data'!$G:$G,'Raw Data'!H:H),"")</f>
        <v>8.0208999999999993</v>
      </c>
      <c r="AC38" s="142">
        <f>IFERROR(_xlfn.XLOOKUP($D38,'Modelling New'!$D:$D,'Modelling New'!P:P),"")</f>
        <v>6.0129032258064514</v>
      </c>
      <c r="AD38" s="133">
        <f>IFERROR(_xlfn.XLOOKUP($D38,'Modelling New'!$D:$D,'Modelling New'!$T:$T)*1000,"")</f>
        <v>33577.74455581214</v>
      </c>
      <c r="AE38" s="143">
        <f>IFERROR(_xlfn.XLOOKUP($D38,'Modelling New'!$D:$D,'Modelling New'!O:O),"")</f>
        <v>0.69621632879901718</v>
      </c>
      <c r="AF38" s="145">
        <f>IFERROR(_xlfn.XLOOKUP($D38,'Modelling New'!$D:$D,'Modelling New'!W:W),"")</f>
        <v>0.17442839205394728</v>
      </c>
      <c r="AG38" s="145">
        <f>IFERROR(_xlfn.XLOOKUP($D38,'Modelling New'!$D:$D,'Modelling New'!AE:AE),"")</f>
        <v>0.98040000000000005</v>
      </c>
      <c r="AH38" s="167">
        <f>IFERROR(_xlfn.XLOOKUP($D38,'Modelling New'!$D:$D,'Modelling New'!AF:AF),"")</f>
        <v>0.98</v>
      </c>
      <c r="AN38" s="144"/>
      <c r="AO38" s="141"/>
      <c r="AP38" s="141"/>
      <c r="AQ38" s="141"/>
      <c r="AR38" s="133">
        <f>'Basic Data'!$B$98/1000</f>
        <v>8.0208999999999993</v>
      </c>
    </row>
    <row r="39" spans="1:44" x14ac:dyDescent="0.3">
      <c r="A39" s="132">
        <f t="shared" si="3"/>
        <v>45782</v>
      </c>
      <c r="B39" s="133">
        <f>YEAR(Table13[[#This Row],[Date]])+IF(MONTH(Table13[[#This Row],[Date]])&gt;=4,1,0)</f>
        <v>2026</v>
      </c>
      <c r="C39" s="134">
        <f>YEAR(Table13[[#This Row],[Date]])</f>
        <v>2025</v>
      </c>
      <c r="D39" s="135">
        <f>Table13[[#This Row],[Date]]-DAY(Table13[[#This Row],[Date]])+1</f>
        <v>45778</v>
      </c>
      <c r="E39" s="134">
        <f t="shared" si="0"/>
        <v>31</v>
      </c>
      <c r="F39" s="136">
        <f>IFERROR(_xlfn.XLOOKUP($A39,'Raw Data'!$G:$G,'Raw Data'!$AM:$AM),"")</f>
        <v>12.316666666666668</v>
      </c>
      <c r="G39" s="137">
        <f>IFERROR(_xlfn.XLOOKUP($A39,'Raw Data'!$G:$G,'Raw Data'!$AB:$AB),"")</f>
        <v>0</v>
      </c>
      <c r="H39" s="137"/>
      <c r="I39" s="137">
        <f>IFERROR(_xlfn.XLOOKUP($A39,'Raw Data'!$G:$G,'Raw Data'!$AC:$AC),"")</f>
        <v>6.52</v>
      </c>
      <c r="J39" s="137"/>
      <c r="K39" s="137">
        <f>IFERROR(_xlfn.XLOOKUP($A39,'Raw Data'!$G:$G,'Raw Data'!AD:AD),"")</f>
        <v>0</v>
      </c>
      <c r="L39" s="137">
        <f>IFERROR(_xlfn.XLOOKUP($A39,'Raw Data'!$G:$G,'Raw Data'!AE:AE),"")</f>
        <v>45.43</v>
      </c>
      <c r="M39" s="137">
        <f>IFERROR(_xlfn.XLOOKUP($A39,'Raw Data'!$G:$G,'Raw Data'!AF:AF),"")</f>
        <v>0</v>
      </c>
      <c r="N39" s="137">
        <f>IFERROR(_xlfn.XLOOKUP($A39,'Raw Data'!$G:$G,'Raw Data'!AG:AG),"")</f>
        <v>0</v>
      </c>
      <c r="O39" s="138">
        <f>IFERROR(1-SUMIF('Plant BD'!$H:$H,$A39,'Plant BD'!$AE:$AE)/($AA39+SUMIF('Plant BD'!$H:$H,$A39,'Plant BD'!$AE:$AE)),"")</f>
        <v>1</v>
      </c>
      <c r="P39" s="138"/>
      <c r="Q39" s="139"/>
      <c r="R39" s="138">
        <f>IFERROR(1-SUMIF('Grid BD'!$H:$H,$A39,'Grid BD'!$AD:$AD)/($AA39+SUMIF('Grid BD'!$H:$H,$A39,'Grid BD'!$AD:$AD)),"")</f>
        <v>1</v>
      </c>
      <c r="T39" s="139"/>
      <c r="U39" s="140">
        <f t="shared" si="1"/>
        <v>0.7725216644522328</v>
      </c>
      <c r="V39" s="140"/>
      <c r="W39" s="141">
        <f t="shared" si="2"/>
        <v>0.20986838550952322</v>
      </c>
      <c r="X39" s="133">
        <f>IFERROR(_xlfn.XLOOKUP($A39,'Raw Data'!$G:$G,'Raw Data'!AI:AI),"")</f>
        <v>40864.5</v>
      </c>
      <c r="Y39" s="133">
        <f>IFERROR(_xlfn.XLOOKUP($A39,'Raw Data'!$G:$G,'Raw Data'!AJ:AJ),"")</f>
        <v>40500</v>
      </c>
      <c r="Z39" s="133">
        <f>IFERROR(_xlfn.XLOOKUP($A39,'Raw Data'!$G:$G,'Raw Data'!AK:AK),"")</f>
        <v>99.999999999965894</v>
      </c>
      <c r="AA39" s="133">
        <f>IFERROR(_xlfn.XLOOKUP($A39,'Raw Data'!$G:$G,'Raw Data'!AL:AL),"")</f>
        <v>40400.000000000036</v>
      </c>
      <c r="AB39" s="133">
        <f>IFERROR(_xlfn.XLOOKUP($A39,'Raw Data'!$G:$G,'Raw Data'!H:H),"")</f>
        <v>8.0208999999999993</v>
      </c>
      <c r="AC39" s="142">
        <f>IFERROR(_xlfn.XLOOKUP($D39,'Modelling New'!$D:$D,'Modelling New'!P:P),"")</f>
        <v>6.0129032258064514</v>
      </c>
      <c r="AD39" s="133">
        <f>IFERROR(_xlfn.XLOOKUP($D39,'Modelling New'!$D:$D,'Modelling New'!$T:$T)*1000,"")</f>
        <v>33577.74455581214</v>
      </c>
      <c r="AE39" s="143">
        <f>IFERROR(_xlfn.XLOOKUP($D39,'Modelling New'!$D:$D,'Modelling New'!O:O),"")</f>
        <v>0.69621632879901718</v>
      </c>
      <c r="AF39" s="145">
        <f>IFERROR(_xlfn.XLOOKUP($D39,'Modelling New'!$D:$D,'Modelling New'!W:W),"")</f>
        <v>0.17442839205394728</v>
      </c>
      <c r="AG39" s="145">
        <f>IFERROR(_xlfn.XLOOKUP($D39,'Modelling New'!$D:$D,'Modelling New'!AE:AE),"")</f>
        <v>0.98040000000000005</v>
      </c>
      <c r="AH39" s="167">
        <f>IFERROR(_xlfn.XLOOKUP($D39,'Modelling New'!$D:$D,'Modelling New'!AF:AF),"")</f>
        <v>0.98</v>
      </c>
      <c r="AN39" s="144"/>
      <c r="AO39" s="141"/>
      <c r="AP39" s="141"/>
      <c r="AQ39" s="141"/>
      <c r="AR39" s="133">
        <f>'Basic Data'!$B$98/1000</f>
        <v>8.0208999999999993</v>
      </c>
    </row>
    <row r="40" spans="1:44" x14ac:dyDescent="0.3">
      <c r="A40" s="132">
        <f t="shared" si="3"/>
        <v>45783</v>
      </c>
      <c r="B40" s="133">
        <f>YEAR(Table13[[#This Row],[Date]])+IF(MONTH(Table13[[#This Row],[Date]])&gt;=4,1,0)</f>
        <v>2026</v>
      </c>
      <c r="C40" s="134">
        <f>YEAR(Table13[[#This Row],[Date]])</f>
        <v>2025</v>
      </c>
      <c r="D40" s="135">
        <f>Table13[[#This Row],[Date]]-DAY(Table13[[#This Row],[Date]])+1</f>
        <v>45778</v>
      </c>
      <c r="E40" s="134">
        <f t="shared" si="0"/>
        <v>31</v>
      </c>
      <c r="F40" s="136">
        <f>IFERROR(_xlfn.XLOOKUP($A40,'Raw Data'!$G:$G,'Raw Data'!$AM:$AM),"")</f>
        <v>12.5</v>
      </c>
      <c r="G40" s="137">
        <f>IFERROR(_xlfn.XLOOKUP($A40,'Raw Data'!$G:$G,'Raw Data'!$AB:$AB),"")</f>
        <v>0</v>
      </c>
      <c r="H40" s="137"/>
      <c r="I40" s="137">
        <f>IFERROR(_xlfn.XLOOKUP($A40,'Raw Data'!$G:$G,'Raw Data'!$AC:$AC),"")</f>
        <v>6.2</v>
      </c>
      <c r="J40" s="137"/>
      <c r="K40" s="137">
        <f>IFERROR(_xlfn.XLOOKUP($A40,'Raw Data'!$G:$G,'Raw Data'!AD:AD),"")</f>
        <v>0</v>
      </c>
      <c r="L40" s="137">
        <f>IFERROR(_xlfn.XLOOKUP($A40,'Raw Data'!$G:$G,'Raw Data'!AE:AE),"")</f>
        <v>44.26</v>
      </c>
      <c r="M40" s="137">
        <f>IFERROR(_xlfn.XLOOKUP($A40,'Raw Data'!$G:$G,'Raw Data'!AF:AF),"")</f>
        <v>0</v>
      </c>
      <c r="N40" s="137">
        <f>IFERROR(_xlfn.XLOOKUP($A40,'Raw Data'!$G:$G,'Raw Data'!AG:AG),"")</f>
        <v>0</v>
      </c>
      <c r="O40" s="138">
        <f>IFERROR(1-SUMIF('Plant BD'!$H:$H,$A40,'Plant BD'!$AE:$AE)/($AA40+SUMIF('Plant BD'!$H:$H,$A40,'Plant BD'!$AE:$AE)),"")</f>
        <v>1</v>
      </c>
      <c r="P40" s="138"/>
      <c r="Q40" s="139"/>
      <c r="R40" s="138">
        <f>IFERROR(1-SUMIF('Grid BD'!$H:$H,$A40,'Grid BD'!$AD:$AD)/($AA40+SUMIF('Grid BD'!$H:$H,$A40,'Grid BD'!$AD:$AD)),"")</f>
        <v>1</v>
      </c>
      <c r="T40" s="139"/>
      <c r="U40" s="140">
        <f t="shared" si="1"/>
        <v>0.77519255139513976</v>
      </c>
      <c r="V40" s="140"/>
      <c r="W40" s="141">
        <f t="shared" si="2"/>
        <v>0.20025807577707774</v>
      </c>
      <c r="X40" s="133">
        <f>IFERROR(_xlfn.XLOOKUP($A40,'Raw Data'!$G:$G,'Raw Data'!AI:AI),"")</f>
        <v>38984.699999999997</v>
      </c>
      <c r="Y40" s="133">
        <f>IFERROR(_xlfn.XLOOKUP($A40,'Raw Data'!$G:$G,'Raw Data'!AJ:AJ),"")</f>
        <v>38650.000000008731</v>
      </c>
      <c r="Z40" s="133">
        <f>IFERROR(_xlfn.XLOOKUP($A40,'Raw Data'!$G:$G,'Raw Data'!AK:AK),"")</f>
        <v>100.00000000002274</v>
      </c>
      <c r="AA40" s="133">
        <f>IFERROR(_xlfn.XLOOKUP($A40,'Raw Data'!$G:$G,'Raw Data'!AL:AL),"")</f>
        <v>38550.000000008709</v>
      </c>
      <c r="AB40" s="133">
        <f>IFERROR(_xlfn.XLOOKUP($A40,'Raw Data'!$G:$G,'Raw Data'!H:H),"")</f>
        <v>8.0208999999999993</v>
      </c>
      <c r="AC40" s="142">
        <f>IFERROR(_xlfn.XLOOKUP($D40,'Modelling New'!$D:$D,'Modelling New'!P:P),"")</f>
        <v>6.0129032258064514</v>
      </c>
      <c r="AD40" s="133">
        <f>IFERROR(_xlfn.XLOOKUP($D40,'Modelling New'!$D:$D,'Modelling New'!$T:$T)*1000,"")</f>
        <v>33577.74455581214</v>
      </c>
      <c r="AE40" s="143">
        <f>IFERROR(_xlfn.XLOOKUP($D40,'Modelling New'!$D:$D,'Modelling New'!O:O),"")</f>
        <v>0.69621632879901718</v>
      </c>
      <c r="AF40" s="145">
        <f>IFERROR(_xlfn.XLOOKUP($D40,'Modelling New'!$D:$D,'Modelling New'!W:W),"")</f>
        <v>0.17442839205394728</v>
      </c>
      <c r="AG40" s="145">
        <f>IFERROR(_xlfn.XLOOKUP($D40,'Modelling New'!$D:$D,'Modelling New'!AE:AE),"")</f>
        <v>0.98040000000000005</v>
      </c>
      <c r="AH40" s="167">
        <f>IFERROR(_xlfn.XLOOKUP($D40,'Modelling New'!$D:$D,'Modelling New'!AF:AF),"")</f>
        <v>0.98</v>
      </c>
      <c r="AN40" s="144"/>
      <c r="AO40" s="141"/>
      <c r="AP40" s="141"/>
      <c r="AQ40" s="141"/>
      <c r="AR40" s="133">
        <f>'Basic Data'!$B$98/1000</f>
        <v>8.0208999999999993</v>
      </c>
    </row>
    <row r="41" spans="1:44" x14ac:dyDescent="0.3">
      <c r="A41" s="132">
        <f t="shared" si="3"/>
        <v>45784</v>
      </c>
      <c r="B41" s="133">
        <f>YEAR(Table13[[#This Row],[Date]])+IF(MONTH(Table13[[#This Row],[Date]])&gt;=4,1,0)</f>
        <v>2026</v>
      </c>
      <c r="C41" s="134">
        <f>YEAR(Table13[[#This Row],[Date]])</f>
        <v>2025</v>
      </c>
      <c r="D41" s="135">
        <f>Table13[[#This Row],[Date]]-DAY(Table13[[#This Row],[Date]])+1</f>
        <v>45778</v>
      </c>
      <c r="E41" s="134">
        <f t="shared" si="0"/>
        <v>31</v>
      </c>
      <c r="F41" s="136">
        <f>IFERROR(_xlfn.XLOOKUP($A41,'Raw Data'!$G:$G,'Raw Data'!$AM:$AM),"")</f>
        <v>12.766666666666666</v>
      </c>
      <c r="G41" s="137">
        <f>IFERROR(_xlfn.XLOOKUP($A41,'Raw Data'!$G:$G,'Raw Data'!$AB:$AB),"")</f>
        <v>0</v>
      </c>
      <c r="H41" s="137"/>
      <c r="I41" s="137">
        <f>IFERROR(_xlfn.XLOOKUP($A41,'Raw Data'!$G:$G,'Raw Data'!$AC:$AC),"")</f>
        <v>6.58</v>
      </c>
      <c r="J41" s="137"/>
      <c r="K41" s="137">
        <f>IFERROR(_xlfn.XLOOKUP($A41,'Raw Data'!$G:$G,'Raw Data'!AD:AD),"")</f>
        <v>0</v>
      </c>
      <c r="L41" s="137">
        <f>IFERROR(_xlfn.XLOOKUP($A41,'Raw Data'!$G:$G,'Raw Data'!AE:AE),"")</f>
        <v>43.99</v>
      </c>
      <c r="M41" s="137">
        <f>IFERROR(_xlfn.XLOOKUP($A41,'Raw Data'!$G:$G,'Raw Data'!AF:AF),"")</f>
        <v>0</v>
      </c>
      <c r="N41" s="137">
        <f>IFERROR(_xlfn.XLOOKUP($A41,'Raw Data'!$G:$G,'Raw Data'!AG:AG),"")</f>
        <v>0</v>
      </c>
      <c r="O41" s="138">
        <f>IFERROR(1-SUMIF('Plant BD'!$H:$H,$A41,'Plant BD'!$AE:$AE)/($AA41+SUMIF('Plant BD'!$H:$H,$A41,'Plant BD'!$AE:$AE)),"")</f>
        <v>1</v>
      </c>
      <c r="P41" s="138"/>
      <c r="Q41" s="139"/>
      <c r="R41" s="138">
        <f>IFERROR(1-SUMIF('Grid BD'!$H:$H,$A41,'Grid BD'!$AD:$AD)/($AA41+SUMIF('Grid BD'!$H:$H,$A41,'Grid BD'!$AD:$AD)),"")</f>
        <v>1</v>
      </c>
      <c r="T41" s="139"/>
      <c r="U41" s="140">
        <f t="shared" si="1"/>
        <v>0.73895094961054264</v>
      </c>
      <c r="V41" s="140"/>
      <c r="W41" s="141">
        <f t="shared" si="2"/>
        <v>0.20259571868489043</v>
      </c>
      <c r="X41" s="133">
        <f>IFERROR(_xlfn.XLOOKUP($A41,'Raw Data'!$G:$G,'Raw Data'!AI:AI),"")</f>
        <v>39449.4</v>
      </c>
      <c r="Y41" s="133">
        <f>IFERROR(_xlfn.XLOOKUP($A41,'Raw Data'!$G:$G,'Raw Data'!AJ:AJ),"")</f>
        <v>39099.999999991269</v>
      </c>
      <c r="Z41" s="133">
        <f>IFERROR(_xlfn.XLOOKUP($A41,'Raw Data'!$G:$G,'Raw Data'!AK:AK),"")</f>
        <v>99.999999999965894</v>
      </c>
      <c r="AA41" s="133">
        <f>IFERROR(_xlfn.XLOOKUP($A41,'Raw Data'!$G:$G,'Raw Data'!AL:AL),"")</f>
        <v>38999.999999991305</v>
      </c>
      <c r="AB41" s="133">
        <f>IFERROR(_xlfn.XLOOKUP($A41,'Raw Data'!$G:$G,'Raw Data'!H:H),"")</f>
        <v>8.0208999999999993</v>
      </c>
      <c r="AC41" s="142">
        <f>IFERROR(_xlfn.XLOOKUP($D41,'Modelling New'!$D:$D,'Modelling New'!P:P),"")</f>
        <v>6.0129032258064514</v>
      </c>
      <c r="AD41" s="133">
        <f>IFERROR(_xlfn.XLOOKUP($D41,'Modelling New'!$D:$D,'Modelling New'!$T:$T)*1000,"")</f>
        <v>33577.74455581214</v>
      </c>
      <c r="AE41" s="143">
        <f>IFERROR(_xlfn.XLOOKUP($D41,'Modelling New'!$D:$D,'Modelling New'!O:O),"")</f>
        <v>0.69621632879901718</v>
      </c>
      <c r="AF41" s="145">
        <f>IFERROR(_xlfn.XLOOKUP($D41,'Modelling New'!$D:$D,'Modelling New'!W:W),"")</f>
        <v>0.17442839205394728</v>
      </c>
      <c r="AG41" s="145">
        <f>IFERROR(_xlfn.XLOOKUP($D41,'Modelling New'!$D:$D,'Modelling New'!AE:AE),"")</f>
        <v>0.98040000000000005</v>
      </c>
      <c r="AH41" s="167">
        <f>IFERROR(_xlfn.XLOOKUP($D41,'Modelling New'!$D:$D,'Modelling New'!AF:AF),"")</f>
        <v>0.98</v>
      </c>
      <c r="AN41" s="144"/>
      <c r="AO41" s="141"/>
      <c r="AP41" s="141"/>
      <c r="AQ41" s="141"/>
      <c r="AR41" s="133">
        <f>'Basic Data'!$B$98/1000</f>
        <v>8.0208999999999993</v>
      </c>
    </row>
    <row r="42" spans="1:44" x14ac:dyDescent="0.3">
      <c r="A42" s="132">
        <f t="shared" si="3"/>
        <v>45785</v>
      </c>
      <c r="B42" s="133">
        <f>YEAR(Table13[[#This Row],[Date]])+IF(MONTH(Table13[[#This Row],[Date]])&gt;=4,1,0)</f>
        <v>2026</v>
      </c>
      <c r="C42" s="134">
        <f>YEAR(Table13[[#This Row],[Date]])</f>
        <v>2025</v>
      </c>
      <c r="D42" s="135">
        <f>Table13[[#This Row],[Date]]-DAY(Table13[[#This Row],[Date]])+1</f>
        <v>45778</v>
      </c>
      <c r="E42" s="134">
        <f t="shared" si="0"/>
        <v>31</v>
      </c>
      <c r="F42" s="136">
        <f>IFERROR(_xlfn.XLOOKUP($A42,'Raw Data'!$G:$G,'Raw Data'!$AM:$AM),"")</f>
        <v>12.450000000000001</v>
      </c>
      <c r="G42" s="137">
        <f>IFERROR(_xlfn.XLOOKUP($A42,'Raw Data'!$G:$G,'Raw Data'!$AB:$AB),"")</f>
        <v>0</v>
      </c>
      <c r="H42" s="137"/>
      <c r="I42" s="137">
        <f>IFERROR(_xlfn.XLOOKUP($A42,'Raw Data'!$G:$G,'Raw Data'!$AC:$AC),"")</f>
        <v>6.72</v>
      </c>
      <c r="J42" s="137"/>
      <c r="K42" s="137">
        <f>IFERROR(_xlfn.XLOOKUP($A42,'Raw Data'!$G:$G,'Raw Data'!AD:AD),"")</f>
        <v>0</v>
      </c>
      <c r="L42" s="137">
        <f>IFERROR(_xlfn.XLOOKUP($A42,'Raw Data'!$G:$G,'Raw Data'!AE:AE),"")</f>
        <v>44.03</v>
      </c>
      <c r="M42" s="137">
        <f>IFERROR(_xlfn.XLOOKUP($A42,'Raw Data'!$G:$G,'Raw Data'!AF:AF),"")</f>
        <v>0</v>
      </c>
      <c r="N42" s="137">
        <f>IFERROR(_xlfn.XLOOKUP($A42,'Raw Data'!$G:$G,'Raw Data'!AG:AG),"")</f>
        <v>0</v>
      </c>
      <c r="O42" s="138">
        <f>IFERROR(1-SUMIF('Plant BD'!$H:$H,$A42,'Plant BD'!$AE:$AE)/($AA42+SUMIF('Plant BD'!$H:$H,$A42,'Plant BD'!$AE:$AE)),"")</f>
        <v>1</v>
      </c>
      <c r="P42" s="138"/>
      <c r="Q42" s="139"/>
      <c r="R42" s="138">
        <f>IFERROR(1-SUMIF('Grid BD'!$H:$H,$A42,'Grid BD'!$AD:$AD)/($AA42+SUMIF('Grid BD'!$H:$H,$A42,'Grid BD'!$AD:$AD)),"")</f>
        <v>0.97431814439636222</v>
      </c>
      <c r="T42" s="139"/>
      <c r="U42" s="140">
        <f t="shared" si="1"/>
        <v>0.72262850208597329</v>
      </c>
      <c r="V42" s="140"/>
      <c r="W42" s="141">
        <f t="shared" si="2"/>
        <v>0.20233598058407248</v>
      </c>
      <c r="X42" s="133">
        <f>IFERROR(_xlfn.XLOOKUP($A42,'Raw Data'!$G:$G,'Raw Data'!AI:AI),"")</f>
        <v>39372.199999999997</v>
      </c>
      <c r="Y42" s="133">
        <f>IFERROR(_xlfn.XLOOKUP($A42,'Raw Data'!$G:$G,'Raw Data'!AJ:AJ),"")</f>
        <v>39050.00000000291</v>
      </c>
      <c r="Z42" s="133">
        <f>IFERROR(_xlfn.XLOOKUP($A42,'Raw Data'!$G:$G,'Raw Data'!AK:AK),"")</f>
        <v>100.00000000002274</v>
      </c>
      <c r="AA42" s="133">
        <f>IFERROR(_xlfn.XLOOKUP($A42,'Raw Data'!$G:$G,'Raw Data'!AL:AL),"")</f>
        <v>38950.000000002889</v>
      </c>
      <c r="AB42" s="133">
        <f>IFERROR(_xlfn.XLOOKUP($A42,'Raw Data'!$G:$G,'Raw Data'!H:H),"")</f>
        <v>8.0208999999999993</v>
      </c>
      <c r="AC42" s="142">
        <f>IFERROR(_xlfn.XLOOKUP($D42,'Modelling New'!$D:$D,'Modelling New'!P:P),"")</f>
        <v>6.0129032258064514</v>
      </c>
      <c r="AD42" s="133">
        <f>IFERROR(_xlfn.XLOOKUP($D42,'Modelling New'!$D:$D,'Modelling New'!$T:$T)*1000,"")</f>
        <v>33577.74455581214</v>
      </c>
      <c r="AE42" s="143">
        <f>IFERROR(_xlfn.XLOOKUP($D42,'Modelling New'!$D:$D,'Modelling New'!O:O),"")</f>
        <v>0.69621632879901718</v>
      </c>
      <c r="AF42" s="145">
        <f>IFERROR(_xlfn.XLOOKUP($D42,'Modelling New'!$D:$D,'Modelling New'!W:W),"")</f>
        <v>0.17442839205394728</v>
      </c>
      <c r="AG42" s="145">
        <f>IFERROR(_xlfn.XLOOKUP($D42,'Modelling New'!$D:$D,'Modelling New'!AE:AE),"")</f>
        <v>0.98040000000000005</v>
      </c>
      <c r="AH42" s="167">
        <f>IFERROR(_xlfn.XLOOKUP($D42,'Modelling New'!$D:$D,'Modelling New'!AF:AF),"")</f>
        <v>0.98</v>
      </c>
      <c r="AN42" s="144"/>
      <c r="AO42" s="141"/>
      <c r="AP42" s="141"/>
      <c r="AQ42" s="141"/>
      <c r="AR42" s="133">
        <f>'Basic Data'!$B$98/1000</f>
        <v>8.0208999999999993</v>
      </c>
    </row>
    <row r="43" spans="1:44" x14ac:dyDescent="0.3">
      <c r="A43" s="132">
        <f t="shared" si="3"/>
        <v>45786</v>
      </c>
      <c r="B43" s="133">
        <f>YEAR(Table13[[#This Row],[Date]])+IF(MONTH(Table13[[#This Row],[Date]])&gt;=4,1,0)</f>
        <v>2026</v>
      </c>
      <c r="C43" s="134">
        <f>YEAR(Table13[[#This Row],[Date]])</f>
        <v>2025</v>
      </c>
      <c r="D43" s="135">
        <f>Table13[[#This Row],[Date]]-DAY(Table13[[#This Row],[Date]])+1</f>
        <v>45778</v>
      </c>
      <c r="E43" s="134">
        <f t="shared" si="0"/>
        <v>31</v>
      </c>
      <c r="F43" s="136">
        <f>IFERROR(_xlfn.XLOOKUP($A43,'Raw Data'!$G:$G,'Raw Data'!$AM:$AM),"")</f>
        <v>12.65</v>
      </c>
      <c r="G43" s="137">
        <f>IFERROR(_xlfn.XLOOKUP($A43,'Raw Data'!$G:$G,'Raw Data'!$AB:$AB),"")</f>
        <v>0</v>
      </c>
      <c r="H43" s="137"/>
      <c r="I43" s="137">
        <f>IFERROR(_xlfn.XLOOKUP($A43,'Raw Data'!$G:$G,'Raw Data'!$AC:$AC),"")</f>
        <v>6.54</v>
      </c>
      <c r="J43" s="137"/>
      <c r="K43" s="137">
        <f>IFERROR(_xlfn.XLOOKUP($A43,'Raw Data'!$G:$G,'Raw Data'!AD:AD),"")</f>
        <v>0</v>
      </c>
      <c r="L43" s="137">
        <f>IFERROR(_xlfn.XLOOKUP($A43,'Raw Data'!$G:$G,'Raw Data'!AE:AE),"")</f>
        <v>44.38</v>
      </c>
      <c r="M43" s="137">
        <f>IFERROR(_xlfn.XLOOKUP($A43,'Raw Data'!$G:$G,'Raw Data'!AF:AF),"")</f>
        <v>0</v>
      </c>
      <c r="N43" s="137">
        <f>IFERROR(_xlfn.XLOOKUP($A43,'Raw Data'!$G:$G,'Raw Data'!AG:AG),"")</f>
        <v>0</v>
      </c>
      <c r="O43" s="138">
        <f>IFERROR(1-SUMIF('Plant BD'!$H:$H,$A43,'Plant BD'!$AE:$AE)/($AA43+SUMIF('Plant BD'!$H:$H,$A43,'Plant BD'!$AE:$AE)),"")</f>
        <v>1</v>
      </c>
      <c r="P43" s="138"/>
      <c r="Q43" s="139"/>
      <c r="R43" s="138">
        <f>IFERROR(1-SUMIF('Grid BD'!$H:$H,$A43,'Grid BD'!$AD:$AD)/($AA43+SUMIF('Grid BD'!$H:$H,$A43,'Grid BD'!$AD:$AD)),"")</f>
        <v>1</v>
      </c>
      <c r="T43" s="139"/>
      <c r="U43" s="140">
        <f t="shared" si="1"/>
        <v>0.7358451885427354</v>
      </c>
      <c r="V43" s="140"/>
      <c r="W43" s="141">
        <f t="shared" si="2"/>
        <v>0.20051781387789538</v>
      </c>
      <c r="X43" s="133">
        <f>IFERROR(_xlfn.XLOOKUP($A43,'Raw Data'!$G:$G,'Raw Data'!AI:AI),"")</f>
        <v>39049.699999999997</v>
      </c>
      <c r="Y43" s="133">
        <f>IFERROR(_xlfn.XLOOKUP($A43,'Raw Data'!$G:$G,'Raw Data'!AJ:AJ),"")</f>
        <v>38699.99999999709</v>
      </c>
      <c r="Z43" s="133">
        <f>IFERROR(_xlfn.XLOOKUP($A43,'Raw Data'!$G:$G,'Raw Data'!AK:AK),"")</f>
        <v>100.00000000002274</v>
      </c>
      <c r="AA43" s="133">
        <f>IFERROR(_xlfn.XLOOKUP($A43,'Raw Data'!$G:$G,'Raw Data'!AL:AL),"")</f>
        <v>38599.999999997068</v>
      </c>
      <c r="AB43" s="133">
        <f>IFERROR(_xlfn.XLOOKUP($A43,'Raw Data'!$G:$G,'Raw Data'!H:H),"")</f>
        <v>8.0208999999999993</v>
      </c>
      <c r="AC43" s="142">
        <f>IFERROR(_xlfn.XLOOKUP($D43,'Modelling New'!$D:$D,'Modelling New'!P:P),"")</f>
        <v>6.0129032258064514</v>
      </c>
      <c r="AD43" s="133">
        <f>IFERROR(_xlfn.XLOOKUP($D43,'Modelling New'!$D:$D,'Modelling New'!$T:$T)*1000,"")</f>
        <v>33577.74455581214</v>
      </c>
      <c r="AE43" s="143">
        <f>IFERROR(_xlfn.XLOOKUP($D43,'Modelling New'!$D:$D,'Modelling New'!O:O),"")</f>
        <v>0.69621632879901718</v>
      </c>
      <c r="AF43" s="145">
        <f>IFERROR(_xlfn.XLOOKUP($D43,'Modelling New'!$D:$D,'Modelling New'!W:W),"")</f>
        <v>0.17442839205394728</v>
      </c>
      <c r="AG43" s="145">
        <f>IFERROR(_xlfn.XLOOKUP($D43,'Modelling New'!$D:$D,'Modelling New'!AE:AE),"")</f>
        <v>0.98040000000000005</v>
      </c>
      <c r="AH43" s="167">
        <f>IFERROR(_xlfn.XLOOKUP($D43,'Modelling New'!$D:$D,'Modelling New'!AF:AF),"")</f>
        <v>0.98</v>
      </c>
      <c r="AN43" s="144"/>
      <c r="AO43" s="141"/>
      <c r="AP43" s="141"/>
      <c r="AQ43" s="141"/>
      <c r="AR43" s="133">
        <f>'Basic Data'!$B$98/1000</f>
        <v>8.0208999999999993</v>
      </c>
    </row>
    <row r="44" spans="1:44" x14ac:dyDescent="0.3">
      <c r="A44" s="132">
        <f t="shared" si="3"/>
        <v>45787</v>
      </c>
      <c r="B44" s="133">
        <f>YEAR(Table13[[#This Row],[Date]])+IF(MONTH(Table13[[#This Row],[Date]])&gt;=4,1,0)</f>
        <v>2026</v>
      </c>
      <c r="C44" s="134">
        <f>YEAR(Table13[[#This Row],[Date]])</f>
        <v>2025</v>
      </c>
      <c r="D44" s="135">
        <f>Table13[[#This Row],[Date]]-DAY(Table13[[#This Row],[Date]])+1</f>
        <v>45778</v>
      </c>
      <c r="E44" s="134">
        <f t="shared" si="0"/>
        <v>31</v>
      </c>
      <c r="F44" s="136">
        <f>IFERROR(_xlfn.XLOOKUP($A44,'Raw Data'!$G:$G,'Raw Data'!$AM:$AM),"")</f>
        <v>12.5</v>
      </c>
      <c r="G44" s="137">
        <f>IFERROR(_xlfn.XLOOKUP($A44,'Raw Data'!$G:$G,'Raw Data'!$AB:$AB),"")</f>
        <v>0</v>
      </c>
      <c r="H44" s="137"/>
      <c r="I44" s="137">
        <f>IFERROR(_xlfn.XLOOKUP($A44,'Raw Data'!$G:$G,'Raw Data'!$AC:$AC),"")</f>
        <v>4.9800000000000004</v>
      </c>
      <c r="J44" s="137"/>
      <c r="K44" s="137">
        <f>IFERROR(_xlfn.XLOOKUP($A44,'Raw Data'!$G:$G,'Raw Data'!AD:AD),"")</f>
        <v>0</v>
      </c>
      <c r="L44" s="137">
        <f>IFERROR(_xlfn.XLOOKUP($A44,'Raw Data'!$G:$G,'Raw Data'!AE:AE),"")</f>
        <v>42.32</v>
      </c>
      <c r="M44" s="137">
        <f>IFERROR(_xlfn.XLOOKUP($A44,'Raw Data'!$G:$G,'Raw Data'!AF:AF),"")</f>
        <v>0</v>
      </c>
      <c r="N44" s="137">
        <f>IFERROR(_xlfn.XLOOKUP($A44,'Raw Data'!$G:$G,'Raw Data'!AG:AG),"")</f>
        <v>0</v>
      </c>
      <c r="O44" s="138">
        <f>IFERROR(1-SUMIF('Plant BD'!$H:$H,$A44,'Plant BD'!$AE:$AE)/($AA44+SUMIF('Plant BD'!$H:$H,$A44,'Plant BD'!$AE:$AE)),"")</f>
        <v>1</v>
      </c>
      <c r="P44" s="138"/>
      <c r="Q44" s="139"/>
      <c r="R44" s="138">
        <f>IFERROR(1-SUMIF('Grid BD'!$H:$H,$A44,'Grid BD'!$AD:$AD)/($AA44+SUMIF('Grid BD'!$H:$H,$A44,'Grid BD'!$AD:$AD)),"")</f>
        <v>1</v>
      </c>
      <c r="T44" s="139"/>
      <c r="U44" s="140">
        <f t="shared" si="1"/>
        <v>0.81864442397256609</v>
      </c>
      <c r="V44" s="140"/>
      <c r="W44" s="141">
        <f t="shared" si="2"/>
        <v>0.16986871797430744</v>
      </c>
      <c r="X44" s="133">
        <f>IFERROR(_xlfn.XLOOKUP($A44,'Raw Data'!$G:$G,'Raw Data'!AI:AI),"")</f>
        <v>33104.300000000003</v>
      </c>
      <c r="Y44" s="133">
        <f>IFERROR(_xlfn.XLOOKUP($A44,'Raw Data'!$G:$G,'Raw Data'!AJ:AJ),"")</f>
        <v>32800.00000000291</v>
      </c>
      <c r="Z44" s="133">
        <f>IFERROR(_xlfn.XLOOKUP($A44,'Raw Data'!$G:$G,'Raw Data'!AK:AK),"")</f>
        <v>99.999999999965894</v>
      </c>
      <c r="AA44" s="133">
        <f>IFERROR(_xlfn.XLOOKUP($A44,'Raw Data'!$G:$G,'Raw Data'!AL:AL),"")</f>
        <v>32700.000000002943</v>
      </c>
      <c r="AB44" s="133">
        <f>IFERROR(_xlfn.XLOOKUP($A44,'Raw Data'!$G:$G,'Raw Data'!H:H),"")</f>
        <v>8.0208999999999993</v>
      </c>
      <c r="AC44" s="142">
        <f>IFERROR(_xlfn.XLOOKUP($D44,'Modelling New'!$D:$D,'Modelling New'!P:P),"")</f>
        <v>6.0129032258064514</v>
      </c>
      <c r="AD44" s="133">
        <f>IFERROR(_xlfn.XLOOKUP($D44,'Modelling New'!$D:$D,'Modelling New'!$T:$T)*1000,"")</f>
        <v>33577.74455581214</v>
      </c>
      <c r="AE44" s="143">
        <f>IFERROR(_xlfn.XLOOKUP($D44,'Modelling New'!$D:$D,'Modelling New'!O:O),"")</f>
        <v>0.69621632879901718</v>
      </c>
      <c r="AF44" s="145">
        <f>IFERROR(_xlfn.XLOOKUP($D44,'Modelling New'!$D:$D,'Modelling New'!W:W),"")</f>
        <v>0.17442839205394728</v>
      </c>
      <c r="AG44" s="145">
        <f>IFERROR(_xlfn.XLOOKUP($D44,'Modelling New'!$D:$D,'Modelling New'!AE:AE),"")</f>
        <v>0.98040000000000005</v>
      </c>
      <c r="AH44" s="167">
        <f>IFERROR(_xlfn.XLOOKUP($D44,'Modelling New'!$D:$D,'Modelling New'!AF:AF),"")</f>
        <v>0.98</v>
      </c>
      <c r="AN44" s="144"/>
      <c r="AO44" s="141"/>
      <c r="AP44" s="141"/>
      <c r="AQ44" s="141"/>
      <c r="AR44" s="133">
        <f>'Basic Data'!$B$98/1000</f>
        <v>8.0208999999999993</v>
      </c>
    </row>
    <row r="45" spans="1:44" x14ac:dyDescent="0.3">
      <c r="A45" s="132">
        <f t="shared" si="3"/>
        <v>45788</v>
      </c>
      <c r="B45" s="133">
        <f>YEAR(Table13[[#This Row],[Date]])+IF(MONTH(Table13[[#This Row],[Date]])&gt;=4,1,0)</f>
        <v>2026</v>
      </c>
      <c r="C45" s="134">
        <f>YEAR(Table13[[#This Row],[Date]])</f>
        <v>2025</v>
      </c>
      <c r="D45" s="135">
        <f>Table13[[#This Row],[Date]]-DAY(Table13[[#This Row],[Date]])+1</f>
        <v>45778</v>
      </c>
      <c r="E45" s="134">
        <f t="shared" si="0"/>
        <v>31</v>
      </c>
      <c r="F45" s="136">
        <f>IFERROR(_xlfn.XLOOKUP($A45,'Raw Data'!$G:$G,'Raw Data'!$AM:$AM),"")</f>
        <v>12.75</v>
      </c>
      <c r="G45" s="137">
        <f>IFERROR(_xlfn.XLOOKUP($A45,'Raw Data'!$G:$G,'Raw Data'!$AB:$AB),"")</f>
        <v>0</v>
      </c>
      <c r="H45" s="137"/>
      <c r="I45" s="137">
        <f>IFERROR(_xlfn.XLOOKUP($A45,'Raw Data'!$G:$G,'Raw Data'!$AC:$AC),"")</f>
        <v>5.82</v>
      </c>
      <c r="J45" s="137"/>
      <c r="K45" s="137">
        <f>IFERROR(_xlfn.XLOOKUP($A45,'Raw Data'!$G:$G,'Raw Data'!AD:AD),"")</f>
        <v>0</v>
      </c>
      <c r="L45" s="137">
        <f>IFERROR(_xlfn.XLOOKUP($A45,'Raw Data'!$G:$G,'Raw Data'!AE:AE),"")</f>
        <v>43.47</v>
      </c>
      <c r="M45" s="137">
        <f>IFERROR(_xlfn.XLOOKUP($A45,'Raw Data'!$G:$G,'Raw Data'!AF:AF),"")</f>
        <v>0</v>
      </c>
      <c r="N45" s="137">
        <f>IFERROR(_xlfn.XLOOKUP($A45,'Raw Data'!$G:$G,'Raw Data'!AG:AG),"")</f>
        <v>0</v>
      </c>
      <c r="O45" s="138">
        <f>IFERROR(1-SUMIF('Plant BD'!$H:$H,$A45,'Plant BD'!$AE:$AE)/($AA45+SUMIF('Plant BD'!$H:$H,$A45,'Plant BD'!$AE:$AE)),"")</f>
        <v>1</v>
      </c>
      <c r="P45" s="138"/>
      <c r="Q45" s="139"/>
      <c r="R45" s="138">
        <f>IFERROR(1-SUMIF('Grid BD'!$H:$H,$A45,'Grid BD'!$AD:$AD)/($AA45+SUMIF('Grid BD'!$H:$H,$A45,'Grid BD'!$AD:$AD)),"")</f>
        <v>1</v>
      </c>
      <c r="T45" s="139"/>
      <c r="U45" s="140">
        <f t="shared" si="1"/>
        <v>0.72405342760239388</v>
      </c>
      <c r="V45" s="140"/>
      <c r="W45" s="141">
        <f t="shared" si="2"/>
        <v>0.1755829561935805</v>
      </c>
      <c r="X45" s="133">
        <f>IFERROR(_xlfn.XLOOKUP($A45,'Raw Data'!$G:$G,'Raw Data'!AI:AI),"")</f>
        <v>34153.300000000003</v>
      </c>
      <c r="Y45" s="133">
        <f>IFERROR(_xlfn.XLOOKUP($A45,'Raw Data'!$G:$G,'Raw Data'!AJ:AJ),"")</f>
        <v>33899.999999994179</v>
      </c>
      <c r="Z45" s="133">
        <f>IFERROR(_xlfn.XLOOKUP($A45,'Raw Data'!$G:$G,'Raw Data'!AK:AK),"")</f>
        <v>100.00000000002274</v>
      </c>
      <c r="AA45" s="133">
        <f>IFERROR(_xlfn.XLOOKUP($A45,'Raw Data'!$G:$G,'Raw Data'!AL:AL),"")</f>
        <v>33799.999999994157</v>
      </c>
      <c r="AB45" s="133">
        <f>IFERROR(_xlfn.XLOOKUP($A45,'Raw Data'!$G:$G,'Raw Data'!H:H),"")</f>
        <v>8.0208999999999993</v>
      </c>
      <c r="AC45" s="142">
        <f>IFERROR(_xlfn.XLOOKUP($D45,'Modelling New'!$D:$D,'Modelling New'!P:P),"")</f>
        <v>6.0129032258064514</v>
      </c>
      <c r="AD45" s="133">
        <f>IFERROR(_xlfn.XLOOKUP($D45,'Modelling New'!$D:$D,'Modelling New'!$T:$T)*1000,"")</f>
        <v>33577.74455581214</v>
      </c>
      <c r="AE45" s="143">
        <f>IFERROR(_xlfn.XLOOKUP($D45,'Modelling New'!$D:$D,'Modelling New'!O:O),"")</f>
        <v>0.69621632879901718</v>
      </c>
      <c r="AF45" s="145">
        <f>IFERROR(_xlfn.XLOOKUP($D45,'Modelling New'!$D:$D,'Modelling New'!W:W),"")</f>
        <v>0.17442839205394728</v>
      </c>
      <c r="AG45" s="145">
        <f>IFERROR(_xlfn.XLOOKUP($D45,'Modelling New'!$D:$D,'Modelling New'!AE:AE),"")</f>
        <v>0.98040000000000005</v>
      </c>
      <c r="AH45" s="167">
        <f>IFERROR(_xlfn.XLOOKUP($D45,'Modelling New'!$D:$D,'Modelling New'!AF:AF),"")</f>
        <v>0.98</v>
      </c>
      <c r="AN45" s="144"/>
      <c r="AO45" s="141"/>
      <c r="AP45" s="141"/>
      <c r="AQ45" s="141"/>
      <c r="AR45" s="133">
        <f>'Basic Data'!$B$98/1000</f>
        <v>8.0208999999999993</v>
      </c>
    </row>
    <row r="46" spans="1:44" x14ac:dyDescent="0.3">
      <c r="A46" s="132">
        <f t="shared" si="3"/>
        <v>45789</v>
      </c>
      <c r="B46" s="133">
        <f>YEAR(Table13[[#This Row],[Date]])+IF(MONTH(Table13[[#This Row],[Date]])&gt;=4,1,0)</f>
        <v>2026</v>
      </c>
      <c r="C46" s="134">
        <f>YEAR(Table13[[#This Row],[Date]])</f>
        <v>2025</v>
      </c>
      <c r="D46" s="135">
        <f>Table13[[#This Row],[Date]]-DAY(Table13[[#This Row],[Date]])+1</f>
        <v>45778</v>
      </c>
      <c r="E46" s="134">
        <f t="shared" si="0"/>
        <v>31</v>
      </c>
      <c r="F46" s="136">
        <f>IFERROR(_xlfn.XLOOKUP($A46,'Raw Data'!$G:$G,'Raw Data'!$AM:$AM),"")</f>
        <v>11.866666666666667</v>
      </c>
      <c r="G46" s="137">
        <f>IFERROR(_xlfn.XLOOKUP($A46,'Raw Data'!$G:$G,'Raw Data'!$AB:$AB),"")</f>
        <v>0</v>
      </c>
      <c r="H46" s="137"/>
      <c r="I46" s="137">
        <f>IFERROR(_xlfn.XLOOKUP($A46,'Raw Data'!$G:$G,'Raw Data'!$AC:$AC),"")</f>
        <v>6.33</v>
      </c>
      <c r="J46" s="137"/>
      <c r="K46" s="137">
        <f>IFERROR(_xlfn.XLOOKUP($A46,'Raw Data'!$G:$G,'Raw Data'!AD:AD),"")</f>
        <v>0</v>
      </c>
      <c r="L46" s="137">
        <f>IFERROR(_xlfn.XLOOKUP($A46,'Raw Data'!$G:$G,'Raw Data'!AE:AE),"")</f>
        <v>44.17</v>
      </c>
      <c r="M46" s="137">
        <f>IFERROR(_xlfn.XLOOKUP($A46,'Raw Data'!$G:$G,'Raw Data'!AF:AF),"")</f>
        <v>0</v>
      </c>
      <c r="N46" s="137">
        <f>IFERROR(_xlfn.XLOOKUP($A46,'Raw Data'!$G:$G,'Raw Data'!AG:AG),"")</f>
        <v>0</v>
      </c>
      <c r="O46" s="138">
        <f>IFERROR(1-SUMIF('Plant BD'!$H:$H,$A46,'Plant BD'!$AE:$AE)/($AA46+SUMIF('Plant BD'!$H:$H,$A46,'Plant BD'!$AE:$AE)),"")</f>
        <v>1</v>
      </c>
      <c r="P46" s="138"/>
      <c r="Q46" s="139"/>
      <c r="R46" s="138">
        <f>IFERROR(1-SUMIF('Grid BD'!$H:$H,$A46,'Grid BD'!$AD:$AD)/($AA46+SUMIF('Grid BD'!$H:$H,$A46,'Grid BD'!$AD:$AD)),"")</f>
        <v>1</v>
      </c>
      <c r="T46" s="139"/>
      <c r="U46" s="140">
        <f t="shared" si="1"/>
        <v>0.7799528943906493</v>
      </c>
      <c r="V46" s="140"/>
      <c r="W46" s="141">
        <f t="shared" si="2"/>
        <v>0.20571257589553374</v>
      </c>
      <c r="X46" s="133">
        <f>IFERROR(_xlfn.XLOOKUP($A46,'Raw Data'!$G:$G,'Raw Data'!AI:AI),"")</f>
        <v>39985.699999999997</v>
      </c>
      <c r="Y46" s="133">
        <f>IFERROR(_xlfn.XLOOKUP($A46,'Raw Data'!$G:$G,'Raw Data'!AJ:AJ),"")</f>
        <v>39700.000000011642</v>
      </c>
      <c r="Z46" s="133">
        <f>IFERROR(_xlfn.XLOOKUP($A46,'Raw Data'!$G:$G,'Raw Data'!AK:AK),"")</f>
        <v>99.999999999965894</v>
      </c>
      <c r="AA46" s="133">
        <f>IFERROR(_xlfn.XLOOKUP($A46,'Raw Data'!$G:$G,'Raw Data'!AL:AL),"")</f>
        <v>39600.000000011678</v>
      </c>
      <c r="AB46" s="133">
        <f>IFERROR(_xlfn.XLOOKUP($A46,'Raw Data'!$G:$G,'Raw Data'!H:H),"")</f>
        <v>8.0208999999999993</v>
      </c>
      <c r="AC46" s="142">
        <f>IFERROR(_xlfn.XLOOKUP($D46,'Modelling New'!$D:$D,'Modelling New'!P:P),"")</f>
        <v>6.0129032258064514</v>
      </c>
      <c r="AD46" s="133">
        <f>IFERROR(_xlfn.XLOOKUP($D46,'Modelling New'!$D:$D,'Modelling New'!$T:$T)*1000,"")</f>
        <v>33577.74455581214</v>
      </c>
      <c r="AE46" s="143">
        <f>IFERROR(_xlfn.XLOOKUP($D46,'Modelling New'!$D:$D,'Modelling New'!O:O),"")</f>
        <v>0.69621632879901718</v>
      </c>
      <c r="AF46" s="145">
        <f>IFERROR(_xlfn.XLOOKUP($D46,'Modelling New'!$D:$D,'Modelling New'!W:W),"")</f>
        <v>0.17442839205394728</v>
      </c>
      <c r="AG46" s="145">
        <f>IFERROR(_xlfn.XLOOKUP($D46,'Modelling New'!$D:$D,'Modelling New'!AE:AE),"")</f>
        <v>0.98040000000000005</v>
      </c>
      <c r="AH46" s="167">
        <f>IFERROR(_xlfn.XLOOKUP($D46,'Modelling New'!$D:$D,'Modelling New'!AF:AF),"")</f>
        <v>0.98</v>
      </c>
      <c r="AN46" s="144"/>
      <c r="AO46" s="141"/>
      <c r="AP46" s="141"/>
      <c r="AQ46" s="141"/>
      <c r="AR46" s="133">
        <f>'Basic Data'!$B$98/1000</f>
        <v>8.0208999999999993</v>
      </c>
    </row>
    <row r="47" spans="1:44" x14ac:dyDescent="0.3">
      <c r="A47" s="132">
        <f t="shared" si="3"/>
        <v>45790</v>
      </c>
      <c r="B47" s="133">
        <f>YEAR(Table13[[#This Row],[Date]])+IF(MONTH(Table13[[#This Row],[Date]])&gt;=4,1,0)</f>
        <v>2026</v>
      </c>
      <c r="C47" s="134">
        <f>YEAR(Table13[[#This Row],[Date]])</f>
        <v>2025</v>
      </c>
      <c r="D47" s="135">
        <f>Table13[[#This Row],[Date]]-DAY(Table13[[#This Row],[Date]])+1</f>
        <v>45778</v>
      </c>
      <c r="E47" s="134">
        <f t="shared" si="0"/>
        <v>31</v>
      </c>
      <c r="F47" s="136">
        <f>IFERROR(_xlfn.XLOOKUP($A47,'Raw Data'!$G:$G,'Raw Data'!$AM:$AM),"")</f>
        <v>12.600000000000001</v>
      </c>
      <c r="G47" s="137">
        <f>IFERROR(_xlfn.XLOOKUP($A47,'Raw Data'!$G:$G,'Raw Data'!$AB:$AB),"")</f>
        <v>0</v>
      </c>
      <c r="H47" s="137"/>
      <c r="I47" s="137">
        <f>IFERROR(_xlfn.XLOOKUP($A47,'Raw Data'!$G:$G,'Raw Data'!$AC:$AC),"")</f>
        <v>5.18</v>
      </c>
      <c r="J47" s="137"/>
      <c r="K47" s="137">
        <f>IFERROR(_xlfn.XLOOKUP($A47,'Raw Data'!$G:$G,'Raw Data'!AD:AD),"")</f>
        <v>0</v>
      </c>
      <c r="L47" s="137">
        <f>IFERROR(_xlfn.XLOOKUP($A47,'Raw Data'!$G:$G,'Raw Data'!AE:AE),"")</f>
        <v>42.05</v>
      </c>
      <c r="M47" s="137">
        <f>IFERROR(_xlfn.XLOOKUP($A47,'Raw Data'!$G:$G,'Raw Data'!AF:AF),"")</f>
        <v>0</v>
      </c>
      <c r="N47" s="137">
        <f>IFERROR(_xlfn.XLOOKUP($A47,'Raw Data'!$G:$G,'Raw Data'!AG:AG),"")</f>
        <v>0</v>
      </c>
      <c r="O47" s="138">
        <f>IFERROR(1-SUMIF('Plant BD'!$H:$H,$A47,'Plant BD'!$AE:$AE)/($AA47+SUMIF('Plant BD'!$H:$H,$A47,'Plant BD'!$AE:$AE)),"")</f>
        <v>1</v>
      </c>
      <c r="P47" s="138"/>
      <c r="Q47" s="139"/>
      <c r="R47" s="138">
        <f>IFERROR(1-SUMIF('Grid BD'!$H:$H,$A47,'Grid BD'!$AD:$AD)/($AA47+SUMIF('Grid BD'!$H:$H,$A47,'Grid BD'!$AD:$AD)),"")</f>
        <v>1</v>
      </c>
      <c r="T47" s="139"/>
      <c r="U47" s="140">
        <f t="shared" si="1"/>
        <v>0.83035964296150955</v>
      </c>
      <c r="V47" s="140"/>
      <c r="W47" s="141">
        <f t="shared" si="2"/>
        <v>0.17921928960585909</v>
      </c>
      <c r="X47" s="133">
        <f>IFERROR(_xlfn.XLOOKUP($A47,'Raw Data'!$G:$G,'Raw Data'!AI:AI),"")</f>
        <v>34932.200000000004</v>
      </c>
      <c r="Y47" s="133">
        <f>IFERROR(_xlfn.XLOOKUP($A47,'Raw Data'!$G:$G,'Raw Data'!AJ:AJ),"")</f>
        <v>34599.999999991269</v>
      </c>
      <c r="Z47" s="133">
        <f>IFERROR(_xlfn.XLOOKUP($A47,'Raw Data'!$G:$G,'Raw Data'!AK:AK),"")</f>
        <v>100.00000000002274</v>
      </c>
      <c r="AA47" s="133">
        <f>IFERROR(_xlfn.XLOOKUP($A47,'Raw Data'!$G:$G,'Raw Data'!AL:AL),"")</f>
        <v>34499.999999991247</v>
      </c>
      <c r="AB47" s="133">
        <f>IFERROR(_xlfn.XLOOKUP($A47,'Raw Data'!$G:$G,'Raw Data'!H:H),"")</f>
        <v>8.0208999999999993</v>
      </c>
      <c r="AC47" s="142">
        <f>IFERROR(_xlfn.XLOOKUP($D47,'Modelling New'!$D:$D,'Modelling New'!P:P),"")</f>
        <v>6.0129032258064514</v>
      </c>
      <c r="AD47" s="133">
        <f>IFERROR(_xlfn.XLOOKUP($D47,'Modelling New'!$D:$D,'Modelling New'!$T:$T)*1000,"")</f>
        <v>33577.74455581214</v>
      </c>
      <c r="AE47" s="143">
        <f>IFERROR(_xlfn.XLOOKUP($D47,'Modelling New'!$D:$D,'Modelling New'!O:O),"")</f>
        <v>0.69621632879901718</v>
      </c>
      <c r="AF47" s="145">
        <f>IFERROR(_xlfn.XLOOKUP($D47,'Modelling New'!$D:$D,'Modelling New'!W:W),"")</f>
        <v>0.17442839205394728</v>
      </c>
      <c r="AG47" s="145">
        <f>IFERROR(_xlfn.XLOOKUP($D47,'Modelling New'!$D:$D,'Modelling New'!AE:AE),"")</f>
        <v>0.98040000000000005</v>
      </c>
      <c r="AH47" s="167">
        <f>IFERROR(_xlfn.XLOOKUP($D47,'Modelling New'!$D:$D,'Modelling New'!AF:AF),"")</f>
        <v>0.98</v>
      </c>
      <c r="AN47" s="144"/>
      <c r="AO47" s="141"/>
      <c r="AP47" s="141"/>
      <c r="AQ47" s="141"/>
      <c r="AR47" s="133">
        <f>'Basic Data'!$B$98/1000</f>
        <v>8.0208999999999993</v>
      </c>
    </row>
    <row r="48" spans="1:44" x14ac:dyDescent="0.3">
      <c r="A48" s="132">
        <f t="shared" si="3"/>
        <v>45791</v>
      </c>
      <c r="B48" s="133">
        <f>YEAR(Table13[[#This Row],[Date]])+IF(MONTH(Table13[[#This Row],[Date]])&gt;=4,1,0)</f>
        <v>2026</v>
      </c>
      <c r="C48" s="134">
        <f>YEAR(Table13[[#This Row],[Date]])</f>
        <v>2025</v>
      </c>
      <c r="D48" s="135">
        <f>Table13[[#This Row],[Date]]-DAY(Table13[[#This Row],[Date]])+1</f>
        <v>45778</v>
      </c>
      <c r="E48" s="134">
        <f t="shared" si="0"/>
        <v>31</v>
      </c>
      <c r="F48" s="136">
        <f>IFERROR(_xlfn.XLOOKUP($A48,'Raw Data'!$G:$G,'Raw Data'!$AM:$AM),"")</f>
        <v>12.299999999999999</v>
      </c>
      <c r="G48" s="137">
        <f>IFERROR(_xlfn.XLOOKUP($A48,'Raw Data'!$G:$G,'Raw Data'!$AB:$AB),"")</f>
        <v>0</v>
      </c>
      <c r="H48" s="137"/>
      <c r="I48" s="137">
        <f>IFERROR(_xlfn.XLOOKUP($A48,'Raw Data'!$G:$G,'Raw Data'!$AC:$AC),"")</f>
        <v>5.23</v>
      </c>
      <c r="J48" s="137"/>
      <c r="K48" s="137">
        <f>IFERROR(_xlfn.XLOOKUP($A48,'Raw Data'!$G:$G,'Raw Data'!AD:AD),"")</f>
        <v>0</v>
      </c>
      <c r="L48" s="137">
        <f>IFERROR(_xlfn.XLOOKUP($A48,'Raw Data'!$G:$G,'Raw Data'!AE:AE),"")</f>
        <v>41.35</v>
      </c>
      <c r="M48" s="137">
        <f>IFERROR(_xlfn.XLOOKUP($A48,'Raw Data'!$G:$G,'Raw Data'!AF:AF),"")</f>
        <v>0</v>
      </c>
      <c r="N48" s="137">
        <f>IFERROR(_xlfn.XLOOKUP($A48,'Raw Data'!$G:$G,'Raw Data'!AG:AG),"")</f>
        <v>0</v>
      </c>
      <c r="O48" s="138">
        <f>IFERROR(1-SUMIF('Plant BD'!$H:$H,$A48,'Plant BD'!$AE:$AE)/($AA48+SUMIF('Plant BD'!$H:$H,$A48,'Plant BD'!$AE:$AE)),"")</f>
        <v>1</v>
      </c>
      <c r="P48" s="138"/>
      <c r="Q48" s="139"/>
      <c r="R48" s="138">
        <f>IFERROR(1-SUMIF('Grid BD'!$H:$H,$A48,'Grid BD'!$AD:$AD)/($AA48+SUMIF('Grid BD'!$H:$H,$A48,'Grid BD'!$AD:$AD)),"")</f>
        <v>0.99985763742975042</v>
      </c>
      <c r="T48" s="139"/>
      <c r="U48" s="140">
        <f t="shared" si="1"/>
        <v>0.80573440700721732</v>
      </c>
      <c r="V48" s="140"/>
      <c r="W48" s="141">
        <f t="shared" si="2"/>
        <v>0.1755829561936561</v>
      </c>
      <c r="X48" s="133">
        <f>IFERROR(_xlfn.XLOOKUP($A48,'Raw Data'!$G:$G,'Raw Data'!AI:AI),"")</f>
        <v>34215.9</v>
      </c>
      <c r="Y48" s="133">
        <f>IFERROR(_xlfn.XLOOKUP($A48,'Raw Data'!$G:$G,'Raw Data'!AJ:AJ),"")</f>
        <v>33900.000000008731</v>
      </c>
      <c r="Z48" s="133">
        <f>IFERROR(_xlfn.XLOOKUP($A48,'Raw Data'!$G:$G,'Raw Data'!AK:AK),"")</f>
        <v>100.00000000002274</v>
      </c>
      <c r="AA48" s="133">
        <f>IFERROR(_xlfn.XLOOKUP($A48,'Raw Data'!$G:$G,'Raw Data'!AL:AL),"")</f>
        <v>33800.000000008709</v>
      </c>
      <c r="AB48" s="133">
        <f>IFERROR(_xlfn.XLOOKUP($A48,'Raw Data'!$G:$G,'Raw Data'!H:H),"")</f>
        <v>8.0208999999999993</v>
      </c>
      <c r="AC48" s="142">
        <f>IFERROR(_xlfn.XLOOKUP($D48,'Modelling New'!$D:$D,'Modelling New'!P:P),"")</f>
        <v>6.0129032258064514</v>
      </c>
      <c r="AD48" s="133">
        <f>IFERROR(_xlfn.XLOOKUP($D48,'Modelling New'!$D:$D,'Modelling New'!$T:$T)*1000,"")</f>
        <v>33577.74455581214</v>
      </c>
      <c r="AE48" s="143">
        <f>IFERROR(_xlfn.XLOOKUP($D48,'Modelling New'!$D:$D,'Modelling New'!O:O),"")</f>
        <v>0.69621632879901718</v>
      </c>
      <c r="AF48" s="145">
        <f>IFERROR(_xlfn.XLOOKUP($D48,'Modelling New'!$D:$D,'Modelling New'!W:W),"")</f>
        <v>0.17442839205394728</v>
      </c>
      <c r="AG48" s="145">
        <f>IFERROR(_xlfn.XLOOKUP($D48,'Modelling New'!$D:$D,'Modelling New'!AE:AE),"")</f>
        <v>0.98040000000000005</v>
      </c>
      <c r="AH48" s="167">
        <f>IFERROR(_xlfn.XLOOKUP($D48,'Modelling New'!$D:$D,'Modelling New'!AF:AF),"")</f>
        <v>0.98</v>
      </c>
      <c r="AN48" s="144"/>
      <c r="AO48" s="141"/>
      <c r="AP48" s="141"/>
      <c r="AQ48" s="141"/>
      <c r="AR48" s="133">
        <f>'Basic Data'!$B$98/1000</f>
        <v>8.0208999999999993</v>
      </c>
    </row>
    <row r="49" spans="1:44" x14ac:dyDescent="0.3">
      <c r="A49" s="132">
        <f t="shared" si="3"/>
        <v>45792</v>
      </c>
      <c r="B49" s="133">
        <f>YEAR(Table13[[#This Row],[Date]])+IF(MONTH(Table13[[#This Row],[Date]])&gt;=4,1,0)</f>
        <v>2026</v>
      </c>
      <c r="C49" s="134">
        <f>YEAR(Table13[[#This Row],[Date]])</f>
        <v>2025</v>
      </c>
      <c r="D49" s="135">
        <f>Table13[[#This Row],[Date]]-DAY(Table13[[#This Row],[Date]])+1</f>
        <v>45778</v>
      </c>
      <c r="E49" s="134">
        <f t="shared" si="0"/>
        <v>31</v>
      </c>
      <c r="F49" s="136">
        <f>IFERROR(_xlfn.XLOOKUP($A49,'Raw Data'!$G:$G,'Raw Data'!$AM:$AM),"")</f>
        <v>12.2</v>
      </c>
      <c r="G49" s="137">
        <f>IFERROR(_xlfn.XLOOKUP($A49,'Raw Data'!$G:$G,'Raw Data'!$AB:$AB),"")</f>
        <v>0</v>
      </c>
      <c r="H49" s="137"/>
      <c r="I49" s="137">
        <f>IFERROR(_xlfn.XLOOKUP($A49,'Raw Data'!$G:$G,'Raw Data'!$AC:$AC),"")</f>
        <v>3.03</v>
      </c>
      <c r="J49" s="137"/>
      <c r="K49" s="137">
        <f>IFERROR(_xlfn.XLOOKUP($A49,'Raw Data'!$G:$G,'Raw Data'!AD:AD),"")</f>
        <v>0</v>
      </c>
      <c r="L49" s="137">
        <f>IFERROR(_xlfn.XLOOKUP($A49,'Raw Data'!$G:$G,'Raw Data'!AE:AE),"")</f>
        <v>33.729999999999997</v>
      </c>
      <c r="M49" s="137">
        <f>IFERROR(_xlfn.XLOOKUP($A49,'Raw Data'!$G:$G,'Raw Data'!AF:AF),"")</f>
        <v>0</v>
      </c>
      <c r="N49" s="137">
        <f>IFERROR(_xlfn.XLOOKUP($A49,'Raw Data'!$G:$G,'Raw Data'!AG:AG),"")</f>
        <v>0</v>
      </c>
      <c r="O49" s="138">
        <f>IFERROR(1-SUMIF('Plant BD'!$H:$H,$A49,'Plant BD'!$AE:$AE)/($AA49+SUMIF('Plant BD'!$H:$H,$A49,'Plant BD'!$AE:$AE)),"")</f>
        <v>0.94639374125847275</v>
      </c>
      <c r="P49" s="138"/>
      <c r="Q49" s="139"/>
      <c r="R49" s="138">
        <f>IFERROR(1-SUMIF('Grid BD'!$H:$H,$A49,'Grid BD'!$AD:$AD)/($AA49+SUMIF('Grid BD'!$H:$H,$A49,'Grid BD'!$AD:$AD)),"")</f>
        <v>0.98060033919621792</v>
      </c>
      <c r="T49" s="139"/>
      <c r="U49" s="140">
        <f t="shared" si="1"/>
        <v>0.76738464655429195</v>
      </c>
      <c r="V49" s="140"/>
      <c r="W49" s="141">
        <f t="shared" si="2"/>
        <v>9.6882311627479359E-2</v>
      </c>
      <c r="X49" s="133">
        <f>IFERROR(_xlfn.XLOOKUP($A49,'Raw Data'!$G:$G,'Raw Data'!AI:AI),"")</f>
        <v>19019.399999999998</v>
      </c>
      <c r="Y49" s="133">
        <f>IFERROR(_xlfn.XLOOKUP($A49,'Raw Data'!$G:$G,'Raw Data'!AJ:AJ),"")</f>
        <v>18799.999999988358</v>
      </c>
      <c r="Z49" s="133">
        <f>IFERROR(_xlfn.XLOOKUP($A49,'Raw Data'!$G:$G,'Raw Data'!AK:AK),"")</f>
        <v>149.99999999997726</v>
      </c>
      <c r="AA49" s="133">
        <f>IFERROR(_xlfn.XLOOKUP($A49,'Raw Data'!$G:$G,'Raw Data'!AL:AL),"")</f>
        <v>18649.99999998838</v>
      </c>
      <c r="AB49" s="133">
        <f>IFERROR(_xlfn.XLOOKUP($A49,'Raw Data'!$G:$G,'Raw Data'!H:H),"")</f>
        <v>8.0208999999999993</v>
      </c>
      <c r="AC49" s="142">
        <f>IFERROR(_xlfn.XLOOKUP($D49,'Modelling New'!$D:$D,'Modelling New'!P:P),"")</f>
        <v>6.0129032258064514</v>
      </c>
      <c r="AD49" s="133">
        <f>IFERROR(_xlfn.XLOOKUP($D49,'Modelling New'!$D:$D,'Modelling New'!$T:$T)*1000,"")</f>
        <v>33577.74455581214</v>
      </c>
      <c r="AE49" s="143">
        <f>IFERROR(_xlfn.XLOOKUP($D49,'Modelling New'!$D:$D,'Modelling New'!O:O),"")</f>
        <v>0.69621632879901718</v>
      </c>
      <c r="AF49" s="145">
        <f>IFERROR(_xlfn.XLOOKUP($D49,'Modelling New'!$D:$D,'Modelling New'!W:W),"")</f>
        <v>0.17442839205394728</v>
      </c>
      <c r="AG49" s="145">
        <f>IFERROR(_xlfn.XLOOKUP($D49,'Modelling New'!$D:$D,'Modelling New'!AE:AE),"")</f>
        <v>0.98040000000000005</v>
      </c>
      <c r="AH49" s="167">
        <f>IFERROR(_xlfn.XLOOKUP($D49,'Modelling New'!$D:$D,'Modelling New'!AF:AF),"")</f>
        <v>0.98</v>
      </c>
      <c r="AN49" s="144"/>
      <c r="AO49" s="141"/>
      <c r="AP49" s="141"/>
      <c r="AQ49" s="141"/>
      <c r="AR49" s="133">
        <f>'Basic Data'!$B$98/1000</f>
        <v>8.0208999999999993</v>
      </c>
    </row>
    <row r="50" spans="1:44" x14ac:dyDescent="0.3">
      <c r="A50" s="132">
        <f t="shared" si="3"/>
        <v>45793</v>
      </c>
      <c r="B50" s="133">
        <f>YEAR(Table13[[#This Row],[Date]])+IF(MONTH(Table13[[#This Row],[Date]])&gt;=4,1,0)</f>
        <v>2026</v>
      </c>
      <c r="C50" s="134">
        <f>YEAR(Table13[[#This Row],[Date]])</f>
        <v>2025</v>
      </c>
      <c r="D50" s="135">
        <f>Table13[[#This Row],[Date]]-DAY(Table13[[#This Row],[Date]])+1</f>
        <v>45778</v>
      </c>
      <c r="E50" s="134">
        <f t="shared" si="0"/>
        <v>31</v>
      </c>
      <c r="F50" s="136">
        <f>IFERROR(_xlfn.XLOOKUP($A50,'Raw Data'!$G:$G,'Raw Data'!$AM:$AM),"")</f>
        <v>12.85</v>
      </c>
      <c r="G50" s="137">
        <f>IFERROR(_xlfn.XLOOKUP($A50,'Raw Data'!$G:$G,'Raw Data'!$AB:$AB),"")</f>
        <v>0</v>
      </c>
      <c r="H50" s="137"/>
      <c r="I50" s="137">
        <f>IFERROR(_xlfn.XLOOKUP($A50,'Raw Data'!$G:$G,'Raw Data'!$AC:$AC),"")</f>
        <v>5.42</v>
      </c>
      <c r="J50" s="137"/>
      <c r="K50" s="137">
        <f>IFERROR(_xlfn.XLOOKUP($A50,'Raw Data'!$G:$G,'Raw Data'!AD:AD),"")</f>
        <v>0</v>
      </c>
      <c r="L50" s="137">
        <f>IFERROR(_xlfn.XLOOKUP($A50,'Raw Data'!$G:$G,'Raw Data'!AE:AE),"")</f>
        <v>41.83</v>
      </c>
      <c r="M50" s="137">
        <f>IFERROR(_xlfn.XLOOKUP($A50,'Raw Data'!$G:$G,'Raw Data'!AF:AF),"")</f>
        <v>0</v>
      </c>
      <c r="N50" s="137">
        <f>IFERROR(_xlfn.XLOOKUP($A50,'Raw Data'!$G:$G,'Raw Data'!AG:AG),"")</f>
        <v>0</v>
      </c>
      <c r="O50" s="138">
        <f>IFERROR(1-SUMIF('Plant BD'!$H:$H,$A50,'Plant BD'!$AE:$AE)/($AA50+SUMIF('Plant BD'!$H:$H,$A50,'Plant BD'!$AE:$AE)),"")</f>
        <v>0.90578817219233188</v>
      </c>
      <c r="P50" s="138"/>
      <c r="Q50" s="139"/>
      <c r="R50" s="138">
        <f>IFERROR(1-SUMIF('Grid BD'!$H:$H,$A50,'Grid BD'!$AD:$AD)/($AA50+SUMIF('Grid BD'!$H:$H,$A50,'Grid BD'!$AD:$AD)),"")</f>
        <v>0.95022585123170988</v>
      </c>
      <c r="T50" s="139"/>
      <c r="U50" s="140">
        <f t="shared" si="1"/>
        <v>0.67627750545979026</v>
      </c>
      <c r="V50" s="140"/>
      <c r="W50" s="141">
        <f t="shared" si="2"/>
        <v>0.15272600331633596</v>
      </c>
      <c r="X50" s="133">
        <f>IFERROR(_xlfn.XLOOKUP($A50,'Raw Data'!$G:$G,'Raw Data'!AI:AI),"")</f>
        <v>29638</v>
      </c>
      <c r="Y50" s="133">
        <f>IFERROR(_xlfn.XLOOKUP($A50,'Raw Data'!$G:$G,'Raw Data'!AJ:AJ),"")</f>
        <v>29500</v>
      </c>
      <c r="Z50" s="133">
        <f>IFERROR(_xlfn.XLOOKUP($A50,'Raw Data'!$G:$G,'Raw Data'!AK:AK),"")</f>
        <v>100.00000000002274</v>
      </c>
      <c r="AA50" s="133">
        <f>IFERROR(_xlfn.XLOOKUP($A50,'Raw Data'!$G:$G,'Raw Data'!AL:AL),"")</f>
        <v>29399.999999999978</v>
      </c>
      <c r="AB50" s="133">
        <f>IFERROR(_xlfn.XLOOKUP($A50,'Raw Data'!$G:$G,'Raw Data'!H:H),"")</f>
        <v>8.0208999999999993</v>
      </c>
      <c r="AC50" s="142">
        <f>IFERROR(_xlfn.XLOOKUP($D50,'Modelling New'!$D:$D,'Modelling New'!P:P),"")</f>
        <v>6.0129032258064514</v>
      </c>
      <c r="AD50" s="133">
        <f>IFERROR(_xlfn.XLOOKUP($D50,'Modelling New'!$D:$D,'Modelling New'!$T:$T)*1000,"")</f>
        <v>33577.74455581214</v>
      </c>
      <c r="AE50" s="143">
        <f>IFERROR(_xlfn.XLOOKUP($D50,'Modelling New'!$D:$D,'Modelling New'!O:O),"")</f>
        <v>0.69621632879901718</v>
      </c>
      <c r="AF50" s="145">
        <f>IFERROR(_xlfn.XLOOKUP($D50,'Modelling New'!$D:$D,'Modelling New'!W:W),"")</f>
        <v>0.17442839205394728</v>
      </c>
      <c r="AG50" s="145">
        <f>IFERROR(_xlfn.XLOOKUP($D50,'Modelling New'!$D:$D,'Modelling New'!AE:AE),"")</f>
        <v>0.98040000000000005</v>
      </c>
      <c r="AH50" s="167">
        <f>IFERROR(_xlfn.XLOOKUP($D50,'Modelling New'!$D:$D,'Modelling New'!AF:AF),"")</f>
        <v>0.98</v>
      </c>
      <c r="AN50" s="144"/>
      <c r="AO50" s="141"/>
      <c r="AP50" s="141"/>
      <c r="AQ50" s="141"/>
      <c r="AR50" s="133">
        <f>'Basic Data'!$B$98/1000</f>
        <v>8.0208999999999993</v>
      </c>
    </row>
    <row r="51" spans="1:44" x14ac:dyDescent="0.3">
      <c r="A51" s="132">
        <f t="shared" si="3"/>
        <v>45794</v>
      </c>
      <c r="B51" s="133">
        <f>YEAR(Table13[[#This Row],[Date]])+IF(MONTH(Table13[[#This Row],[Date]])&gt;=4,1,0)</f>
        <v>2026</v>
      </c>
      <c r="C51" s="134">
        <f>YEAR(Table13[[#This Row],[Date]])</f>
        <v>2025</v>
      </c>
      <c r="D51" s="135">
        <f>Table13[[#This Row],[Date]]-DAY(Table13[[#This Row],[Date]])+1</f>
        <v>45778</v>
      </c>
      <c r="E51" s="134">
        <f t="shared" si="0"/>
        <v>31</v>
      </c>
      <c r="F51" s="136">
        <f>IFERROR(_xlfn.XLOOKUP($A51,'Raw Data'!$G:$G,'Raw Data'!$AM:$AM),"")</f>
        <v>12.8</v>
      </c>
      <c r="G51" s="137">
        <f>IFERROR(_xlfn.XLOOKUP($A51,'Raw Data'!$G:$G,'Raw Data'!$AB:$AB),"")</f>
        <v>0</v>
      </c>
      <c r="H51" s="137"/>
      <c r="I51" s="137">
        <f>IFERROR(_xlfn.XLOOKUP($A51,'Raw Data'!$G:$G,'Raw Data'!$AC:$AC),"")</f>
        <v>5.27</v>
      </c>
      <c r="J51" s="137"/>
      <c r="K51" s="137">
        <f>IFERROR(_xlfn.XLOOKUP($A51,'Raw Data'!$G:$G,'Raw Data'!AD:AD),"")</f>
        <v>0</v>
      </c>
      <c r="L51" s="137">
        <f>IFERROR(_xlfn.XLOOKUP($A51,'Raw Data'!$G:$G,'Raw Data'!AE:AE),"")</f>
        <v>40.74</v>
      </c>
      <c r="M51" s="137">
        <f>IFERROR(_xlfn.XLOOKUP($A51,'Raw Data'!$G:$G,'Raw Data'!AF:AF),"")</f>
        <v>0</v>
      </c>
      <c r="N51" s="137">
        <f>IFERROR(_xlfn.XLOOKUP($A51,'Raw Data'!$G:$G,'Raw Data'!AG:AG),"")</f>
        <v>0</v>
      </c>
      <c r="O51" s="138">
        <f>IFERROR(1-SUMIF('Plant BD'!$H:$H,$A51,'Plant BD'!$AE:$AE)/($AA51+SUMIF('Plant BD'!$H:$H,$A51,'Plant BD'!$AE:$AE)),"")</f>
        <v>1</v>
      </c>
      <c r="P51" s="138"/>
      <c r="Q51" s="139"/>
      <c r="R51" s="138">
        <f>IFERROR(1-SUMIF('Grid BD'!$H:$H,$A51,'Grid BD'!$AD:$AD)/($AA51+SUMIF('Grid BD'!$H:$H,$A51,'Grid BD'!$AD:$AD)),"")</f>
        <v>0.96589227822582657</v>
      </c>
      <c r="T51" s="139"/>
      <c r="U51" s="140">
        <f t="shared" si="1"/>
        <v>0.75230405537092149</v>
      </c>
      <c r="V51" s="140"/>
      <c r="W51" s="141">
        <f t="shared" si="2"/>
        <v>0.16519343215853147</v>
      </c>
      <c r="X51" s="133">
        <f>IFERROR(_xlfn.XLOOKUP($A51,'Raw Data'!$G:$G,'Raw Data'!AI:AI),"")</f>
        <v>32209.8</v>
      </c>
      <c r="Y51" s="133">
        <f>IFERROR(_xlfn.XLOOKUP($A51,'Raw Data'!$G:$G,'Raw Data'!AJ:AJ),"")</f>
        <v>31900.000000008731</v>
      </c>
      <c r="Z51" s="133">
        <f>IFERROR(_xlfn.XLOOKUP($A51,'Raw Data'!$G:$G,'Raw Data'!AK:AK),"")</f>
        <v>99.999999999965894</v>
      </c>
      <c r="AA51" s="133">
        <f>IFERROR(_xlfn.XLOOKUP($A51,'Raw Data'!$G:$G,'Raw Data'!AL:AL),"")</f>
        <v>31800.000000008764</v>
      </c>
      <c r="AB51" s="133">
        <f>IFERROR(_xlfn.XLOOKUP($A51,'Raw Data'!$G:$G,'Raw Data'!H:H),"")</f>
        <v>8.0208999999999993</v>
      </c>
      <c r="AC51" s="142">
        <f>IFERROR(_xlfn.XLOOKUP($D51,'Modelling New'!$D:$D,'Modelling New'!P:P),"")</f>
        <v>6.0129032258064514</v>
      </c>
      <c r="AD51" s="133">
        <f>IFERROR(_xlfn.XLOOKUP($D51,'Modelling New'!$D:$D,'Modelling New'!$T:$T)*1000,"")</f>
        <v>33577.74455581214</v>
      </c>
      <c r="AE51" s="143">
        <f>IFERROR(_xlfn.XLOOKUP($D51,'Modelling New'!$D:$D,'Modelling New'!O:O),"")</f>
        <v>0.69621632879901718</v>
      </c>
      <c r="AF51" s="145">
        <f>IFERROR(_xlfn.XLOOKUP($D51,'Modelling New'!$D:$D,'Modelling New'!W:W),"")</f>
        <v>0.17442839205394728</v>
      </c>
      <c r="AG51" s="145">
        <f>IFERROR(_xlfn.XLOOKUP($D51,'Modelling New'!$D:$D,'Modelling New'!AE:AE),"")</f>
        <v>0.98040000000000005</v>
      </c>
      <c r="AH51" s="167">
        <f>IFERROR(_xlfn.XLOOKUP($D51,'Modelling New'!$D:$D,'Modelling New'!AF:AF),"")</f>
        <v>0.98</v>
      </c>
      <c r="AN51" s="144"/>
      <c r="AO51" s="141"/>
      <c r="AP51" s="141"/>
      <c r="AQ51" s="141"/>
      <c r="AR51" s="133">
        <f>'Basic Data'!$B$98/1000</f>
        <v>8.0208999999999993</v>
      </c>
    </row>
    <row r="52" spans="1:44" x14ac:dyDescent="0.3">
      <c r="A52" s="132">
        <f t="shared" si="3"/>
        <v>45795</v>
      </c>
      <c r="B52" s="133">
        <f>YEAR(Table13[[#This Row],[Date]])+IF(MONTH(Table13[[#This Row],[Date]])&gt;=4,1,0)</f>
        <v>2026</v>
      </c>
      <c r="C52" s="134">
        <f>YEAR(Table13[[#This Row],[Date]])</f>
        <v>2025</v>
      </c>
      <c r="D52" s="135">
        <f>Table13[[#This Row],[Date]]-DAY(Table13[[#This Row],[Date]])+1</f>
        <v>45778</v>
      </c>
      <c r="E52" s="134">
        <f t="shared" si="0"/>
        <v>31</v>
      </c>
      <c r="F52" s="136">
        <f>IFERROR(_xlfn.XLOOKUP($A52,'Raw Data'!$G:$G,'Raw Data'!$AM:$AM),"")</f>
        <v>12.65</v>
      </c>
      <c r="G52" s="137">
        <f>IFERROR(_xlfn.XLOOKUP($A52,'Raw Data'!$G:$G,'Raw Data'!$AB:$AB),"")</f>
        <v>0</v>
      </c>
      <c r="H52" s="137"/>
      <c r="I52" s="137">
        <f>IFERROR(_xlfn.XLOOKUP($A52,'Raw Data'!$G:$G,'Raw Data'!$AC:$AC),"")</f>
        <v>5.23</v>
      </c>
      <c r="J52" s="137"/>
      <c r="K52" s="137">
        <f>IFERROR(_xlfn.XLOOKUP($A52,'Raw Data'!$G:$G,'Raw Data'!AD:AD),"")</f>
        <v>0</v>
      </c>
      <c r="L52" s="137">
        <f>IFERROR(_xlfn.XLOOKUP($A52,'Raw Data'!$G:$G,'Raw Data'!AE:AE),"")</f>
        <v>41.05</v>
      </c>
      <c r="M52" s="137">
        <f>IFERROR(_xlfn.XLOOKUP($A52,'Raw Data'!$G:$G,'Raw Data'!AF:AF),"")</f>
        <v>0</v>
      </c>
      <c r="N52" s="137">
        <f>IFERROR(_xlfn.XLOOKUP($A52,'Raw Data'!$G:$G,'Raw Data'!AG:AG),"")</f>
        <v>0</v>
      </c>
      <c r="O52" s="138">
        <f>IFERROR(1-SUMIF('Plant BD'!$H:$H,$A52,'Plant BD'!$AE:$AE)/($AA52+SUMIF('Plant BD'!$H:$H,$A52,'Plant BD'!$AE:$AE)),"")</f>
        <v>1</v>
      </c>
      <c r="P52" s="138"/>
      <c r="Q52" s="139"/>
      <c r="R52" s="138">
        <f>IFERROR(1-SUMIF('Grid BD'!$H:$H,$A52,'Grid BD'!$AD:$AD)/($AA52+SUMIF('Grid BD'!$H:$H,$A52,'Grid BD'!$AD:$AD)),"")</f>
        <v>0.5940846332968267</v>
      </c>
      <c r="T52" s="139"/>
      <c r="U52" s="140">
        <f t="shared" si="1"/>
        <v>0.51490719501032678</v>
      </c>
      <c r="V52" s="140"/>
      <c r="W52" s="141">
        <f t="shared" si="2"/>
        <v>0.11220685957933371</v>
      </c>
      <c r="X52" s="133">
        <f>IFERROR(_xlfn.XLOOKUP($A52,'Raw Data'!$G:$G,'Raw Data'!AI:AI),"")</f>
        <v>21889.199999999997</v>
      </c>
      <c r="Y52" s="133">
        <f>IFERROR(_xlfn.XLOOKUP($A52,'Raw Data'!$G:$G,'Raw Data'!AJ:AJ),"")</f>
        <v>21699.99999999709</v>
      </c>
      <c r="Z52" s="133">
        <f>IFERROR(_xlfn.XLOOKUP($A52,'Raw Data'!$G:$G,'Raw Data'!AK:AK),"")</f>
        <v>100.00000000002274</v>
      </c>
      <c r="AA52" s="133">
        <f>IFERROR(_xlfn.XLOOKUP($A52,'Raw Data'!$G:$G,'Raw Data'!AL:AL),"")</f>
        <v>21599.999999997068</v>
      </c>
      <c r="AB52" s="133">
        <f>IFERROR(_xlfn.XLOOKUP($A52,'Raw Data'!$G:$G,'Raw Data'!H:H),"")</f>
        <v>8.0208999999999993</v>
      </c>
      <c r="AC52" s="142">
        <f>IFERROR(_xlfn.XLOOKUP($D52,'Modelling New'!$D:$D,'Modelling New'!P:P),"")</f>
        <v>6.0129032258064514</v>
      </c>
      <c r="AD52" s="133">
        <f>IFERROR(_xlfn.XLOOKUP($D52,'Modelling New'!$D:$D,'Modelling New'!$T:$T)*1000,"")</f>
        <v>33577.74455581214</v>
      </c>
      <c r="AE52" s="143">
        <f>IFERROR(_xlfn.XLOOKUP($D52,'Modelling New'!$D:$D,'Modelling New'!O:O),"")</f>
        <v>0.69621632879901718</v>
      </c>
      <c r="AF52" s="145">
        <f>IFERROR(_xlfn.XLOOKUP($D52,'Modelling New'!$D:$D,'Modelling New'!W:W),"")</f>
        <v>0.17442839205394728</v>
      </c>
      <c r="AG52" s="145">
        <f>IFERROR(_xlfn.XLOOKUP($D52,'Modelling New'!$D:$D,'Modelling New'!AE:AE),"")</f>
        <v>0.98040000000000005</v>
      </c>
      <c r="AH52" s="167">
        <f>IFERROR(_xlfn.XLOOKUP($D52,'Modelling New'!$D:$D,'Modelling New'!AF:AF),"")</f>
        <v>0.98</v>
      </c>
      <c r="AN52" s="144"/>
      <c r="AO52" s="141"/>
      <c r="AP52" s="141"/>
      <c r="AQ52" s="141"/>
      <c r="AR52" s="133">
        <f>'Basic Data'!$B$98/1000</f>
        <v>8.0208999999999993</v>
      </c>
    </row>
    <row r="53" spans="1:44" x14ac:dyDescent="0.3">
      <c r="A53" s="132">
        <f t="shared" si="3"/>
        <v>45796</v>
      </c>
      <c r="B53" s="133">
        <f>YEAR(Table13[[#This Row],[Date]])+IF(MONTH(Table13[[#This Row],[Date]])&gt;=4,1,0)</f>
        <v>2026</v>
      </c>
      <c r="C53" s="134">
        <f>YEAR(Table13[[#This Row],[Date]])</f>
        <v>2025</v>
      </c>
      <c r="D53" s="135">
        <f>Table13[[#This Row],[Date]]-DAY(Table13[[#This Row],[Date]])+1</f>
        <v>45778</v>
      </c>
      <c r="E53" s="134">
        <f t="shared" ref="E53:E116" si="4">DAY(EOMONTH(A53,0))</f>
        <v>31</v>
      </c>
      <c r="F53" s="136">
        <f>IFERROR(_xlfn.XLOOKUP($A53,'Raw Data'!$G:$G,'Raw Data'!$AM:$AM),"")</f>
        <v>12.8</v>
      </c>
      <c r="G53" s="137">
        <f>IFERROR(_xlfn.XLOOKUP($A53,'Raw Data'!$G:$G,'Raw Data'!$AB:$AB),"")</f>
        <v>0</v>
      </c>
      <c r="H53" s="137"/>
      <c r="I53" s="137">
        <f>IFERROR(_xlfn.XLOOKUP($A53,'Raw Data'!$G:$G,'Raw Data'!$AC:$AC),"")</f>
        <v>4.91</v>
      </c>
      <c r="J53" s="137"/>
      <c r="K53" s="137">
        <f>IFERROR(_xlfn.XLOOKUP($A53,'Raw Data'!$G:$G,'Raw Data'!AD:AD),"")</f>
        <v>0</v>
      </c>
      <c r="L53" s="137">
        <f>IFERROR(_xlfn.XLOOKUP($A53,'Raw Data'!$G:$G,'Raw Data'!AE:AE),"")</f>
        <v>40.53</v>
      </c>
      <c r="M53" s="137">
        <f>IFERROR(_xlfn.XLOOKUP($A53,'Raw Data'!$G:$G,'Raw Data'!AF:AF),"")</f>
        <v>0</v>
      </c>
      <c r="N53" s="137">
        <f>IFERROR(_xlfn.XLOOKUP($A53,'Raw Data'!$G:$G,'Raw Data'!AG:AG),"")</f>
        <v>0</v>
      </c>
      <c r="O53" s="138">
        <f>IFERROR(1-SUMIF('Plant BD'!$H:$H,$A53,'Plant BD'!$AE:$AE)/($AA53+SUMIF('Plant BD'!$H:$H,$A53,'Plant BD'!$AE:$AE)),"")</f>
        <v>1</v>
      </c>
      <c r="P53" s="138"/>
      <c r="Q53" s="139"/>
      <c r="R53" s="138">
        <f>IFERROR(1-SUMIF('Grid BD'!$H:$H,$A53,'Grid BD'!$AD:$AD)/($AA53+SUMIF('Grid BD'!$H:$H,$A53,'Grid BD'!$AD:$AD)),"")</f>
        <v>0.90292296720390663</v>
      </c>
      <c r="T53" s="139"/>
      <c r="U53" s="140">
        <f t="shared" ref="U53:U116" si="5">IFERROR(AA53/I53/AB53/1000,"")</f>
        <v>0.71605192128037354</v>
      </c>
      <c r="V53" s="140"/>
      <c r="W53" s="141">
        <f t="shared" ref="W53:W116" si="6">IFERROR(AA53/(24*AB53*1000),"")</f>
        <v>0.14649228889527641</v>
      </c>
      <c r="X53" s="133">
        <f>IFERROR(_xlfn.XLOOKUP($A53,'Raw Data'!$G:$G,'Raw Data'!AI:AI),"")</f>
        <v>28476.9</v>
      </c>
      <c r="Y53" s="133">
        <f>IFERROR(_xlfn.XLOOKUP($A53,'Raw Data'!$G:$G,'Raw Data'!AJ:AJ),"")</f>
        <v>28300.00000000291</v>
      </c>
      <c r="Z53" s="133">
        <f>IFERROR(_xlfn.XLOOKUP($A53,'Raw Data'!$G:$G,'Raw Data'!AK:AK),"")</f>
        <v>99.999999999965894</v>
      </c>
      <c r="AA53" s="133">
        <f>IFERROR(_xlfn.XLOOKUP($A53,'Raw Data'!$G:$G,'Raw Data'!AL:AL),"")</f>
        <v>28200.000000002943</v>
      </c>
      <c r="AB53" s="133">
        <f>IFERROR(_xlfn.XLOOKUP($A53,'Raw Data'!$G:$G,'Raw Data'!H:H),"")</f>
        <v>8.0208999999999993</v>
      </c>
      <c r="AC53" s="142">
        <f>IFERROR(_xlfn.XLOOKUP($D53,'Modelling New'!$D:$D,'Modelling New'!P:P),"")</f>
        <v>6.0129032258064514</v>
      </c>
      <c r="AD53" s="133">
        <f>IFERROR(_xlfn.XLOOKUP($D53,'Modelling New'!$D:$D,'Modelling New'!$T:$T)*1000,"")</f>
        <v>33577.74455581214</v>
      </c>
      <c r="AE53" s="143">
        <f>IFERROR(_xlfn.XLOOKUP($D53,'Modelling New'!$D:$D,'Modelling New'!O:O),"")</f>
        <v>0.69621632879901718</v>
      </c>
      <c r="AF53" s="145">
        <f>IFERROR(_xlfn.XLOOKUP($D53,'Modelling New'!$D:$D,'Modelling New'!W:W),"")</f>
        <v>0.17442839205394728</v>
      </c>
      <c r="AG53" s="145">
        <f>IFERROR(_xlfn.XLOOKUP($D53,'Modelling New'!$D:$D,'Modelling New'!AE:AE),"")</f>
        <v>0.98040000000000005</v>
      </c>
      <c r="AH53" s="167">
        <f>IFERROR(_xlfn.XLOOKUP($D53,'Modelling New'!$D:$D,'Modelling New'!AF:AF),"")</f>
        <v>0.98</v>
      </c>
      <c r="AN53" s="144"/>
      <c r="AO53" s="141"/>
      <c r="AP53" s="141"/>
      <c r="AQ53" s="141"/>
      <c r="AR53" s="133">
        <f>'Basic Data'!$B$98/1000</f>
        <v>8.0208999999999993</v>
      </c>
    </row>
    <row r="54" spans="1:44" x14ac:dyDescent="0.3">
      <c r="A54" s="132">
        <f t="shared" ref="A54:A117" si="7">A53+1</f>
        <v>45797</v>
      </c>
      <c r="B54" s="133">
        <f>YEAR(Table13[[#This Row],[Date]])+IF(MONTH(Table13[[#This Row],[Date]])&gt;=4,1,0)</f>
        <v>2026</v>
      </c>
      <c r="C54" s="134">
        <f>YEAR(Table13[[#This Row],[Date]])</f>
        <v>2025</v>
      </c>
      <c r="D54" s="135">
        <f>Table13[[#This Row],[Date]]-DAY(Table13[[#This Row],[Date]])+1</f>
        <v>45778</v>
      </c>
      <c r="E54" s="134">
        <f t="shared" si="4"/>
        <v>31</v>
      </c>
      <c r="F54" s="136">
        <f>IFERROR(_xlfn.XLOOKUP($A54,'Raw Data'!$G:$G,'Raw Data'!$AM:$AM),"")</f>
        <v>12.716666666666667</v>
      </c>
      <c r="G54" s="137">
        <f>IFERROR(_xlfn.XLOOKUP($A54,'Raw Data'!$G:$G,'Raw Data'!$AB:$AB),"")</f>
        <v>0</v>
      </c>
      <c r="H54" s="137"/>
      <c r="I54" s="137">
        <f>IFERROR(_xlfn.XLOOKUP($A54,'Raw Data'!$G:$G,'Raw Data'!$AC:$AC),"")</f>
        <v>4.84</v>
      </c>
      <c r="J54" s="137"/>
      <c r="K54" s="137">
        <f>IFERROR(_xlfn.XLOOKUP($A54,'Raw Data'!$G:$G,'Raw Data'!AD:AD),"")</f>
        <v>0</v>
      </c>
      <c r="L54" s="137">
        <f>IFERROR(_xlfn.XLOOKUP($A54,'Raw Data'!$G:$G,'Raw Data'!AE:AE),"")</f>
        <v>40.06</v>
      </c>
      <c r="M54" s="137">
        <f>IFERROR(_xlfn.XLOOKUP($A54,'Raw Data'!$G:$G,'Raw Data'!AF:AF),"")</f>
        <v>0</v>
      </c>
      <c r="N54" s="137">
        <f>IFERROR(_xlfn.XLOOKUP($A54,'Raw Data'!$G:$G,'Raw Data'!AG:AG),"")</f>
        <v>0</v>
      </c>
      <c r="O54" s="138">
        <f>IFERROR(1-SUMIF('Plant BD'!$H:$H,$A54,'Plant BD'!$AE:$AE)/($AA54+SUMIF('Plant BD'!$H:$H,$A54,'Plant BD'!$AE:$AE)),"")</f>
        <v>0.98037522916037689</v>
      </c>
      <c r="P54" s="138"/>
      <c r="Q54" s="139"/>
      <c r="R54" s="138">
        <f>IFERROR(1-SUMIF('Grid BD'!$H:$H,$A54,'Grid BD'!$AD:$AD)/($AA54+SUMIF('Grid BD'!$H:$H,$A54,'Grid BD'!$AD:$AD)),"")</f>
        <v>1</v>
      </c>
      <c r="T54" s="139"/>
      <c r="U54" s="140">
        <f t="shared" si="5"/>
        <v>0.77277451500906491</v>
      </c>
      <c r="V54" s="140"/>
      <c r="W54" s="141">
        <f t="shared" si="6"/>
        <v>0.15584286052682808</v>
      </c>
      <c r="X54" s="133">
        <f>IFERROR(_xlfn.XLOOKUP($A54,'Raw Data'!$G:$G,'Raw Data'!AI:AI),"")</f>
        <v>30308.400000000001</v>
      </c>
      <c r="Y54" s="133">
        <f>IFERROR(_xlfn.XLOOKUP($A54,'Raw Data'!$G:$G,'Raw Data'!AJ:AJ),"")</f>
        <v>30099.999999991269</v>
      </c>
      <c r="Z54" s="133">
        <f>IFERROR(_xlfn.XLOOKUP($A54,'Raw Data'!$G:$G,'Raw Data'!AK:AK),"")</f>
        <v>100.00000000002274</v>
      </c>
      <c r="AA54" s="133">
        <f>IFERROR(_xlfn.XLOOKUP($A54,'Raw Data'!$G:$G,'Raw Data'!AL:AL),"")</f>
        <v>29999.999999991247</v>
      </c>
      <c r="AB54" s="133">
        <f>IFERROR(_xlfn.XLOOKUP($A54,'Raw Data'!$G:$G,'Raw Data'!H:H),"")</f>
        <v>8.0208999999999993</v>
      </c>
      <c r="AC54" s="142">
        <f>IFERROR(_xlfn.XLOOKUP($D54,'Modelling New'!$D:$D,'Modelling New'!P:P),"")</f>
        <v>6.0129032258064514</v>
      </c>
      <c r="AD54" s="133">
        <f>IFERROR(_xlfn.XLOOKUP($D54,'Modelling New'!$D:$D,'Modelling New'!$T:$T)*1000,"")</f>
        <v>33577.74455581214</v>
      </c>
      <c r="AE54" s="143">
        <f>IFERROR(_xlfn.XLOOKUP($D54,'Modelling New'!$D:$D,'Modelling New'!O:O),"")</f>
        <v>0.69621632879901718</v>
      </c>
      <c r="AF54" s="145">
        <f>IFERROR(_xlfn.XLOOKUP($D54,'Modelling New'!$D:$D,'Modelling New'!W:W),"")</f>
        <v>0.17442839205394728</v>
      </c>
      <c r="AG54" s="145">
        <f>IFERROR(_xlfn.XLOOKUP($D54,'Modelling New'!$D:$D,'Modelling New'!AE:AE),"")</f>
        <v>0.98040000000000005</v>
      </c>
      <c r="AH54" s="167">
        <f>IFERROR(_xlfn.XLOOKUP($D54,'Modelling New'!$D:$D,'Modelling New'!AF:AF),"")</f>
        <v>0.98</v>
      </c>
      <c r="AN54" s="144"/>
      <c r="AO54" s="141"/>
      <c r="AP54" s="141"/>
      <c r="AQ54" s="141"/>
      <c r="AR54" s="133">
        <f>'Basic Data'!$B$98/1000</f>
        <v>8.0208999999999993</v>
      </c>
    </row>
    <row r="55" spans="1:44" x14ac:dyDescent="0.3">
      <c r="A55" s="132">
        <f t="shared" si="7"/>
        <v>45798</v>
      </c>
      <c r="B55" s="133">
        <f>YEAR(Table13[[#This Row],[Date]])+IF(MONTH(Table13[[#This Row],[Date]])&gt;=4,1,0)</f>
        <v>2026</v>
      </c>
      <c r="C55" s="134">
        <f>YEAR(Table13[[#This Row],[Date]])</f>
        <v>2025</v>
      </c>
      <c r="D55" s="135">
        <f>Table13[[#This Row],[Date]]-DAY(Table13[[#This Row],[Date]])+1</f>
        <v>45778</v>
      </c>
      <c r="E55" s="134">
        <f t="shared" si="4"/>
        <v>31</v>
      </c>
      <c r="F55" s="136">
        <f>IFERROR(_xlfn.XLOOKUP($A55,'Raw Data'!$G:$G,'Raw Data'!$AM:$AM),"")</f>
        <v>12.833333333333332</v>
      </c>
      <c r="G55" s="137">
        <f>IFERROR(_xlfn.XLOOKUP($A55,'Raw Data'!$G:$G,'Raw Data'!$AB:$AB),"")</f>
        <v>0</v>
      </c>
      <c r="H55" s="137"/>
      <c r="I55" s="137">
        <f>IFERROR(_xlfn.XLOOKUP($A55,'Raw Data'!$G:$G,'Raw Data'!$AC:$AC),"")</f>
        <v>3.26</v>
      </c>
      <c r="J55" s="137"/>
      <c r="K55" s="137">
        <f>IFERROR(_xlfn.XLOOKUP($A55,'Raw Data'!$G:$G,'Raw Data'!AD:AD),"")</f>
        <v>0</v>
      </c>
      <c r="L55" s="137">
        <f>IFERROR(_xlfn.XLOOKUP($A55,'Raw Data'!$G:$G,'Raw Data'!AE:AE),"")</f>
        <v>33.83</v>
      </c>
      <c r="M55" s="137">
        <f>IFERROR(_xlfn.XLOOKUP($A55,'Raw Data'!$G:$G,'Raw Data'!AF:AF),"")</f>
        <v>0</v>
      </c>
      <c r="N55" s="137">
        <f>IFERROR(_xlfn.XLOOKUP($A55,'Raw Data'!$G:$G,'Raw Data'!AG:AG),"")</f>
        <v>0</v>
      </c>
      <c r="O55" s="138">
        <f>IFERROR(1-SUMIF('Plant BD'!$H:$H,$A55,'Plant BD'!$AE:$AE)/($AA55+SUMIF('Plant BD'!$H:$H,$A55,'Plant BD'!$AE:$AE)),"")</f>
        <v>1</v>
      </c>
      <c r="P55" s="138"/>
      <c r="Q55" s="139"/>
      <c r="R55" s="138">
        <f>IFERROR(1-SUMIF('Grid BD'!$H:$H,$A55,'Grid BD'!$AD:$AD)/($AA55+SUMIF('Grid BD'!$H:$H,$A55,'Grid BD'!$AD:$AD)),"")</f>
        <v>0.97852362157240758</v>
      </c>
      <c r="T55" s="139"/>
      <c r="U55" s="140">
        <f t="shared" si="5"/>
        <v>0.76869729977717038</v>
      </c>
      <c r="V55" s="140"/>
      <c r="W55" s="141">
        <f t="shared" si="6"/>
        <v>0.10441471655306563</v>
      </c>
      <c r="X55" s="133">
        <f>IFERROR(_xlfn.XLOOKUP($A55,'Raw Data'!$G:$G,'Raw Data'!AI:AI),"")</f>
        <v>20402.3</v>
      </c>
      <c r="Y55" s="133">
        <f>IFERROR(_xlfn.XLOOKUP($A55,'Raw Data'!$G:$G,'Raw Data'!AJ:AJ),"")</f>
        <v>20200.000000011642</v>
      </c>
      <c r="Z55" s="133">
        <f>IFERROR(_xlfn.XLOOKUP($A55,'Raw Data'!$G:$G,'Raw Data'!AK:AK),"")</f>
        <v>100.00000000002274</v>
      </c>
      <c r="AA55" s="133">
        <f>IFERROR(_xlfn.XLOOKUP($A55,'Raw Data'!$G:$G,'Raw Data'!AL:AL),"")</f>
        <v>20100.00000001162</v>
      </c>
      <c r="AB55" s="133">
        <f>IFERROR(_xlfn.XLOOKUP($A55,'Raw Data'!$G:$G,'Raw Data'!H:H),"")</f>
        <v>8.0208999999999993</v>
      </c>
      <c r="AC55" s="142">
        <f>IFERROR(_xlfn.XLOOKUP($D55,'Modelling New'!$D:$D,'Modelling New'!P:P),"")</f>
        <v>6.0129032258064514</v>
      </c>
      <c r="AD55" s="133">
        <f>IFERROR(_xlfn.XLOOKUP($D55,'Modelling New'!$D:$D,'Modelling New'!$T:$T)*1000,"")</f>
        <v>33577.74455581214</v>
      </c>
      <c r="AE55" s="143">
        <f>IFERROR(_xlfn.XLOOKUP($D55,'Modelling New'!$D:$D,'Modelling New'!O:O),"")</f>
        <v>0.69621632879901718</v>
      </c>
      <c r="AF55" s="145">
        <f>IFERROR(_xlfn.XLOOKUP($D55,'Modelling New'!$D:$D,'Modelling New'!W:W),"")</f>
        <v>0.17442839205394728</v>
      </c>
      <c r="AG55" s="145">
        <f>IFERROR(_xlfn.XLOOKUP($D55,'Modelling New'!$D:$D,'Modelling New'!AE:AE),"")</f>
        <v>0.98040000000000005</v>
      </c>
      <c r="AH55" s="167">
        <f>IFERROR(_xlfn.XLOOKUP($D55,'Modelling New'!$D:$D,'Modelling New'!AF:AF),"")</f>
        <v>0.98</v>
      </c>
      <c r="AN55" s="144"/>
      <c r="AO55" s="141"/>
      <c r="AP55" s="141"/>
      <c r="AQ55" s="141"/>
      <c r="AR55" s="133">
        <f>'Basic Data'!$B$98/1000</f>
        <v>8.0208999999999993</v>
      </c>
    </row>
    <row r="56" spans="1:44" x14ac:dyDescent="0.3">
      <c r="A56" s="132">
        <f t="shared" si="7"/>
        <v>45799</v>
      </c>
      <c r="B56" s="133">
        <f>YEAR(Table13[[#This Row],[Date]])+IF(MONTH(Table13[[#This Row],[Date]])&gt;=4,1,0)</f>
        <v>2026</v>
      </c>
      <c r="C56" s="134">
        <f>YEAR(Table13[[#This Row],[Date]])</f>
        <v>2025</v>
      </c>
      <c r="D56" s="135">
        <f>Table13[[#This Row],[Date]]-DAY(Table13[[#This Row],[Date]])+1</f>
        <v>45778</v>
      </c>
      <c r="E56" s="134">
        <f t="shared" si="4"/>
        <v>31</v>
      </c>
      <c r="F56" s="136">
        <f>IFERROR(_xlfn.XLOOKUP($A56,'Raw Data'!$G:$G,'Raw Data'!$AM:$AM),"")</f>
        <v>12.533333333333335</v>
      </c>
      <c r="G56" s="137">
        <f>IFERROR(_xlfn.XLOOKUP($A56,'Raw Data'!$G:$G,'Raw Data'!$AB:$AB),"")</f>
        <v>0</v>
      </c>
      <c r="H56" s="137"/>
      <c r="I56" s="137">
        <f>IFERROR(_xlfn.XLOOKUP($A56,'Raw Data'!$G:$G,'Raw Data'!$AC:$AC),"")</f>
        <v>5.56</v>
      </c>
      <c r="J56" s="137"/>
      <c r="K56" s="137">
        <f>IFERROR(_xlfn.XLOOKUP($A56,'Raw Data'!$G:$G,'Raw Data'!AD:AD),"")</f>
        <v>0</v>
      </c>
      <c r="L56" s="137">
        <f>IFERROR(_xlfn.XLOOKUP($A56,'Raw Data'!$G:$G,'Raw Data'!AE:AE),"")</f>
        <v>48.87</v>
      </c>
      <c r="M56" s="137">
        <f>IFERROR(_xlfn.XLOOKUP($A56,'Raw Data'!$G:$G,'Raw Data'!AF:AF),"")</f>
        <v>0</v>
      </c>
      <c r="N56" s="137">
        <f>IFERROR(_xlfn.XLOOKUP($A56,'Raw Data'!$G:$G,'Raw Data'!AG:AG),"")</f>
        <v>0</v>
      </c>
      <c r="O56" s="138">
        <f>IFERROR(1-SUMIF('Plant BD'!$H:$H,$A56,'Plant BD'!$AE:$AE)/($AA56+SUMIF('Plant BD'!$H:$H,$A56,'Plant BD'!$AE:$AE)),"")</f>
        <v>0.99736697558977216</v>
      </c>
      <c r="P56" s="138"/>
      <c r="Q56" s="139"/>
      <c r="R56" s="138">
        <f>IFERROR(1-SUMIF('Grid BD'!$H:$H,$A56,'Grid BD'!$AD:$AD)/($AA56+SUMIF('Grid BD'!$H:$H,$A56,'Grid BD'!$AD:$AD)),"")</f>
        <v>0.76185879429003744</v>
      </c>
      <c r="T56" s="139"/>
      <c r="U56" s="140">
        <f t="shared" si="5"/>
        <v>0.60991738220563341</v>
      </c>
      <c r="V56" s="140"/>
      <c r="W56" s="141">
        <f t="shared" si="6"/>
        <v>0.14129752687763836</v>
      </c>
      <c r="X56" s="133">
        <f>IFERROR(_xlfn.XLOOKUP($A56,'Raw Data'!$G:$G,'Raw Data'!AI:AI),"")</f>
        <v>27545.8</v>
      </c>
      <c r="Y56" s="133">
        <f>IFERROR(_xlfn.XLOOKUP($A56,'Raw Data'!$G:$G,'Raw Data'!AJ:AJ),"")</f>
        <v>27299.999999988358</v>
      </c>
      <c r="Z56" s="133">
        <f>IFERROR(_xlfn.XLOOKUP($A56,'Raw Data'!$G:$G,'Raw Data'!AK:AK),"")</f>
        <v>99.999999999965894</v>
      </c>
      <c r="AA56" s="133">
        <f>IFERROR(_xlfn.XLOOKUP($A56,'Raw Data'!$G:$G,'Raw Data'!AL:AL),"")</f>
        <v>27199.999999988391</v>
      </c>
      <c r="AB56" s="133">
        <f>IFERROR(_xlfn.XLOOKUP($A56,'Raw Data'!$G:$G,'Raw Data'!H:H),"")</f>
        <v>8.0208999999999993</v>
      </c>
      <c r="AC56" s="142">
        <f>IFERROR(_xlfn.XLOOKUP($D56,'Modelling New'!$D:$D,'Modelling New'!P:P),"")</f>
        <v>6.0129032258064514</v>
      </c>
      <c r="AD56" s="133">
        <f>IFERROR(_xlfn.XLOOKUP($D56,'Modelling New'!$D:$D,'Modelling New'!$T:$T)*1000,"")</f>
        <v>33577.74455581214</v>
      </c>
      <c r="AE56" s="143">
        <f>IFERROR(_xlfn.XLOOKUP($D56,'Modelling New'!$D:$D,'Modelling New'!O:O),"")</f>
        <v>0.69621632879901718</v>
      </c>
      <c r="AF56" s="145">
        <f>IFERROR(_xlfn.XLOOKUP($D56,'Modelling New'!$D:$D,'Modelling New'!W:W),"")</f>
        <v>0.17442839205394728</v>
      </c>
      <c r="AG56" s="145">
        <f>IFERROR(_xlfn.XLOOKUP($D56,'Modelling New'!$D:$D,'Modelling New'!AE:AE),"")</f>
        <v>0.98040000000000005</v>
      </c>
      <c r="AH56" s="167">
        <f>IFERROR(_xlfn.XLOOKUP($D56,'Modelling New'!$D:$D,'Modelling New'!AF:AF),"")</f>
        <v>0.98</v>
      </c>
      <c r="AN56" s="144"/>
      <c r="AO56" s="141"/>
      <c r="AP56" s="141"/>
      <c r="AQ56" s="141"/>
      <c r="AR56" s="133">
        <f>'Basic Data'!$B$98/1000</f>
        <v>8.0208999999999993</v>
      </c>
    </row>
    <row r="57" spans="1:44" x14ac:dyDescent="0.3">
      <c r="A57" s="132">
        <f t="shared" si="7"/>
        <v>45800</v>
      </c>
      <c r="B57" s="133">
        <f>YEAR(Table13[[#This Row],[Date]])+IF(MONTH(Table13[[#This Row],[Date]])&gt;=4,1,0)</f>
        <v>2026</v>
      </c>
      <c r="C57" s="134">
        <f>YEAR(Table13[[#This Row],[Date]])</f>
        <v>2025</v>
      </c>
      <c r="D57" s="135">
        <f>Table13[[#This Row],[Date]]-DAY(Table13[[#This Row],[Date]])+1</f>
        <v>45778</v>
      </c>
      <c r="E57" s="134">
        <f t="shared" si="4"/>
        <v>31</v>
      </c>
      <c r="F57" s="136">
        <f>IFERROR(_xlfn.XLOOKUP($A57,'Raw Data'!$G:$G,'Raw Data'!$AM:$AM),"")</f>
        <v>12.833333333333332</v>
      </c>
      <c r="G57" s="137">
        <f>IFERROR(_xlfn.XLOOKUP($A57,'Raw Data'!$G:$G,'Raw Data'!$AB:$AB),"")</f>
        <v>0</v>
      </c>
      <c r="H57" s="137"/>
      <c r="I57" s="137">
        <f>IFERROR(_xlfn.XLOOKUP($A57,'Raw Data'!$G:$G,'Raw Data'!$AC:$AC),"")</f>
        <v>5.31</v>
      </c>
      <c r="J57" s="137"/>
      <c r="K57" s="137">
        <f>IFERROR(_xlfn.XLOOKUP($A57,'Raw Data'!$G:$G,'Raw Data'!AD:AD),"")</f>
        <v>0</v>
      </c>
      <c r="L57" s="137">
        <f>IFERROR(_xlfn.XLOOKUP($A57,'Raw Data'!$G:$G,'Raw Data'!AE:AE),"")</f>
        <v>36.07</v>
      </c>
      <c r="M57" s="137">
        <f>IFERROR(_xlfn.XLOOKUP($A57,'Raw Data'!$G:$G,'Raw Data'!AF:AF),"")</f>
        <v>0</v>
      </c>
      <c r="N57" s="137">
        <f>IFERROR(_xlfn.XLOOKUP($A57,'Raw Data'!$G:$G,'Raw Data'!AG:AG),"")</f>
        <v>0</v>
      </c>
      <c r="O57" s="138">
        <f>IFERROR(1-SUMIF('Plant BD'!$H:$H,$A57,'Plant BD'!$AE:$AE)/($AA57+SUMIF('Plant BD'!$H:$H,$A57,'Plant BD'!$AE:$AE)),"")</f>
        <v>1</v>
      </c>
      <c r="P57" s="138"/>
      <c r="Q57" s="139"/>
      <c r="R57" s="138">
        <f>IFERROR(1-SUMIF('Grid BD'!$H:$H,$A57,'Grid BD'!$AD:$AD)/($AA57+SUMIF('Grid BD'!$H:$H,$A57,'Grid BD'!$AD:$AD)),"")</f>
        <v>1</v>
      </c>
      <c r="T57" s="139"/>
      <c r="U57" s="140">
        <f t="shared" si="5"/>
        <v>0.76659425931486536</v>
      </c>
      <c r="V57" s="140"/>
      <c r="W57" s="141">
        <f t="shared" si="6"/>
        <v>0.16960897987341392</v>
      </c>
      <c r="X57" s="133">
        <f>IFERROR(_xlfn.XLOOKUP($A57,'Raw Data'!$G:$G,'Raw Data'!AI:AI),"")</f>
        <v>33052.5</v>
      </c>
      <c r="Y57" s="133">
        <f>IFERROR(_xlfn.XLOOKUP($A57,'Raw Data'!$G:$G,'Raw Data'!AJ:AJ),"")</f>
        <v>32750</v>
      </c>
      <c r="Z57" s="133">
        <f>IFERROR(_xlfn.XLOOKUP($A57,'Raw Data'!$G:$G,'Raw Data'!AK:AK),"")</f>
        <v>100.00000000002274</v>
      </c>
      <c r="AA57" s="133">
        <f>IFERROR(_xlfn.XLOOKUP($A57,'Raw Data'!$G:$G,'Raw Data'!AL:AL),"")</f>
        <v>32649.999999999978</v>
      </c>
      <c r="AB57" s="133">
        <f>IFERROR(_xlfn.XLOOKUP($A57,'Raw Data'!$G:$G,'Raw Data'!H:H),"")</f>
        <v>8.0208999999999993</v>
      </c>
      <c r="AC57" s="142">
        <f>IFERROR(_xlfn.XLOOKUP($D57,'Modelling New'!$D:$D,'Modelling New'!P:P),"")</f>
        <v>6.0129032258064514</v>
      </c>
      <c r="AD57" s="133">
        <f>IFERROR(_xlfn.XLOOKUP($D57,'Modelling New'!$D:$D,'Modelling New'!$T:$T)*1000,"")</f>
        <v>33577.74455581214</v>
      </c>
      <c r="AE57" s="143">
        <f>IFERROR(_xlfn.XLOOKUP($D57,'Modelling New'!$D:$D,'Modelling New'!O:O),"")</f>
        <v>0.69621632879901718</v>
      </c>
      <c r="AF57" s="145">
        <f>IFERROR(_xlfn.XLOOKUP($D57,'Modelling New'!$D:$D,'Modelling New'!W:W),"")</f>
        <v>0.17442839205394728</v>
      </c>
      <c r="AG57" s="145">
        <f>IFERROR(_xlfn.XLOOKUP($D57,'Modelling New'!$D:$D,'Modelling New'!AE:AE),"")</f>
        <v>0.98040000000000005</v>
      </c>
      <c r="AH57" s="167">
        <f>IFERROR(_xlfn.XLOOKUP($D57,'Modelling New'!$D:$D,'Modelling New'!AF:AF),"")</f>
        <v>0.98</v>
      </c>
      <c r="AN57" s="144"/>
      <c r="AO57" s="141"/>
      <c r="AP57" s="141"/>
      <c r="AQ57" s="141"/>
      <c r="AR57" s="133">
        <f>'Basic Data'!$B$98/1000</f>
        <v>8.0208999999999993</v>
      </c>
    </row>
    <row r="58" spans="1:44" x14ac:dyDescent="0.3">
      <c r="A58" s="132">
        <f t="shared" si="7"/>
        <v>45801</v>
      </c>
      <c r="B58" s="133">
        <f>YEAR(Table13[[#This Row],[Date]])+IF(MONTH(Table13[[#This Row],[Date]])&gt;=4,1,0)</f>
        <v>2026</v>
      </c>
      <c r="C58" s="134">
        <f>YEAR(Table13[[#This Row],[Date]])</f>
        <v>2025</v>
      </c>
      <c r="D58" s="135">
        <f>Table13[[#This Row],[Date]]-DAY(Table13[[#This Row],[Date]])+1</f>
        <v>45778</v>
      </c>
      <c r="E58" s="134">
        <f t="shared" si="4"/>
        <v>31</v>
      </c>
      <c r="F58" s="136">
        <f>IFERROR(_xlfn.XLOOKUP($A58,'Raw Data'!$G:$G,'Raw Data'!$AM:$AM),"")</f>
        <v>12.583333333333334</v>
      </c>
      <c r="G58" s="137">
        <f>IFERROR(_xlfn.XLOOKUP($A58,'Raw Data'!$G:$G,'Raw Data'!$AB:$AB),"")</f>
        <v>0</v>
      </c>
      <c r="H58" s="137"/>
      <c r="I58" s="137">
        <f>IFERROR(_xlfn.XLOOKUP($A58,'Raw Data'!$G:$G,'Raw Data'!$AC:$AC),"")</f>
        <v>4.32</v>
      </c>
      <c r="J58" s="137"/>
      <c r="K58" s="137">
        <f>IFERROR(_xlfn.XLOOKUP($A58,'Raw Data'!$G:$G,'Raw Data'!AD:AD),"")</f>
        <v>0</v>
      </c>
      <c r="L58" s="137">
        <f>IFERROR(_xlfn.XLOOKUP($A58,'Raw Data'!$G:$G,'Raw Data'!AE:AE),"")</f>
        <v>34.130000000000003</v>
      </c>
      <c r="M58" s="137">
        <f>IFERROR(_xlfn.XLOOKUP($A58,'Raw Data'!$G:$G,'Raw Data'!AF:AF),"")</f>
        <v>0</v>
      </c>
      <c r="N58" s="137">
        <f>IFERROR(_xlfn.XLOOKUP($A58,'Raw Data'!$G:$G,'Raw Data'!AG:AG),"")</f>
        <v>0</v>
      </c>
      <c r="O58" s="138">
        <f>IFERROR(1-SUMIF('Plant BD'!$H:$H,$A58,'Plant BD'!$AE:$AE)/($AA58+SUMIF('Plant BD'!$H:$H,$A58,'Plant BD'!$AE:$AE)),"")</f>
        <v>1</v>
      </c>
      <c r="P58" s="138"/>
      <c r="Q58" s="139"/>
      <c r="R58" s="138">
        <f>IFERROR(1-SUMIF('Grid BD'!$H:$H,$A58,'Grid BD'!$AD:$AD)/($AA58+SUMIF('Grid BD'!$H:$H,$A58,'Grid BD'!$AD:$AD)),"")</f>
        <v>0.9824559970900365</v>
      </c>
      <c r="T58" s="139"/>
      <c r="U58" s="140">
        <f t="shared" si="5"/>
        <v>0.77777131318512982</v>
      </c>
      <c r="V58" s="140"/>
      <c r="W58" s="141">
        <f t="shared" si="6"/>
        <v>0.13999883637332336</v>
      </c>
      <c r="X58" s="133">
        <f>IFERROR(_xlfn.XLOOKUP($A58,'Raw Data'!$G:$G,'Raw Data'!AI:AI),"")</f>
        <v>27302.799999999999</v>
      </c>
      <c r="Y58" s="133">
        <f>IFERROR(_xlfn.XLOOKUP($A58,'Raw Data'!$G:$G,'Raw Data'!AJ:AJ),"")</f>
        <v>27050.00000000291</v>
      </c>
      <c r="Z58" s="133">
        <f>IFERROR(_xlfn.XLOOKUP($A58,'Raw Data'!$G:$G,'Raw Data'!AK:AK),"")</f>
        <v>99.999999999965894</v>
      </c>
      <c r="AA58" s="133">
        <f>IFERROR(_xlfn.XLOOKUP($A58,'Raw Data'!$G:$G,'Raw Data'!AL:AL),"")</f>
        <v>26950.000000002943</v>
      </c>
      <c r="AB58" s="133">
        <f>IFERROR(_xlfn.XLOOKUP($A58,'Raw Data'!$G:$G,'Raw Data'!H:H),"")</f>
        <v>8.0208999999999993</v>
      </c>
      <c r="AC58" s="142">
        <f>IFERROR(_xlfn.XLOOKUP($D58,'Modelling New'!$D:$D,'Modelling New'!P:P),"")</f>
        <v>6.0129032258064514</v>
      </c>
      <c r="AD58" s="133">
        <f>IFERROR(_xlfn.XLOOKUP($D58,'Modelling New'!$D:$D,'Modelling New'!$T:$T)*1000,"")</f>
        <v>33577.74455581214</v>
      </c>
      <c r="AE58" s="143">
        <f>IFERROR(_xlfn.XLOOKUP($D58,'Modelling New'!$D:$D,'Modelling New'!O:O),"")</f>
        <v>0.69621632879901718</v>
      </c>
      <c r="AF58" s="145">
        <f>IFERROR(_xlfn.XLOOKUP($D58,'Modelling New'!$D:$D,'Modelling New'!W:W),"")</f>
        <v>0.17442839205394728</v>
      </c>
      <c r="AG58" s="145">
        <f>IFERROR(_xlfn.XLOOKUP($D58,'Modelling New'!$D:$D,'Modelling New'!AE:AE),"")</f>
        <v>0.98040000000000005</v>
      </c>
      <c r="AH58" s="167">
        <f>IFERROR(_xlfn.XLOOKUP($D58,'Modelling New'!$D:$D,'Modelling New'!AF:AF),"")</f>
        <v>0.98</v>
      </c>
      <c r="AN58" s="144"/>
      <c r="AO58" s="141"/>
      <c r="AP58" s="141"/>
      <c r="AQ58" s="141"/>
      <c r="AR58" s="133">
        <f>'Basic Data'!$B$98/1000</f>
        <v>8.0208999999999993</v>
      </c>
    </row>
    <row r="59" spans="1:44" x14ac:dyDescent="0.3">
      <c r="A59" s="132">
        <f t="shared" si="7"/>
        <v>45802</v>
      </c>
      <c r="B59" s="133">
        <f>YEAR(Table13[[#This Row],[Date]])+IF(MONTH(Table13[[#This Row],[Date]])&gt;=4,1,0)</f>
        <v>2026</v>
      </c>
      <c r="C59" s="134">
        <f>YEAR(Table13[[#This Row],[Date]])</f>
        <v>2025</v>
      </c>
      <c r="D59" s="135">
        <f>Table13[[#This Row],[Date]]-DAY(Table13[[#This Row],[Date]])+1</f>
        <v>45778</v>
      </c>
      <c r="E59" s="134">
        <f t="shared" si="4"/>
        <v>31</v>
      </c>
      <c r="F59" s="136">
        <f>IFERROR(_xlfn.XLOOKUP($A59,'Raw Data'!$G:$G,'Raw Data'!$AM:$AM),"")</f>
        <v>12.866666666666667</v>
      </c>
      <c r="G59" s="137">
        <f>IFERROR(_xlfn.XLOOKUP($A59,'Raw Data'!$G:$G,'Raw Data'!$AB:$AB),"")</f>
        <v>0</v>
      </c>
      <c r="H59" s="137"/>
      <c r="I59" s="137">
        <f>IFERROR(_xlfn.XLOOKUP($A59,'Raw Data'!$G:$G,'Raw Data'!$AC:$AC),"")</f>
        <v>3.74</v>
      </c>
      <c r="J59" s="137"/>
      <c r="K59" s="137">
        <f>IFERROR(_xlfn.XLOOKUP($A59,'Raw Data'!$G:$G,'Raw Data'!AD:AD),"")</f>
        <v>0</v>
      </c>
      <c r="L59" s="137">
        <f>IFERROR(_xlfn.XLOOKUP($A59,'Raw Data'!$G:$G,'Raw Data'!AE:AE),"")</f>
        <v>33.6</v>
      </c>
      <c r="M59" s="137">
        <f>IFERROR(_xlfn.XLOOKUP($A59,'Raw Data'!$G:$G,'Raw Data'!AF:AF),"")</f>
        <v>0</v>
      </c>
      <c r="N59" s="137">
        <f>IFERROR(_xlfn.XLOOKUP($A59,'Raw Data'!$G:$G,'Raw Data'!AG:AG),"")</f>
        <v>0</v>
      </c>
      <c r="O59" s="138">
        <f>IFERROR(1-SUMIF('Plant BD'!$H:$H,$A59,'Plant BD'!$AE:$AE)/($AA59+SUMIF('Plant BD'!$H:$H,$A59,'Plant BD'!$AE:$AE)),"")</f>
        <v>0.99441742649554254</v>
      </c>
      <c r="P59" s="138"/>
      <c r="Q59" s="139"/>
      <c r="R59" s="138">
        <f>IFERROR(1-SUMIF('Grid BD'!$H:$H,$A59,'Grid BD'!$AD:$AD)/($AA59+SUMIF('Grid BD'!$H:$H,$A59,'Grid BD'!$AD:$AD)),"")</f>
        <v>0.99726531099727245</v>
      </c>
      <c r="T59" s="139"/>
      <c r="U59" s="140">
        <f t="shared" si="5"/>
        <v>0.78004768691525939</v>
      </c>
      <c r="V59" s="140"/>
      <c r="W59" s="141">
        <f t="shared" si="6"/>
        <v>0.12155743121096124</v>
      </c>
      <c r="X59" s="133">
        <f>IFERROR(_xlfn.XLOOKUP($A59,'Raw Data'!$G:$G,'Raw Data'!AI:AI),"")</f>
        <v>23674.300000000003</v>
      </c>
      <c r="Y59" s="133">
        <f>IFERROR(_xlfn.XLOOKUP($A59,'Raw Data'!$G:$G,'Raw Data'!AJ:AJ),"")</f>
        <v>23500</v>
      </c>
      <c r="Z59" s="133">
        <f>IFERROR(_xlfn.XLOOKUP($A59,'Raw Data'!$G:$G,'Raw Data'!AK:AK),"")</f>
        <v>100.00000000002274</v>
      </c>
      <c r="AA59" s="133">
        <f>IFERROR(_xlfn.XLOOKUP($A59,'Raw Data'!$G:$G,'Raw Data'!AL:AL),"")</f>
        <v>23399.999999999978</v>
      </c>
      <c r="AB59" s="133">
        <f>IFERROR(_xlfn.XLOOKUP($A59,'Raw Data'!$G:$G,'Raw Data'!H:H),"")</f>
        <v>8.0208999999999993</v>
      </c>
      <c r="AC59" s="142">
        <f>IFERROR(_xlfn.XLOOKUP($D59,'Modelling New'!$D:$D,'Modelling New'!P:P),"")</f>
        <v>6.0129032258064514</v>
      </c>
      <c r="AD59" s="133">
        <f>IFERROR(_xlfn.XLOOKUP($D59,'Modelling New'!$D:$D,'Modelling New'!$T:$T)*1000,"")</f>
        <v>33577.74455581214</v>
      </c>
      <c r="AE59" s="143">
        <f>IFERROR(_xlfn.XLOOKUP($D59,'Modelling New'!$D:$D,'Modelling New'!O:O),"")</f>
        <v>0.69621632879901718</v>
      </c>
      <c r="AF59" s="145">
        <f>IFERROR(_xlfn.XLOOKUP($D59,'Modelling New'!$D:$D,'Modelling New'!W:W),"")</f>
        <v>0.17442839205394728</v>
      </c>
      <c r="AG59" s="145">
        <f>IFERROR(_xlfn.XLOOKUP($D59,'Modelling New'!$D:$D,'Modelling New'!AE:AE),"")</f>
        <v>0.98040000000000005</v>
      </c>
      <c r="AH59" s="167">
        <f>IFERROR(_xlfn.XLOOKUP($D59,'Modelling New'!$D:$D,'Modelling New'!AF:AF),"")</f>
        <v>0.98</v>
      </c>
      <c r="AN59" s="144"/>
      <c r="AO59" s="141"/>
      <c r="AP59" s="141"/>
      <c r="AQ59" s="141"/>
      <c r="AR59" s="133">
        <f>'Basic Data'!$B$98/1000</f>
        <v>8.0208999999999993</v>
      </c>
    </row>
    <row r="60" spans="1:44" x14ac:dyDescent="0.3">
      <c r="A60" s="132">
        <f t="shared" si="7"/>
        <v>45803</v>
      </c>
      <c r="B60" s="133">
        <f>YEAR(Table13[[#This Row],[Date]])+IF(MONTH(Table13[[#This Row],[Date]])&gt;=4,1,0)</f>
        <v>2026</v>
      </c>
      <c r="C60" s="134">
        <f>YEAR(Table13[[#This Row],[Date]])</f>
        <v>2025</v>
      </c>
      <c r="D60" s="135">
        <f>Table13[[#This Row],[Date]]-DAY(Table13[[#This Row],[Date]])+1</f>
        <v>45778</v>
      </c>
      <c r="E60" s="134">
        <f t="shared" si="4"/>
        <v>31</v>
      </c>
      <c r="F60" s="136">
        <f>IFERROR(_xlfn.XLOOKUP($A60,'Raw Data'!$G:$G,'Raw Data'!$AM:$AM),"")</f>
        <v>12.8</v>
      </c>
      <c r="G60" s="137">
        <f>IFERROR(_xlfn.XLOOKUP($A60,'Raw Data'!$G:$G,'Raw Data'!$AB:$AB),"")</f>
        <v>0</v>
      </c>
      <c r="H60" s="137"/>
      <c r="I60" s="137">
        <f>IFERROR(_xlfn.XLOOKUP($A60,'Raw Data'!$G:$G,'Raw Data'!$AC:$AC),"")</f>
        <v>2.88</v>
      </c>
      <c r="J60" s="137"/>
      <c r="K60" s="137">
        <f>IFERROR(_xlfn.XLOOKUP($A60,'Raw Data'!$G:$G,'Raw Data'!AD:AD),"")</f>
        <v>0</v>
      </c>
      <c r="L60" s="137">
        <f>IFERROR(_xlfn.XLOOKUP($A60,'Raw Data'!$G:$G,'Raw Data'!AE:AE),"")</f>
        <v>33.68</v>
      </c>
      <c r="M60" s="137">
        <f>IFERROR(_xlfn.XLOOKUP($A60,'Raw Data'!$G:$G,'Raw Data'!AF:AF),"")</f>
        <v>0</v>
      </c>
      <c r="N60" s="137">
        <f>IFERROR(_xlfn.XLOOKUP($A60,'Raw Data'!$G:$G,'Raw Data'!AG:AG),"")</f>
        <v>0</v>
      </c>
      <c r="O60" s="138">
        <f>IFERROR(1-SUMIF('Plant BD'!$H:$H,$A60,'Plant BD'!$AE:$AE)/($AA60+SUMIF('Plant BD'!$H:$H,$A60,'Plant BD'!$AE:$AE)),"")</f>
        <v>1</v>
      </c>
      <c r="P60" s="138"/>
      <c r="Q60" s="139"/>
      <c r="R60" s="138">
        <f>IFERROR(1-SUMIF('Grid BD'!$H:$H,$A60,'Grid BD'!$AD:$AD)/($AA60+SUMIF('Grid BD'!$H:$H,$A60,'Grid BD'!$AD:$AD)),"")</f>
        <v>0.9915393215487166</v>
      </c>
      <c r="T60" s="139"/>
      <c r="U60" s="140">
        <f t="shared" si="5"/>
        <v>0.81384604941849459</v>
      </c>
      <c r="V60" s="140"/>
      <c r="W60" s="141">
        <f t="shared" si="6"/>
        <v>9.7661525930219331E-2</v>
      </c>
      <c r="X60" s="133">
        <f>IFERROR(_xlfn.XLOOKUP($A60,'Raw Data'!$G:$G,'Raw Data'!AI:AI),"")</f>
        <v>19067.300000000003</v>
      </c>
      <c r="Y60" s="133">
        <f>IFERROR(_xlfn.XLOOKUP($A60,'Raw Data'!$G:$G,'Raw Data'!AJ:AJ),"")</f>
        <v>18900.000000008731</v>
      </c>
      <c r="Z60" s="133">
        <f>IFERROR(_xlfn.XLOOKUP($A60,'Raw Data'!$G:$G,'Raw Data'!AK:AK),"")</f>
        <v>100.00000000002274</v>
      </c>
      <c r="AA60" s="133">
        <f>IFERROR(_xlfn.XLOOKUP($A60,'Raw Data'!$G:$G,'Raw Data'!AL:AL),"")</f>
        <v>18800.000000008709</v>
      </c>
      <c r="AB60" s="133">
        <f>IFERROR(_xlfn.XLOOKUP($A60,'Raw Data'!$G:$G,'Raw Data'!H:H),"")</f>
        <v>8.0208999999999993</v>
      </c>
      <c r="AC60" s="142">
        <f>IFERROR(_xlfn.XLOOKUP($D60,'Modelling New'!$D:$D,'Modelling New'!P:P),"")</f>
        <v>6.0129032258064514</v>
      </c>
      <c r="AD60" s="133">
        <f>IFERROR(_xlfn.XLOOKUP($D60,'Modelling New'!$D:$D,'Modelling New'!$T:$T)*1000,"")</f>
        <v>33577.74455581214</v>
      </c>
      <c r="AE60" s="143">
        <f>IFERROR(_xlfn.XLOOKUP($D60,'Modelling New'!$D:$D,'Modelling New'!O:O),"")</f>
        <v>0.69621632879901718</v>
      </c>
      <c r="AF60" s="145">
        <f>IFERROR(_xlfn.XLOOKUP($D60,'Modelling New'!$D:$D,'Modelling New'!W:W),"")</f>
        <v>0.17442839205394728</v>
      </c>
      <c r="AG60" s="145">
        <f>IFERROR(_xlfn.XLOOKUP($D60,'Modelling New'!$D:$D,'Modelling New'!AE:AE),"")</f>
        <v>0.98040000000000005</v>
      </c>
      <c r="AH60" s="167">
        <f>IFERROR(_xlfn.XLOOKUP($D60,'Modelling New'!$D:$D,'Modelling New'!AF:AF),"")</f>
        <v>0.98</v>
      </c>
      <c r="AN60" s="144"/>
      <c r="AO60" s="141"/>
      <c r="AP60" s="141"/>
      <c r="AQ60" s="141"/>
      <c r="AR60" s="133">
        <f>'Basic Data'!$B$98/1000</f>
        <v>8.0208999999999993</v>
      </c>
    </row>
    <row r="61" spans="1:44" x14ac:dyDescent="0.3">
      <c r="A61" s="132">
        <f t="shared" si="7"/>
        <v>45804</v>
      </c>
      <c r="B61" s="133">
        <f>YEAR(Table13[[#This Row],[Date]])+IF(MONTH(Table13[[#This Row],[Date]])&gt;=4,1,0)</f>
        <v>2026</v>
      </c>
      <c r="C61" s="134">
        <f>YEAR(Table13[[#This Row],[Date]])</f>
        <v>2025</v>
      </c>
      <c r="D61" s="135">
        <f>Table13[[#This Row],[Date]]-DAY(Table13[[#This Row],[Date]])+1</f>
        <v>45778</v>
      </c>
      <c r="E61" s="134">
        <f t="shared" si="4"/>
        <v>31</v>
      </c>
      <c r="F61" s="136">
        <f>IFERROR(_xlfn.XLOOKUP($A61,'Raw Data'!$G:$G,'Raw Data'!$AM:$AM),"")</f>
        <v>12.583333333333334</v>
      </c>
      <c r="G61" s="137">
        <f>IFERROR(_xlfn.XLOOKUP($A61,'Raw Data'!$G:$G,'Raw Data'!$AB:$AB),"")</f>
        <v>0</v>
      </c>
      <c r="H61" s="137"/>
      <c r="I61" s="137">
        <f>IFERROR(_xlfn.XLOOKUP($A61,'Raw Data'!$G:$G,'Raw Data'!$AC:$AC),"")</f>
        <v>3.04</v>
      </c>
      <c r="J61" s="137"/>
      <c r="K61" s="137">
        <f>IFERROR(_xlfn.XLOOKUP($A61,'Raw Data'!$G:$G,'Raw Data'!AD:AD),"")</f>
        <v>0</v>
      </c>
      <c r="L61" s="137">
        <f>IFERROR(_xlfn.XLOOKUP($A61,'Raw Data'!$G:$G,'Raw Data'!AE:AE),"")</f>
        <v>32.93</v>
      </c>
      <c r="M61" s="137">
        <f>IFERROR(_xlfn.XLOOKUP($A61,'Raw Data'!$G:$G,'Raw Data'!AF:AF),"")</f>
        <v>0</v>
      </c>
      <c r="N61" s="137">
        <f>IFERROR(_xlfn.XLOOKUP($A61,'Raw Data'!$G:$G,'Raw Data'!AG:AG),"")</f>
        <v>0</v>
      </c>
      <c r="O61" s="138">
        <f>IFERROR(1-SUMIF('Plant BD'!$H:$H,$A61,'Plant BD'!$AE:$AE)/($AA61+SUMIF('Plant BD'!$H:$H,$A61,'Plant BD'!$AE:$AE)),"")</f>
        <v>1</v>
      </c>
      <c r="P61" s="138"/>
      <c r="Q61" s="139"/>
      <c r="R61" s="138">
        <f>IFERROR(1-SUMIF('Grid BD'!$H:$H,$A61,'Grid BD'!$AD:$AD)/($AA61+SUMIF('Grid BD'!$H:$H,$A61,'Grid BD'!$AD:$AD)),"")</f>
        <v>0.96078200320847407</v>
      </c>
      <c r="T61" s="139"/>
      <c r="U61" s="140">
        <f t="shared" si="5"/>
        <v>0.80587163404028173</v>
      </c>
      <c r="V61" s="140"/>
      <c r="W61" s="141">
        <f t="shared" si="6"/>
        <v>0.10207707364510234</v>
      </c>
      <c r="X61" s="133">
        <f>IFERROR(_xlfn.XLOOKUP($A61,'Raw Data'!$G:$G,'Raw Data'!AI:AI),"")</f>
        <v>19930.599999999999</v>
      </c>
      <c r="Y61" s="133">
        <f>IFERROR(_xlfn.XLOOKUP($A61,'Raw Data'!$G:$G,'Raw Data'!AJ:AJ),"")</f>
        <v>19750</v>
      </c>
      <c r="Z61" s="133">
        <f>IFERROR(_xlfn.XLOOKUP($A61,'Raw Data'!$G:$G,'Raw Data'!AK:AK),"")</f>
        <v>99.999999999965894</v>
      </c>
      <c r="AA61" s="133">
        <f>IFERROR(_xlfn.XLOOKUP($A61,'Raw Data'!$G:$G,'Raw Data'!AL:AL),"")</f>
        <v>19650.000000000033</v>
      </c>
      <c r="AB61" s="133">
        <f>IFERROR(_xlfn.XLOOKUP($A61,'Raw Data'!$G:$G,'Raw Data'!H:H),"")</f>
        <v>8.0208999999999993</v>
      </c>
      <c r="AC61" s="142">
        <f>IFERROR(_xlfn.XLOOKUP($D61,'Modelling New'!$D:$D,'Modelling New'!P:P),"")</f>
        <v>6.0129032258064514</v>
      </c>
      <c r="AD61" s="133">
        <f>IFERROR(_xlfn.XLOOKUP($D61,'Modelling New'!$D:$D,'Modelling New'!$T:$T)*1000,"")</f>
        <v>33577.74455581214</v>
      </c>
      <c r="AE61" s="143">
        <f>IFERROR(_xlfn.XLOOKUP($D61,'Modelling New'!$D:$D,'Modelling New'!O:O),"")</f>
        <v>0.69621632879901718</v>
      </c>
      <c r="AF61" s="145">
        <f>IFERROR(_xlfn.XLOOKUP($D61,'Modelling New'!$D:$D,'Modelling New'!W:W),"")</f>
        <v>0.17442839205394728</v>
      </c>
      <c r="AG61" s="145">
        <f>IFERROR(_xlfn.XLOOKUP($D61,'Modelling New'!$D:$D,'Modelling New'!AE:AE),"")</f>
        <v>0.98040000000000005</v>
      </c>
      <c r="AH61" s="167">
        <f>IFERROR(_xlfn.XLOOKUP($D61,'Modelling New'!$D:$D,'Modelling New'!AF:AF),"")</f>
        <v>0.98</v>
      </c>
      <c r="AN61" s="144"/>
      <c r="AO61" s="141"/>
      <c r="AP61" s="141"/>
      <c r="AQ61" s="141"/>
      <c r="AR61" s="133">
        <f>'Basic Data'!$B$98/1000</f>
        <v>8.0208999999999993</v>
      </c>
    </row>
    <row r="62" spans="1:44" x14ac:dyDescent="0.3">
      <c r="A62" s="132">
        <f t="shared" si="7"/>
        <v>45805</v>
      </c>
      <c r="B62" s="133">
        <f>YEAR(Table13[[#This Row],[Date]])+IF(MONTH(Table13[[#This Row],[Date]])&gt;=4,1,0)</f>
        <v>2026</v>
      </c>
      <c r="C62" s="134">
        <f>YEAR(Table13[[#This Row],[Date]])</f>
        <v>2025</v>
      </c>
      <c r="D62" s="135">
        <f>Table13[[#This Row],[Date]]-DAY(Table13[[#This Row],[Date]])+1</f>
        <v>45778</v>
      </c>
      <c r="E62" s="134">
        <f t="shared" si="4"/>
        <v>31</v>
      </c>
      <c r="F62" s="136">
        <f>IFERROR(_xlfn.XLOOKUP($A62,'Raw Data'!$G:$G,'Raw Data'!$AM:$AM),"")</f>
        <v>12.833333333333332</v>
      </c>
      <c r="G62" s="137">
        <f>IFERROR(_xlfn.XLOOKUP($A62,'Raw Data'!$G:$G,'Raw Data'!$AB:$AB),"")</f>
        <v>0</v>
      </c>
      <c r="H62" s="137"/>
      <c r="I62" s="137">
        <f>IFERROR(_xlfn.XLOOKUP($A62,'Raw Data'!$G:$G,'Raw Data'!$AC:$AC),"")</f>
        <v>3.25</v>
      </c>
      <c r="J62" s="137"/>
      <c r="K62" s="137">
        <f>IFERROR(_xlfn.XLOOKUP($A62,'Raw Data'!$G:$G,'Raw Data'!AD:AD),"")</f>
        <v>0</v>
      </c>
      <c r="L62" s="137">
        <f>IFERROR(_xlfn.XLOOKUP($A62,'Raw Data'!$G:$G,'Raw Data'!AE:AE),"")</f>
        <v>32.46</v>
      </c>
      <c r="M62" s="137">
        <f>IFERROR(_xlfn.XLOOKUP($A62,'Raw Data'!$G:$G,'Raw Data'!AF:AF),"")</f>
        <v>0</v>
      </c>
      <c r="N62" s="137">
        <f>IFERROR(_xlfn.XLOOKUP($A62,'Raw Data'!$G:$G,'Raw Data'!AG:AG),"")</f>
        <v>0</v>
      </c>
      <c r="O62" s="138">
        <f>IFERROR(1-SUMIF('Plant BD'!$H:$H,$A62,'Plant BD'!$AE:$AE)/($AA62+SUMIF('Plant BD'!$H:$H,$A62,'Plant BD'!$AE:$AE)),"")</f>
        <v>1</v>
      </c>
      <c r="P62" s="138"/>
      <c r="Q62" s="139"/>
      <c r="R62" s="138">
        <f>IFERROR(1-SUMIF('Grid BD'!$H:$H,$A62,'Grid BD'!$AD:$AD)/($AA62+SUMIF('Grid BD'!$H:$H,$A62,'Grid BD'!$AD:$AD)),"")</f>
        <v>1</v>
      </c>
      <c r="T62" s="139"/>
      <c r="U62" s="140">
        <f t="shared" si="5"/>
        <v>0.84203096333859861</v>
      </c>
      <c r="V62" s="140"/>
      <c r="W62" s="141">
        <f t="shared" si="6"/>
        <v>0.11402502628543522</v>
      </c>
      <c r="X62" s="133">
        <f>IFERROR(_xlfn.XLOOKUP($A62,'Raw Data'!$G:$G,'Raw Data'!AI:AI),"")</f>
        <v>22243</v>
      </c>
      <c r="Y62" s="133">
        <f>IFERROR(_xlfn.XLOOKUP($A62,'Raw Data'!$G:$G,'Raw Data'!AJ:AJ),"")</f>
        <v>22049.999999988358</v>
      </c>
      <c r="Z62" s="133">
        <f>IFERROR(_xlfn.XLOOKUP($A62,'Raw Data'!$G:$G,'Raw Data'!AK:AK),"")</f>
        <v>100.00000000002274</v>
      </c>
      <c r="AA62" s="133">
        <f>IFERROR(_xlfn.XLOOKUP($A62,'Raw Data'!$G:$G,'Raw Data'!AL:AL),"")</f>
        <v>21949.999999988337</v>
      </c>
      <c r="AB62" s="133">
        <f>IFERROR(_xlfn.XLOOKUP($A62,'Raw Data'!$G:$G,'Raw Data'!H:H),"")</f>
        <v>8.0208999999999993</v>
      </c>
      <c r="AC62" s="142">
        <f>IFERROR(_xlfn.XLOOKUP($D62,'Modelling New'!$D:$D,'Modelling New'!P:P),"")</f>
        <v>6.0129032258064514</v>
      </c>
      <c r="AD62" s="133">
        <f>IFERROR(_xlfn.XLOOKUP($D62,'Modelling New'!$D:$D,'Modelling New'!$T:$T)*1000,"")</f>
        <v>33577.74455581214</v>
      </c>
      <c r="AE62" s="143">
        <f>IFERROR(_xlfn.XLOOKUP($D62,'Modelling New'!$D:$D,'Modelling New'!O:O),"")</f>
        <v>0.69621632879901718</v>
      </c>
      <c r="AF62" s="145">
        <f>IFERROR(_xlfn.XLOOKUP($D62,'Modelling New'!$D:$D,'Modelling New'!W:W),"")</f>
        <v>0.17442839205394728</v>
      </c>
      <c r="AG62" s="145">
        <f>IFERROR(_xlfn.XLOOKUP($D62,'Modelling New'!$D:$D,'Modelling New'!AE:AE),"")</f>
        <v>0.98040000000000005</v>
      </c>
      <c r="AH62" s="167">
        <f>IFERROR(_xlfn.XLOOKUP($D62,'Modelling New'!$D:$D,'Modelling New'!AF:AF),"")</f>
        <v>0.98</v>
      </c>
      <c r="AN62" s="144"/>
      <c r="AO62" s="141"/>
      <c r="AP62" s="141"/>
      <c r="AQ62" s="141"/>
      <c r="AR62" s="133">
        <f>'Basic Data'!$B$98/1000</f>
        <v>8.0208999999999993</v>
      </c>
    </row>
    <row r="63" spans="1:44" x14ac:dyDescent="0.3">
      <c r="A63" s="132">
        <f t="shared" si="7"/>
        <v>45806</v>
      </c>
      <c r="B63" s="133">
        <f>YEAR(Table13[[#This Row],[Date]])+IF(MONTH(Table13[[#This Row],[Date]])&gt;=4,1,0)</f>
        <v>2026</v>
      </c>
      <c r="C63" s="134">
        <f>YEAR(Table13[[#This Row],[Date]])</f>
        <v>2025</v>
      </c>
      <c r="D63" s="135">
        <f>Table13[[#This Row],[Date]]-DAY(Table13[[#This Row],[Date]])+1</f>
        <v>45778</v>
      </c>
      <c r="E63" s="134">
        <f t="shared" si="4"/>
        <v>31</v>
      </c>
      <c r="F63" s="136">
        <f>IFERROR(_xlfn.XLOOKUP($A63,'Raw Data'!$G:$G,'Raw Data'!$AM:$AM),"")</f>
        <v>12.733333333333334</v>
      </c>
      <c r="G63" s="137">
        <f>IFERROR(_xlfn.XLOOKUP($A63,'Raw Data'!$G:$G,'Raw Data'!$AB:$AB),"")</f>
        <v>0</v>
      </c>
      <c r="H63" s="137"/>
      <c r="I63" s="137">
        <f>IFERROR(_xlfn.XLOOKUP($A63,'Raw Data'!$G:$G,'Raw Data'!$AC:$AC),"")</f>
        <v>2.67</v>
      </c>
      <c r="J63" s="137"/>
      <c r="K63" s="137">
        <f>IFERROR(_xlfn.XLOOKUP($A63,'Raw Data'!$G:$G,'Raw Data'!AD:AD),"")</f>
        <v>0</v>
      </c>
      <c r="L63" s="137">
        <f>IFERROR(_xlfn.XLOOKUP($A63,'Raw Data'!$G:$G,'Raw Data'!AE:AE),"")</f>
        <v>32.15</v>
      </c>
      <c r="M63" s="137">
        <f>IFERROR(_xlfn.XLOOKUP($A63,'Raw Data'!$G:$G,'Raw Data'!AF:AF),"")</f>
        <v>0</v>
      </c>
      <c r="N63" s="137">
        <f>IFERROR(_xlfn.XLOOKUP($A63,'Raw Data'!$G:$G,'Raw Data'!AG:AG),"")</f>
        <v>0</v>
      </c>
      <c r="O63" s="138">
        <f>IFERROR(1-SUMIF('Plant BD'!$H:$H,$A63,'Plant BD'!$AE:$AE)/($AA63+SUMIF('Plant BD'!$H:$H,$A63,'Plant BD'!$AE:$AE)),"")</f>
        <v>1</v>
      </c>
      <c r="P63" s="138"/>
      <c r="Q63" s="139"/>
      <c r="R63" s="138">
        <f>IFERROR(1-SUMIF('Grid BD'!$H:$H,$A63,'Grid BD'!$AD:$AD)/($AA63+SUMIF('Grid BD'!$H:$H,$A63,'Grid BD'!$AD:$AD)),"")</f>
        <v>1</v>
      </c>
      <c r="T63" s="139"/>
      <c r="U63" s="140">
        <f t="shared" si="5"/>
        <v>0.87552168835363087</v>
      </c>
      <c r="V63" s="140"/>
      <c r="W63" s="141">
        <f t="shared" si="6"/>
        <v>9.7401787829341432E-2</v>
      </c>
      <c r="X63" s="133">
        <f>IFERROR(_xlfn.XLOOKUP($A63,'Raw Data'!$G:$G,'Raw Data'!AI:AI),"")</f>
        <v>19012.099999999999</v>
      </c>
      <c r="Y63" s="133">
        <f>IFERROR(_xlfn.XLOOKUP($A63,'Raw Data'!$G:$G,'Raw Data'!AJ:AJ),"")</f>
        <v>18900.000000008731</v>
      </c>
      <c r="Z63" s="133">
        <f>IFERROR(_xlfn.XLOOKUP($A63,'Raw Data'!$G:$G,'Raw Data'!AK:AK),"")</f>
        <v>149.99999999997726</v>
      </c>
      <c r="AA63" s="133">
        <f>IFERROR(_xlfn.XLOOKUP($A63,'Raw Data'!$G:$G,'Raw Data'!AL:AL),"")</f>
        <v>18750.000000008753</v>
      </c>
      <c r="AB63" s="133">
        <f>IFERROR(_xlfn.XLOOKUP($A63,'Raw Data'!$G:$G,'Raw Data'!H:H),"")</f>
        <v>8.0208999999999993</v>
      </c>
      <c r="AC63" s="142">
        <f>IFERROR(_xlfn.XLOOKUP($D63,'Modelling New'!$D:$D,'Modelling New'!P:P),"")</f>
        <v>6.0129032258064514</v>
      </c>
      <c r="AD63" s="133">
        <f>IFERROR(_xlfn.XLOOKUP($D63,'Modelling New'!$D:$D,'Modelling New'!$T:$T)*1000,"")</f>
        <v>33577.74455581214</v>
      </c>
      <c r="AE63" s="143">
        <f>IFERROR(_xlfn.XLOOKUP($D63,'Modelling New'!$D:$D,'Modelling New'!O:O),"")</f>
        <v>0.69621632879901718</v>
      </c>
      <c r="AF63" s="145">
        <f>IFERROR(_xlfn.XLOOKUP($D63,'Modelling New'!$D:$D,'Modelling New'!W:W),"")</f>
        <v>0.17442839205394728</v>
      </c>
      <c r="AG63" s="145">
        <f>IFERROR(_xlfn.XLOOKUP($D63,'Modelling New'!$D:$D,'Modelling New'!AE:AE),"")</f>
        <v>0.98040000000000005</v>
      </c>
      <c r="AH63" s="167">
        <f>IFERROR(_xlfn.XLOOKUP($D63,'Modelling New'!$D:$D,'Modelling New'!AF:AF),"")</f>
        <v>0.98</v>
      </c>
      <c r="AN63" s="144"/>
      <c r="AO63" s="141"/>
      <c r="AP63" s="141"/>
      <c r="AQ63" s="141"/>
      <c r="AR63" s="133">
        <f>'Basic Data'!$B$98/1000</f>
        <v>8.0208999999999993</v>
      </c>
    </row>
    <row r="64" spans="1:44" x14ac:dyDescent="0.3">
      <c r="A64" s="132">
        <f t="shared" si="7"/>
        <v>45807</v>
      </c>
      <c r="B64" s="133">
        <f>YEAR(Table13[[#This Row],[Date]])+IF(MONTH(Table13[[#This Row],[Date]])&gt;=4,1,0)</f>
        <v>2026</v>
      </c>
      <c r="C64" s="134">
        <f>YEAR(Table13[[#This Row],[Date]])</f>
        <v>2025</v>
      </c>
      <c r="D64" s="135">
        <f>Table13[[#This Row],[Date]]-DAY(Table13[[#This Row],[Date]])+1</f>
        <v>45778</v>
      </c>
      <c r="E64" s="134">
        <f t="shared" si="4"/>
        <v>31</v>
      </c>
      <c r="F64" s="136">
        <f>IFERROR(_xlfn.XLOOKUP($A64,'Raw Data'!$G:$G,'Raw Data'!$AM:$AM),"")</f>
        <v>12.916666666666666</v>
      </c>
      <c r="G64" s="137">
        <f>IFERROR(_xlfn.XLOOKUP($A64,'Raw Data'!$G:$G,'Raw Data'!$AB:$AB),"")</f>
        <v>0</v>
      </c>
      <c r="H64" s="137"/>
      <c r="I64" s="137">
        <f>IFERROR(_xlfn.XLOOKUP($A64,'Raw Data'!$G:$G,'Raw Data'!$AC:$AC),"")</f>
        <v>5.3</v>
      </c>
      <c r="J64" s="137"/>
      <c r="K64" s="137">
        <f>IFERROR(_xlfn.XLOOKUP($A64,'Raw Data'!$G:$G,'Raw Data'!AD:AD),"")</f>
        <v>0</v>
      </c>
      <c r="L64" s="137">
        <f>IFERROR(_xlfn.XLOOKUP($A64,'Raw Data'!$G:$G,'Raw Data'!AE:AE),"")</f>
        <v>37.700000000000003</v>
      </c>
      <c r="M64" s="137">
        <f>IFERROR(_xlfn.XLOOKUP($A64,'Raw Data'!$G:$G,'Raw Data'!AF:AF),"")</f>
        <v>0</v>
      </c>
      <c r="N64" s="137">
        <f>IFERROR(_xlfn.XLOOKUP($A64,'Raw Data'!$G:$G,'Raw Data'!AG:AG),"")</f>
        <v>0</v>
      </c>
      <c r="O64" s="138">
        <f>IFERROR(1-SUMIF('Plant BD'!$H:$H,$A64,'Plant BD'!$AE:$AE)/($AA64+SUMIF('Plant BD'!$H:$H,$A64,'Plant BD'!$AE:$AE)),"")</f>
        <v>1</v>
      </c>
      <c r="P64" s="138"/>
      <c r="Q64" s="139"/>
      <c r="R64" s="138">
        <f>IFERROR(1-SUMIF('Grid BD'!$H:$H,$A64,'Grid BD'!$AD:$AD)/($AA64+SUMIF('Grid BD'!$H:$H,$A64,'Grid BD'!$AD:$AD)),"")</f>
        <v>1</v>
      </c>
      <c r="T64" s="139"/>
      <c r="U64" s="140">
        <f t="shared" si="5"/>
        <v>0.83037780778833614</v>
      </c>
      <c r="V64" s="140"/>
      <c r="W64" s="141">
        <f t="shared" si="6"/>
        <v>0.18337509921992418</v>
      </c>
      <c r="X64" s="133">
        <f>IFERROR(_xlfn.XLOOKUP($A64,'Raw Data'!$G:$G,'Raw Data'!AI:AI),"")</f>
        <v>35750.800000000003</v>
      </c>
      <c r="Y64" s="133">
        <f>IFERROR(_xlfn.XLOOKUP($A64,'Raw Data'!$G:$G,'Raw Data'!AJ:AJ),"")</f>
        <v>35399.999999994179</v>
      </c>
      <c r="Z64" s="133">
        <f>IFERROR(_xlfn.XLOOKUP($A64,'Raw Data'!$G:$G,'Raw Data'!AK:AK),"")</f>
        <v>100.00000000002274</v>
      </c>
      <c r="AA64" s="133">
        <f>IFERROR(_xlfn.XLOOKUP($A64,'Raw Data'!$G:$G,'Raw Data'!AL:AL),"")</f>
        <v>35299.999999994157</v>
      </c>
      <c r="AB64" s="133">
        <f>IFERROR(_xlfn.XLOOKUP($A64,'Raw Data'!$G:$G,'Raw Data'!H:H),"")</f>
        <v>8.0208999999999993</v>
      </c>
      <c r="AC64" s="142">
        <f>IFERROR(_xlfn.XLOOKUP($D64,'Modelling New'!$D:$D,'Modelling New'!P:P),"")</f>
        <v>6.0129032258064514</v>
      </c>
      <c r="AD64" s="133">
        <f>IFERROR(_xlfn.XLOOKUP($D64,'Modelling New'!$D:$D,'Modelling New'!$T:$T)*1000,"")</f>
        <v>33577.74455581214</v>
      </c>
      <c r="AE64" s="143">
        <f>IFERROR(_xlfn.XLOOKUP($D64,'Modelling New'!$D:$D,'Modelling New'!O:O),"")</f>
        <v>0.69621632879901718</v>
      </c>
      <c r="AF64" s="145">
        <f>IFERROR(_xlfn.XLOOKUP($D64,'Modelling New'!$D:$D,'Modelling New'!W:W),"")</f>
        <v>0.17442839205394728</v>
      </c>
      <c r="AG64" s="145">
        <f>IFERROR(_xlfn.XLOOKUP($D64,'Modelling New'!$D:$D,'Modelling New'!AE:AE),"")</f>
        <v>0.98040000000000005</v>
      </c>
      <c r="AH64" s="167">
        <f>IFERROR(_xlfn.XLOOKUP($D64,'Modelling New'!$D:$D,'Modelling New'!AF:AF),"")</f>
        <v>0.98</v>
      </c>
      <c r="AN64" s="144"/>
      <c r="AO64" s="141"/>
      <c r="AP64" s="141"/>
      <c r="AQ64" s="141"/>
      <c r="AR64" s="133">
        <f>'Basic Data'!$B$98/1000</f>
        <v>8.0208999999999993</v>
      </c>
    </row>
    <row r="65" spans="1:44" x14ac:dyDescent="0.3">
      <c r="A65" s="132">
        <f t="shared" si="7"/>
        <v>45808</v>
      </c>
      <c r="B65" s="133">
        <f>YEAR(Table13[[#This Row],[Date]])+IF(MONTH(Table13[[#This Row],[Date]])&gt;=4,1,0)</f>
        <v>2026</v>
      </c>
      <c r="C65" s="134">
        <f>YEAR(Table13[[#This Row],[Date]])</f>
        <v>2025</v>
      </c>
      <c r="D65" s="135">
        <f>Table13[[#This Row],[Date]]-DAY(Table13[[#This Row],[Date]])+1</f>
        <v>45778</v>
      </c>
      <c r="E65" s="134">
        <f t="shared" si="4"/>
        <v>31</v>
      </c>
      <c r="F65" s="136">
        <f>IFERROR(_xlfn.XLOOKUP($A65,'Raw Data'!$G:$G,'Raw Data'!$AM:$AM),"")</f>
        <v>12.983333333333333</v>
      </c>
      <c r="G65" s="137">
        <f>IFERROR(_xlfn.XLOOKUP($A65,'Raw Data'!$G:$G,'Raw Data'!$AB:$AB),"")</f>
        <v>0</v>
      </c>
      <c r="H65" s="137"/>
      <c r="I65" s="137">
        <f>IFERROR(_xlfn.XLOOKUP($A65,'Raw Data'!$G:$G,'Raw Data'!$AC:$AC),"")</f>
        <v>6.1</v>
      </c>
      <c r="J65" s="137"/>
      <c r="K65" s="137">
        <f>IFERROR(_xlfn.XLOOKUP($A65,'Raw Data'!$G:$G,'Raw Data'!AD:AD),"")</f>
        <v>0</v>
      </c>
      <c r="L65" s="137">
        <f>IFERROR(_xlfn.XLOOKUP($A65,'Raw Data'!$G:$G,'Raw Data'!AE:AE),"")</f>
        <v>39.9</v>
      </c>
      <c r="M65" s="137">
        <f>IFERROR(_xlfn.XLOOKUP($A65,'Raw Data'!$G:$G,'Raw Data'!AF:AF),"")</f>
        <v>0</v>
      </c>
      <c r="N65" s="137">
        <f>IFERROR(_xlfn.XLOOKUP($A65,'Raw Data'!$G:$G,'Raw Data'!AG:AG),"")</f>
        <v>0</v>
      </c>
      <c r="O65" s="138">
        <f>IFERROR(1-SUMIF('Plant BD'!$H:$H,$A65,'Plant BD'!$AE:$AE)/($AA65+SUMIF('Plant BD'!$H:$H,$A65,'Plant BD'!$AE:$AE)),"")</f>
        <v>1</v>
      </c>
      <c r="P65" s="138"/>
      <c r="Q65" s="139"/>
      <c r="R65" s="138">
        <f>IFERROR(1-SUMIF('Grid BD'!$H:$H,$A65,'Grid BD'!$AD:$AD)/($AA65+SUMIF('Grid BD'!$H:$H,$A65,'Grid BD'!$AD:$AD)),"")</f>
        <v>1</v>
      </c>
      <c r="T65" s="139"/>
      <c r="U65" s="140">
        <f t="shared" si="5"/>
        <v>0.81140479513670027</v>
      </c>
      <c r="V65" s="140"/>
      <c r="W65" s="141">
        <f t="shared" si="6"/>
        <v>0.20623205209724463</v>
      </c>
      <c r="X65" s="133">
        <f>IFERROR(_xlfn.XLOOKUP($A65,'Raw Data'!$G:$G,'Raw Data'!AI:AI),"")</f>
        <v>40077.699999999997</v>
      </c>
      <c r="Y65" s="133">
        <f>IFERROR(_xlfn.XLOOKUP($A65,'Raw Data'!$G:$G,'Raw Data'!AJ:AJ),"")</f>
        <v>39800.00000000291</v>
      </c>
      <c r="Z65" s="133">
        <f>IFERROR(_xlfn.XLOOKUP($A65,'Raw Data'!$G:$G,'Raw Data'!AK:AK),"")</f>
        <v>99.999999999965894</v>
      </c>
      <c r="AA65" s="133">
        <f>IFERROR(_xlfn.XLOOKUP($A65,'Raw Data'!$G:$G,'Raw Data'!AL:AL),"")</f>
        <v>39700.000000002947</v>
      </c>
      <c r="AB65" s="133">
        <f>IFERROR(_xlfn.XLOOKUP($A65,'Raw Data'!$G:$G,'Raw Data'!H:H),"")</f>
        <v>8.0208999999999993</v>
      </c>
      <c r="AC65" s="142">
        <f>IFERROR(_xlfn.XLOOKUP($D65,'Modelling New'!$D:$D,'Modelling New'!P:P),"")</f>
        <v>6.0129032258064514</v>
      </c>
      <c r="AD65" s="133">
        <f>IFERROR(_xlfn.XLOOKUP($D65,'Modelling New'!$D:$D,'Modelling New'!$T:$T)*1000,"")</f>
        <v>33577.74455581214</v>
      </c>
      <c r="AE65" s="143">
        <f>IFERROR(_xlfn.XLOOKUP($D65,'Modelling New'!$D:$D,'Modelling New'!O:O),"")</f>
        <v>0.69621632879901718</v>
      </c>
      <c r="AF65" s="145">
        <f>IFERROR(_xlfn.XLOOKUP($D65,'Modelling New'!$D:$D,'Modelling New'!W:W),"")</f>
        <v>0.17442839205394728</v>
      </c>
      <c r="AG65" s="145">
        <f>IFERROR(_xlfn.XLOOKUP($D65,'Modelling New'!$D:$D,'Modelling New'!AE:AE),"")</f>
        <v>0.98040000000000005</v>
      </c>
      <c r="AH65" s="167">
        <f>IFERROR(_xlfn.XLOOKUP($D65,'Modelling New'!$D:$D,'Modelling New'!AF:AF),"")</f>
        <v>0.98</v>
      </c>
      <c r="AN65" s="144"/>
      <c r="AO65" s="141"/>
      <c r="AP65" s="141"/>
      <c r="AQ65" s="141"/>
      <c r="AR65" s="133">
        <f>'Basic Data'!$B$98/1000</f>
        <v>8.0208999999999993</v>
      </c>
    </row>
    <row r="66" spans="1:44" x14ac:dyDescent="0.3">
      <c r="A66" s="132">
        <f t="shared" si="7"/>
        <v>45809</v>
      </c>
      <c r="B66" s="133">
        <f>YEAR(Table13[[#This Row],[Date]])+IF(MONTH(Table13[[#This Row],[Date]])&gt;=4,1,0)</f>
        <v>2026</v>
      </c>
      <c r="C66" s="134">
        <f>YEAR(Table13[[#This Row],[Date]])</f>
        <v>2025</v>
      </c>
      <c r="D66" s="135">
        <f>Table13[[#This Row],[Date]]-DAY(Table13[[#This Row],[Date]])+1</f>
        <v>45809</v>
      </c>
      <c r="E66" s="134">
        <f t="shared" si="4"/>
        <v>30</v>
      </c>
      <c r="F66" s="136">
        <f>IFERROR(_xlfn.XLOOKUP($A66,'Raw Data'!$G:$G,'Raw Data'!$AM:$AM),"")</f>
        <v>12.916666666666666</v>
      </c>
      <c r="G66" s="137">
        <f>IFERROR(_xlfn.XLOOKUP($A66,'Raw Data'!$G:$G,'Raw Data'!$AB:$AB),"")</f>
        <v>0</v>
      </c>
      <c r="H66" s="137"/>
      <c r="I66" s="137">
        <f>IFERROR(_xlfn.XLOOKUP($A66,'Raw Data'!$G:$G,'Raw Data'!$AC:$AC),"")</f>
        <v>5.88</v>
      </c>
      <c r="J66" s="137"/>
      <c r="K66" s="137">
        <f>IFERROR(_xlfn.XLOOKUP($A66,'Raw Data'!$G:$G,'Raw Data'!AD:AD),"")</f>
        <v>0</v>
      </c>
      <c r="L66" s="137">
        <f>IFERROR(_xlfn.XLOOKUP($A66,'Raw Data'!$G:$G,'Raw Data'!AE:AE),"")</f>
        <v>39.090000000000003</v>
      </c>
      <c r="M66" s="137">
        <f>IFERROR(_xlfn.XLOOKUP($A66,'Raw Data'!$G:$G,'Raw Data'!AF:AF),"")</f>
        <v>0</v>
      </c>
      <c r="N66" s="137">
        <f>IFERROR(_xlfn.XLOOKUP($A66,'Raw Data'!$G:$G,'Raw Data'!AG:AG),"")</f>
        <v>0</v>
      </c>
      <c r="O66" s="138">
        <f>IFERROR(1-SUMIF('Plant BD'!$H:$H,$A66,'Plant BD'!$AE:$AE)/($AA66+SUMIF('Plant BD'!$H:$H,$A66,'Plant BD'!$AE:$AE)),"")</f>
        <v>1</v>
      </c>
      <c r="P66" s="138"/>
      <c r="Q66" s="139"/>
      <c r="R66" s="138">
        <f>IFERROR(1-SUMIF('Grid BD'!$H:$H,$A66,'Grid BD'!$AD:$AD)/($AA66+SUMIF('Grid BD'!$H:$H,$A66,'Grid BD'!$AD:$AD)),"")</f>
        <v>1</v>
      </c>
      <c r="T66" s="139"/>
      <c r="U66" s="140">
        <f t="shared" si="5"/>
        <v>0.81631974561707965</v>
      </c>
      <c r="V66" s="140"/>
      <c r="W66" s="141">
        <f t="shared" si="6"/>
        <v>0.1999983376761845</v>
      </c>
      <c r="X66" s="133">
        <f>IFERROR(_xlfn.XLOOKUP($A66,'Raw Data'!$G:$G,'Raw Data'!AI:AI),"")</f>
        <v>38871.4</v>
      </c>
      <c r="Y66" s="133">
        <f>IFERROR(_xlfn.XLOOKUP($A66,'Raw Data'!$G:$G,'Raw Data'!AJ:AJ),"")</f>
        <v>38600.000000005821</v>
      </c>
      <c r="Z66" s="133">
        <f>IFERROR(_xlfn.XLOOKUP($A66,'Raw Data'!$G:$G,'Raw Data'!AK:AK),"")</f>
        <v>100.00000000002274</v>
      </c>
      <c r="AA66" s="133">
        <f>IFERROR(_xlfn.XLOOKUP($A66,'Raw Data'!$G:$G,'Raw Data'!AL:AL),"")</f>
        <v>38500.000000005799</v>
      </c>
      <c r="AB66" s="133">
        <f>IFERROR(_xlfn.XLOOKUP($A66,'Raw Data'!$G:$G,'Raw Data'!H:H),"")</f>
        <v>8.0208999999999993</v>
      </c>
      <c r="AC66" s="142">
        <f>IFERROR(_xlfn.XLOOKUP($D66,'Modelling New'!$D:$D,'Modelling New'!P:P),"")</f>
        <v>4.7600000000000007</v>
      </c>
      <c r="AD66" s="133">
        <f>IFERROR(_xlfn.XLOOKUP($D66,'Modelling New'!$D:$D,'Modelling New'!$T:$T)*1000,"")</f>
        <v>25919.748311299463</v>
      </c>
      <c r="AE66" s="143">
        <f>IFERROR(_xlfn.XLOOKUP($D66,'Modelling New'!$D:$D,'Modelling New'!O:O),"")</f>
        <v>0.67889205394445518</v>
      </c>
      <c r="AF66" s="145">
        <f>IFERROR(_xlfn.XLOOKUP($D66,'Modelling New'!$D:$D,'Modelling New'!W:W),"")</f>
        <v>0.13464692403231696</v>
      </c>
      <c r="AG66" s="145">
        <f>IFERROR(_xlfn.XLOOKUP($D66,'Modelling New'!$D:$D,'Modelling New'!AE:AE),"")</f>
        <v>0.98040000000000005</v>
      </c>
      <c r="AH66" s="167">
        <f>IFERROR(_xlfn.XLOOKUP($D66,'Modelling New'!$D:$D,'Modelling New'!AF:AF),"")</f>
        <v>0.98</v>
      </c>
      <c r="AN66" s="144"/>
      <c r="AO66" s="141"/>
      <c r="AP66" s="141"/>
      <c r="AQ66" s="141"/>
      <c r="AR66" s="133">
        <f>'Basic Data'!$B$98/1000</f>
        <v>8.0208999999999993</v>
      </c>
    </row>
    <row r="67" spans="1:44" x14ac:dyDescent="0.3">
      <c r="A67" s="132">
        <f t="shared" si="7"/>
        <v>45810</v>
      </c>
      <c r="B67" s="133">
        <f>YEAR(Table13[[#This Row],[Date]])+IF(MONTH(Table13[[#This Row],[Date]])&gt;=4,1,0)</f>
        <v>2026</v>
      </c>
      <c r="C67" s="134">
        <f>YEAR(Table13[[#This Row],[Date]])</f>
        <v>2025</v>
      </c>
      <c r="D67" s="135">
        <f>Table13[[#This Row],[Date]]-DAY(Table13[[#This Row],[Date]])+1</f>
        <v>45809</v>
      </c>
      <c r="E67" s="134">
        <f t="shared" si="4"/>
        <v>30</v>
      </c>
      <c r="F67" s="136">
        <f>IFERROR(_xlfn.XLOOKUP($A67,'Raw Data'!$G:$G,'Raw Data'!$AM:$AM),"")</f>
        <v>12.883333333333333</v>
      </c>
      <c r="G67" s="137">
        <f>IFERROR(_xlfn.XLOOKUP($A67,'Raw Data'!$G:$G,'Raw Data'!$AB:$AB),"")</f>
        <v>0</v>
      </c>
      <c r="H67" s="137"/>
      <c r="I67" s="137">
        <f>IFERROR(_xlfn.XLOOKUP($A67,'Raw Data'!$G:$G,'Raw Data'!$AC:$AC),"")</f>
        <v>4.76</v>
      </c>
      <c r="J67" s="137"/>
      <c r="K67" s="137">
        <f>IFERROR(_xlfn.XLOOKUP($A67,'Raw Data'!$G:$G,'Raw Data'!AD:AD),"")</f>
        <v>0</v>
      </c>
      <c r="L67" s="137">
        <f>IFERROR(_xlfn.XLOOKUP($A67,'Raw Data'!$G:$G,'Raw Data'!AE:AE),"")</f>
        <v>36.1</v>
      </c>
      <c r="M67" s="137">
        <f>IFERROR(_xlfn.XLOOKUP($A67,'Raw Data'!$G:$G,'Raw Data'!AF:AF),"")</f>
        <v>0</v>
      </c>
      <c r="N67" s="137">
        <f>IFERROR(_xlfn.XLOOKUP($A67,'Raw Data'!$G:$G,'Raw Data'!AG:AG),"")</f>
        <v>0</v>
      </c>
      <c r="O67" s="138">
        <f>IFERROR(1-SUMIF('Plant BD'!$H:$H,$A67,'Plant BD'!$AE:$AE)/($AA67+SUMIF('Plant BD'!$H:$H,$A67,'Plant BD'!$AE:$AE)),"")</f>
        <v>1</v>
      </c>
      <c r="P67" s="138"/>
      <c r="Q67" s="139"/>
      <c r="R67" s="138">
        <f>IFERROR(1-SUMIF('Grid BD'!$H:$H,$A67,'Grid BD'!$AD:$AD)/($AA67+SUMIF('Grid BD'!$H:$H,$A67,'Grid BD'!$AD:$AD)),"")</f>
        <v>1</v>
      </c>
      <c r="T67" s="139"/>
      <c r="U67" s="140">
        <f t="shared" si="5"/>
        <v>0.84600410000287496</v>
      </c>
      <c r="V67" s="140"/>
      <c r="W67" s="141">
        <f t="shared" si="6"/>
        <v>0.16779081316723682</v>
      </c>
      <c r="X67" s="133">
        <f>IFERROR(_xlfn.XLOOKUP($A67,'Raw Data'!$G:$G,'Raw Data'!AI:AI),"")</f>
        <v>32605.4</v>
      </c>
      <c r="Y67" s="133">
        <f>IFERROR(_xlfn.XLOOKUP($A67,'Raw Data'!$G:$G,'Raw Data'!AJ:AJ),"")</f>
        <v>32399.999999994179</v>
      </c>
      <c r="Z67" s="133">
        <f>IFERROR(_xlfn.XLOOKUP($A67,'Raw Data'!$G:$G,'Raw Data'!AK:AK),"")</f>
        <v>100.00000000002274</v>
      </c>
      <c r="AA67" s="133">
        <f>IFERROR(_xlfn.XLOOKUP($A67,'Raw Data'!$G:$G,'Raw Data'!AL:AL),"")</f>
        <v>32299.999999994157</v>
      </c>
      <c r="AB67" s="133">
        <f>IFERROR(_xlfn.XLOOKUP($A67,'Raw Data'!$G:$G,'Raw Data'!H:H),"")</f>
        <v>8.0208999999999993</v>
      </c>
      <c r="AC67" s="142">
        <f>IFERROR(_xlfn.XLOOKUP($D67,'Modelling New'!$D:$D,'Modelling New'!P:P),"")</f>
        <v>4.7600000000000007</v>
      </c>
      <c r="AD67" s="133">
        <f>IFERROR(_xlfn.XLOOKUP($D67,'Modelling New'!$D:$D,'Modelling New'!$T:$T)*1000,"")</f>
        <v>25919.748311299463</v>
      </c>
      <c r="AE67" s="143">
        <f>IFERROR(_xlfn.XLOOKUP($D67,'Modelling New'!$D:$D,'Modelling New'!O:O),"")</f>
        <v>0.67889205394445518</v>
      </c>
      <c r="AF67" s="145">
        <f>IFERROR(_xlfn.XLOOKUP($D67,'Modelling New'!$D:$D,'Modelling New'!W:W),"")</f>
        <v>0.13464692403231696</v>
      </c>
      <c r="AG67" s="145">
        <f>IFERROR(_xlfn.XLOOKUP($D67,'Modelling New'!$D:$D,'Modelling New'!AE:AE),"")</f>
        <v>0.98040000000000005</v>
      </c>
      <c r="AH67" s="167">
        <f>IFERROR(_xlfn.XLOOKUP($D67,'Modelling New'!$D:$D,'Modelling New'!AF:AF),"")</f>
        <v>0.98</v>
      </c>
      <c r="AN67" s="144"/>
      <c r="AO67" s="141"/>
      <c r="AP67" s="141"/>
      <c r="AQ67" s="141"/>
      <c r="AR67" s="133">
        <f>'Basic Data'!$B$98/1000</f>
        <v>8.0208999999999993</v>
      </c>
    </row>
    <row r="68" spans="1:44" x14ac:dyDescent="0.3">
      <c r="A68" s="132">
        <f t="shared" si="7"/>
        <v>45811</v>
      </c>
      <c r="B68" s="133">
        <f>YEAR(Table13[[#This Row],[Date]])+IF(MONTH(Table13[[#This Row],[Date]])&gt;=4,1,0)</f>
        <v>2026</v>
      </c>
      <c r="C68" s="134">
        <f>YEAR(Table13[[#This Row],[Date]])</f>
        <v>2025</v>
      </c>
      <c r="D68" s="135">
        <f>Table13[[#This Row],[Date]]-DAY(Table13[[#This Row],[Date]])+1</f>
        <v>45809</v>
      </c>
      <c r="E68" s="134">
        <f t="shared" si="4"/>
        <v>30</v>
      </c>
      <c r="F68" s="136">
        <f>IFERROR(_xlfn.XLOOKUP($A68,'Raw Data'!$G:$G,'Raw Data'!$AM:$AM),"")</f>
        <v>12.600000000000001</v>
      </c>
      <c r="G68" s="137">
        <f>IFERROR(_xlfn.XLOOKUP($A68,'Raw Data'!$G:$G,'Raw Data'!$AB:$AB),"")</f>
        <v>0</v>
      </c>
      <c r="H68" s="137"/>
      <c r="I68" s="137">
        <f>IFERROR(_xlfn.XLOOKUP($A68,'Raw Data'!$G:$G,'Raw Data'!$AC:$AC),"")</f>
        <v>5.86</v>
      </c>
      <c r="J68" s="137"/>
      <c r="K68" s="137">
        <f>IFERROR(_xlfn.XLOOKUP($A68,'Raw Data'!$G:$G,'Raw Data'!AD:AD),"")</f>
        <v>0</v>
      </c>
      <c r="L68" s="137">
        <f>IFERROR(_xlfn.XLOOKUP($A68,'Raw Data'!$G:$G,'Raw Data'!AE:AE),"")</f>
        <v>39.56</v>
      </c>
      <c r="M68" s="137">
        <f>IFERROR(_xlfn.XLOOKUP($A68,'Raw Data'!$G:$G,'Raw Data'!AF:AF),"")</f>
        <v>0</v>
      </c>
      <c r="N68" s="137">
        <f>IFERROR(_xlfn.XLOOKUP($A68,'Raw Data'!$G:$G,'Raw Data'!AG:AG),"")</f>
        <v>0</v>
      </c>
      <c r="O68" s="138">
        <f>IFERROR(1-SUMIF('Plant BD'!$H:$H,$A68,'Plant BD'!$AE:$AE)/($AA68+SUMIF('Plant BD'!$H:$H,$A68,'Plant BD'!$AE:$AE)),"")</f>
        <v>1</v>
      </c>
      <c r="P68" s="138"/>
      <c r="Q68" s="139"/>
      <c r="R68" s="138">
        <f>IFERROR(1-SUMIF('Grid BD'!$H:$H,$A68,'Grid BD'!$AD:$AD)/($AA68+SUMIF('Grid BD'!$H:$H,$A68,'Grid BD'!$AD:$AD)),"")</f>
        <v>1</v>
      </c>
      <c r="T68" s="139"/>
      <c r="U68" s="140">
        <f t="shared" si="5"/>
        <v>0.76591713023458841</v>
      </c>
      <c r="V68" s="140"/>
      <c r="W68" s="141">
        <f t="shared" si="6"/>
        <v>0.18701143263227868</v>
      </c>
      <c r="X68" s="133">
        <f>IFERROR(_xlfn.XLOOKUP($A68,'Raw Data'!$G:$G,'Raw Data'!AI:AI),"")</f>
        <v>36404</v>
      </c>
      <c r="Y68" s="133">
        <f>IFERROR(_xlfn.XLOOKUP($A68,'Raw Data'!$G:$G,'Raw Data'!AJ:AJ),"")</f>
        <v>36100.000000005821</v>
      </c>
      <c r="Z68" s="133">
        <f>IFERROR(_xlfn.XLOOKUP($A68,'Raw Data'!$G:$G,'Raw Data'!AK:AK),"")</f>
        <v>99.999999999965894</v>
      </c>
      <c r="AA68" s="133">
        <f>IFERROR(_xlfn.XLOOKUP($A68,'Raw Data'!$G:$G,'Raw Data'!AL:AL),"")</f>
        <v>36000.000000005857</v>
      </c>
      <c r="AB68" s="133">
        <f>IFERROR(_xlfn.XLOOKUP($A68,'Raw Data'!$G:$G,'Raw Data'!H:H),"")</f>
        <v>8.0208999999999993</v>
      </c>
      <c r="AC68" s="142">
        <f>IFERROR(_xlfn.XLOOKUP($D68,'Modelling New'!$D:$D,'Modelling New'!P:P),"")</f>
        <v>4.7600000000000007</v>
      </c>
      <c r="AD68" s="133">
        <f>IFERROR(_xlfn.XLOOKUP($D68,'Modelling New'!$D:$D,'Modelling New'!$T:$T)*1000,"")</f>
        <v>25919.748311299463</v>
      </c>
      <c r="AE68" s="143">
        <f>IFERROR(_xlfn.XLOOKUP($D68,'Modelling New'!$D:$D,'Modelling New'!O:O),"")</f>
        <v>0.67889205394445518</v>
      </c>
      <c r="AF68" s="145">
        <f>IFERROR(_xlfn.XLOOKUP($D68,'Modelling New'!$D:$D,'Modelling New'!W:W),"")</f>
        <v>0.13464692403231696</v>
      </c>
      <c r="AG68" s="145">
        <f>IFERROR(_xlfn.XLOOKUP($D68,'Modelling New'!$D:$D,'Modelling New'!AE:AE),"")</f>
        <v>0.98040000000000005</v>
      </c>
      <c r="AH68" s="167">
        <f>IFERROR(_xlfn.XLOOKUP($D68,'Modelling New'!$D:$D,'Modelling New'!AF:AF),"")</f>
        <v>0.98</v>
      </c>
      <c r="AN68" s="144"/>
      <c r="AO68" s="141"/>
      <c r="AP68" s="141"/>
      <c r="AQ68" s="141"/>
      <c r="AR68" s="133">
        <f>'Basic Data'!$B$98/1000</f>
        <v>8.0208999999999993</v>
      </c>
    </row>
    <row r="69" spans="1:44" x14ac:dyDescent="0.3">
      <c r="A69" s="132">
        <f t="shared" si="7"/>
        <v>45812</v>
      </c>
      <c r="B69" s="133">
        <f>YEAR(Table13[[#This Row],[Date]])+IF(MONTH(Table13[[#This Row],[Date]])&gt;=4,1,0)</f>
        <v>2026</v>
      </c>
      <c r="C69" s="134">
        <f>YEAR(Table13[[#This Row],[Date]])</f>
        <v>2025</v>
      </c>
      <c r="D69" s="135">
        <f>Table13[[#This Row],[Date]]-DAY(Table13[[#This Row],[Date]])+1</f>
        <v>45809</v>
      </c>
      <c r="E69" s="134">
        <f t="shared" si="4"/>
        <v>30</v>
      </c>
      <c r="F69" s="136">
        <f>IFERROR(_xlfn.XLOOKUP($A69,'Raw Data'!$G:$G,'Raw Data'!$AM:$AM),"")</f>
        <v>12.733333333333334</v>
      </c>
      <c r="G69" s="137">
        <f>IFERROR(_xlfn.XLOOKUP($A69,'Raw Data'!$G:$G,'Raw Data'!$AB:$AB),"")</f>
        <v>0</v>
      </c>
      <c r="H69" s="137"/>
      <c r="I69" s="137">
        <f>IFERROR(_xlfn.XLOOKUP($A69,'Raw Data'!$G:$G,'Raw Data'!$AC:$AC),"")</f>
        <v>6.25</v>
      </c>
      <c r="J69" s="137"/>
      <c r="K69" s="137">
        <f>IFERROR(_xlfn.XLOOKUP($A69,'Raw Data'!$G:$G,'Raw Data'!AD:AD),"")</f>
        <v>0</v>
      </c>
      <c r="L69" s="137">
        <f>IFERROR(_xlfn.XLOOKUP($A69,'Raw Data'!$G:$G,'Raw Data'!AE:AE),"")</f>
        <v>41.45</v>
      </c>
      <c r="M69" s="137">
        <f>IFERROR(_xlfn.XLOOKUP($A69,'Raw Data'!$G:$G,'Raw Data'!AF:AF),"")</f>
        <v>0</v>
      </c>
      <c r="N69" s="137">
        <f>IFERROR(_xlfn.XLOOKUP($A69,'Raw Data'!$G:$G,'Raw Data'!AG:AG),"")</f>
        <v>0</v>
      </c>
      <c r="O69" s="138">
        <f>IFERROR(1-SUMIF('Plant BD'!$H:$H,$A69,'Plant BD'!$AE:$AE)/($AA69+SUMIF('Plant BD'!$H:$H,$A69,'Plant BD'!$AE:$AE)),"")</f>
        <v>1</v>
      </c>
      <c r="P69" s="138"/>
      <c r="Q69" s="139"/>
      <c r="R69" s="138">
        <f>IFERROR(1-SUMIF('Grid BD'!$H:$H,$A69,'Grid BD'!$AD:$AD)/($AA69+SUMIF('Grid BD'!$H:$H,$A69,'Grid BD'!$AD:$AD)),"")</f>
        <v>1</v>
      </c>
      <c r="T69" s="139"/>
      <c r="U69" s="140">
        <f t="shared" si="5"/>
        <v>0.81287636050799794</v>
      </c>
      <c r="V69" s="140"/>
      <c r="W69" s="141">
        <f t="shared" si="6"/>
        <v>0.21168655221562441</v>
      </c>
      <c r="X69" s="133">
        <f>IFERROR(_xlfn.XLOOKUP($A69,'Raw Data'!$G:$G,'Raw Data'!AI:AI),"")</f>
        <v>41212.699999999997</v>
      </c>
      <c r="Y69" s="133">
        <f>IFERROR(_xlfn.XLOOKUP($A69,'Raw Data'!$G:$G,'Raw Data'!AJ:AJ),"")</f>
        <v>40849.999999991269</v>
      </c>
      <c r="Z69" s="133">
        <f>IFERROR(_xlfn.XLOOKUP($A69,'Raw Data'!$G:$G,'Raw Data'!AK:AK),"")</f>
        <v>100.00000000002274</v>
      </c>
      <c r="AA69" s="133">
        <f>IFERROR(_xlfn.XLOOKUP($A69,'Raw Data'!$G:$G,'Raw Data'!AL:AL),"")</f>
        <v>40749.999999991247</v>
      </c>
      <c r="AB69" s="133">
        <f>IFERROR(_xlfn.XLOOKUP($A69,'Raw Data'!$G:$G,'Raw Data'!H:H),"")</f>
        <v>8.0208999999999993</v>
      </c>
      <c r="AC69" s="142">
        <f>IFERROR(_xlfn.XLOOKUP($D69,'Modelling New'!$D:$D,'Modelling New'!P:P),"")</f>
        <v>4.7600000000000007</v>
      </c>
      <c r="AD69" s="133">
        <f>IFERROR(_xlfn.XLOOKUP($D69,'Modelling New'!$D:$D,'Modelling New'!$T:$T)*1000,"")</f>
        <v>25919.748311299463</v>
      </c>
      <c r="AE69" s="143">
        <f>IFERROR(_xlfn.XLOOKUP($D69,'Modelling New'!$D:$D,'Modelling New'!O:O),"")</f>
        <v>0.67889205394445518</v>
      </c>
      <c r="AF69" s="145">
        <f>IFERROR(_xlfn.XLOOKUP($D69,'Modelling New'!$D:$D,'Modelling New'!W:W),"")</f>
        <v>0.13464692403231696</v>
      </c>
      <c r="AG69" s="145">
        <f>IFERROR(_xlfn.XLOOKUP($D69,'Modelling New'!$D:$D,'Modelling New'!AE:AE),"")</f>
        <v>0.98040000000000005</v>
      </c>
      <c r="AH69" s="167">
        <f>IFERROR(_xlfn.XLOOKUP($D69,'Modelling New'!$D:$D,'Modelling New'!AF:AF),"")</f>
        <v>0.98</v>
      </c>
      <c r="AN69" s="144"/>
      <c r="AO69" s="141"/>
      <c r="AP69" s="141"/>
      <c r="AQ69" s="141"/>
      <c r="AR69" s="133">
        <f>'Basic Data'!$B$98/1000</f>
        <v>8.0208999999999993</v>
      </c>
    </row>
    <row r="70" spans="1:44" x14ac:dyDescent="0.3">
      <c r="A70" s="132">
        <f t="shared" si="7"/>
        <v>45813</v>
      </c>
      <c r="B70" s="133">
        <f>YEAR(Table13[[#This Row],[Date]])+IF(MONTH(Table13[[#This Row],[Date]])&gt;=4,1,0)</f>
        <v>2026</v>
      </c>
      <c r="C70" s="134">
        <f>YEAR(Table13[[#This Row],[Date]])</f>
        <v>2025</v>
      </c>
      <c r="D70" s="135">
        <f>Table13[[#This Row],[Date]]-DAY(Table13[[#This Row],[Date]])+1</f>
        <v>45809</v>
      </c>
      <c r="E70" s="134">
        <f t="shared" si="4"/>
        <v>30</v>
      </c>
      <c r="F70" s="136">
        <f>IFERROR(_xlfn.XLOOKUP($A70,'Raw Data'!$G:$G,'Raw Data'!$AM:$AM),"")</f>
        <v>12.616666666666667</v>
      </c>
      <c r="G70" s="137">
        <f>IFERROR(_xlfn.XLOOKUP($A70,'Raw Data'!$G:$G,'Raw Data'!$AB:$AB),"")</f>
        <v>0</v>
      </c>
      <c r="H70" s="137"/>
      <c r="I70" s="137">
        <f>IFERROR(_xlfn.XLOOKUP($A70,'Raw Data'!$G:$G,'Raw Data'!$AC:$AC),"")</f>
        <v>4.03</v>
      </c>
      <c r="J70" s="137"/>
      <c r="K70" s="137">
        <f>IFERROR(_xlfn.XLOOKUP($A70,'Raw Data'!$G:$G,'Raw Data'!AD:AD),"")</f>
        <v>0</v>
      </c>
      <c r="L70" s="137">
        <f>IFERROR(_xlfn.XLOOKUP($A70,'Raw Data'!$G:$G,'Raw Data'!AE:AE),"")</f>
        <v>37.67</v>
      </c>
      <c r="M70" s="137">
        <f>IFERROR(_xlfn.XLOOKUP($A70,'Raw Data'!$G:$G,'Raw Data'!AF:AF),"")</f>
        <v>0</v>
      </c>
      <c r="N70" s="137">
        <f>IFERROR(_xlfn.XLOOKUP($A70,'Raw Data'!$G:$G,'Raw Data'!AG:AG),"")</f>
        <v>0</v>
      </c>
      <c r="O70" s="138">
        <f>IFERROR(1-SUMIF('Plant BD'!$H:$H,$A70,'Plant BD'!$AE:$AE)/($AA70+SUMIF('Plant BD'!$H:$H,$A70,'Plant BD'!$AE:$AE)),"")</f>
        <v>1</v>
      </c>
      <c r="P70" s="138"/>
      <c r="Q70" s="139"/>
      <c r="R70" s="138">
        <f>IFERROR(1-SUMIF('Grid BD'!$H:$H,$A70,'Grid BD'!$AD:$AD)/($AA70+SUMIF('Grid BD'!$H:$H,$A70,'Grid BD'!$AD:$AD)),"")</f>
        <v>0.9715592000451031</v>
      </c>
      <c r="T70" s="139"/>
      <c r="U70" s="140">
        <f t="shared" si="5"/>
        <v>0.84766141507421155</v>
      </c>
      <c r="V70" s="140"/>
      <c r="W70" s="141">
        <f t="shared" si="6"/>
        <v>0.14233647928121135</v>
      </c>
      <c r="X70" s="133">
        <f>IFERROR(_xlfn.XLOOKUP($A70,'Raw Data'!$G:$G,'Raw Data'!AI:AI),"")</f>
        <v>27722.7</v>
      </c>
      <c r="Y70" s="133">
        <f>IFERROR(_xlfn.XLOOKUP($A70,'Raw Data'!$G:$G,'Raw Data'!AJ:AJ),"")</f>
        <v>27500</v>
      </c>
      <c r="Z70" s="133">
        <f>IFERROR(_xlfn.XLOOKUP($A70,'Raw Data'!$G:$G,'Raw Data'!AK:AK),"")</f>
        <v>99.999999999965894</v>
      </c>
      <c r="AA70" s="133">
        <f>IFERROR(_xlfn.XLOOKUP($A70,'Raw Data'!$G:$G,'Raw Data'!AL:AL),"")</f>
        <v>27400.000000000033</v>
      </c>
      <c r="AB70" s="133">
        <f>IFERROR(_xlfn.XLOOKUP($A70,'Raw Data'!$G:$G,'Raw Data'!H:H),"")</f>
        <v>8.0208999999999993</v>
      </c>
      <c r="AC70" s="142">
        <f>IFERROR(_xlfn.XLOOKUP($D70,'Modelling New'!$D:$D,'Modelling New'!P:P),"")</f>
        <v>4.7600000000000007</v>
      </c>
      <c r="AD70" s="133">
        <f>IFERROR(_xlfn.XLOOKUP($D70,'Modelling New'!$D:$D,'Modelling New'!$T:$T)*1000,"")</f>
        <v>25919.748311299463</v>
      </c>
      <c r="AE70" s="143">
        <f>IFERROR(_xlfn.XLOOKUP($D70,'Modelling New'!$D:$D,'Modelling New'!O:O),"")</f>
        <v>0.67889205394445518</v>
      </c>
      <c r="AF70" s="145">
        <f>IFERROR(_xlfn.XLOOKUP($D70,'Modelling New'!$D:$D,'Modelling New'!W:W),"")</f>
        <v>0.13464692403231696</v>
      </c>
      <c r="AG70" s="145">
        <f>IFERROR(_xlfn.XLOOKUP($D70,'Modelling New'!$D:$D,'Modelling New'!AE:AE),"")</f>
        <v>0.98040000000000005</v>
      </c>
      <c r="AH70" s="167">
        <f>IFERROR(_xlfn.XLOOKUP($D70,'Modelling New'!$D:$D,'Modelling New'!AF:AF),"")</f>
        <v>0.98</v>
      </c>
      <c r="AN70" s="144"/>
      <c r="AO70" s="141"/>
      <c r="AP70" s="141"/>
      <c r="AQ70" s="141"/>
      <c r="AR70" s="133">
        <f>'Basic Data'!$B$98/1000</f>
        <v>8.0208999999999993</v>
      </c>
    </row>
    <row r="71" spans="1:44" x14ac:dyDescent="0.3">
      <c r="A71" s="132">
        <f t="shared" si="7"/>
        <v>45814</v>
      </c>
      <c r="B71" s="133">
        <f>YEAR(Table13[[#This Row],[Date]])+IF(MONTH(Table13[[#This Row],[Date]])&gt;=4,1,0)</f>
        <v>2026</v>
      </c>
      <c r="C71" s="134">
        <f>YEAR(Table13[[#This Row],[Date]])</f>
        <v>2025</v>
      </c>
      <c r="D71" s="135">
        <f>Table13[[#This Row],[Date]]-DAY(Table13[[#This Row],[Date]])+1</f>
        <v>45809</v>
      </c>
      <c r="E71" s="134">
        <f t="shared" si="4"/>
        <v>30</v>
      </c>
      <c r="F71" s="136">
        <f>IFERROR(_xlfn.XLOOKUP($A71,'Raw Data'!$G:$G,'Raw Data'!$AM:$AM),"")</f>
        <v>12.483333333333334</v>
      </c>
      <c r="G71" s="137">
        <f>IFERROR(_xlfn.XLOOKUP($A71,'Raw Data'!$G:$G,'Raw Data'!$AB:$AB),"")</f>
        <v>0</v>
      </c>
      <c r="H71" s="137"/>
      <c r="I71" s="137">
        <f>IFERROR(_xlfn.XLOOKUP($A71,'Raw Data'!$G:$G,'Raw Data'!$AC:$AC),"")</f>
        <v>4.75</v>
      </c>
      <c r="J71" s="137"/>
      <c r="K71" s="137">
        <f>IFERROR(_xlfn.XLOOKUP($A71,'Raw Data'!$G:$G,'Raw Data'!AD:AD),"")</f>
        <v>0</v>
      </c>
      <c r="L71" s="137">
        <f>IFERROR(_xlfn.XLOOKUP($A71,'Raw Data'!$G:$G,'Raw Data'!AE:AE),"")</f>
        <v>41.22</v>
      </c>
      <c r="M71" s="137">
        <f>IFERROR(_xlfn.XLOOKUP($A71,'Raw Data'!$G:$G,'Raw Data'!AF:AF),"")</f>
        <v>0</v>
      </c>
      <c r="N71" s="137">
        <f>IFERROR(_xlfn.XLOOKUP($A71,'Raw Data'!$G:$G,'Raw Data'!AG:AG),"")</f>
        <v>0</v>
      </c>
      <c r="O71" s="138">
        <f>IFERROR(1-SUMIF('Plant BD'!$H:$H,$A71,'Plant BD'!$AE:$AE)/($AA71+SUMIF('Plant BD'!$H:$H,$A71,'Plant BD'!$AE:$AE)),"")</f>
        <v>1</v>
      </c>
      <c r="P71" s="138"/>
      <c r="Q71" s="139"/>
      <c r="R71" s="138">
        <f>IFERROR(1-SUMIF('Grid BD'!$H:$H,$A71,'Grid BD'!$AD:$AD)/($AA71+SUMIF('Grid BD'!$H:$H,$A71,'Grid BD'!$AD:$AD)),"")</f>
        <v>1</v>
      </c>
      <c r="T71" s="139"/>
      <c r="U71" s="140">
        <f t="shared" si="5"/>
        <v>0.78347947565923692</v>
      </c>
      <c r="V71" s="140"/>
      <c r="W71" s="141">
        <f t="shared" si="6"/>
        <v>0.15506364622422394</v>
      </c>
      <c r="X71" s="133">
        <f>IFERROR(_xlfn.XLOOKUP($A71,'Raw Data'!$G:$G,'Raw Data'!AI:AI),"")</f>
        <v>30212.799999999999</v>
      </c>
      <c r="Y71" s="133">
        <f>IFERROR(_xlfn.XLOOKUP($A71,'Raw Data'!$G:$G,'Raw Data'!AJ:AJ),"")</f>
        <v>29949.99999999709</v>
      </c>
      <c r="Z71" s="133">
        <f>IFERROR(_xlfn.XLOOKUP($A71,'Raw Data'!$G:$G,'Raw Data'!AK:AK),"")</f>
        <v>100.00000000002274</v>
      </c>
      <c r="AA71" s="133">
        <f>IFERROR(_xlfn.XLOOKUP($A71,'Raw Data'!$G:$G,'Raw Data'!AL:AL),"")</f>
        <v>29849.999999997068</v>
      </c>
      <c r="AB71" s="133">
        <f>IFERROR(_xlfn.XLOOKUP($A71,'Raw Data'!$G:$G,'Raw Data'!H:H),"")</f>
        <v>8.0208999999999993</v>
      </c>
      <c r="AC71" s="142">
        <f>IFERROR(_xlfn.XLOOKUP($D71,'Modelling New'!$D:$D,'Modelling New'!P:P),"")</f>
        <v>4.7600000000000007</v>
      </c>
      <c r="AD71" s="133">
        <f>IFERROR(_xlfn.XLOOKUP($D71,'Modelling New'!$D:$D,'Modelling New'!$T:$T)*1000,"")</f>
        <v>25919.748311299463</v>
      </c>
      <c r="AE71" s="143">
        <f>IFERROR(_xlfn.XLOOKUP($D71,'Modelling New'!$D:$D,'Modelling New'!O:O),"")</f>
        <v>0.67889205394445518</v>
      </c>
      <c r="AF71" s="145">
        <f>IFERROR(_xlfn.XLOOKUP($D71,'Modelling New'!$D:$D,'Modelling New'!W:W),"")</f>
        <v>0.13464692403231696</v>
      </c>
      <c r="AG71" s="145">
        <f>IFERROR(_xlfn.XLOOKUP($D71,'Modelling New'!$D:$D,'Modelling New'!AE:AE),"")</f>
        <v>0.98040000000000005</v>
      </c>
      <c r="AH71" s="167">
        <f>IFERROR(_xlfn.XLOOKUP($D71,'Modelling New'!$D:$D,'Modelling New'!AF:AF),"")</f>
        <v>0.98</v>
      </c>
      <c r="AN71" s="144"/>
      <c r="AO71" s="141"/>
      <c r="AP71" s="141"/>
      <c r="AQ71" s="141"/>
      <c r="AR71" s="133">
        <f>'Basic Data'!$B$98/1000</f>
        <v>8.0208999999999993</v>
      </c>
    </row>
    <row r="72" spans="1:44" x14ac:dyDescent="0.3">
      <c r="A72" s="132">
        <f t="shared" si="7"/>
        <v>45815</v>
      </c>
      <c r="B72" s="133">
        <f>YEAR(Table13[[#This Row],[Date]])+IF(MONTH(Table13[[#This Row],[Date]])&gt;=4,1,0)</f>
        <v>2026</v>
      </c>
      <c r="C72" s="134">
        <f>YEAR(Table13[[#This Row],[Date]])</f>
        <v>2025</v>
      </c>
      <c r="D72" s="135">
        <f>Table13[[#This Row],[Date]]-DAY(Table13[[#This Row],[Date]])+1</f>
        <v>45809</v>
      </c>
      <c r="E72" s="134">
        <f t="shared" si="4"/>
        <v>30</v>
      </c>
      <c r="F72" s="136">
        <f>IFERROR(_xlfn.XLOOKUP($A72,'Raw Data'!$G:$G,'Raw Data'!$AM:$AM),"")</f>
        <v>12.933333333333334</v>
      </c>
      <c r="G72" s="137">
        <f>IFERROR(_xlfn.XLOOKUP($A72,'Raw Data'!$G:$G,'Raw Data'!$AB:$AB),"")</f>
        <v>0</v>
      </c>
      <c r="H72" s="137"/>
      <c r="I72" s="137">
        <f>IFERROR(_xlfn.XLOOKUP($A72,'Raw Data'!$G:$G,'Raw Data'!$AC:$AC),"")</f>
        <v>4.29</v>
      </c>
      <c r="J72" s="137"/>
      <c r="K72" s="137">
        <f>IFERROR(_xlfn.XLOOKUP($A72,'Raw Data'!$G:$G,'Raw Data'!AD:AD),"")</f>
        <v>0</v>
      </c>
      <c r="L72" s="137">
        <f>IFERROR(_xlfn.XLOOKUP($A72,'Raw Data'!$G:$G,'Raw Data'!AE:AE),"")</f>
        <v>37.89</v>
      </c>
      <c r="M72" s="137">
        <f>IFERROR(_xlfn.XLOOKUP($A72,'Raw Data'!$G:$G,'Raw Data'!AF:AF),"")</f>
        <v>0</v>
      </c>
      <c r="N72" s="137">
        <f>IFERROR(_xlfn.XLOOKUP($A72,'Raw Data'!$G:$G,'Raw Data'!AG:AG),"")</f>
        <v>0</v>
      </c>
      <c r="O72" s="138">
        <f>IFERROR(1-SUMIF('Plant BD'!$H:$H,$A72,'Plant BD'!$AE:$AE)/($AA72+SUMIF('Plant BD'!$H:$H,$A72,'Plant BD'!$AE:$AE)),"")</f>
        <v>1</v>
      </c>
      <c r="P72" s="138"/>
      <c r="Q72" s="139"/>
      <c r="R72" s="138">
        <f>IFERROR(1-SUMIF('Grid BD'!$H:$H,$A72,'Grid BD'!$AD:$AD)/($AA72+SUMIF('Grid BD'!$H:$H,$A72,'Grid BD'!$AD:$AD)),"")</f>
        <v>0.89627224030414121</v>
      </c>
      <c r="T72" s="139"/>
      <c r="U72" s="140">
        <f t="shared" si="5"/>
        <v>0.72508706203187789</v>
      </c>
      <c r="V72" s="140"/>
      <c r="W72" s="141">
        <f t="shared" si="6"/>
        <v>0.12960931233819817</v>
      </c>
      <c r="X72" s="133">
        <f>IFERROR(_xlfn.XLOOKUP($A72,'Raw Data'!$G:$G,'Raw Data'!AI:AI),"")</f>
        <v>25280.1</v>
      </c>
      <c r="Y72" s="133">
        <f>IFERROR(_xlfn.XLOOKUP($A72,'Raw Data'!$G:$G,'Raw Data'!AJ:AJ),"")</f>
        <v>25050.00000000291</v>
      </c>
      <c r="Z72" s="133">
        <f>IFERROR(_xlfn.XLOOKUP($A72,'Raw Data'!$G:$G,'Raw Data'!AK:AK),"")</f>
        <v>100.00000000002274</v>
      </c>
      <c r="AA72" s="133">
        <f>IFERROR(_xlfn.XLOOKUP($A72,'Raw Data'!$G:$G,'Raw Data'!AL:AL),"")</f>
        <v>24950.000000002889</v>
      </c>
      <c r="AB72" s="133">
        <f>IFERROR(_xlfn.XLOOKUP($A72,'Raw Data'!$G:$G,'Raw Data'!H:H),"")</f>
        <v>8.0208999999999993</v>
      </c>
      <c r="AC72" s="142">
        <f>IFERROR(_xlfn.XLOOKUP($D72,'Modelling New'!$D:$D,'Modelling New'!P:P),"")</f>
        <v>4.7600000000000007</v>
      </c>
      <c r="AD72" s="133">
        <f>IFERROR(_xlfn.XLOOKUP($D72,'Modelling New'!$D:$D,'Modelling New'!$T:$T)*1000,"")</f>
        <v>25919.748311299463</v>
      </c>
      <c r="AE72" s="143">
        <f>IFERROR(_xlfn.XLOOKUP($D72,'Modelling New'!$D:$D,'Modelling New'!O:O),"")</f>
        <v>0.67889205394445518</v>
      </c>
      <c r="AF72" s="145">
        <f>IFERROR(_xlfn.XLOOKUP($D72,'Modelling New'!$D:$D,'Modelling New'!W:W),"")</f>
        <v>0.13464692403231696</v>
      </c>
      <c r="AG72" s="145">
        <f>IFERROR(_xlfn.XLOOKUP($D72,'Modelling New'!$D:$D,'Modelling New'!AE:AE),"")</f>
        <v>0.98040000000000005</v>
      </c>
      <c r="AH72" s="167">
        <f>IFERROR(_xlfn.XLOOKUP($D72,'Modelling New'!$D:$D,'Modelling New'!AF:AF),"")</f>
        <v>0.98</v>
      </c>
      <c r="AN72" s="144"/>
      <c r="AO72" s="141"/>
      <c r="AP72" s="141"/>
      <c r="AQ72" s="141"/>
      <c r="AR72" s="133">
        <f>'Basic Data'!$B$98/1000</f>
        <v>8.0208999999999993</v>
      </c>
    </row>
    <row r="73" spans="1:44" x14ac:dyDescent="0.3">
      <c r="A73" s="132">
        <f t="shared" si="7"/>
        <v>45816</v>
      </c>
      <c r="B73" s="133">
        <f>YEAR(Table13[[#This Row],[Date]])+IF(MONTH(Table13[[#This Row],[Date]])&gt;=4,1,0)</f>
        <v>2026</v>
      </c>
      <c r="C73" s="134">
        <f>YEAR(Table13[[#This Row],[Date]])</f>
        <v>2025</v>
      </c>
      <c r="D73" s="135">
        <f>Table13[[#This Row],[Date]]-DAY(Table13[[#This Row],[Date]])+1</f>
        <v>45809</v>
      </c>
      <c r="E73" s="134">
        <f t="shared" si="4"/>
        <v>30</v>
      </c>
      <c r="F73" s="136">
        <f>IFERROR(_xlfn.XLOOKUP($A73,'Raw Data'!$G:$G,'Raw Data'!$AM:$AM),"")</f>
        <v>12.533333333333335</v>
      </c>
      <c r="G73" s="137">
        <f>IFERROR(_xlfn.XLOOKUP($A73,'Raw Data'!$G:$G,'Raw Data'!$AB:$AB),"")</f>
        <v>0</v>
      </c>
      <c r="H73" s="137"/>
      <c r="I73" s="137">
        <f>IFERROR(_xlfn.XLOOKUP($A73,'Raw Data'!$G:$G,'Raw Data'!$AC:$AC),"")</f>
        <v>4.79</v>
      </c>
      <c r="J73" s="137"/>
      <c r="K73" s="137">
        <f>IFERROR(_xlfn.XLOOKUP($A73,'Raw Data'!$G:$G,'Raw Data'!AD:AD),"")</f>
        <v>0</v>
      </c>
      <c r="L73" s="137">
        <f>IFERROR(_xlfn.XLOOKUP($A73,'Raw Data'!$G:$G,'Raw Data'!AE:AE),"")</f>
        <v>38.24</v>
      </c>
      <c r="M73" s="137">
        <f>IFERROR(_xlfn.XLOOKUP($A73,'Raw Data'!$G:$G,'Raw Data'!AF:AF),"")</f>
        <v>0</v>
      </c>
      <c r="N73" s="137">
        <f>IFERROR(_xlfn.XLOOKUP($A73,'Raw Data'!$G:$G,'Raw Data'!AG:AG),"")</f>
        <v>0</v>
      </c>
      <c r="O73" s="138">
        <f>IFERROR(1-SUMIF('Plant BD'!$H:$H,$A73,'Plant BD'!$AE:$AE)/($AA73+SUMIF('Plant BD'!$H:$H,$A73,'Plant BD'!$AE:$AE)),"")</f>
        <v>1</v>
      </c>
      <c r="P73" s="138"/>
      <c r="Q73" s="139"/>
      <c r="R73" s="138">
        <f>IFERROR(1-SUMIF('Grid BD'!$H:$H,$A73,'Grid BD'!$AD:$AD)/($AA73+SUMIF('Grid BD'!$H:$H,$A73,'Grid BD'!$AD:$AD)),"")</f>
        <v>1</v>
      </c>
      <c r="T73" s="139"/>
      <c r="U73" s="140">
        <f t="shared" si="5"/>
        <v>0.82118450933181242</v>
      </c>
      <c r="V73" s="140"/>
      <c r="W73" s="141">
        <f t="shared" si="6"/>
        <v>0.16389474165414086</v>
      </c>
      <c r="X73" s="133">
        <f>IFERROR(_xlfn.XLOOKUP($A73,'Raw Data'!$G:$G,'Raw Data'!AI:AI),"")</f>
        <v>31919.200000000001</v>
      </c>
      <c r="Y73" s="133">
        <f>IFERROR(_xlfn.XLOOKUP($A73,'Raw Data'!$G:$G,'Raw Data'!AJ:AJ),"")</f>
        <v>31650.000000008731</v>
      </c>
      <c r="Z73" s="133">
        <f>IFERROR(_xlfn.XLOOKUP($A73,'Raw Data'!$G:$G,'Raw Data'!AK:AK),"")</f>
        <v>99.999999999965894</v>
      </c>
      <c r="AA73" s="133">
        <f>IFERROR(_xlfn.XLOOKUP($A73,'Raw Data'!$G:$G,'Raw Data'!AL:AL),"")</f>
        <v>31550.000000008764</v>
      </c>
      <c r="AB73" s="133">
        <f>IFERROR(_xlfn.XLOOKUP($A73,'Raw Data'!$G:$G,'Raw Data'!H:H),"")</f>
        <v>8.0208999999999993</v>
      </c>
      <c r="AC73" s="142">
        <f>IFERROR(_xlfn.XLOOKUP($D73,'Modelling New'!$D:$D,'Modelling New'!P:P),"")</f>
        <v>4.7600000000000007</v>
      </c>
      <c r="AD73" s="133">
        <f>IFERROR(_xlfn.XLOOKUP($D73,'Modelling New'!$D:$D,'Modelling New'!$T:$T)*1000,"")</f>
        <v>25919.748311299463</v>
      </c>
      <c r="AE73" s="143">
        <f>IFERROR(_xlfn.XLOOKUP($D73,'Modelling New'!$D:$D,'Modelling New'!O:O),"")</f>
        <v>0.67889205394445518</v>
      </c>
      <c r="AF73" s="145">
        <f>IFERROR(_xlfn.XLOOKUP($D73,'Modelling New'!$D:$D,'Modelling New'!W:W),"")</f>
        <v>0.13464692403231696</v>
      </c>
      <c r="AG73" s="145">
        <f>IFERROR(_xlfn.XLOOKUP($D73,'Modelling New'!$D:$D,'Modelling New'!AE:AE),"")</f>
        <v>0.98040000000000005</v>
      </c>
      <c r="AH73" s="167">
        <f>IFERROR(_xlfn.XLOOKUP($D73,'Modelling New'!$D:$D,'Modelling New'!AF:AF),"")</f>
        <v>0.98</v>
      </c>
      <c r="AN73" s="144"/>
      <c r="AO73" s="141"/>
      <c r="AP73" s="141"/>
      <c r="AQ73" s="141"/>
      <c r="AR73" s="133">
        <f>'Basic Data'!$B$98/1000</f>
        <v>8.0208999999999993</v>
      </c>
    </row>
    <row r="74" spans="1:44" x14ac:dyDescent="0.3">
      <c r="A74" s="132">
        <f t="shared" si="7"/>
        <v>45817</v>
      </c>
      <c r="B74" s="133">
        <f>YEAR(Table13[[#This Row],[Date]])+IF(MONTH(Table13[[#This Row],[Date]])&gt;=4,1,0)</f>
        <v>2026</v>
      </c>
      <c r="C74" s="134">
        <f>YEAR(Table13[[#This Row],[Date]])</f>
        <v>2025</v>
      </c>
      <c r="D74" s="135">
        <f>Table13[[#This Row],[Date]]-DAY(Table13[[#This Row],[Date]])+1</f>
        <v>45809</v>
      </c>
      <c r="E74" s="134">
        <f t="shared" si="4"/>
        <v>30</v>
      </c>
      <c r="F74" s="136">
        <f>IFERROR(_xlfn.XLOOKUP($A74,'Raw Data'!$G:$G,'Raw Data'!$AM:$AM),"")</f>
        <v>12.1</v>
      </c>
      <c r="G74" s="137">
        <f>IFERROR(_xlfn.XLOOKUP($A74,'Raw Data'!$G:$G,'Raw Data'!$AB:$AB),"")</f>
        <v>0</v>
      </c>
      <c r="H74" s="137"/>
      <c r="I74" s="137">
        <f>IFERROR(_xlfn.XLOOKUP($A74,'Raw Data'!$G:$G,'Raw Data'!$AC:$AC),"")</f>
        <v>1.05</v>
      </c>
      <c r="J74" s="137"/>
      <c r="K74" s="137">
        <f>IFERROR(_xlfn.XLOOKUP($A74,'Raw Data'!$G:$G,'Raw Data'!AD:AD),"")</f>
        <v>0</v>
      </c>
      <c r="L74" s="137">
        <f>IFERROR(_xlfn.XLOOKUP($A74,'Raw Data'!$G:$G,'Raw Data'!AE:AE),"")</f>
        <v>26.95</v>
      </c>
      <c r="M74" s="137">
        <f>IFERROR(_xlfn.XLOOKUP($A74,'Raw Data'!$G:$G,'Raw Data'!AF:AF),"")</f>
        <v>0</v>
      </c>
      <c r="N74" s="137">
        <f>IFERROR(_xlfn.XLOOKUP($A74,'Raw Data'!$G:$G,'Raw Data'!AG:AG),"")</f>
        <v>0</v>
      </c>
      <c r="O74" s="138">
        <f>IFERROR(1-SUMIF('Plant BD'!$H:$H,$A74,'Plant BD'!$AE:$AE)/($AA74+SUMIF('Plant BD'!$H:$H,$A74,'Plant BD'!$AE:$AE)),"")</f>
        <v>1</v>
      </c>
      <c r="P74" s="138"/>
      <c r="Q74" s="139"/>
      <c r="R74" s="138">
        <f>IFERROR(1-SUMIF('Grid BD'!$H:$H,$A74,'Grid BD'!$AD:$AD)/($AA74+SUMIF('Grid BD'!$H:$H,$A74,'Grid BD'!$AD:$AD)),"")</f>
        <v>0.59429440132234057</v>
      </c>
      <c r="T74" s="139"/>
      <c r="U74" s="140">
        <f t="shared" si="5"/>
        <v>0.53431837894824141</v>
      </c>
      <c r="V74" s="140"/>
      <c r="W74" s="141">
        <f t="shared" si="6"/>
        <v>2.3376429078985555E-2</v>
      </c>
      <c r="X74" s="133">
        <f>IFERROR(_xlfn.XLOOKUP($A74,'Raw Data'!$G:$G,'Raw Data'!AI:AI),"")</f>
        <v>4681</v>
      </c>
      <c r="Y74" s="133">
        <f>IFERROR(_xlfn.XLOOKUP($A74,'Raw Data'!$G:$G,'Raw Data'!AJ:AJ),"")</f>
        <v>4599.9999999912689</v>
      </c>
      <c r="Z74" s="133">
        <f>IFERROR(_xlfn.XLOOKUP($A74,'Raw Data'!$G:$G,'Raw Data'!AK:AK),"")</f>
        <v>100.00000000002274</v>
      </c>
      <c r="AA74" s="133">
        <f>IFERROR(_xlfn.XLOOKUP($A74,'Raw Data'!$G:$G,'Raw Data'!AL:AL),"")</f>
        <v>4499.9999999912461</v>
      </c>
      <c r="AB74" s="133">
        <f>IFERROR(_xlfn.XLOOKUP($A74,'Raw Data'!$G:$G,'Raw Data'!H:H),"")</f>
        <v>8.0208999999999993</v>
      </c>
      <c r="AC74" s="142">
        <f>IFERROR(_xlfn.XLOOKUP($D74,'Modelling New'!$D:$D,'Modelling New'!P:P),"")</f>
        <v>4.7600000000000007</v>
      </c>
      <c r="AD74" s="133">
        <f>IFERROR(_xlfn.XLOOKUP($D74,'Modelling New'!$D:$D,'Modelling New'!$T:$T)*1000,"")</f>
        <v>25919.748311299463</v>
      </c>
      <c r="AE74" s="143">
        <f>IFERROR(_xlfn.XLOOKUP($D74,'Modelling New'!$D:$D,'Modelling New'!O:O),"")</f>
        <v>0.67889205394445518</v>
      </c>
      <c r="AF74" s="145">
        <f>IFERROR(_xlfn.XLOOKUP($D74,'Modelling New'!$D:$D,'Modelling New'!W:W),"")</f>
        <v>0.13464692403231696</v>
      </c>
      <c r="AG74" s="145">
        <f>IFERROR(_xlfn.XLOOKUP($D74,'Modelling New'!$D:$D,'Modelling New'!AE:AE),"")</f>
        <v>0.98040000000000005</v>
      </c>
      <c r="AH74" s="167">
        <f>IFERROR(_xlfn.XLOOKUP($D74,'Modelling New'!$D:$D,'Modelling New'!AF:AF),"")</f>
        <v>0.98</v>
      </c>
      <c r="AN74" s="144"/>
      <c r="AO74" s="141"/>
      <c r="AP74" s="141"/>
      <c r="AQ74" s="141"/>
      <c r="AR74" s="133">
        <f>'Basic Data'!$B$98/1000</f>
        <v>8.0208999999999993</v>
      </c>
    </row>
    <row r="75" spans="1:44" x14ac:dyDescent="0.3">
      <c r="A75" s="132">
        <f t="shared" si="7"/>
        <v>45818</v>
      </c>
      <c r="B75" s="133">
        <f>YEAR(Table13[[#This Row],[Date]])+IF(MONTH(Table13[[#This Row],[Date]])&gt;=4,1,0)</f>
        <v>2026</v>
      </c>
      <c r="C75" s="134">
        <f>YEAR(Table13[[#This Row],[Date]])</f>
        <v>2025</v>
      </c>
      <c r="D75" s="135">
        <f>Table13[[#This Row],[Date]]-DAY(Table13[[#This Row],[Date]])+1</f>
        <v>45809</v>
      </c>
      <c r="E75" s="134">
        <f t="shared" si="4"/>
        <v>30</v>
      </c>
      <c r="F75" s="136">
        <f>IFERROR(_xlfn.XLOOKUP($A75,'Raw Data'!$G:$G,'Raw Data'!$AM:$AM),"")</f>
        <v>12.616666666666667</v>
      </c>
      <c r="G75" s="137">
        <f>IFERROR(_xlfn.XLOOKUP($A75,'Raw Data'!$G:$G,'Raw Data'!$AB:$AB),"")</f>
        <v>0</v>
      </c>
      <c r="H75" s="137"/>
      <c r="I75" s="137">
        <f>IFERROR(_xlfn.XLOOKUP($A75,'Raw Data'!$G:$G,'Raw Data'!$AC:$AC),"")</f>
        <v>1.62</v>
      </c>
      <c r="J75" s="137"/>
      <c r="K75" s="137">
        <f>IFERROR(_xlfn.XLOOKUP($A75,'Raw Data'!$G:$G,'Raw Data'!AD:AD),"")</f>
        <v>0</v>
      </c>
      <c r="L75" s="137">
        <f>IFERROR(_xlfn.XLOOKUP($A75,'Raw Data'!$G:$G,'Raw Data'!AE:AE),"")</f>
        <v>28.69</v>
      </c>
      <c r="M75" s="137">
        <f>IFERROR(_xlfn.XLOOKUP($A75,'Raw Data'!$G:$G,'Raw Data'!AF:AF),"")</f>
        <v>0</v>
      </c>
      <c r="N75" s="137">
        <f>IFERROR(_xlfn.XLOOKUP($A75,'Raw Data'!$G:$G,'Raw Data'!AG:AG),"")</f>
        <v>0</v>
      </c>
      <c r="O75" s="138">
        <f>IFERROR(1-SUMIF('Plant BD'!$H:$H,$A75,'Plant BD'!$AE:$AE)/($AA75+SUMIF('Plant BD'!$H:$H,$A75,'Plant BD'!$AE:$AE)),"")</f>
        <v>1</v>
      </c>
      <c r="P75" s="138"/>
      <c r="Q75" s="139"/>
      <c r="R75" s="138">
        <f>IFERROR(1-SUMIF('Grid BD'!$H:$H,$A75,'Grid BD'!$AD:$AD)/($AA75+SUMIF('Grid BD'!$H:$H,$A75,'Grid BD'!$AD:$AD)),"")</f>
        <v>1</v>
      </c>
      <c r="T75" s="139"/>
      <c r="U75" s="140">
        <f t="shared" si="5"/>
        <v>0.84655381026988707</v>
      </c>
      <c r="V75" s="140"/>
      <c r="W75" s="141">
        <f t="shared" si="6"/>
        <v>5.7142382193217378E-2</v>
      </c>
      <c r="X75" s="133">
        <f>IFERROR(_xlfn.XLOOKUP($A75,'Raw Data'!$G:$G,'Raw Data'!AI:AI),"")</f>
        <v>11204.900000000001</v>
      </c>
      <c r="Y75" s="133">
        <f>IFERROR(_xlfn.XLOOKUP($A75,'Raw Data'!$G:$G,'Raw Data'!AJ:AJ),"")</f>
        <v>11100.000000005821</v>
      </c>
      <c r="Z75" s="133">
        <f>IFERROR(_xlfn.XLOOKUP($A75,'Raw Data'!$G:$G,'Raw Data'!AK:AK),"")</f>
        <v>99.999999999965894</v>
      </c>
      <c r="AA75" s="133">
        <f>IFERROR(_xlfn.XLOOKUP($A75,'Raw Data'!$G:$G,'Raw Data'!AL:AL),"")</f>
        <v>11000.000000005855</v>
      </c>
      <c r="AB75" s="133">
        <f>IFERROR(_xlfn.XLOOKUP($A75,'Raw Data'!$G:$G,'Raw Data'!H:H),"")</f>
        <v>8.0208999999999993</v>
      </c>
      <c r="AC75" s="142">
        <f>IFERROR(_xlfn.XLOOKUP($D75,'Modelling New'!$D:$D,'Modelling New'!P:P),"")</f>
        <v>4.7600000000000007</v>
      </c>
      <c r="AD75" s="133">
        <f>IFERROR(_xlfn.XLOOKUP($D75,'Modelling New'!$D:$D,'Modelling New'!$T:$T)*1000,"")</f>
        <v>25919.748311299463</v>
      </c>
      <c r="AE75" s="143">
        <f>IFERROR(_xlfn.XLOOKUP($D75,'Modelling New'!$D:$D,'Modelling New'!O:O),"")</f>
        <v>0.67889205394445518</v>
      </c>
      <c r="AF75" s="145">
        <f>IFERROR(_xlfn.XLOOKUP($D75,'Modelling New'!$D:$D,'Modelling New'!W:W),"")</f>
        <v>0.13464692403231696</v>
      </c>
      <c r="AG75" s="145">
        <f>IFERROR(_xlfn.XLOOKUP($D75,'Modelling New'!$D:$D,'Modelling New'!AE:AE),"")</f>
        <v>0.98040000000000005</v>
      </c>
      <c r="AH75" s="167">
        <f>IFERROR(_xlfn.XLOOKUP($D75,'Modelling New'!$D:$D,'Modelling New'!AF:AF),"")</f>
        <v>0.98</v>
      </c>
      <c r="AN75" s="144"/>
      <c r="AO75" s="141"/>
      <c r="AP75" s="141"/>
      <c r="AQ75" s="141"/>
      <c r="AR75" s="133">
        <f>'Basic Data'!$B$98/1000</f>
        <v>8.0208999999999993</v>
      </c>
    </row>
    <row r="76" spans="1:44" x14ac:dyDescent="0.3">
      <c r="A76" s="132">
        <f t="shared" si="7"/>
        <v>45819</v>
      </c>
      <c r="B76" s="133">
        <f>YEAR(Table13[[#This Row],[Date]])+IF(MONTH(Table13[[#This Row],[Date]])&gt;=4,1,0)</f>
        <v>2026</v>
      </c>
      <c r="C76" s="134">
        <f>YEAR(Table13[[#This Row],[Date]])</f>
        <v>2025</v>
      </c>
      <c r="D76" s="135">
        <f>Table13[[#This Row],[Date]]-DAY(Table13[[#This Row],[Date]])+1</f>
        <v>45809</v>
      </c>
      <c r="E76" s="134">
        <f t="shared" si="4"/>
        <v>30</v>
      </c>
      <c r="F76" s="136">
        <f>IFERROR(_xlfn.XLOOKUP($A76,'Raw Data'!$G:$G,'Raw Data'!$AM:$AM),"")</f>
        <v>12.566666666666666</v>
      </c>
      <c r="G76" s="137">
        <f>IFERROR(_xlfn.XLOOKUP($A76,'Raw Data'!$G:$G,'Raw Data'!$AB:$AB),"")</f>
        <v>0</v>
      </c>
      <c r="H76" s="137"/>
      <c r="I76" s="137">
        <f>IFERROR(_xlfn.XLOOKUP($A76,'Raw Data'!$G:$G,'Raw Data'!$AC:$AC),"")</f>
        <v>3.59</v>
      </c>
      <c r="J76" s="137"/>
      <c r="K76" s="137">
        <f>IFERROR(_xlfn.XLOOKUP($A76,'Raw Data'!$G:$G,'Raw Data'!AD:AD),"")</f>
        <v>0</v>
      </c>
      <c r="L76" s="137">
        <f>IFERROR(_xlfn.XLOOKUP($A76,'Raw Data'!$G:$G,'Raw Data'!AE:AE),"")</f>
        <v>32.619999999999997</v>
      </c>
      <c r="M76" s="137">
        <f>IFERROR(_xlfn.XLOOKUP($A76,'Raw Data'!$G:$G,'Raw Data'!AF:AF),"")</f>
        <v>0</v>
      </c>
      <c r="N76" s="137">
        <f>IFERROR(_xlfn.XLOOKUP($A76,'Raw Data'!$G:$G,'Raw Data'!AG:AG),"")</f>
        <v>0</v>
      </c>
      <c r="O76" s="138">
        <f>IFERROR(1-SUMIF('Plant BD'!$H:$H,$A76,'Plant BD'!$AE:$AE)/($AA76+SUMIF('Plant BD'!$H:$H,$A76,'Plant BD'!$AE:$AE)),"")</f>
        <v>1</v>
      </c>
      <c r="P76" s="138"/>
      <c r="Q76" s="139"/>
      <c r="R76" s="138">
        <f>IFERROR(1-SUMIF('Grid BD'!$H:$H,$A76,'Grid BD'!$AD:$AD)/($AA76+SUMIF('Grid BD'!$H:$H,$A76,'Grid BD'!$AD:$AD)),"")</f>
        <v>1</v>
      </c>
      <c r="T76" s="139"/>
      <c r="U76" s="140">
        <f t="shared" si="5"/>
        <v>0.86473252972014447</v>
      </c>
      <c r="V76" s="140"/>
      <c r="W76" s="141">
        <f t="shared" si="6"/>
        <v>0.12934957423730492</v>
      </c>
      <c r="X76" s="133">
        <f>IFERROR(_xlfn.XLOOKUP($A76,'Raw Data'!$G:$G,'Raw Data'!AI:AI),"")</f>
        <v>25245</v>
      </c>
      <c r="Y76" s="133">
        <f>IFERROR(_xlfn.XLOOKUP($A76,'Raw Data'!$G:$G,'Raw Data'!AJ:AJ),"")</f>
        <v>25000</v>
      </c>
      <c r="Z76" s="133">
        <f>IFERROR(_xlfn.XLOOKUP($A76,'Raw Data'!$G:$G,'Raw Data'!AK:AK),"")</f>
        <v>100.00000000002274</v>
      </c>
      <c r="AA76" s="133">
        <f>IFERROR(_xlfn.XLOOKUP($A76,'Raw Data'!$G:$G,'Raw Data'!AL:AL),"")</f>
        <v>24899.999999999978</v>
      </c>
      <c r="AB76" s="133">
        <f>IFERROR(_xlfn.XLOOKUP($A76,'Raw Data'!$G:$G,'Raw Data'!H:H),"")</f>
        <v>8.0208999999999993</v>
      </c>
      <c r="AC76" s="142">
        <f>IFERROR(_xlfn.XLOOKUP($D76,'Modelling New'!$D:$D,'Modelling New'!P:P),"")</f>
        <v>4.7600000000000007</v>
      </c>
      <c r="AD76" s="133">
        <f>IFERROR(_xlfn.XLOOKUP($D76,'Modelling New'!$D:$D,'Modelling New'!$T:$T)*1000,"")</f>
        <v>25919.748311299463</v>
      </c>
      <c r="AE76" s="143">
        <f>IFERROR(_xlfn.XLOOKUP($D76,'Modelling New'!$D:$D,'Modelling New'!O:O),"")</f>
        <v>0.67889205394445518</v>
      </c>
      <c r="AF76" s="145">
        <f>IFERROR(_xlfn.XLOOKUP($D76,'Modelling New'!$D:$D,'Modelling New'!W:W),"")</f>
        <v>0.13464692403231696</v>
      </c>
      <c r="AG76" s="145">
        <f>IFERROR(_xlfn.XLOOKUP($D76,'Modelling New'!$D:$D,'Modelling New'!AE:AE),"")</f>
        <v>0.98040000000000005</v>
      </c>
      <c r="AH76" s="167">
        <f>IFERROR(_xlfn.XLOOKUP($D76,'Modelling New'!$D:$D,'Modelling New'!AF:AF),"")</f>
        <v>0.98</v>
      </c>
      <c r="AN76" s="144"/>
      <c r="AO76" s="141"/>
      <c r="AP76" s="141"/>
      <c r="AQ76" s="141"/>
      <c r="AR76" s="133">
        <f>'Basic Data'!$B$98/1000</f>
        <v>8.0208999999999993</v>
      </c>
    </row>
    <row r="77" spans="1:44" x14ac:dyDescent="0.3">
      <c r="A77" s="132">
        <f t="shared" si="7"/>
        <v>45820</v>
      </c>
      <c r="B77" s="133">
        <f>YEAR(Table13[[#This Row],[Date]])+IF(MONTH(Table13[[#This Row],[Date]])&gt;=4,1,0)</f>
        <v>2026</v>
      </c>
      <c r="C77" s="134">
        <f>YEAR(Table13[[#This Row],[Date]])</f>
        <v>2025</v>
      </c>
      <c r="D77" s="135">
        <f>Table13[[#This Row],[Date]]-DAY(Table13[[#This Row],[Date]])+1</f>
        <v>45809</v>
      </c>
      <c r="E77" s="134">
        <f t="shared" si="4"/>
        <v>30</v>
      </c>
      <c r="F77" s="136">
        <f>IFERROR(_xlfn.XLOOKUP($A77,'Raw Data'!$G:$G,'Raw Data'!$AM:$AM),"")</f>
        <v>12.633333333333333</v>
      </c>
      <c r="G77" s="137">
        <f>IFERROR(_xlfn.XLOOKUP($A77,'Raw Data'!$G:$G,'Raw Data'!$AB:$AB),"")</f>
        <v>0</v>
      </c>
      <c r="H77" s="137"/>
      <c r="I77" s="137">
        <f>IFERROR(_xlfn.XLOOKUP($A77,'Raw Data'!$G:$G,'Raw Data'!$AC:$AC),"")</f>
        <v>3.8</v>
      </c>
      <c r="J77" s="137"/>
      <c r="K77" s="137">
        <f>IFERROR(_xlfn.XLOOKUP($A77,'Raw Data'!$G:$G,'Raw Data'!AD:AD),"")</f>
        <v>0</v>
      </c>
      <c r="L77" s="137">
        <f>IFERROR(_xlfn.XLOOKUP($A77,'Raw Data'!$G:$G,'Raw Data'!AE:AE),"")</f>
        <v>36.04</v>
      </c>
      <c r="M77" s="137">
        <f>IFERROR(_xlfn.XLOOKUP($A77,'Raw Data'!$G:$G,'Raw Data'!AF:AF),"")</f>
        <v>0</v>
      </c>
      <c r="N77" s="137">
        <f>IFERROR(_xlfn.XLOOKUP($A77,'Raw Data'!$G:$G,'Raw Data'!AG:AG),"")</f>
        <v>0</v>
      </c>
      <c r="O77" s="138">
        <f>IFERROR(1-SUMIF('Plant BD'!$H:$H,$A77,'Plant BD'!$AE:$AE)/($AA77+SUMIF('Plant BD'!$H:$H,$A77,'Plant BD'!$AE:$AE)),"")</f>
        <v>1</v>
      </c>
      <c r="P77" s="138"/>
      <c r="Q77" s="139"/>
      <c r="R77" s="138">
        <f>IFERROR(1-SUMIF('Grid BD'!$H:$H,$A77,'Grid BD'!$AD:$AD)/($AA77+SUMIF('Grid BD'!$H:$H,$A77,'Grid BD'!$AD:$AD)),"")</f>
        <v>1</v>
      </c>
      <c r="T77" s="139"/>
      <c r="U77" s="140">
        <f t="shared" si="5"/>
        <v>0.83991099568158023</v>
      </c>
      <c r="V77" s="140"/>
      <c r="W77" s="141">
        <f t="shared" si="6"/>
        <v>0.13298590764958351</v>
      </c>
      <c r="X77" s="133">
        <f>IFERROR(_xlfn.XLOOKUP($A77,'Raw Data'!$G:$G,'Raw Data'!AI:AI),"")</f>
        <v>25924.200000000004</v>
      </c>
      <c r="Y77" s="133">
        <f>IFERROR(_xlfn.XLOOKUP($A77,'Raw Data'!$G:$G,'Raw Data'!AJ:AJ),"")</f>
        <v>25699.99999999709</v>
      </c>
      <c r="Z77" s="133">
        <f>IFERROR(_xlfn.XLOOKUP($A77,'Raw Data'!$G:$G,'Raw Data'!AK:AK),"")</f>
        <v>100.00000000002274</v>
      </c>
      <c r="AA77" s="133">
        <f>IFERROR(_xlfn.XLOOKUP($A77,'Raw Data'!$G:$G,'Raw Data'!AL:AL),"")</f>
        <v>25599.999999997068</v>
      </c>
      <c r="AB77" s="133">
        <f>IFERROR(_xlfn.XLOOKUP($A77,'Raw Data'!$G:$G,'Raw Data'!H:H),"")</f>
        <v>8.0208999999999993</v>
      </c>
      <c r="AC77" s="142">
        <f>IFERROR(_xlfn.XLOOKUP($D77,'Modelling New'!$D:$D,'Modelling New'!P:P),"")</f>
        <v>4.7600000000000007</v>
      </c>
      <c r="AD77" s="133">
        <f>IFERROR(_xlfn.XLOOKUP($D77,'Modelling New'!$D:$D,'Modelling New'!$T:$T)*1000,"")</f>
        <v>25919.748311299463</v>
      </c>
      <c r="AE77" s="143">
        <f>IFERROR(_xlfn.XLOOKUP($D77,'Modelling New'!$D:$D,'Modelling New'!O:O),"")</f>
        <v>0.67889205394445518</v>
      </c>
      <c r="AF77" s="145">
        <f>IFERROR(_xlfn.XLOOKUP($D77,'Modelling New'!$D:$D,'Modelling New'!W:W),"")</f>
        <v>0.13464692403231696</v>
      </c>
      <c r="AG77" s="145">
        <f>IFERROR(_xlfn.XLOOKUP($D77,'Modelling New'!$D:$D,'Modelling New'!AE:AE),"")</f>
        <v>0.98040000000000005</v>
      </c>
      <c r="AH77" s="167">
        <f>IFERROR(_xlfn.XLOOKUP($D77,'Modelling New'!$D:$D,'Modelling New'!AF:AF),"")</f>
        <v>0.98</v>
      </c>
      <c r="AN77" s="144"/>
      <c r="AO77" s="141"/>
      <c r="AP77" s="141"/>
      <c r="AQ77" s="141"/>
      <c r="AR77" s="133">
        <f>'Basic Data'!$B$98/1000</f>
        <v>8.0208999999999993</v>
      </c>
    </row>
    <row r="78" spans="1:44" x14ac:dyDescent="0.3">
      <c r="A78" s="132">
        <f t="shared" si="7"/>
        <v>45821</v>
      </c>
      <c r="B78" s="133">
        <f>YEAR(Table13[[#This Row],[Date]])+IF(MONTH(Table13[[#This Row],[Date]])&gt;=4,1,0)</f>
        <v>2026</v>
      </c>
      <c r="C78" s="134">
        <f>YEAR(Table13[[#This Row],[Date]])</f>
        <v>2025</v>
      </c>
      <c r="D78" s="135">
        <f>Table13[[#This Row],[Date]]-DAY(Table13[[#This Row],[Date]])+1</f>
        <v>45809</v>
      </c>
      <c r="E78" s="134">
        <f t="shared" si="4"/>
        <v>30</v>
      </c>
      <c r="F78" s="136">
        <f>IFERROR(_xlfn.XLOOKUP($A78,'Raw Data'!$G:$G,'Raw Data'!$AM:$AM),"")</f>
        <v>12.683333333333334</v>
      </c>
      <c r="G78" s="137">
        <f>IFERROR(_xlfn.XLOOKUP($A78,'Raw Data'!$G:$G,'Raw Data'!$AB:$AB),"")</f>
        <v>0</v>
      </c>
      <c r="H78" s="137"/>
      <c r="I78" s="137">
        <f>IFERROR(_xlfn.XLOOKUP($A78,'Raw Data'!$G:$G,'Raw Data'!$AC:$AC),"")</f>
        <v>4.26</v>
      </c>
      <c r="J78" s="137"/>
      <c r="K78" s="137">
        <f>IFERROR(_xlfn.XLOOKUP($A78,'Raw Data'!$G:$G,'Raw Data'!AD:AD),"")</f>
        <v>0</v>
      </c>
      <c r="L78" s="137">
        <f>IFERROR(_xlfn.XLOOKUP($A78,'Raw Data'!$G:$G,'Raw Data'!AE:AE),"")</f>
        <v>38.42</v>
      </c>
      <c r="M78" s="137">
        <f>IFERROR(_xlfn.XLOOKUP($A78,'Raw Data'!$G:$G,'Raw Data'!AF:AF),"")</f>
        <v>0</v>
      </c>
      <c r="N78" s="137">
        <f>IFERROR(_xlfn.XLOOKUP($A78,'Raw Data'!$G:$G,'Raw Data'!AG:AG),"")</f>
        <v>0</v>
      </c>
      <c r="O78" s="138">
        <f>IFERROR(1-SUMIF('Plant BD'!$H:$H,$A78,'Plant BD'!$AE:$AE)/($AA78+SUMIF('Plant BD'!$H:$H,$A78,'Plant BD'!$AE:$AE)),"")</f>
        <v>1</v>
      </c>
      <c r="P78" s="138"/>
      <c r="Q78" s="139"/>
      <c r="R78" s="138">
        <f>IFERROR(1-SUMIF('Grid BD'!$H:$H,$A78,'Grid BD'!$AD:$AD)/($AA78+SUMIF('Grid BD'!$H:$H,$A78,'Grid BD'!$AD:$AD)),"")</f>
        <v>1</v>
      </c>
      <c r="T78" s="139"/>
      <c r="U78" s="140">
        <f t="shared" si="5"/>
        <v>0.80482228441125536</v>
      </c>
      <c r="V78" s="140"/>
      <c r="W78" s="141">
        <f t="shared" si="6"/>
        <v>0.14285595548299782</v>
      </c>
      <c r="X78" s="133">
        <f>IFERROR(_xlfn.XLOOKUP($A78,'Raw Data'!$G:$G,'Raw Data'!AI:AI),"")</f>
        <v>27856.600000000002</v>
      </c>
      <c r="Y78" s="133">
        <f>IFERROR(_xlfn.XLOOKUP($A78,'Raw Data'!$G:$G,'Raw Data'!AJ:AJ),"")</f>
        <v>27600.000000005821</v>
      </c>
      <c r="Z78" s="133">
        <f>IFERROR(_xlfn.XLOOKUP($A78,'Raw Data'!$G:$G,'Raw Data'!AK:AK),"")</f>
        <v>99.999999999965894</v>
      </c>
      <c r="AA78" s="133">
        <f>IFERROR(_xlfn.XLOOKUP($A78,'Raw Data'!$G:$G,'Raw Data'!AL:AL),"")</f>
        <v>27500.000000005854</v>
      </c>
      <c r="AB78" s="133">
        <f>IFERROR(_xlfn.XLOOKUP($A78,'Raw Data'!$G:$G,'Raw Data'!H:H),"")</f>
        <v>8.0208999999999993</v>
      </c>
      <c r="AC78" s="142">
        <f>IFERROR(_xlfn.XLOOKUP($D78,'Modelling New'!$D:$D,'Modelling New'!P:P),"")</f>
        <v>4.7600000000000007</v>
      </c>
      <c r="AD78" s="133">
        <f>IFERROR(_xlfn.XLOOKUP($D78,'Modelling New'!$D:$D,'Modelling New'!$T:$T)*1000,"")</f>
        <v>25919.748311299463</v>
      </c>
      <c r="AE78" s="143">
        <f>IFERROR(_xlfn.XLOOKUP($D78,'Modelling New'!$D:$D,'Modelling New'!O:O),"")</f>
        <v>0.67889205394445518</v>
      </c>
      <c r="AF78" s="145">
        <f>IFERROR(_xlfn.XLOOKUP($D78,'Modelling New'!$D:$D,'Modelling New'!W:W),"")</f>
        <v>0.13464692403231696</v>
      </c>
      <c r="AG78" s="145">
        <f>IFERROR(_xlfn.XLOOKUP($D78,'Modelling New'!$D:$D,'Modelling New'!AE:AE),"")</f>
        <v>0.98040000000000005</v>
      </c>
      <c r="AH78" s="167">
        <f>IFERROR(_xlfn.XLOOKUP($D78,'Modelling New'!$D:$D,'Modelling New'!AF:AF),"")</f>
        <v>0.98</v>
      </c>
      <c r="AN78" s="144"/>
      <c r="AO78" s="141"/>
      <c r="AP78" s="141"/>
      <c r="AQ78" s="141"/>
      <c r="AR78" s="133">
        <f>'Basic Data'!$B$98/1000</f>
        <v>8.0208999999999993</v>
      </c>
    </row>
    <row r="79" spans="1:44" x14ac:dyDescent="0.3">
      <c r="A79" s="132">
        <f t="shared" si="7"/>
        <v>45822</v>
      </c>
      <c r="B79" s="133">
        <f>YEAR(Table13[[#This Row],[Date]])+IF(MONTH(Table13[[#This Row],[Date]])&gt;=4,1,0)</f>
        <v>2026</v>
      </c>
      <c r="C79" s="134">
        <f>YEAR(Table13[[#This Row],[Date]])</f>
        <v>2025</v>
      </c>
      <c r="D79" s="135">
        <f>Table13[[#This Row],[Date]]-DAY(Table13[[#This Row],[Date]])+1</f>
        <v>45809</v>
      </c>
      <c r="E79" s="134">
        <f t="shared" si="4"/>
        <v>30</v>
      </c>
      <c r="F79" s="136">
        <f>IFERROR(_xlfn.XLOOKUP($A79,'Raw Data'!$G:$G,'Raw Data'!$AM:$AM),"")</f>
        <v>12.883333333333333</v>
      </c>
      <c r="G79" s="137">
        <f>IFERROR(_xlfn.XLOOKUP($A79,'Raw Data'!$G:$G,'Raw Data'!$AB:$AB),"")</f>
        <v>0</v>
      </c>
      <c r="H79" s="137"/>
      <c r="I79" s="137">
        <f>IFERROR(_xlfn.XLOOKUP($A79,'Raw Data'!$G:$G,'Raw Data'!$AC:$AC),"")</f>
        <v>3.77</v>
      </c>
      <c r="J79" s="137"/>
      <c r="K79" s="137">
        <f>IFERROR(_xlfn.XLOOKUP($A79,'Raw Data'!$G:$G,'Raw Data'!AD:AD),"")</f>
        <v>0</v>
      </c>
      <c r="L79" s="137">
        <f>IFERROR(_xlfn.XLOOKUP($A79,'Raw Data'!$G:$G,'Raw Data'!AE:AE),"")</f>
        <v>35.770000000000003</v>
      </c>
      <c r="M79" s="137">
        <f>IFERROR(_xlfn.XLOOKUP($A79,'Raw Data'!$G:$G,'Raw Data'!AF:AF),"")</f>
        <v>0</v>
      </c>
      <c r="N79" s="137">
        <f>IFERROR(_xlfn.XLOOKUP($A79,'Raw Data'!$G:$G,'Raw Data'!AG:AG),"")</f>
        <v>0</v>
      </c>
      <c r="O79" s="138">
        <f>IFERROR(1-SUMIF('Plant BD'!$H:$H,$A79,'Plant BD'!$AE:$AE)/($AA79+SUMIF('Plant BD'!$H:$H,$A79,'Plant BD'!$AE:$AE)),"")</f>
        <v>1</v>
      </c>
      <c r="P79" s="138"/>
      <c r="Q79" s="139"/>
      <c r="R79" s="138">
        <f>IFERROR(1-SUMIF('Grid BD'!$H:$H,$A79,'Grid BD'!$AD:$AD)/($AA79+SUMIF('Grid BD'!$H:$H,$A79,'Grid BD'!$AD:$AD)),"")</f>
        <v>0.70453949099405611</v>
      </c>
      <c r="T79" s="139"/>
      <c r="U79" s="140">
        <f t="shared" si="5"/>
        <v>0.65148102968224753</v>
      </c>
      <c r="V79" s="140"/>
      <c r="W79" s="141">
        <f t="shared" si="6"/>
        <v>0.1023368117459197</v>
      </c>
      <c r="X79" s="133">
        <f>IFERROR(_xlfn.XLOOKUP($A79,'Raw Data'!$G:$G,'Raw Data'!AI:AI),"")</f>
        <v>20006</v>
      </c>
      <c r="Y79" s="133">
        <f>IFERROR(_xlfn.XLOOKUP($A79,'Raw Data'!$G:$G,'Raw Data'!AJ:AJ),"")</f>
        <v>19799.999999988358</v>
      </c>
      <c r="Z79" s="133">
        <f>IFERROR(_xlfn.XLOOKUP($A79,'Raw Data'!$G:$G,'Raw Data'!AK:AK),"")</f>
        <v>100.00000000002274</v>
      </c>
      <c r="AA79" s="133">
        <f>IFERROR(_xlfn.XLOOKUP($A79,'Raw Data'!$G:$G,'Raw Data'!AL:AL),"")</f>
        <v>19699.999999988337</v>
      </c>
      <c r="AB79" s="133">
        <f>IFERROR(_xlfn.XLOOKUP($A79,'Raw Data'!$G:$G,'Raw Data'!H:H),"")</f>
        <v>8.0208999999999993</v>
      </c>
      <c r="AC79" s="142">
        <f>IFERROR(_xlfn.XLOOKUP($D79,'Modelling New'!$D:$D,'Modelling New'!P:P),"")</f>
        <v>4.7600000000000007</v>
      </c>
      <c r="AD79" s="133">
        <f>IFERROR(_xlfn.XLOOKUP($D79,'Modelling New'!$D:$D,'Modelling New'!$T:$T)*1000,"")</f>
        <v>25919.748311299463</v>
      </c>
      <c r="AE79" s="143">
        <f>IFERROR(_xlfn.XLOOKUP($D79,'Modelling New'!$D:$D,'Modelling New'!O:O),"")</f>
        <v>0.67889205394445518</v>
      </c>
      <c r="AF79" s="145">
        <f>IFERROR(_xlfn.XLOOKUP($D79,'Modelling New'!$D:$D,'Modelling New'!W:W),"")</f>
        <v>0.13464692403231696</v>
      </c>
      <c r="AG79" s="145">
        <f>IFERROR(_xlfn.XLOOKUP($D79,'Modelling New'!$D:$D,'Modelling New'!AE:AE),"")</f>
        <v>0.98040000000000005</v>
      </c>
      <c r="AH79" s="167">
        <f>IFERROR(_xlfn.XLOOKUP($D79,'Modelling New'!$D:$D,'Modelling New'!AF:AF),"")</f>
        <v>0.98</v>
      </c>
      <c r="AN79" s="144"/>
      <c r="AO79" s="141"/>
      <c r="AP79" s="141"/>
      <c r="AQ79" s="141"/>
      <c r="AR79" s="133">
        <f>'Basic Data'!$B$98/1000</f>
        <v>8.0208999999999993</v>
      </c>
    </row>
    <row r="80" spans="1:44" x14ac:dyDescent="0.3">
      <c r="A80" s="132">
        <f t="shared" si="7"/>
        <v>45823</v>
      </c>
      <c r="B80" s="133">
        <f>YEAR(Table13[[#This Row],[Date]])+IF(MONTH(Table13[[#This Row],[Date]])&gt;=4,1,0)</f>
        <v>2026</v>
      </c>
      <c r="C80" s="134">
        <f>YEAR(Table13[[#This Row],[Date]])</f>
        <v>2025</v>
      </c>
      <c r="D80" s="135">
        <f>Table13[[#This Row],[Date]]-DAY(Table13[[#This Row],[Date]])+1</f>
        <v>45809</v>
      </c>
      <c r="E80" s="134">
        <f t="shared" si="4"/>
        <v>30</v>
      </c>
      <c r="F80" s="136">
        <f>IFERROR(_xlfn.XLOOKUP($A80,'Raw Data'!$G:$G,'Raw Data'!$AM:$AM),"")</f>
        <v>12.666666666666668</v>
      </c>
      <c r="G80" s="137">
        <f>IFERROR(_xlfn.XLOOKUP($A80,'Raw Data'!$G:$G,'Raw Data'!$AB:$AB),"")</f>
        <v>0</v>
      </c>
      <c r="H80" s="137"/>
      <c r="I80" s="137">
        <f>IFERROR(_xlfn.XLOOKUP($A80,'Raw Data'!$G:$G,'Raw Data'!$AC:$AC),"")</f>
        <v>3.78</v>
      </c>
      <c r="J80" s="137"/>
      <c r="K80" s="137">
        <f>IFERROR(_xlfn.XLOOKUP($A80,'Raw Data'!$G:$G,'Raw Data'!AD:AD),"")</f>
        <v>0</v>
      </c>
      <c r="L80" s="137">
        <f>IFERROR(_xlfn.XLOOKUP($A80,'Raw Data'!$G:$G,'Raw Data'!AE:AE),"")</f>
        <v>33.58</v>
      </c>
      <c r="M80" s="137">
        <f>IFERROR(_xlfn.XLOOKUP($A80,'Raw Data'!$G:$G,'Raw Data'!AF:AF),"")</f>
        <v>0</v>
      </c>
      <c r="N80" s="137">
        <f>IFERROR(_xlfn.XLOOKUP($A80,'Raw Data'!$G:$G,'Raw Data'!AG:AG),"")</f>
        <v>0</v>
      </c>
      <c r="O80" s="138">
        <f>IFERROR(1-SUMIF('Plant BD'!$H:$H,$A80,'Plant BD'!$AE:$AE)/($AA80+SUMIF('Plant BD'!$H:$H,$A80,'Plant BD'!$AE:$AE)),"")</f>
        <v>1</v>
      </c>
      <c r="P80" s="138"/>
      <c r="Q80" s="139"/>
      <c r="R80" s="138">
        <f>IFERROR(1-SUMIF('Grid BD'!$H:$H,$A80,'Grid BD'!$AD:$AD)/($AA80+SUMIF('Grid BD'!$H:$H,$A80,'Grid BD'!$AD:$AD)),"")</f>
        <v>1</v>
      </c>
      <c r="T80" s="139"/>
      <c r="U80" s="140">
        <f t="shared" si="5"/>
        <v>0.84270583840486457</v>
      </c>
      <c r="V80" s="140"/>
      <c r="W80" s="141">
        <f t="shared" si="6"/>
        <v>0.13272616954876615</v>
      </c>
      <c r="X80" s="133">
        <f>IFERROR(_xlfn.XLOOKUP($A80,'Raw Data'!$G:$G,'Raw Data'!AI:AI),"")</f>
        <v>25897.199999999997</v>
      </c>
      <c r="Y80" s="133">
        <f>IFERROR(_xlfn.XLOOKUP($A80,'Raw Data'!$G:$G,'Raw Data'!AJ:AJ),"")</f>
        <v>25650.000000008731</v>
      </c>
      <c r="Z80" s="133">
        <f>IFERROR(_xlfn.XLOOKUP($A80,'Raw Data'!$G:$G,'Raw Data'!AK:AK),"")</f>
        <v>99.999999999965894</v>
      </c>
      <c r="AA80" s="133">
        <f>IFERROR(_xlfn.XLOOKUP($A80,'Raw Data'!$G:$G,'Raw Data'!AL:AL),"")</f>
        <v>25550.000000008764</v>
      </c>
      <c r="AB80" s="133">
        <f>IFERROR(_xlfn.XLOOKUP($A80,'Raw Data'!$G:$G,'Raw Data'!H:H),"")</f>
        <v>8.0208999999999993</v>
      </c>
      <c r="AC80" s="142">
        <f>IFERROR(_xlfn.XLOOKUP($D80,'Modelling New'!$D:$D,'Modelling New'!P:P),"")</f>
        <v>4.7600000000000007</v>
      </c>
      <c r="AD80" s="133">
        <f>IFERROR(_xlfn.XLOOKUP($D80,'Modelling New'!$D:$D,'Modelling New'!$T:$T)*1000,"")</f>
        <v>25919.748311299463</v>
      </c>
      <c r="AE80" s="143">
        <f>IFERROR(_xlfn.XLOOKUP($D80,'Modelling New'!$D:$D,'Modelling New'!O:O),"")</f>
        <v>0.67889205394445518</v>
      </c>
      <c r="AF80" s="145">
        <f>IFERROR(_xlfn.XLOOKUP($D80,'Modelling New'!$D:$D,'Modelling New'!W:W),"")</f>
        <v>0.13464692403231696</v>
      </c>
      <c r="AG80" s="145">
        <f>IFERROR(_xlfn.XLOOKUP($D80,'Modelling New'!$D:$D,'Modelling New'!AE:AE),"")</f>
        <v>0.98040000000000005</v>
      </c>
      <c r="AH80" s="167">
        <f>IFERROR(_xlfn.XLOOKUP($D80,'Modelling New'!$D:$D,'Modelling New'!AF:AF),"")</f>
        <v>0.98</v>
      </c>
      <c r="AN80" s="144"/>
      <c r="AO80" s="141"/>
      <c r="AP80" s="141"/>
      <c r="AQ80" s="141"/>
      <c r="AR80" s="133">
        <f>'Basic Data'!$B$98/1000</f>
        <v>8.0208999999999993</v>
      </c>
    </row>
    <row r="81" spans="1:44" x14ac:dyDescent="0.3">
      <c r="A81" s="132">
        <f t="shared" si="7"/>
        <v>45824</v>
      </c>
      <c r="B81" s="133">
        <f>YEAR(Table13[[#This Row],[Date]])+IF(MONTH(Table13[[#This Row],[Date]])&gt;=4,1,0)</f>
        <v>2026</v>
      </c>
      <c r="C81" s="134">
        <f>YEAR(Table13[[#This Row],[Date]])</f>
        <v>2025</v>
      </c>
      <c r="D81" s="135">
        <f>Table13[[#This Row],[Date]]-DAY(Table13[[#This Row],[Date]])+1</f>
        <v>45809</v>
      </c>
      <c r="E81" s="134">
        <f t="shared" si="4"/>
        <v>30</v>
      </c>
      <c r="F81" s="136">
        <f>IFERROR(_xlfn.XLOOKUP($A81,'Raw Data'!$G:$G,'Raw Data'!$AM:$AM),"")</f>
        <v>12.933333333333334</v>
      </c>
      <c r="G81" s="137">
        <f>IFERROR(_xlfn.XLOOKUP($A81,'Raw Data'!$G:$G,'Raw Data'!$AB:$AB),"")</f>
        <v>0</v>
      </c>
      <c r="H81" s="137"/>
      <c r="I81" s="137">
        <f>IFERROR(_xlfn.XLOOKUP($A81,'Raw Data'!$G:$G,'Raw Data'!$AC:$AC),"")</f>
        <v>3.67</v>
      </c>
      <c r="J81" s="137"/>
      <c r="K81" s="137">
        <f>IFERROR(_xlfn.XLOOKUP($A81,'Raw Data'!$G:$G,'Raw Data'!AD:AD),"")</f>
        <v>0</v>
      </c>
      <c r="L81" s="137">
        <f>IFERROR(_xlfn.XLOOKUP($A81,'Raw Data'!$G:$G,'Raw Data'!AE:AE),"")</f>
        <v>32.799999999999997</v>
      </c>
      <c r="M81" s="137">
        <f>IFERROR(_xlfn.XLOOKUP($A81,'Raw Data'!$G:$G,'Raw Data'!AF:AF),"")</f>
        <v>0</v>
      </c>
      <c r="N81" s="137">
        <f>IFERROR(_xlfn.XLOOKUP($A81,'Raw Data'!$G:$G,'Raw Data'!AG:AG),"")</f>
        <v>0</v>
      </c>
      <c r="O81" s="138">
        <f>IFERROR(1-SUMIF('Plant BD'!$H:$H,$A81,'Plant BD'!$AE:$AE)/($AA81+SUMIF('Plant BD'!$H:$H,$A81,'Plant BD'!$AE:$AE)),"")</f>
        <v>1</v>
      </c>
      <c r="P81" s="138"/>
      <c r="Q81" s="139"/>
      <c r="R81" s="138">
        <f>IFERROR(1-SUMIF('Grid BD'!$H:$H,$A81,'Grid BD'!$AD:$AD)/($AA81+SUMIF('Grid BD'!$H:$H,$A81,'Grid BD'!$AD:$AD)),"")</f>
        <v>1</v>
      </c>
      <c r="T81" s="139"/>
      <c r="U81" s="140">
        <f t="shared" si="5"/>
        <v>0.83059573621417082</v>
      </c>
      <c r="V81" s="140"/>
      <c r="W81" s="141">
        <f t="shared" si="6"/>
        <v>0.12701193132941693</v>
      </c>
      <c r="X81" s="133">
        <f>IFERROR(_xlfn.XLOOKUP($A81,'Raw Data'!$G:$G,'Raw Data'!AI:AI),"")</f>
        <v>24766.199999999997</v>
      </c>
      <c r="Y81" s="133">
        <f>IFERROR(_xlfn.XLOOKUP($A81,'Raw Data'!$G:$G,'Raw Data'!AJ:AJ),"")</f>
        <v>24550.00000000291</v>
      </c>
      <c r="Z81" s="133">
        <f>IFERROR(_xlfn.XLOOKUP($A81,'Raw Data'!$G:$G,'Raw Data'!AK:AK),"")</f>
        <v>100.00000000002274</v>
      </c>
      <c r="AA81" s="133">
        <f>IFERROR(_xlfn.XLOOKUP($A81,'Raw Data'!$G:$G,'Raw Data'!AL:AL),"")</f>
        <v>24450.000000002889</v>
      </c>
      <c r="AB81" s="133">
        <f>IFERROR(_xlfn.XLOOKUP($A81,'Raw Data'!$G:$G,'Raw Data'!H:H),"")</f>
        <v>8.0208999999999993</v>
      </c>
      <c r="AC81" s="142">
        <f>IFERROR(_xlfn.XLOOKUP($D81,'Modelling New'!$D:$D,'Modelling New'!P:P),"")</f>
        <v>4.7600000000000007</v>
      </c>
      <c r="AD81" s="133">
        <f>IFERROR(_xlfn.XLOOKUP($D81,'Modelling New'!$D:$D,'Modelling New'!$T:$T)*1000,"")</f>
        <v>25919.748311299463</v>
      </c>
      <c r="AE81" s="143">
        <f>IFERROR(_xlfn.XLOOKUP($D81,'Modelling New'!$D:$D,'Modelling New'!O:O),"")</f>
        <v>0.67889205394445518</v>
      </c>
      <c r="AF81" s="145">
        <f>IFERROR(_xlfn.XLOOKUP($D81,'Modelling New'!$D:$D,'Modelling New'!W:W),"")</f>
        <v>0.13464692403231696</v>
      </c>
      <c r="AG81" s="145">
        <f>IFERROR(_xlfn.XLOOKUP($D81,'Modelling New'!$D:$D,'Modelling New'!AE:AE),"")</f>
        <v>0.98040000000000005</v>
      </c>
      <c r="AH81" s="167">
        <f>IFERROR(_xlfn.XLOOKUP($D81,'Modelling New'!$D:$D,'Modelling New'!AF:AF),"")</f>
        <v>0.98</v>
      </c>
      <c r="AN81" s="144"/>
      <c r="AO81" s="141"/>
      <c r="AP81" s="141"/>
      <c r="AQ81" s="141"/>
      <c r="AR81" s="133">
        <f>'Basic Data'!$B$98/1000</f>
        <v>8.0208999999999993</v>
      </c>
    </row>
    <row r="82" spans="1:44" x14ac:dyDescent="0.3">
      <c r="A82" s="132">
        <f t="shared" si="7"/>
        <v>45825</v>
      </c>
      <c r="B82" s="133">
        <f>YEAR(Table13[[#This Row],[Date]])+IF(MONTH(Table13[[#This Row],[Date]])&gt;=4,1,0)</f>
        <v>2026</v>
      </c>
      <c r="C82" s="134">
        <f>YEAR(Table13[[#This Row],[Date]])</f>
        <v>2025</v>
      </c>
      <c r="D82" s="135">
        <f>Table13[[#This Row],[Date]]-DAY(Table13[[#This Row],[Date]])+1</f>
        <v>45809</v>
      </c>
      <c r="E82" s="134">
        <f t="shared" si="4"/>
        <v>30</v>
      </c>
      <c r="F82" s="136">
        <f>IFERROR(_xlfn.XLOOKUP($A82,'Raw Data'!$G:$G,'Raw Data'!$AM:$AM),"")</f>
        <v>12.716666666666667</v>
      </c>
      <c r="G82" s="137">
        <f>IFERROR(_xlfn.XLOOKUP($A82,'Raw Data'!$G:$G,'Raw Data'!$AB:$AB),"")</f>
        <v>0</v>
      </c>
      <c r="H82" s="137"/>
      <c r="I82" s="137">
        <f>IFERROR(_xlfn.XLOOKUP($A82,'Raw Data'!$G:$G,'Raw Data'!$AC:$AC),"")</f>
        <v>5.07</v>
      </c>
      <c r="J82" s="137"/>
      <c r="K82" s="137">
        <f>IFERROR(_xlfn.XLOOKUP($A82,'Raw Data'!$G:$G,'Raw Data'!AD:AD),"")</f>
        <v>0</v>
      </c>
      <c r="L82" s="137">
        <f>IFERROR(_xlfn.XLOOKUP($A82,'Raw Data'!$G:$G,'Raw Data'!AE:AE),"")</f>
        <v>36.869999999999997</v>
      </c>
      <c r="M82" s="137">
        <f>IFERROR(_xlfn.XLOOKUP($A82,'Raw Data'!$G:$G,'Raw Data'!AF:AF),"")</f>
        <v>0</v>
      </c>
      <c r="N82" s="137">
        <f>IFERROR(_xlfn.XLOOKUP($A82,'Raw Data'!$G:$G,'Raw Data'!AG:AG),"")</f>
        <v>0</v>
      </c>
      <c r="O82" s="138">
        <f>IFERROR(1-SUMIF('Plant BD'!$H:$H,$A82,'Plant BD'!$AE:$AE)/($AA82+SUMIF('Plant BD'!$H:$H,$A82,'Plant BD'!$AE:$AE)),"")</f>
        <v>1</v>
      </c>
      <c r="P82" s="138"/>
      <c r="Q82" s="139"/>
      <c r="R82" s="138">
        <f>IFERROR(1-SUMIF('Grid BD'!$H:$H,$A82,'Grid BD'!$AD:$AD)/($AA82+SUMIF('Grid BD'!$H:$H,$A82,'Grid BD'!$AD:$AD)),"")</f>
        <v>0.89419956515826693</v>
      </c>
      <c r="T82" s="139"/>
      <c r="U82" s="140">
        <f t="shared" si="5"/>
        <v>0.7168156819500372</v>
      </c>
      <c r="V82" s="140"/>
      <c r="W82" s="141">
        <f t="shared" si="6"/>
        <v>0.15142731281194535</v>
      </c>
      <c r="X82" s="133">
        <f>IFERROR(_xlfn.XLOOKUP($A82,'Raw Data'!$G:$G,'Raw Data'!AI:AI),"")</f>
        <v>29483</v>
      </c>
      <c r="Y82" s="133">
        <f>IFERROR(_xlfn.XLOOKUP($A82,'Raw Data'!$G:$G,'Raw Data'!AJ:AJ),"")</f>
        <v>29250</v>
      </c>
      <c r="Z82" s="133">
        <f>IFERROR(_xlfn.XLOOKUP($A82,'Raw Data'!$G:$G,'Raw Data'!AK:AK),"")</f>
        <v>100.00000000002274</v>
      </c>
      <c r="AA82" s="133">
        <f>IFERROR(_xlfn.XLOOKUP($A82,'Raw Data'!$G:$G,'Raw Data'!AL:AL),"")</f>
        <v>29149.999999999978</v>
      </c>
      <c r="AB82" s="133">
        <f>IFERROR(_xlfn.XLOOKUP($A82,'Raw Data'!$G:$G,'Raw Data'!H:H),"")</f>
        <v>8.0208999999999993</v>
      </c>
      <c r="AC82" s="142">
        <f>IFERROR(_xlfn.XLOOKUP($D82,'Modelling New'!$D:$D,'Modelling New'!P:P),"")</f>
        <v>4.7600000000000007</v>
      </c>
      <c r="AD82" s="133">
        <f>IFERROR(_xlfn.XLOOKUP($D82,'Modelling New'!$D:$D,'Modelling New'!$T:$T)*1000,"")</f>
        <v>25919.748311299463</v>
      </c>
      <c r="AE82" s="143">
        <f>IFERROR(_xlfn.XLOOKUP($D82,'Modelling New'!$D:$D,'Modelling New'!O:O),"")</f>
        <v>0.67889205394445518</v>
      </c>
      <c r="AF82" s="145">
        <f>IFERROR(_xlfn.XLOOKUP($D82,'Modelling New'!$D:$D,'Modelling New'!W:W),"")</f>
        <v>0.13464692403231696</v>
      </c>
      <c r="AG82" s="145">
        <f>IFERROR(_xlfn.XLOOKUP($D82,'Modelling New'!$D:$D,'Modelling New'!AE:AE),"")</f>
        <v>0.98040000000000005</v>
      </c>
      <c r="AH82" s="167">
        <f>IFERROR(_xlfn.XLOOKUP($D82,'Modelling New'!$D:$D,'Modelling New'!AF:AF),"")</f>
        <v>0.98</v>
      </c>
      <c r="AN82" s="144"/>
      <c r="AO82" s="141"/>
      <c r="AP82" s="141"/>
      <c r="AQ82" s="141"/>
      <c r="AR82" s="133">
        <f>'Basic Data'!$B$98/1000</f>
        <v>8.0208999999999993</v>
      </c>
    </row>
    <row r="83" spans="1:44" x14ac:dyDescent="0.3">
      <c r="A83" s="132">
        <f t="shared" si="7"/>
        <v>45826</v>
      </c>
      <c r="B83" s="133">
        <f>YEAR(Table13[[#This Row],[Date]])+IF(MONTH(Table13[[#This Row],[Date]])&gt;=4,1,0)</f>
        <v>2026</v>
      </c>
      <c r="C83" s="134">
        <f>YEAR(Table13[[#This Row],[Date]])</f>
        <v>2025</v>
      </c>
      <c r="D83" s="135">
        <f>Table13[[#This Row],[Date]]-DAY(Table13[[#This Row],[Date]])+1</f>
        <v>45809</v>
      </c>
      <c r="E83" s="134">
        <f t="shared" si="4"/>
        <v>30</v>
      </c>
      <c r="F83" s="136">
        <f>IFERROR(_xlfn.XLOOKUP($A83,'Raw Data'!$G:$G,'Raw Data'!$AM:$AM),"")</f>
        <v>12.85</v>
      </c>
      <c r="G83" s="137">
        <f>IFERROR(_xlfn.XLOOKUP($A83,'Raw Data'!$G:$G,'Raw Data'!$AB:$AB),"")</f>
        <v>0</v>
      </c>
      <c r="H83" s="137"/>
      <c r="I83" s="137">
        <f>IFERROR(_xlfn.XLOOKUP($A83,'Raw Data'!$G:$G,'Raw Data'!$AC:$AC),"")</f>
        <v>4.9800000000000004</v>
      </c>
      <c r="J83" s="137"/>
      <c r="K83" s="137">
        <f>IFERROR(_xlfn.XLOOKUP($A83,'Raw Data'!$G:$G,'Raw Data'!AD:AD),"")</f>
        <v>0</v>
      </c>
      <c r="L83" s="137">
        <f>IFERROR(_xlfn.XLOOKUP($A83,'Raw Data'!$G:$G,'Raw Data'!AE:AE),"")</f>
        <v>36.69</v>
      </c>
      <c r="M83" s="137">
        <f>IFERROR(_xlfn.XLOOKUP($A83,'Raw Data'!$G:$G,'Raw Data'!AF:AF),"")</f>
        <v>0</v>
      </c>
      <c r="N83" s="137">
        <f>IFERROR(_xlfn.XLOOKUP($A83,'Raw Data'!$G:$G,'Raw Data'!AG:AG),"")</f>
        <v>0</v>
      </c>
      <c r="O83" s="138">
        <f>IFERROR(1-SUMIF('Plant BD'!$H:$H,$A83,'Plant BD'!$AE:$AE)/($AA83+SUMIF('Plant BD'!$H:$H,$A83,'Plant BD'!$AE:$AE)),"")</f>
        <v>1</v>
      </c>
      <c r="P83" s="138"/>
      <c r="Q83" s="139"/>
      <c r="R83" s="138">
        <f>IFERROR(1-SUMIF('Grid BD'!$H:$H,$A83,'Grid BD'!$AD:$AD)/($AA83+SUMIF('Grid BD'!$H:$H,$A83,'Grid BD'!$AD:$AD)),"")</f>
        <v>0.97106327640717394</v>
      </c>
      <c r="T83" s="139"/>
      <c r="U83" s="140">
        <f t="shared" si="5"/>
        <v>0.8086304249023476</v>
      </c>
      <c r="V83" s="140"/>
      <c r="W83" s="141">
        <f t="shared" si="6"/>
        <v>0.1677908131672371</v>
      </c>
      <c r="X83" s="133">
        <f>IFERROR(_xlfn.XLOOKUP($A83,'Raw Data'!$G:$G,'Raw Data'!AI:AI),"")</f>
        <v>32705.200000000001</v>
      </c>
      <c r="Y83" s="133">
        <f>IFERROR(_xlfn.XLOOKUP($A83,'Raw Data'!$G:$G,'Raw Data'!AJ:AJ),"")</f>
        <v>32399.999999994179</v>
      </c>
      <c r="Z83" s="133">
        <f>IFERROR(_xlfn.XLOOKUP($A83,'Raw Data'!$G:$G,'Raw Data'!AK:AK),"")</f>
        <v>99.999999999965894</v>
      </c>
      <c r="AA83" s="133">
        <f>IFERROR(_xlfn.XLOOKUP($A83,'Raw Data'!$G:$G,'Raw Data'!AL:AL),"")</f>
        <v>32299.999999994212</v>
      </c>
      <c r="AB83" s="133">
        <f>IFERROR(_xlfn.XLOOKUP($A83,'Raw Data'!$G:$G,'Raw Data'!H:H),"")</f>
        <v>8.0208999999999993</v>
      </c>
      <c r="AC83" s="142">
        <f>IFERROR(_xlfn.XLOOKUP($D83,'Modelling New'!$D:$D,'Modelling New'!P:P),"")</f>
        <v>4.7600000000000007</v>
      </c>
      <c r="AD83" s="133">
        <f>IFERROR(_xlfn.XLOOKUP($D83,'Modelling New'!$D:$D,'Modelling New'!$T:$T)*1000,"")</f>
        <v>25919.748311299463</v>
      </c>
      <c r="AE83" s="143">
        <f>IFERROR(_xlfn.XLOOKUP($D83,'Modelling New'!$D:$D,'Modelling New'!O:O),"")</f>
        <v>0.67889205394445518</v>
      </c>
      <c r="AF83" s="145">
        <f>IFERROR(_xlfn.XLOOKUP($D83,'Modelling New'!$D:$D,'Modelling New'!W:W),"")</f>
        <v>0.13464692403231696</v>
      </c>
      <c r="AG83" s="145">
        <f>IFERROR(_xlfn.XLOOKUP($D83,'Modelling New'!$D:$D,'Modelling New'!AE:AE),"")</f>
        <v>0.98040000000000005</v>
      </c>
      <c r="AH83" s="167">
        <f>IFERROR(_xlfn.XLOOKUP($D83,'Modelling New'!$D:$D,'Modelling New'!AF:AF),"")</f>
        <v>0.98</v>
      </c>
      <c r="AN83" s="144"/>
      <c r="AO83" s="141"/>
      <c r="AP83" s="141"/>
      <c r="AQ83" s="141"/>
      <c r="AR83" s="133">
        <f>'Basic Data'!$B$98/1000</f>
        <v>8.0208999999999993</v>
      </c>
    </row>
    <row r="84" spans="1:44" x14ac:dyDescent="0.3">
      <c r="A84" s="132">
        <f t="shared" si="7"/>
        <v>45827</v>
      </c>
      <c r="B84" s="133">
        <f>YEAR(Table13[[#This Row],[Date]])+IF(MONTH(Table13[[#This Row],[Date]])&gt;=4,1,0)</f>
        <v>2026</v>
      </c>
      <c r="C84" s="134">
        <f>YEAR(Table13[[#This Row],[Date]])</f>
        <v>2025</v>
      </c>
      <c r="D84" s="135">
        <f>Table13[[#This Row],[Date]]-DAY(Table13[[#This Row],[Date]])+1</f>
        <v>45809</v>
      </c>
      <c r="E84" s="134">
        <f t="shared" si="4"/>
        <v>30</v>
      </c>
      <c r="F84" s="136">
        <f>IFERROR(_xlfn.XLOOKUP($A84,'Raw Data'!$G:$G,'Raw Data'!$AM:$AM),"")</f>
        <v>12.833333333333332</v>
      </c>
      <c r="G84" s="137">
        <f>IFERROR(_xlfn.XLOOKUP($A84,'Raw Data'!$G:$G,'Raw Data'!$AB:$AB),"")</f>
        <v>0</v>
      </c>
      <c r="H84" s="137"/>
      <c r="I84" s="137">
        <f>IFERROR(_xlfn.XLOOKUP($A84,'Raw Data'!$G:$G,'Raw Data'!$AC:$AC),"")</f>
        <v>4.63</v>
      </c>
      <c r="J84" s="137"/>
      <c r="K84" s="137">
        <f>IFERROR(_xlfn.XLOOKUP($A84,'Raw Data'!$G:$G,'Raw Data'!AD:AD),"")</f>
        <v>0</v>
      </c>
      <c r="L84" s="137">
        <f>IFERROR(_xlfn.XLOOKUP($A84,'Raw Data'!$G:$G,'Raw Data'!AE:AE),"")</f>
        <v>35.83</v>
      </c>
      <c r="M84" s="137">
        <f>IFERROR(_xlfn.XLOOKUP($A84,'Raw Data'!$G:$G,'Raw Data'!AF:AF),"")</f>
        <v>0</v>
      </c>
      <c r="N84" s="137">
        <f>IFERROR(_xlfn.XLOOKUP($A84,'Raw Data'!$G:$G,'Raw Data'!AG:AG),"")</f>
        <v>0</v>
      </c>
      <c r="O84" s="138">
        <f>IFERROR(1-SUMIF('Plant BD'!$H:$H,$A84,'Plant BD'!$AE:$AE)/($AA84+SUMIF('Plant BD'!$H:$H,$A84,'Plant BD'!$AE:$AE)),"")</f>
        <v>1</v>
      </c>
      <c r="P84" s="138"/>
      <c r="Q84" s="139"/>
      <c r="R84" s="138">
        <f>IFERROR(1-SUMIF('Grid BD'!$H:$H,$A84,'Grid BD'!$AD:$AD)/($AA84+SUMIF('Grid BD'!$H:$H,$A84,'Grid BD'!$AD:$AD)),"")</f>
        <v>0.78771030762423022</v>
      </c>
      <c r="T84" s="139"/>
      <c r="U84" s="140">
        <f t="shared" si="5"/>
        <v>0.6731873024920505</v>
      </c>
      <c r="V84" s="140"/>
      <c r="W84" s="141">
        <f t="shared" si="6"/>
        <v>0.12986905043909142</v>
      </c>
      <c r="X84" s="133">
        <f>IFERROR(_xlfn.XLOOKUP($A84,'Raw Data'!$G:$G,'Raw Data'!AI:AI),"")</f>
        <v>25311.100000000002</v>
      </c>
      <c r="Y84" s="133">
        <f>IFERROR(_xlfn.XLOOKUP($A84,'Raw Data'!$G:$G,'Raw Data'!AJ:AJ),"")</f>
        <v>25100.000000005821</v>
      </c>
      <c r="Z84" s="133">
        <f>IFERROR(_xlfn.XLOOKUP($A84,'Raw Data'!$G:$G,'Raw Data'!AK:AK),"")</f>
        <v>100.00000000002274</v>
      </c>
      <c r="AA84" s="133">
        <f>IFERROR(_xlfn.XLOOKUP($A84,'Raw Data'!$G:$G,'Raw Data'!AL:AL),"")</f>
        <v>25000.000000005799</v>
      </c>
      <c r="AB84" s="133">
        <f>IFERROR(_xlfn.XLOOKUP($A84,'Raw Data'!$G:$G,'Raw Data'!H:H),"")</f>
        <v>8.0208999999999993</v>
      </c>
      <c r="AC84" s="142">
        <f>IFERROR(_xlfn.XLOOKUP($D84,'Modelling New'!$D:$D,'Modelling New'!P:P),"")</f>
        <v>4.7600000000000007</v>
      </c>
      <c r="AD84" s="133">
        <f>IFERROR(_xlfn.XLOOKUP($D84,'Modelling New'!$D:$D,'Modelling New'!$T:$T)*1000,"")</f>
        <v>25919.748311299463</v>
      </c>
      <c r="AE84" s="143">
        <f>IFERROR(_xlfn.XLOOKUP($D84,'Modelling New'!$D:$D,'Modelling New'!O:O),"")</f>
        <v>0.67889205394445518</v>
      </c>
      <c r="AF84" s="145">
        <f>IFERROR(_xlfn.XLOOKUP($D84,'Modelling New'!$D:$D,'Modelling New'!W:W),"")</f>
        <v>0.13464692403231696</v>
      </c>
      <c r="AG84" s="145">
        <f>IFERROR(_xlfn.XLOOKUP($D84,'Modelling New'!$D:$D,'Modelling New'!AE:AE),"")</f>
        <v>0.98040000000000005</v>
      </c>
      <c r="AH84" s="167">
        <f>IFERROR(_xlfn.XLOOKUP($D84,'Modelling New'!$D:$D,'Modelling New'!AF:AF),"")</f>
        <v>0.98</v>
      </c>
      <c r="AN84" s="144"/>
      <c r="AO84" s="141"/>
      <c r="AP84" s="141"/>
      <c r="AQ84" s="141"/>
      <c r="AR84" s="133">
        <f>'Basic Data'!$B$98/1000</f>
        <v>8.0208999999999993</v>
      </c>
    </row>
    <row r="85" spans="1:44" x14ac:dyDescent="0.3">
      <c r="A85" s="132">
        <f t="shared" si="7"/>
        <v>45828</v>
      </c>
      <c r="B85" s="133">
        <f>YEAR(Table13[[#This Row],[Date]])+IF(MONTH(Table13[[#This Row],[Date]])&gt;=4,1,0)</f>
        <v>2026</v>
      </c>
      <c r="C85" s="134">
        <f>YEAR(Table13[[#This Row],[Date]])</f>
        <v>2025</v>
      </c>
      <c r="D85" s="135">
        <f>Table13[[#This Row],[Date]]-DAY(Table13[[#This Row],[Date]])+1</f>
        <v>45809</v>
      </c>
      <c r="E85" s="134">
        <f t="shared" si="4"/>
        <v>30</v>
      </c>
      <c r="F85" s="136">
        <f>IFERROR(_xlfn.XLOOKUP($A85,'Raw Data'!$G:$G,'Raw Data'!$AM:$AM),"")</f>
        <v>12.816666666666666</v>
      </c>
      <c r="G85" s="137">
        <f>IFERROR(_xlfn.XLOOKUP($A85,'Raw Data'!$G:$G,'Raw Data'!$AB:$AB),"")</f>
        <v>0</v>
      </c>
      <c r="H85" s="137"/>
      <c r="I85" s="137">
        <f>IFERROR(_xlfn.XLOOKUP($A85,'Raw Data'!$G:$G,'Raw Data'!$AC:$AC),"")</f>
        <v>4.84</v>
      </c>
      <c r="J85" s="137"/>
      <c r="K85" s="137">
        <f>IFERROR(_xlfn.XLOOKUP($A85,'Raw Data'!$G:$G,'Raw Data'!AD:AD),"")</f>
        <v>0</v>
      </c>
      <c r="L85" s="137">
        <f>IFERROR(_xlfn.XLOOKUP($A85,'Raw Data'!$G:$G,'Raw Data'!AE:AE),"")</f>
        <v>36.57</v>
      </c>
      <c r="M85" s="137">
        <f>IFERROR(_xlfn.XLOOKUP($A85,'Raw Data'!$G:$G,'Raw Data'!AF:AF),"")</f>
        <v>0</v>
      </c>
      <c r="N85" s="137">
        <f>IFERROR(_xlfn.XLOOKUP($A85,'Raw Data'!$G:$G,'Raw Data'!AG:AG),"")</f>
        <v>0</v>
      </c>
      <c r="O85" s="138">
        <f>IFERROR(1-SUMIF('Plant BD'!$H:$H,$A85,'Plant BD'!$AE:$AE)/($AA85+SUMIF('Plant BD'!$H:$H,$A85,'Plant BD'!$AE:$AE)),"")</f>
        <v>1</v>
      </c>
      <c r="P85" s="138"/>
      <c r="Q85" s="139"/>
      <c r="R85" s="138">
        <f>IFERROR(1-SUMIF('Grid BD'!$H:$H,$A85,'Grid BD'!$AD:$AD)/($AA85+SUMIF('Grid BD'!$H:$H,$A85,'Grid BD'!$AD:$AD)),"")</f>
        <v>1</v>
      </c>
      <c r="T85" s="139"/>
      <c r="U85" s="140">
        <f t="shared" si="5"/>
        <v>0.80497345313445334</v>
      </c>
      <c r="V85" s="140"/>
      <c r="W85" s="141">
        <f t="shared" si="6"/>
        <v>0.16233631304878141</v>
      </c>
      <c r="X85" s="133">
        <f>IFERROR(_xlfn.XLOOKUP($A85,'Raw Data'!$G:$G,'Raw Data'!AI:AI),"")</f>
        <v>31630.9</v>
      </c>
      <c r="Y85" s="133">
        <f>IFERROR(_xlfn.XLOOKUP($A85,'Raw Data'!$G:$G,'Raw Data'!AJ:AJ),"")</f>
        <v>31349.999999991269</v>
      </c>
      <c r="Z85" s="133">
        <f>IFERROR(_xlfn.XLOOKUP($A85,'Raw Data'!$G:$G,'Raw Data'!AK:AK),"")</f>
        <v>99.999999999965894</v>
      </c>
      <c r="AA85" s="133">
        <f>IFERROR(_xlfn.XLOOKUP($A85,'Raw Data'!$G:$G,'Raw Data'!AL:AL),"")</f>
        <v>31249.999999991302</v>
      </c>
      <c r="AB85" s="133">
        <f>IFERROR(_xlfn.XLOOKUP($A85,'Raw Data'!$G:$G,'Raw Data'!H:H),"")</f>
        <v>8.0208999999999993</v>
      </c>
      <c r="AC85" s="142">
        <f>IFERROR(_xlfn.XLOOKUP($D85,'Modelling New'!$D:$D,'Modelling New'!P:P),"")</f>
        <v>4.7600000000000007</v>
      </c>
      <c r="AD85" s="133">
        <f>IFERROR(_xlfn.XLOOKUP($D85,'Modelling New'!$D:$D,'Modelling New'!$T:$T)*1000,"")</f>
        <v>25919.748311299463</v>
      </c>
      <c r="AE85" s="143">
        <f>IFERROR(_xlfn.XLOOKUP($D85,'Modelling New'!$D:$D,'Modelling New'!O:O),"")</f>
        <v>0.67889205394445518</v>
      </c>
      <c r="AF85" s="145">
        <f>IFERROR(_xlfn.XLOOKUP($D85,'Modelling New'!$D:$D,'Modelling New'!W:W),"")</f>
        <v>0.13464692403231696</v>
      </c>
      <c r="AG85" s="145">
        <f>IFERROR(_xlfn.XLOOKUP($D85,'Modelling New'!$D:$D,'Modelling New'!AE:AE),"")</f>
        <v>0.98040000000000005</v>
      </c>
      <c r="AH85" s="167">
        <f>IFERROR(_xlfn.XLOOKUP($D85,'Modelling New'!$D:$D,'Modelling New'!AF:AF),"")</f>
        <v>0.98</v>
      </c>
      <c r="AN85" s="144"/>
      <c r="AO85" s="141"/>
      <c r="AP85" s="141"/>
      <c r="AQ85" s="141"/>
      <c r="AR85" s="133">
        <f>'Basic Data'!$B$98/1000</f>
        <v>8.0208999999999993</v>
      </c>
    </row>
    <row r="86" spans="1:44" x14ac:dyDescent="0.3">
      <c r="A86" s="132">
        <f t="shared" si="7"/>
        <v>45829</v>
      </c>
      <c r="B86" s="133">
        <f>YEAR(Table13[[#This Row],[Date]])+IF(MONTH(Table13[[#This Row],[Date]])&gt;=4,1,0)</f>
        <v>2026</v>
      </c>
      <c r="C86" s="134">
        <f>YEAR(Table13[[#This Row],[Date]])</f>
        <v>2025</v>
      </c>
      <c r="D86" s="135">
        <f>Table13[[#This Row],[Date]]-DAY(Table13[[#This Row],[Date]])+1</f>
        <v>45809</v>
      </c>
      <c r="E86" s="134">
        <f t="shared" si="4"/>
        <v>30</v>
      </c>
      <c r="F86" s="136">
        <f>IFERROR(_xlfn.XLOOKUP($A86,'Raw Data'!$G:$G,'Raw Data'!$AM:$AM),"")</f>
        <v>12.833333333333332</v>
      </c>
      <c r="G86" s="137">
        <f>IFERROR(_xlfn.XLOOKUP($A86,'Raw Data'!$G:$G,'Raw Data'!$AB:$AB),"")</f>
        <v>0</v>
      </c>
      <c r="H86" s="137"/>
      <c r="I86" s="137">
        <f>IFERROR(_xlfn.XLOOKUP($A86,'Raw Data'!$G:$G,'Raw Data'!$AC:$AC),"")</f>
        <v>5.98</v>
      </c>
      <c r="J86" s="137"/>
      <c r="K86" s="137">
        <f>IFERROR(_xlfn.XLOOKUP($A86,'Raw Data'!$G:$G,'Raw Data'!AD:AD),"")</f>
        <v>0</v>
      </c>
      <c r="L86" s="137">
        <f>IFERROR(_xlfn.XLOOKUP($A86,'Raw Data'!$G:$G,'Raw Data'!AE:AE),"")</f>
        <v>38.619999999999997</v>
      </c>
      <c r="M86" s="137">
        <f>IFERROR(_xlfn.XLOOKUP($A86,'Raw Data'!$G:$G,'Raw Data'!AF:AF),"")</f>
        <v>0</v>
      </c>
      <c r="N86" s="137">
        <f>IFERROR(_xlfn.XLOOKUP($A86,'Raw Data'!$G:$G,'Raw Data'!AG:AG),"")</f>
        <v>0</v>
      </c>
      <c r="O86" s="138">
        <f>IFERROR(1-SUMIF('Plant BD'!$H:$H,$A86,'Plant BD'!$AE:$AE)/($AA86+SUMIF('Plant BD'!$H:$H,$A86,'Plant BD'!$AE:$AE)),"")</f>
        <v>1</v>
      </c>
      <c r="P86" s="138"/>
      <c r="Q86" s="139"/>
      <c r="R86" s="138">
        <f>IFERROR(1-SUMIF('Grid BD'!$H:$H,$A86,'Grid BD'!$AD:$AD)/($AA86+SUMIF('Grid BD'!$H:$H,$A86,'Grid BD'!$AD:$AD)),"")</f>
        <v>1</v>
      </c>
      <c r="T86" s="139"/>
      <c r="U86" s="140">
        <f t="shared" si="5"/>
        <v>0.78599007917907471</v>
      </c>
      <c r="V86" s="140"/>
      <c r="W86" s="141">
        <f t="shared" si="6"/>
        <v>0.19584252806211941</v>
      </c>
      <c r="X86" s="133">
        <f>IFERROR(_xlfn.XLOOKUP($A86,'Raw Data'!$G:$G,'Raw Data'!AI:AI),"")</f>
        <v>38130.100000000006</v>
      </c>
      <c r="Y86" s="133">
        <f>IFERROR(_xlfn.XLOOKUP($A86,'Raw Data'!$G:$G,'Raw Data'!AJ:AJ),"")</f>
        <v>37800.00000000291</v>
      </c>
      <c r="Z86" s="133">
        <f>IFERROR(_xlfn.XLOOKUP($A86,'Raw Data'!$G:$G,'Raw Data'!AK:AK),"")</f>
        <v>100.00000000002274</v>
      </c>
      <c r="AA86" s="133">
        <f>IFERROR(_xlfn.XLOOKUP($A86,'Raw Data'!$G:$G,'Raw Data'!AL:AL),"")</f>
        <v>37700.000000002889</v>
      </c>
      <c r="AB86" s="133">
        <f>IFERROR(_xlfn.XLOOKUP($A86,'Raw Data'!$G:$G,'Raw Data'!H:H),"")</f>
        <v>8.0208999999999993</v>
      </c>
      <c r="AC86" s="142">
        <f>IFERROR(_xlfn.XLOOKUP($D86,'Modelling New'!$D:$D,'Modelling New'!P:P),"")</f>
        <v>4.7600000000000007</v>
      </c>
      <c r="AD86" s="133">
        <f>IFERROR(_xlfn.XLOOKUP($D86,'Modelling New'!$D:$D,'Modelling New'!$T:$T)*1000,"")</f>
        <v>25919.748311299463</v>
      </c>
      <c r="AE86" s="143">
        <f>IFERROR(_xlfn.XLOOKUP($D86,'Modelling New'!$D:$D,'Modelling New'!O:O),"")</f>
        <v>0.67889205394445518</v>
      </c>
      <c r="AF86" s="145">
        <f>IFERROR(_xlfn.XLOOKUP($D86,'Modelling New'!$D:$D,'Modelling New'!W:W),"")</f>
        <v>0.13464692403231696</v>
      </c>
      <c r="AG86" s="145">
        <f>IFERROR(_xlfn.XLOOKUP($D86,'Modelling New'!$D:$D,'Modelling New'!AE:AE),"")</f>
        <v>0.98040000000000005</v>
      </c>
      <c r="AH86" s="167">
        <f>IFERROR(_xlfn.XLOOKUP($D86,'Modelling New'!$D:$D,'Modelling New'!AF:AF),"")</f>
        <v>0.98</v>
      </c>
      <c r="AN86" s="144"/>
      <c r="AO86" s="141"/>
      <c r="AP86" s="141"/>
      <c r="AQ86" s="141"/>
      <c r="AR86" s="133">
        <f>'Basic Data'!$B$98/1000</f>
        <v>8.0208999999999993</v>
      </c>
    </row>
    <row r="87" spans="1:44" x14ac:dyDescent="0.3">
      <c r="A87" s="132">
        <f t="shared" si="7"/>
        <v>45830</v>
      </c>
      <c r="B87" s="133">
        <f>YEAR(Table13[[#This Row],[Date]])+IF(MONTH(Table13[[#This Row],[Date]])&gt;=4,1,0)</f>
        <v>2026</v>
      </c>
      <c r="C87" s="134">
        <f>YEAR(Table13[[#This Row],[Date]])</f>
        <v>2025</v>
      </c>
      <c r="D87" s="135">
        <f>Table13[[#This Row],[Date]]-DAY(Table13[[#This Row],[Date]])+1</f>
        <v>45809</v>
      </c>
      <c r="E87" s="134">
        <f t="shared" si="4"/>
        <v>30</v>
      </c>
      <c r="F87" s="136">
        <f>IFERROR(_xlfn.XLOOKUP($A87,'Raw Data'!$G:$G,'Raw Data'!$AM:$AM),"")</f>
        <v>12.816666666666666</v>
      </c>
      <c r="G87" s="137">
        <f>IFERROR(_xlfn.XLOOKUP($A87,'Raw Data'!$G:$G,'Raw Data'!$AB:$AB),"")</f>
        <v>0</v>
      </c>
      <c r="H87" s="137"/>
      <c r="I87" s="137">
        <f>IFERROR(_xlfn.XLOOKUP($A87,'Raw Data'!$G:$G,'Raw Data'!$AC:$AC),"")</f>
        <v>5.89</v>
      </c>
      <c r="J87" s="137"/>
      <c r="K87" s="137">
        <f>IFERROR(_xlfn.XLOOKUP($A87,'Raw Data'!$G:$G,'Raw Data'!AD:AD),"")</f>
        <v>0</v>
      </c>
      <c r="L87" s="137">
        <f>IFERROR(_xlfn.XLOOKUP($A87,'Raw Data'!$G:$G,'Raw Data'!AE:AE),"")</f>
        <v>38.299999999999997</v>
      </c>
      <c r="M87" s="137">
        <f>IFERROR(_xlfn.XLOOKUP($A87,'Raw Data'!$G:$G,'Raw Data'!AF:AF),"")</f>
        <v>0</v>
      </c>
      <c r="N87" s="137">
        <f>IFERROR(_xlfn.XLOOKUP($A87,'Raw Data'!$G:$G,'Raw Data'!AG:AG),"")</f>
        <v>0</v>
      </c>
      <c r="O87" s="138">
        <f>IFERROR(1-SUMIF('Plant BD'!$H:$H,$A87,'Plant BD'!$AE:$AE)/($AA87+SUMIF('Plant BD'!$H:$H,$A87,'Plant BD'!$AE:$AE)),"")</f>
        <v>1</v>
      </c>
      <c r="P87" s="138"/>
      <c r="Q87" s="139"/>
      <c r="R87" s="138">
        <f>IFERROR(1-SUMIF('Grid BD'!$H:$H,$A87,'Grid BD'!$AD:$AD)/($AA87+SUMIF('Grid BD'!$H:$H,$A87,'Grid BD'!$AD:$AD)),"")</f>
        <v>1</v>
      </c>
      <c r="T87" s="139"/>
      <c r="U87" s="140">
        <f t="shared" si="5"/>
        <v>0.78953326963008119</v>
      </c>
      <c r="V87" s="140"/>
      <c r="W87" s="141">
        <f t="shared" si="6"/>
        <v>0.19376462325504909</v>
      </c>
      <c r="X87" s="133">
        <f>IFERROR(_xlfn.XLOOKUP($A87,'Raw Data'!$G:$G,'Raw Data'!AI:AI),"")</f>
        <v>37736.1</v>
      </c>
      <c r="Y87" s="133">
        <f>IFERROR(_xlfn.XLOOKUP($A87,'Raw Data'!$G:$G,'Raw Data'!AJ:AJ),"")</f>
        <v>37399.999999994179</v>
      </c>
      <c r="Z87" s="133">
        <f>IFERROR(_xlfn.XLOOKUP($A87,'Raw Data'!$G:$G,'Raw Data'!AK:AK),"")</f>
        <v>100.00000000002274</v>
      </c>
      <c r="AA87" s="133">
        <f>IFERROR(_xlfn.XLOOKUP($A87,'Raw Data'!$G:$G,'Raw Data'!AL:AL),"")</f>
        <v>37299.999999994157</v>
      </c>
      <c r="AB87" s="133">
        <f>IFERROR(_xlfn.XLOOKUP($A87,'Raw Data'!$G:$G,'Raw Data'!H:H),"")</f>
        <v>8.0208999999999993</v>
      </c>
      <c r="AC87" s="142">
        <f>IFERROR(_xlfn.XLOOKUP($D87,'Modelling New'!$D:$D,'Modelling New'!P:P),"")</f>
        <v>4.7600000000000007</v>
      </c>
      <c r="AD87" s="133">
        <f>IFERROR(_xlfn.XLOOKUP($D87,'Modelling New'!$D:$D,'Modelling New'!$T:$T)*1000,"")</f>
        <v>25919.748311299463</v>
      </c>
      <c r="AE87" s="143">
        <f>IFERROR(_xlfn.XLOOKUP($D87,'Modelling New'!$D:$D,'Modelling New'!O:O),"")</f>
        <v>0.67889205394445518</v>
      </c>
      <c r="AF87" s="145">
        <f>IFERROR(_xlfn.XLOOKUP($D87,'Modelling New'!$D:$D,'Modelling New'!W:W),"")</f>
        <v>0.13464692403231696</v>
      </c>
      <c r="AG87" s="145">
        <f>IFERROR(_xlfn.XLOOKUP($D87,'Modelling New'!$D:$D,'Modelling New'!AE:AE),"")</f>
        <v>0.98040000000000005</v>
      </c>
      <c r="AH87" s="167">
        <f>IFERROR(_xlfn.XLOOKUP($D87,'Modelling New'!$D:$D,'Modelling New'!AF:AF),"")</f>
        <v>0.98</v>
      </c>
      <c r="AN87" s="144"/>
      <c r="AO87" s="141"/>
      <c r="AP87" s="141"/>
      <c r="AQ87" s="141"/>
      <c r="AR87" s="133">
        <f>'Basic Data'!$B$98/1000</f>
        <v>8.0208999999999993</v>
      </c>
    </row>
    <row r="88" spans="1:44" x14ac:dyDescent="0.3">
      <c r="A88" s="132">
        <f t="shared" si="7"/>
        <v>45831</v>
      </c>
      <c r="B88" s="133">
        <f>YEAR(Table13[[#This Row],[Date]])+IF(MONTH(Table13[[#This Row],[Date]])&gt;=4,1,0)</f>
        <v>2026</v>
      </c>
      <c r="C88" s="134">
        <f>YEAR(Table13[[#This Row],[Date]])</f>
        <v>2025</v>
      </c>
      <c r="D88" s="135">
        <f>Table13[[#This Row],[Date]]-DAY(Table13[[#This Row],[Date]])+1</f>
        <v>45809</v>
      </c>
      <c r="E88" s="134">
        <f t="shared" si="4"/>
        <v>30</v>
      </c>
      <c r="F88" s="136">
        <f>IFERROR(_xlfn.XLOOKUP($A88,'Raw Data'!$G:$G,'Raw Data'!$AM:$AM),"")</f>
        <v>12.75</v>
      </c>
      <c r="G88" s="137">
        <f>IFERROR(_xlfn.XLOOKUP($A88,'Raw Data'!$G:$G,'Raw Data'!$AB:$AB),"")</f>
        <v>0</v>
      </c>
      <c r="H88" s="137"/>
      <c r="I88" s="137">
        <f>IFERROR(_xlfn.XLOOKUP($A88,'Raw Data'!$G:$G,'Raw Data'!$AC:$AC),"")</f>
        <v>5.0599999999999996</v>
      </c>
      <c r="J88" s="137"/>
      <c r="K88" s="137">
        <f>IFERROR(_xlfn.XLOOKUP($A88,'Raw Data'!$G:$G,'Raw Data'!AD:AD),"")</f>
        <v>0</v>
      </c>
      <c r="L88" s="137">
        <f>IFERROR(_xlfn.XLOOKUP($A88,'Raw Data'!$G:$G,'Raw Data'!AE:AE),"")</f>
        <v>36.049999999999997</v>
      </c>
      <c r="M88" s="137">
        <f>IFERROR(_xlfn.XLOOKUP($A88,'Raw Data'!$G:$G,'Raw Data'!AF:AF),"")</f>
        <v>0</v>
      </c>
      <c r="N88" s="137">
        <f>IFERROR(_xlfn.XLOOKUP($A88,'Raw Data'!$G:$G,'Raw Data'!AG:AG),"")</f>
        <v>0</v>
      </c>
      <c r="O88" s="138">
        <f>IFERROR(1-SUMIF('Plant BD'!$H:$H,$A88,'Plant BD'!$AE:$AE)/($AA88+SUMIF('Plant BD'!$H:$H,$A88,'Plant BD'!$AE:$AE)),"")</f>
        <v>1</v>
      </c>
      <c r="P88" s="138"/>
      <c r="Q88" s="139"/>
      <c r="R88" s="138">
        <f>IFERROR(1-SUMIF('Grid BD'!$H:$H,$A88,'Grid BD'!$AD:$AD)/($AA88+SUMIF('Grid BD'!$H:$H,$A88,'Grid BD'!$AD:$AD)),"")</f>
        <v>1</v>
      </c>
      <c r="T88" s="139"/>
      <c r="U88" s="140">
        <f t="shared" si="5"/>
        <v>0.79461379478143634</v>
      </c>
      <c r="V88" s="140"/>
      <c r="W88" s="141">
        <f t="shared" si="6"/>
        <v>0.16753107506641945</v>
      </c>
      <c r="X88" s="133">
        <f>IFERROR(_xlfn.XLOOKUP($A88,'Raw Data'!$G:$G,'Raw Data'!AI:AI),"")</f>
        <v>32646</v>
      </c>
      <c r="Y88" s="133">
        <f>IFERROR(_xlfn.XLOOKUP($A88,'Raw Data'!$G:$G,'Raw Data'!AJ:AJ),"")</f>
        <v>32350.000000005821</v>
      </c>
      <c r="Z88" s="133">
        <f>IFERROR(_xlfn.XLOOKUP($A88,'Raw Data'!$G:$G,'Raw Data'!AK:AK),"")</f>
        <v>99.999999999965894</v>
      </c>
      <c r="AA88" s="133">
        <f>IFERROR(_xlfn.XLOOKUP($A88,'Raw Data'!$G:$G,'Raw Data'!AL:AL),"")</f>
        <v>32250.000000005854</v>
      </c>
      <c r="AB88" s="133">
        <f>IFERROR(_xlfn.XLOOKUP($A88,'Raw Data'!$G:$G,'Raw Data'!H:H),"")</f>
        <v>8.0208999999999993</v>
      </c>
      <c r="AC88" s="142">
        <f>IFERROR(_xlfn.XLOOKUP($D88,'Modelling New'!$D:$D,'Modelling New'!P:P),"")</f>
        <v>4.7600000000000007</v>
      </c>
      <c r="AD88" s="133">
        <f>IFERROR(_xlfn.XLOOKUP($D88,'Modelling New'!$D:$D,'Modelling New'!$T:$T)*1000,"")</f>
        <v>25919.748311299463</v>
      </c>
      <c r="AE88" s="143">
        <f>IFERROR(_xlfn.XLOOKUP($D88,'Modelling New'!$D:$D,'Modelling New'!O:O),"")</f>
        <v>0.67889205394445518</v>
      </c>
      <c r="AF88" s="145">
        <f>IFERROR(_xlfn.XLOOKUP($D88,'Modelling New'!$D:$D,'Modelling New'!W:W),"")</f>
        <v>0.13464692403231696</v>
      </c>
      <c r="AG88" s="145">
        <f>IFERROR(_xlfn.XLOOKUP($D88,'Modelling New'!$D:$D,'Modelling New'!AE:AE),"")</f>
        <v>0.98040000000000005</v>
      </c>
      <c r="AH88" s="167">
        <f>IFERROR(_xlfn.XLOOKUP($D88,'Modelling New'!$D:$D,'Modelling New'!AF:AF),"")</f>
        <v>0.98</v>
      </c>
      <c r="AN88" s="144"/>
      <c r="AO88" s="141"/>
      <c r="AP88" s="141"/>
      <c r="AQ88" s="141"/>
      <c r="AR88" s="133">
        <f>'Basic Data'!$B$98/1000</f>
        <v>8.0208999999999993</v>
      </c>
    </row>
    <row r="89" spans="1:44" x14ac:dyDescent="0.3">
      <c r="A89" s="132">
        <f t="shared" si="7"/>
        <v>45832</v>
      </c>
      <c r="B89" s="133">
        <f>YEAR(Table13[[#This Row],[Date]])+IF(MONTH(Table13[[#This Row],[Date]])&gt;=4,1,0)</f>
        <v>2026</v>
      </c>
      <c r="C89" s="134">
        <f>YEAR(Table13[[#This Row],[Date]])</f>
        <v>2025</v>
      </c>
      <c r="D89" s="135">
        <f>Table13[[#This Row],[Date]]-DAY(Table13[[#This Row],[Date]])+1</f>
        <v>45809</v>
      </c>
      <c r="E89" s="134">
        <f t="shared" si="4"/>
        <v>30</v>
      </c>
      <c r="F89" s="136">
        <f>IFERROR(_xlfn.XLOOKUP($A89,'Raw Data'!$G:$G,'Raw Data'!$AM:$AM),"")</f>
        <v>12.75</v>
      </c>
      <c r="G89" s="137">
        <f>IFERROR(_xlfn.XLOOKUP($A89,'Raw Data'!$G:$G,'Raw Data'!$AB:$AB),"")</f>
        <v>0</v>
      </c>
      <c r="H89" s="137"/>
      <c r="I89" s="137">
        <f>IFERROR(_xlfn.XLOOKUP($A89,'Raw Data'!$G:$G,'Raw Data'!$AC:$AC),"")</f>
        <v>3.22</v>
      </c>
      <c r="J89" s="137"/>
      <c r="K89" s="137">
        <f>IFERROR(_xlfn.XLOOKUP($A89,'Raw Data'!$G:$G,'Raw Data'!AD:AD),"")</f>
        <v>0</v>
      </c>
      <c r="L89" s="137">
        <f>IFERROR(_xlfn.XLOOKUP($A89,'Raw Data'!$G:$G,'Raw Data'!AE:AE),"")</f>
        <v>31.12</v>
      </c>
      <c r="M89" s="137">
        <f>IFERROR(_xlfn.XLOOKUP($A89,'Raw Data'!$G:$G,'Raw Data'!AF:AF),"")</f>
        <v>0</v>
      </c>
      <c r="N89" s="137">
        <f>IFERROR(_xlfn.XLOOKUP($A89,'Raw Data'!$G:$G,'Raw Data'!AG:AG),"")</f>
        <v>0</v>
      </c>
      <c r="O89" s="138">
        <f>IFERROR(1-SUMIF('Plant BD'!$H:$H,$A89,'Plant BD'!$AE:$AE)/($AA89+SUMIF('Plant BD'!$H:$H,$A89,'Plant BD'!$AE:$AE)),"")</f>
        <v>1</v>
      </c>
      <c r="P89" s="138"/>
      <c r="Q89" s="139"/>
      <c r="R89" s="138">
        <f>IFERROR(1-SUMIF('Grid BD'!$H:$H,$A89,'Grid BD'!$AD:$AD)/($AA89+SUMIF('Grid BD'!$H:$H,$A89,'Grid BD'!$AD:$AD)),"")</f>
        <v>0.69762857847167226</v>
      </c>
      <c r="T89" s="139"/>
      <c r="U89" s="140">
        <f t="shared" si="5"/>
        <v>0.6233714421073806</v>
      </c>
      <c r="V89" s="140"/>
      <c r="W89" s="141">
        <f t="shared" si="6"/>
        <v>8.3635668482740233E-2</v>
      </c>
      <c r="X89" s="133">
        <f>IFERROR(_xlfn.XLOOKUP($A89,'Raw Data'!$G:$G,'Raw Data'!AI:AI),"")</f>
        <v>16354.900000000001</v>
      </c>
      <c r="Y89" s="133">
        <f>IFERROR(_xlfn.XLOOKUP($A89,'Raw Data'!$G:$G,'Raw Data'!AJ:AJ),"")</f>
        <v>16199.99999999709</v>
      </c>
      <c r="Z89" s="133">
        <f>IFERROR(_xlfn.XLOOKUP($A89,'Raw Data'!$G:$G,'Raw Data'!AK:AK),"")</f>
        <v>100.00000000002274</v>
      </c>
      <c r="AA89" s="133">
        <f>IFERROR(_xlfn.XLOOKUP($A89,'Raw Data'!$G:$G,'Raw Data'!AL:AL),"")</f>
        <v>16099.999999997068</v>
      </c>
      <c r="AB89" s="133">
        <f>IFERROR(_xlfn.XLOOKUP($A89,'Raw Data'!$G:$G,'Raw Data'!H:H),"")</f>
        <v>8.0208999999999993</v>
      </c>
      <c r="AC89" s="142">
        <f>IFERROR(_xlfn.XLOOKUP($D89,'Modelling New'!$D:$D,'Modelling New'!P:P),"")</f>
        <v>4.7600000000000007</v>
      </c>
      <c r="AD89" s="133">
        <f>IFERROR(_xlfn.XLOOKUP($D89,'Modelling New'!$D:$D,'Modelling New'!$T:$T)*1000,"")</f>
        <v>25919.748311299463</v>
      </c>
      <c r="AE89" s="143">
        <f>IFERROR(_xlfn.XLOOKUP($D89,'Modelling New'!$D:$D,'Modelling New'!O:O),"")</f>
        <v>0.67889205394445518</v>
      </c>
      <c r="AF89" s="145">
        <f>IFERROR(_xlfn.XLOOKUP($D89,'Modelling New'!$D:$D,'Modelling New'!W:W),"")</f>
        <v>0.13464692403231696</v>
      </c>
      <c r="AG89" s="145">
        <f>IFERROR(_xlfn.XLOOKUP($D89,'Modelling New'!$D:$D,'Modelling New'!AE:AE),"")</f>
        <v>0.98040000000000005</v>
      </c>
      <c r="AH89" s="167">
        <f>IFERROR(_xlfn.XLOOKUP($D89,'Modelling New'!$D:$D,'Modelling New'!AF:AF),"")</f>
        <v>0.98</v>
      </c>
      <c r="AN89" s="144"/>
      <c r="AO89" s="141"/>
      <c r="AP89" s="141"/>
      <c r="AQ89" s="141"/>
      <c r="AR89" s="133">
        <f>'Basic Data'!$B$98/1000</f>
        <v>8.0208999999999993</v>
      </c>
    </row>
    <row r="90" spans="1:44" x14ac:dyDescent="0.3">
      <c r="A90" s="132">
        <f t="shared" si="7"/>
        <v>45833</v>
      </c>
      <c r="B90" s="133">
        <f>YEAR(Table13[[#This Row],[Date]])+IF(MONTH(Table13[[#This Row],[Date]])&gt;=4,1,0)</f>
        <v>2026</v>
      </c>
      <c r="C90" s="134">
        <f>YEAR(Table13[[#This Row],[Date]])</f>
        <v>2025</v>
      </c>
      <c r="D90" s="135">
        <f>Table13[[#This Row],[Date]]-DAY(Table13[[#This Row],[Date]])+1</f>
        <v>45809</v>
      </c>
      <c r="E90" s="134">
        <f t="shared" si="4"/>
        <v>30</v>
      </c>
      <c r="F90" s="136">
        <f>IFERROR(_xlfn.XLOOKUP($A90,'Raw Data'!$G:$G,'Raw Data'!$AM:$AM),"")</f>
        <v>12.600000000000001</v>
      </c>
      <c r="G90" s="137">
        <f>IFERROR(_xlfn.XLOOKUP($A90,'Raw Data'!$G:$G,'Raw Data'!$AB:$AB),"")</f>
        <v>0</v>
      </c>
      <c r="H90" s="137"/>
      <c r="I90" s="137">
        <f>IFERROR(_xlfn.XLOOKUP($A90,'Raw Data'!$G:$G,'Raw Data'!$AC:$AC),"")</f>
        <v>4.18</v>
      </c>
      <c r="J90" s="137"/>
      <c r="K90" s="137">
        <f>IFERROR(_xlfn.XLOOKUP($A90,'Raw Data'!$G:$G,'Raw Data'!AD:AD),"")</f>
        <v>0</v>
      </c>
      <c r="L90" s="137">
        <f>IFERROR(_xlfn.XLOOKUP($A90,'Raw Data'!$G:$G,'Raw Data'!AE:AE),"")</f>
        <v>34.04</v>
      </c>
      <c r="M90" s="137">
        <f>IFERROR(_xlfn.XLOOKUP($A90,'Raw Data'!$G:$G,'Raw Data'!AF:AF),"")</f>
        <v>0</v>
      </c>
      <c r="N90" s="137">
        <f>IFERROR(_xlfn.XLOOKUP($A90,'Raw Data'!$G:$G,'Raw Data'!AG:AG),"")</f>
        <v>0</v>
      </c>
      <c r="O90" s="138">
        <f>IFERROR(1-SUMIF('Plant BD'!$H:$H,$A90,'Plant BD'!$AE:$AE)/($AA90+SUMIF('Plant BD'!$H:$H,$A90,'Plant BD'!$AE:$AE)),"")</f>
        <v>1</v>
      </c>
      <c r="P90" s="138"/>
      <c r="Q90" s="139"/>
      <c r="R90" s="138">
        <f>IFERROR(1-SUMIF('Grid BD'!$H:$H,$A90,'Grid BD'!$AD:$AD)/($AA90+SUMIF('Grid BD'!$H:$H,$A90,'Grid BD'!$AD:$AD)),"")</f>
        <v>0.91905629713589165</v>
      </c>
      <c r="T90" s="139"/>
      <c r="U90" s="140">
        <f t="shared" si="5"/>
        <v>0.76057281214089723</v>
      </c>
      <c r="V90" s="140"/>
      <c r="W90" s="141">
        <f t="shared" si="6"/>
        <v>0.13246643144787293</v>
      </c>
      <c r="X90" s="133">
        <f>IFERROR(_xlfn.XLOOKUP($A90,'Raw Data'!$G:$G,'Raw Data'!AI:AI),"")</f>
        <v>25813.599999999999</v>
      </c>
      <c r="Y90" s="133">
        <f>IFERROR(_xlfn.XLOOKUP($A90,'Raw Data'!$G:$G,'Raw Data'!AJ:AJ),"")</f>
        <v>25600.000000005821</v>
      </c>
      <c r="Z90" s="133">
        <f>IFERROR(_xlfn.XLOOKUP($A90,'Raw Data'!$G:$G,'Raw Data'!AK:AK),"")</f>
        <v>99.999999999965894</v>
      </c>
      <c r="AA90" s="133">
        <f>IFERROR(_xlfn.XLOOKUP($A90,'Raw Data'!$G:$G,'Raw Data'!AL:AL),"")</f>
        <v>25500.000000005854</v>
      </c>
      <c r="AB90" s="133">
        <f>IFERROR(_xlfn.XLOOKUP($A90,'Raw Data'!$G:$G,'Raw Data'!H:H),"")</f>
        <v>8.0208999999999993</v>
      </c>
      <c r="AC90" s="142">
        <f>IFERROR(_xlfn.XLOOKUP($D90,'Modelling New'!$D:$D,'Modelling New'!P:P),"")</f>
        <v>4.7600000000000007</v>
      </c>
      <c r="AD90" s="133">
        <f>IFERROR(_xlfn.XLOOKUP($D90,'Modelling New'!$D:$D,'Modelling New'!$T:$T)*1000,"")</f>
        <v>25919.748311299463</v>
      </c>
      <c r="AE90" s="143">
        <f>IFERROR(_xlfn.XLOOKUP($D90,'Modelling New'!$D:$D,'Modelling New'!O:O),"")</f>
        <v>0.67889205394445518</v>
      </c>
      <c r="AF90" s="145">
        <f>IFERROR(_xlfn.XLOOKUP($D90,'Modelling New'!$D:$D,'Modelling New'!W:W),"")</f>
        <v>0.13464692403231696</v>
      </c>
      <c r="AG90" s="145">
        <f>IFERROR(_xlfn.XLOOKUP($D90,'Modelling New'!$D:$D,'Modelling New'!AE:AE),"")</f>
        <v>0.98040000000000005</v>
      </c>
      <c r="AH90" s="167">
        <f>IFERROR(_xlfn.XLOOKUP($D90,'Modelling New'!$D:$D,'Modelling New'!AF:AF),"")</f>
        <v>0.98</v>
      </c>
      <c r="AN90" s="144"/>
      <c r="AO90" s="141"/>
      <c r="AP90" s="141"/>
      <c r="AQ90" s="141"/>
      <c r="AR90" s="133">
        <f>'Basic Data'!$B$98/1000</f>
        <v>8.0208999999999993</v>
      </c>
    </row>
    <row r="91" spans="1:44" x14ac:dyDescent="0.3">
      <c r="A91" s="132">
        <f t="shared" si="7"/>
        <v>45834</v>
      </c>
      <c r="B91" s="133">
        <f>YEAR(Table13[[#This Row],[Date]])+IF(MONTH(Table13[[#This Row],[Date]])&gt;=4,1,0)</f>
        <v>2026</v>
      </c>
      <c r="C91" s="134">
        <f>YEAR(Table13[[#This Row],[Date]])</f>
        <v>2025</v>
      </c>
      <c r="D91" s="135">
        <f>Table13[[#This Row],[Date]]-DAY(Table13[[#This Row],[Date]])+1</f>
        <v>45809</v>
      </c>
      <c r="E91" s="134">
        <f t="shared" si="4"/>
        <v>30</v>
      </c>
      <c r="F91" s="136">
        <f>IFERROR(_xlfn.XLOOKUP($A91,'Raw Data'!$G:$G,'Raw Data'!$AM:$AM),"")</f>
        <v>12.633333333333333</v>
      </c>
      <c r="G91" s="137">
        <f>IFERROR(_xlfn.XLOOKUP($A91,'Raw Data'!$G:$G,'Raw Data'!$AB:$AB),"")</f>
        <v>0</v>
      </c>
      <c r="H91" s="137"/>
      <c r="I91" s="137">
        <f>IFERROR(_xlfn.XLOOKUP($A91,'Raw Data'!$G:$G,'Raw Data'!$AC:$AC),"")</f>
        <v>3.64</v>
      </c>
      <c r="J91" s="137"/>
      <c r="K91" s="137">
        <f>IFERROR(_xlfn.XLOOKUP($A91,'Raw Data'!$G:$G,'Raw Data'!AD:AD),"")</f>
        <v>0</v>
      </c>
      <c r="L91" s="137">
        <f>IFERROR(_xlfn.XLOOKUP($A91,'Raw Data'!$G:$G,'Raw Data'!AE:AE),"")</f>
        <v>33.06</v>
      </c>
      <c r="M91" s="137">
        <f>IFERROR(_xlfn.XLOOKUP($A91,'Raw Data'!$G:$G,'Raw Data'!AF:AF),"")</f>
        <v>0</v>
      </c>
      <c r="N91" s="137">
        <f>IFERROR(_xlfn.XLOOKUP($A91,'Raw Data'!$G:$G,'Raw Data'!AG:AG),"")</f>
        <v>0</v>
      </c>
      <c r="O91" s="138">
        <f>IFERROR(1-SUMIF('Plant BD'!$H:$H,$A91,'Plant BD'!$AE:$AE)/($AA91+SUMIF('Plant BD'!$H:$H,$A91,'Plant BD'!$AE:$AE)),"")</f>
        <v>1</v>
      </c>
      <c r="P91" s="138"/>
      <c r="Q91" s="139"/>
      <c r="R91" s="138">
        <f>IFERROR(1-SUMIF('Grid BD'!$H:$H,$A91,'Grid BD'!$AD:$AD)/($AA91+SUMIF('Grid BD'!$H:$H,$A91,'Grid BD'!$AD:$AD)),"")</f>
        <v>1</v>
      </c>
      <c r="T91" s="139"/>
      <c r="U91" s="140">
        <f t="shared" si="5"/>
        <v>0.82887851093423959</v>
      </c>
      <c r="V91" s="140"/>
      <c r="W91" s="141">
        <f t="shared" si="6"/>
        <v>0.12571324082502633</v>
      </c>
      <c r="X91" s="133">
        <f>IFERROR(_xlfn.XLOOKUP($A91,'Raw Data'!$G:$G,'Raw Data'!AI:AI),"")</f>
        <v>24501.9</v>
      </c>
      <c r="Y91" s="133">
        <f>IFERROR(_xlfn.XLOOKUP($A91,'Raw Data'!$G:$G,'Raw Data'!AJ:AJ),"")</f>
        <v>24300.00000000291</v>
      </c>
      <c r="Z91" s="133">
        <f>IFERROR(_xlfn.XLOOKUP($A91,'Raw Data'!$G:$G,'Raw Data'!AK:AK),"")</f>
        <v>100.00000000002274</v>
      </c>
      <c r="AA91" s="133">
        <f>IFERROR(_xlfn.XLOOKUP($A91,'Raw Data'!$G:$G,'Raw Data'!AL:AL),"")</f>
        <v>24200.000000002889</v>
      </c>
      <c r="AB91" s="133">
        <f>IFERROR(_xlfn.XLOOKUP($A91,'Raw Data'!$G:$G,'Raw Data'!H:H),"")</f>
        <v>8.0208999999999993</v>
      </c>
      <c r="AC91" s="142">
        <f>IFERROR(_xlfn.XLOOKUP($D91,'Modelling New'!$D:$D,'Modelling New'!P:P),"")</f>
        <v>4.7600000000000007</v>
      </c>
      <c r="AD91" s="133">
        <f>IFERROR(_xlfn.XLOOKUP($D91,'Modelling New'!$D:$D,'Modelling New'!$T:$T)*1000,"")</f>
        <v>25919.748311299463</v>
      </c>
      <c r="AE91" s="143">
        <f>IFERROR(_xlfn.XLOOKUP($D91,'Modelling New'!$D:$D,'Modelling New'!O:O),"")</f>
        <v>0.67889205394445518</v>
      </c>
      <c r="AF91" s="145">
        <f>IFERROR(_xlfn.XLOOKUP($D91,'Modelling New'!$D:$D,'Modelling New'!W:W),"")</f>
        <v>0.13464692403231696</v>
      </c>
      <c r="AG91" s="145">
        <f>IFERROR(_xlfn.XLOOKUP($D91,'Modelling New'!$D:$D,'Modelling New'!AE:AE),"")</f>
        <v>0.98040000000000005</v>
      </c>
      <c r="AH91" s="167">
        <f>IFERROR(_xlfn.XLOOKUP($D91,'Modelling New'!$D:$D,'Modelling New'!AF:AF),"")</f>
        <v>0.98</v>
      </c>
      <c r="AN91" s="144"/>
      <c r="AO91" s="141"/>
      <c r="AP91" s="141"/>
      <c r="AQ91" s="141"/>
      <c r="AR91" s="133">
        <f>'Basic Data'!$B$98/1000</f>
        <v>8.0208999999999993</v>
      </c>
    </row>
    <row r="92" spans="1:44" x14ac:dyDescent="0.3">
      <c r="A92" s="132">
        <f t="shared" si="7"/>
        <v>45835</v>
      </c>
      <c r="B92" s="133">
        <f>YEAR(Table13[[#This Row],[Date]])+IF(MONTH(Table13[[#This Row],[Date]])&gt;=4,1,0)</f>
        <v>2026</v>
      </c>
      <c r="C92" s="134">
        <f>YEAR(Table13[[#This Row],[Date]])</f>
        <v>2025</v>
      </c>
      <c r="D92" s="135">
        <f>Table13[[#This Row],[Date]]-DAY(Table13[[#This Row],[Date]])+1</f>
        <v>45809</v>
      </c>
      <c r="E92" s="134">
        <f t="shared" si="4"/>
        <v>30</v>
      </c>
      <c r="F92" s="136">
        <f>IFERROR(_xlfn.XLOOKUP($A92,'Raw Data'!$G:$G,'Raw Data'!$AM:$AM),"")</f>
        <v>12.966666666666665</v>
      </c>
      <c r="G92" s="137">
        <f>IFERROR(_xlfn.XLOOKUP($A92,'Raw Data'!$G:$G,'Raw Data'!$AB:$AB),"")</f>
        <v>0</v>
      </c>
      <c r="H92" s="137"/>
      <c r="I92" s="137">
        <f>IFERROR(_xlfn.XLOOKUP($A92,'Raw Data'!$G:$G,'Raw Data'!$AC:$AC),"")</f>
        <v>5.82</v>
      </c>
      <c r="J92" s="137"/>
      <c r="K92" s="137">
        <f>IFERROR(_xlfn.XLOOKUP($A92,'Raw Data'!$G:$G,'Raw Data'!AD:AD),"")</f>
        <v>0</v>
      </c>
      <c r="L92" s="137">
        <f>IFERROR(_xlfn.XLOOKUP($A92,'Raw Data'!$G:$G,'Raw Data'!AE:AE),"")</f>
        <v>36.89</v>
      </c>
      <c r="M92" s="137">
        <f>IFERROR(_xlfn.XLOOKUP($A92,'Raw Data'!$G:$G,'Raw Data'!AF:AF),"")</f>
        <v>0</v>
      </c>
      <c r="N92" s="137">
        <f>IFERROR(_xlfn.XLOOKUP($A92,'Raw Data'!$G:$G,'Raw Data'!AG:AG),"")</f>
        <v>0</v>
      </c>
      <c r="O92" s="138">
        <f>IFERROR(1-SUMIF('Plant BD'!$H:$H,$A92,'Plant BD'!$AE:$AE)/($AA92+SUMIF('Plant BD'!$H:$H,$A92,'Plant BD'!$AE:$AE)),"")</f>
        <v>1</v>
      </c>
      <c r="P92" s="138"/>
      <c r="Q92" s="139"/>
      <c r="R92" s="138">
        <f>IFERROR(1-SUMIF('Grid BD'!$H:$H,$A92,'Grid BD'!$AD:$AD)/($AA92+SUMIF('Grid BD'!$H:$H,$A92,'Grid BD'!$AD:$AD)),"")</f>
        <v>1</v>
      </c>
      <c r="T92" s="139"/>
      <c r="U92" s="140">
        <f t="shared" si="5"/>
        <v>0.77653659025399346</v>
      </c>
      <c r="V92" s="140"/>
      <c r="W92" s="141">
        <f t="shared" si="6"/>
        <v>0.1883101231365934</v>
      </c>
      <c r="X92" s="133">
        <f>IFERROR(_xlfn.XLOOKUP($A92,'Raw Data'!$G:$G,'Raw Data'!AI:AI),"")</f>
        <v>36684.1</v>
      </c>
      <c r="Y92" s="133">
        <f>IFERROR(_xlfn.XLOOKUP($A92,'Raw Data'!$G:$G,'Raw Data'!AJ:AJ),"")</f>
        <v>36349.999999991269</v>
      </c>
      <c r="Z92" s="133">
        <f>IFERROR(_xlfn.XLOOKUP($A92,'Raw Data'!$G:$G,'Raw Data'!AK:AK),"")</f>
        <v>100.00000000002274</v>
      </c>
      <c r="AA92" s="133">
        <f>IFERROR(_xlfn.XLOOKUP($A92,'Raw Data'!$G:$G,'Raw Data'!AL:AL),"")</f>
        <v>36249.999999991247</v>
      </c>
      <c r="AB92" s="133">
        <f>IFERROR(_xlfn.XLOOKUP($A92,'Raw Data'!$G:$G,'Raw Data'!H:H),"")</f>
        <v>8.0208999999999993</v>
      </c>
      <c r="AC92" s="142">
        <f>IFERROR(_xlfn.XLOOKUP($D92,'Modelling New'!$D:$D,'Modelling New'!P:P),"")</f>
        <v>4.7600000000000007</v>
      </c>
      <c r="AD92" s="133">
        <f>IFERROR(_xlfn.XLOOKUP($D92,'Modelling New'!$D:$D,'Modelling New'!$T:$T)*1000,"")</f>
        <v>25919.748311299463</v>
      </c>
      <c r="AE92" s="143">
        <f>IFERROR(_xlfn.XLOOKUP($D92,'Modelling New'!$D:$D,'Modelling New'!O:O),"")</f>
        <v>0.67889205394445518</v>
      </c>
      <c r="AF92" s="145">
        <f>IFERROR(_xlfn.XLOOKUP($D92,'Modelling New'!$D:$D,'Modelling New'!W:W),"")</f>
        <v>0.13464692403231696</v>
      </c>
      <c r="AG92" s="145">
        <f>IFERROR(_xlfn.XLOOKUP($D92,'Modelling New'!$D:$D,'Modelling New'!AE:AE),"")</f>
        <v>0.98040000000000005</v>
      </c>
      <c r="AH92" s="167">
        <f>IFERROR(_xlfn.XLOOKUP($D92,'Modelling New'!$D:$D,'Modelling New'!AF:AF),"")</f>
        <v>0.98</v>
      </c>
      <c r="AN92" s="144"/>
      <c r="AO92" s="141"/>
      <c r="AP92" s="141"/>
      <c r="AQ92" s="141"/>
      <c r="AR92" s="133">
        <f>'Basic Data'!$B$98/1000</f>
        <v>8.0208999999999993</v>
      </c>
    </row>
    <row r="93" spans="1:44" x14ac:dyDescent="0.3">
      <c r="A93" s="132">
        <f t="shared" si="7"/>
        <v>45836</v>
      </c>
      <c r="B93" s="133">
        <f>YEAR(Table13[[#This Row],[Date]])+IF(MONTH(Table13[[#This Row],[Date]])&gt;=4,1,0)</f>
        <v>2026</v>
      </c>
      <c r="C93" s="134">
        <f>YEAR(Table13[[#This Row],[Date]])</f>
        <v>2025</v>
      </c>
      <c r="D93" s="135">
        <f>Table13[[#This Row],[Date]]-DAY(Table13[[#This Row],[Date]])+1</f>
        <v>45809</v>
      </c>
      <c r="E93" s="134">
        <f t="shared" si="4"/>
        <v>30</v>
      </c>
      <c r="F93" s="136">
        <f>IFERROR(_xlfn.XLOOKUP($A93,'Raw Data'!$G:$G,'Raw Data'!$AM:$AM),"")</f>
        <v>12.85</v>
      </c>
      <c r="G93" s="137">
        <f>IFERROR(_xlfn.XLOOKUP($A93,'Raw Data'!$G:$G,'Raw Data'!$AB:$AB),"")</f>
        <v>0</v>
      </c>
      <c r="H93" s="137"/>
      <c r="I93" s="137">
        <f>IFERROR(_xlfn.XLOOKUP($A93,'Raw Data'!$G:$G,'Raw Data'!$AC:$AC),"")</f>
        <v>5.24</v>
      </c>
      <c r="J93" s="137"/>
      <c r="K93" s="137">
        <f>IFERROR(_xlfn.XLOOKUP($A93,'Raw Data'!$G:$G,'Raw Data'!AD:AD),"")</f>
        <v>0</v>
      </c>
      <c r="L93" s="137">
        <f>IFERROR(_xlfn.XLOOKUP($A93,'Raw Data'!$G:$G,'Raw Data'!AE:AE),"")</f>
        <v>36.97</v>
      </c>
      <c r="M93" s="137">
        <f>IFERROR(_xlfn.XLOOKUP($A93,'Raw Data'!$G:$G,'Raw Data'!AF:AF),"")</f>
        <v>0</v>
      </c>
      <c r="N93" s="137">
        <f>IFERROR(_xlfn.XLOOKUP($A93,'Raw Data'!$G:$G,'Raw Data'!AG:AG),"")</f>
        <v>0</v>
      </c>
      <c r="O93" s="138">
        <f>IFERROR(1-SUMIF('Plant BD'!$H:$H,$A93,'Plant BD'!$AE:$AE)/($AA93+SUMIF('Plant BD'!$H:$H,$A93,'Plant BD'!$AE:$AE)),"")</f>
        <v>1</v>
      </c>
      <c r="P93" s="138"/>
      <c r="Q93" s="139"/>
      <c r="R93" s="138">
        <f>IFERROR(1-SUMIF('Grid BD'!$H:$H,$A93,'Grid BD'!$AD:$AD)/($AA93+SUMIF('Grid BD'!$H:$H,$A93,'Grid BD'!$AD:$AD)),"")</f>
        <v>0.9859205282521244</v>
      </c>
      <c r="T93" s="139"/>
      <c r="U93" s="140">
        <f t="shared" si="5"/>
        <v>0.80181746561161804</v>
      </c>
      <c r="V93" s="140"/>
      <c r="W93" s="141">
        <f t="shared" si="6"/>
        <v>0.17506347999186991</v>
      </c>
      <c r="X93" s="133">
        <f>IFERROR(_xlfn.XLOOKUP($A93,'Raw Data'!$G:$G,'Raw Data'!AI:AI),"")</f>
        <v>34105.700000000004</v>
      </c>
      <c r="Y93" s="133">
        <f>IFERROR(_xlfn.XLOOKUP($A93,'Raw Data'!$G:$G,'Raw Data'!AJ:AJ),"")</f>
        <v>33800.00000000291</v>
      </c>
      <c r="Z93" s="133">
        <f>IFERROR(_xlfn.XLOOKUP($A93,'Raw Data'!$G:$G,'Raw Data'!AK:AK),"")</f>
        <v>99.999999999965894</v>
      </c>
      <c r="AA93" s="133">
        <f>IFERROR(_xlfn.XLOOKUP($A93,'Raw Data'!$G:$G,'Raw Data'!AL:AL),"")</f>
        <v>33700.000000002947</v>
      </c>
      <c r="AB93" s="133">
        <f>IFERROR(_xlfn.XLOOKUP($A93,'Raw Data'!$G:$G,'Raw Data'!H:H),"")</f>
        <v>8.0208999999999993</v>
      </c>
      <c r="AC93" s="142">
        <f>IFERROR(_xlfn.XLOOKUP($D93,'Modelling New'!$D:$D,'Modelling New'!P:P),"")</f>
        <v>4.7600000000000007</v>
      </c>
      <c r="AD93" s="133">
        <f>IFERROR(_xlfn.XLOOKUP($D93,'Modelling New'!$D:$D,'Modelling New'!$T:$T)*1000,"")</f>
        <v>25919.748311299463</v>
      </c>
      <c r="AE93" s="143">
        <f>IFERROR(_xlfn.XLOOKUP($D93,'Modelling New'!$D:$D,'Modelling New'!O:O),"")</f>
        <v>0.67889205394445518</v>
      </c>
      <c r="AF93" s="145">
        <f>IFERROR(_xlfn.XLOOKUP($D93,'Modelling New'!$D:$D,'Modelling New'!W:W),"")</f>
        <v>0.13464692403231696</v>
      </c>
      <c r="AG93" s="145">
        <f>IFERROR(_xlfn.XLOOKUP($D93,'Modelling New'!$D:$D,'Modelling New'!AE:AE),"")</f>
        <v>0.98040000000000005</v>
      </c>
      <c r="AH93" s="167">
        <f>IFERROR(_xlfn.XLOOKUP($D93,'Modelling New'!$D:$D,'Modelling New'!AF:AF),"")</f>
        <v>0.98</v>
      </c>
      <c r="AN93" s="144"/>
      <c r="AO93" s="141"/>
      <c r="AP93" s="141"/>
      <c r="AQ93" s="141"/>
      <c r="AR93" s="133">
        <f>'Basic Data'!$B$98/1000</f>
        <v>8.0208999999999993</v>
      </c>
    </row>
    <row r="94" spans="1:44" x14ac:dyDescent="0.3">
      <c r="A94" s="132">
        <f t="shared" si="7"/>
        <v>45837</v>
      </c>
      <c r="B94" s="133">
        <f>YEAR(Table13[[#This Row],[Date]])+IF(MONTH(Table13[[#This Row],[Date]])&gt;=4,1,0)</f>
        <v>2026</v>
      </c>
      <c r="C94" s="134">
        <f>YEAR(Table13[[#This Row],[Date]])</f>
        <v>2025</v>
      </c>
      <c r="D94" s="135">
        <f>Table13[[#This Row],[Date]]-DAY(Table13[[#This Row],[Date]])+1</f>
        <v>45809</v>
      </c>
      <c r="E94" s="134">
        <f t="shared" si="4"/>
        <v>30</v>
      </c>
      <c r="F94" s="136">
        <f>IFERROR(_xlfn.XLOOKUP($A94,'Raw Data'!$G:$G,'Raw Data'!$AM:$AM),"")</f>
        <v>12.733333333333334</v>
      </c>
      <c r="G94" s="137">
        <f>IFERROR(_xlfn.XLOOKUP($A94,'Raw Data'!$G:$G,'Raw Data'!$AB:$AB),"")</f>
        <v>0</v>
      </c>
      <c r="H94" s="137"/>
      <c r="I94" s="137">
        <f>IFERROR(_xlfn.XLOOKUP($A94,'Raw Data'!$G:$G,'Raw Data'!$AC:$AC),"")</f>
        <v>3.64</v>
      </c>
      <c r="J94" s="137"/>
      <c r="K94" s="137">
        <f>IFERROR(_xlfn.XLOOKUP($A94,'Raw Data'!$G:$G,'Raw Data'!AD:AD),"")</f>
        <v>0</v>
      </c>
      <c r="L94" s="137">
        <f>IFERROR(_xlfn.XLOOKUP($A94,'Raw Data'!$G:$G,'Raw Data'!AE:AE),"")</f>
        <v>33.06</v>
      </c>
      <c r="M94" s="137">
        <f>IFERROR(_xlfn.XLOOKUP($A94,'Raw Data'!$G:$G,'Raw Data'!AF:AF),"")</f>
        <v>0</v>
      </c>
      <c r="N94" s="137">
        <f>IFERROR(_xlfn.XLOOKUP($A94,'Raw Data'!$G:$G,'Raw Data'!AG:AG),"")</f>
        <v>0</v>
      </c>
      <c r="O94" s="138">
        <f>IFERROR(1-SUMIF('Plant BD'!$H:$H,$A94,'Plant BD'!$AE:$AE)/($AA94+SUMIF('Plant BD'!$H:$H,$A94,'Plant BD'!$AE:$AE)),"")</f>
        <v>1</v>
      </c>
      <c r="P94" s="138"/>
      <c r="Q94" s="139"/>
      <c r="R94" s="138">
        <f>IFERROR(1-SUMIF('Grid BD'!$H:$H,$A94,'Grid BD'!$AD:$AD)/($AA94+SUMIF('Grid BD'!$H:$H,$A94,'Grid BD'!$AD:$AD)),"")</f>
        <v>1</v>
      </c>
      <c r="T94" s="139"/>
      <c r="U94" s="140">
        <f t="shared" si="5"/>
        <v>0.82202827530678435</v>
      </c>
      <c r="V94" s="140"/>
      <c r="W94" s="141">
        <f t="shared" si="6"/>
        <v>0.12467428842152896</v>
      </c>
      <c r="X94" s="133">
        <f>IFERROR(_xlfn.XLOOKUP($A94,'Raw Data'!$G:$G,'Raw Data'!AI:AI),"")</f>
        <v>24311.800000000003</v>
      </c>
      <c r="Y94" s="133">
        <f>IFERROR(_xlfn.XLOOKUP($A94,'Raw Data'!$G:$G,'Raw Data'!AJ:AJ),"")</f>
        <v>24100.000000005821</v>
      </c>
      <c r="Z94" s="133">
        <f>IFERROR(_xlfn.XLOOKUP($A94,'Raw Data'!$G:$G,'Raw Data'!AK:AK),"")</f>
        <v>100.00000000002274</v>
      </c>
      <c r="AA94" s="133">
        <f>IFERROR(_xlfn.XLOOKUP($A94,'Raw Data'!$G:$G,'Raw Data'!AL:AL),"")</f>
        <v>24000.000000005799</v>
      </c>
      <c r="AB94" s="133">
        <f>IFERROR(_xlfn.XLOOKUP($A94,'Raw Data'!$G:$G,'Raw Data'!H:H),"")</f>
        <v>8.0208999999999993</v>
      </c>
      <c r="AC94" s="142">
        <f>IFERROR(_xlfn.XLOOKUP($D94,'Modelling New'!$D:$D,'Modelling New'!P:P),"")</f>
        <v>4.7600000000000007</v>
      </c>
      <c r="AD94" s="133">
        <f>IFERROR(_xlfn.XLOOKUP($D94,'Modelling New'!$D:$D,'Modelling New'!$T:$T)*1000,"")</f>
        <v>25919.748311299463</v>
      </c>
      <c r="AE94" s="143">
        <f>IFERROR(_xlfn.XLOOKUP($D94,'Modelling New'!$D:$D,'Modelling New'!O:O),"")</f>
        <v>0.67889205394445518</v>
      </c>
      <c r="AF94" s="145">
        <f>IFERROR(_xlfn.XLOOKUP($D94,'Modelling New'!$D:$D,'Modelling New'!W:W),"")</f>
        <v>0.13464692403231696</v>
      </c>
      <c r="AG94" s="145">
        <f>IFERROR(_xlfn.XLOOKUP($D94,'Modelling New'!$D:$D,'Modelling New'!AE:AE),"")</f>
        <v>0.98040000000000005</v>
      </c>
      <c r="AH94" s="167">
        <f>IFERROR(_xlfn.XLOOKUP($D94,'Modelling New'!$D:$D,'Modelling New'!AF:AF),"")</f>
        <v>0.98</v>
      </c>
      <c r="AN94" s="144"/>
      <c r="AO94" s="141"/>
      <c r="AP94" s="141"/>
      <c r="AQ94" s="141"/>
      <c r="AR94" s="133">
        <f>'Basic Data'!$B$98/1000</f>
        <v>8.0208999999999993</v>
      </c>
    </row>
    <row r="95" spans="1:44" x14ac:dyDescent="0.3">
      <c r="A95" s="132">
        <f t="shared" si="7"/>
        <v>45838</v>
      </c>
      <c r="B95" s="133">
        <f>YEAR(Table13[[#This Row],[Date]])+IF(MONTH(Table13[[#This Row],[Date]])&gt;=4,1,0)</f>
        <v>2026</v>
      </c>
      <c r="C95" s="134">
        <f>YEAR(Table13[[#This Row],[Date]])</f>
        <v>2025</v>
      </c>
      <c r="D95" s="135">
        <f>Table13[[#This Row],[Date]]-DAY(Table13[[#This Row],[Date]])+1</f>
        <v>45809</v>
      </c>
      <c r="E95" s="134">
        <f t="shared" si="4"/>
        <v>30</v>
      </c>
      <c r="F95" s="136">
        <f>IFERROR(_xlfn.XLOOKUP($A95,'Raw Data'!$G:$G,'Raw Data'!$AM:$AM),"")</f>
        <v>12.5</v>
      </c>
      <c r="G95" s="137">
        <f>IFERROR(_xlfn.XLOOKUP($A95,'Raw Data'!$G:$G,'Raw Data'!$AB:$AB),"")</f>
        <v>0</v>
      </c>
      <c r="H95" s="137"/>
      <c r="I95" s="137">
        <f>IFERROR(_xlfn.XLOOKUP($A95,'Raw Data'!$G:$G,'Raw Data'!$AC:$AC),"")</f>
        <v>3.25</v>
      </c>
      <c r="J95" s="137"/>
      <c r="K95" s="137">
        <f>IFERROR(_xlfn.XLOOKUP($A95,'Raw Data'!$G:$G,'Raw Data'!AD:AD),"")</f>
        <v>0</v>
      </c>
      <c r="L95" s="137">
        <f>IFERROR(_xlfn.XLOOKUP($A95,'Raw Data'!$G:$G,'Raw Data'!AE:AE),"")</f>
        <v>32.46</v>
      </c>
      <c r="M95" s="137">
        <f>IFERROR(_xlfn.XLOOKUP($A95,'Raw Data'!$G:$G,'Raw Data'!AF:AF),"")</f>
        <v>0</v>
      </c>
      <c r="N95" s="137">
        <f>IFERROR(_xlfn.XLOOKUP($A95,'Raw Data'!$G:$G,'Raw Data'!AG:AG),"")</f>
        <v>0</v>
      </c>
      <c r="O95" s="138">
        <f>IFERROR(1-SUMIF('Plant BD'!$H:$H,$A95,'Plant BD'!$AE:$AE)/($AA95+SUMIF('Plant BD'!$H:$H,$A95,'Plant BD'!$AE:$AE)),"")</f>
        <v>1</v>
      </c>
      <c r="P95" s="138"/>
      <c r="Q95" s="139"/>
      <c r="R95" s="138">
        <f>IFERROR(1-SUMIF('Grid BD'!$H:$H,$A95,'Grid BD'!$AD:$AD)/($AA95+SUMIF('Grid BD'!$H:$H,$A95,'Grid BD'!$AD:$AD)),"")</f>
        <v>1</v>
      </c>
      <c r="T95" s="139"/>
      <c r="U95" s="140">
        <f t="shared" si="5"/>
        <v>0.85162129321717761</v>
      </c>
      <c r="V95" s="140"/>
      <c r="W95" s="141">
        <f t="shared" si="6"/>
        <v>0.11532371678982611</v>
      </c>
      <c r="X95" s="133">
        <f>IFERROR(_xlfn.XLOOKUP($A95,'Raw Data'!$G:$G,'Raw Data'!AI:AI),"")</f>
        <v>22528.899999999998</v>
      </c>
      <c r="Y95" s="133">
        <f>IFERROR(_xlfn.XLOOKUP($A95,'Raw Data'!$G:$G,'Raw Data'!AJ:AJ),"")</f>
        <v>22299.999999988358</v>
      </c>
      <c r="Z95" s="133">
        <f>IFERROR(_xlfn.XLOOKUP($A95,'Raw Data'!$G:$G,'Raw Data'!AK:AK),"")</f>
        <v>99.999999999965894</v>
      </c>
      <c r="AA95" s="133">
        <f>IFERROR(_xlfn.XLOOKUP($A95,'Raw Data'!$G:$G,'Raw Data'!AL:AL),"")</f>
        <v>22199.999999988391</v>
      </c>
      <c r="AB95" s="133">
        <f>IFERROR(_xlfn.XLOOKUP($A95,'Raw Data'!$G:$G,'Raw Data'!H:H),"")</f>
        <v>8.0208999999999993</v>
      </c>
      <c r="AC95" s="142">
        <f>IFERROR(_xlfn.XLOOKUP($D95,'Modelling New'!$D:$D,'Modelling New'!P:P),"")</f>
        <v>4.7600000000000007</v>
      </c>
      <c r="AD95" s="133">
        <f>IFERROR(_xlfn.XLOOKUP($D95,'Modelling New'!$D:$D,'Modelling New'!$T:$T)*1000,"")</f>
        <v>25919.748311299463</v>
      </c>
      <c r="AE95" s="143">
        <f>IFERROR(_xlfn.XLOOKUP($D95,'Modelling New'!$D:$D,'Modelling New'!O:O),"")</f>
        <v>0.67889205394445518</v>
      </c>
      <c r="AF95" s="145">
        <f>IFERROR(_xlfn.XLOOKUP($D95,'Modelling New'!$D:$D,'Modelling New'!W:W),"")</f>
        <v>0.13464692403231696</v>
      </c>
      <c r="AG95" s="145">
        <f>IFERROR(_xlfn.XLOOKUP($D95,'Modelling New'!$D:$D,'Modelling New'!AE:AE),"")</f>
        <v>0.98040000000000005</v>
      </c>
      <c r="AH95" s="167">
        <f>IFERROR(_xlfn.XLOOKUP($D95,'Modelling New'!$D:$D,'Modelling New'!AF:AF),"")</f>
        <v>0.98</v>
      </c>
      <c r="AN95" s="144"/>
      <c r="AO95" s="141"/>
      <c r="AP95" s="141"/>
      <c r="AQ95" s="141"/>
      <c r="AR95" s="133">
        <f>'Basic Data'!$B$98/1000</f>
        <v>8.0208999999999993</v>
      </c>
    </row>
    <row r="96" spans="1:44" x14ac:dyDescent="0.3">
      <c r="A96" s="132">
        <f t="shared" si="7"/>
        <v>45839</v>
      </c>
      <c r="B96" s="133">
        <f>YEAR(Table13[[#This Row],[Date]])+IF(MONTH(Table13[[#This Row],[Date]])&gt;=4,1,0)</f>
        <v>2026</v>
      </c>
      <c r="C96" s="134">
        <f>YEAR(Table13[[#This Row],[Date]])</f>
        <v>2025</v>
      </c>
      <c r="D96" s="135">
        <f>Table13[[#This Row],[Date]]-DAY(Table13[[#This Row],[Date]])+1</f>
        <v>45839</v>
      </c>
      <c r="E96" s="134">
        <f t="shared" si="4"/>
        <v>31</v>
      </c>
      <c r="F96" s="136">
        <f>IFERROR(_xlfn.XLOOKUP($A96,'Raw Data'!$G:$G,'Raw Data'!$AM:$AM),"")</f>
        <v>11.633333333333335</v>
      </c>
      <c r="G96" s="137">
        <f>IFERROR(_xlfn.XLOOKUP($A96,'Raw Data'!$G:$G,'Raw Data'!$AB:$AB),"")</f>
        <v>0</v>
      </c>
      <c r="H96" s="137"/>
      <c r="I96" s="137">
        <f>IFERROR(_xlfn.XLOOKUP($A96,'Raw Data'!$G:$G,'Raw Data'!$AC:$AC),"")</f>
        <v>2.5299999999999998</v>
      </c>
      <c r="J96" s="137"/>
      <c r="K96" s="137">
        <f>IFERROR(_xlfn.XLOOKUP($A96,'Raw Data'!$G:$G,'Raw Data'!AD:AD),"")</f>
        <v>0</v>
      </c>
      <c r="L96" s="137">
        <f>IFERROR(_xlfn.XLOOKUP($A96,'Raw Data'!$G:$G,'Raw Data'!AE:AE),"")</f>
        <v>29.75</v>
      </c>
      <c r="M96" s="137">
        <f>IFERROR(_xlfn.XLOOKUP($A96,'Raw Data'!$G:$G,'Raw Data'!AF:AF),"")</f>
        <v>0</v>
      </c>
      <c r="N96" s="137">
        <f>IFERROR(_xlfn.XLOOKUP($A96,'Raw Data'!$G:$G,'Raw Data'!AG:AG),"")</f>
        <v>0</v>
      </c>
      <c r="O96" s="138">
        <f>IFERROR(1-SUMIF('Plant BD'!$H:$H,$A96,'Plant BD'!$AE:$AE)/($AA96+SUMIF('Plant BD'!$H:$H,$A96,'Plant BD'!$AE:$AE)),"")</f>
        <v>1</v>
      </c>
      <c r="P96" s="138"/>
      <c r="Q96" s="139"/>
      <c r="R96" s="138">
        <f>IFERROR(1-SUMIF('Grid BD'!$H:$H,$A96,'Grid BD'!$AD:$AD)/($AA96+SUMIF('Grid BD'!$H:$H,$A96,'Grid BD'!$AD:$AD)),"")</f>
        <v>1</v>
      </c>
      <c r="T96" s="139"/>
      <c r="U96" s="140">
        <f t="shared" si="5"/>
        <v>0.86237156022804473</v>
      </c>
      <c r="V96" s="140"/>
      <c r="W96" s="141">
        <f t="shared" si="6"/>
        <v>9.0908335307373023E-2</v>
      </c>
      <c r="X96" s="133">
        <f>IFERROR(_xlfn.XLOOKUP($A96,'Raw Data'!$G:$G,'Raw Data'!AI:AI),"")</f>
        <v>17757.7</v>
      </c>
      <c r="Y96" s="133">
        <f>IFERROR(_xlfn.XLOOKUP($A96,'Raw Data'!$G:$G,'Raw Data'!AJ:AJ),"")</f>
        <v>17600.000000005821</v>
      </c>
      <c r="Z96" s="133">
        <f>IFERROR(_xlfn.XLOOKUP($A96,'Raw Data'!$G:$G,'Raw Data'!AK:AK),"")</f>
        <v>100.00000000002274</v>
      </c>
      <c r="AA96" s="133">
        <f>IFERROR(_xlfn.XLOOKUP($A96,'Raw Data'!$G:$G,'Raw Data'!AL:AL),"")</f>
        <v>17500.000000005799</v>
      </c>
      <c r="AB96" s="133">
        <f>IFERROR(_xlfn.XLOOKUP($A96,'Raw Data'!$G:$G,'Raw Data'!H:H),"")</f>
        <v>8.0208999999999993</v>
      </c>
      <c r="AC96" s="142">
        <f>IFERROR(_xlfn.XLOOKUP($D96,'Modelling New'!$D:$D,'Modelling New'!P:P),"")</f>
        <v>4.0451612903225804</v>
      </c>
      <c r="AD96" s="133">
        <f>IFERROR(_xlfn.XLOOKUP($D96,'Modelling New'!$D:$D,'Modelling New'!$T:$T)*1000,"")</f>
        <v>22929.949138521675</v>
      </c>
      <c r="AE96" s="143">
        <f>IFERROR(_xlfn.XLOOKUP($D96,'Modelling New'!$D:$D,'Modelling New'!O:O),"")</f>
        <v>0.70671473575739119</v>
      </c>
      <c r="AF96" s="145">
        <f>IFERROR(_xlfn.XLOOKUP($D96,'Modelling New'!$D:$D,'Modelling New'!W:W),"")</f>
        <v>0.11911562884943125</v>
      </c>
      <c r="AG96" s="145">
        <f>IFERROR(_xlfn.XLOOKUP($D96,'Modelling New'!$D:$D,'Modelling New'!AE:AE),"")</f>
        <v>0.98040000000000005</v>
      </c>
      <c r="AH96" s="167">
        <f>IFERROR(_xlfn.XLOOKUP($D96,'Modelling New'!$D:$D,'Modelling New'!AF:AF),"")</f>
        <v>0.98</v>
      </c>
      <c r="AN96" s="144"/>
      <c r="AO96" s="141"/>
      <c r="AP96" s="141"/>
      <c r="AQ96" s="141"/>
      <c r="AR96" s="133">
        <f>'Basic Data'!$B$98/1000</f>
        <v>8.0208999999999993</v>
      </c>
    </row>
    <row r="97" spans="1:44" x14ac:dyDescent="0.3">
      <c r="A97" s="132">
        <f t="shared" si="7"/>
        <v>45840</v>
      </c>
      <c r="B97" s="133">
        <f>YEAR(Table13[[#This Row],[Date]])+IF(MONTH(Table13[[#This Row],[Date]])&gt;=4,1,0)</f>
        <v>2026</v>
      </c>
      <c r="C97" s="134">
        <f>YEAR(Table13[[#This Row],[Date]])</f>
        <v>2025</v>
      </c>
      <c r="D97" s="135">
        <f>Table13[[#This Row],[Date]]-DAY(Table13[[#This Row],[Date]])+1</f>
        <v>45839</v>
      </c>
      <c r="E97" s="134">
        <f t="shared" si="4"/>
        <v>31</v>
      </c>
      <c r="F97" s="136">
        <f>IFERROR(_xlfn.XLOOKUP($A97,'Raw Data'!$G:$G,'Raw Data'!$AM:$AM),"")</f>
        <v>12.416666666666668</v>
      </c>
      <c r="G97" s="137">
        <f>IFERROR(_xlfn.XLOOKUP($A97,'Raw Data'!$G:$G,'Raw Data'!$AB:$AB),"")</f>
        <v>0</v>
      </c>
      <c r="H97" s="137"/>
      <c r="I97" s="137">
        <f>IFERROR(_xlfn.XLOOKUP($A97,'Raw Data'!$G:$G,'Raw Data'!$AC:$AC),"")</f>
        <v>1.5</v>
      </c>
      <c r="J97" s="137"/>
      <c r="K97" s="137">
        <f>IFERROR(_xlfn.XLOOKUP($A97,'Raw Data'!$G:$G,'Raw Data'!AD:AD),"")</f>
        <v>0</v>
      </c>
      <c r="L97" s="137">
        <f>IFERROR(_xlfn.XLOOKUP($A97,'Raw Data'!$G:$G,'Raw Data'!AE:AE),"")</f>
        <v>27.01</v>
      </c>
      <c r="M97" s="137">
        <f>IFERROR(_xlfn.XLOOKUP($A97,'Raw Data'!$G:$G,'Raw Data'!AF:AF),"")</f>
        <v>0</v>
      </c>
      <c r="N97" s="137">
        <f>IFERROR(_xlfn.XLOOKUP($A97,'Raw Data'!$G:$G,'Raw Data'!AG:AG),"")</f>
        <v>0</v>
      </c>
      <c r="O97" s="138">
        <f>IFERROR(1-SUMIF('Plant BD'!$H:$H,$A97,'Plant BD'!$AE:$AE)/($AA97+SUMIF('Plant BD'!$H:$H,$A97,'Plant BD'!$AE:$AE)),"")</f>
        <v>1</v>
      </c>
      <c r="P97" s="138"/>
      <c r="Q97" s="139"/>
      <c r="R97" s="138">
        <f>IFERROR(1-SUMIF('Grid BD'!$H:$H,$A97,'Grid BD'!$AD:$AD)/($AA97+SUMIF('Grid BD'!$H:$H,$A97,'Grid BD'!$AD:$AD)),"")</f>
        <v>1</v>
      </c>
      <c r="T97" s="139"/>
      <c r="U97" s="140">
        <f t="shared" si="5"/>
        <v>0.88518744779264003</v>
      </c>
      <c r="V97" s="140"/>
      <c r="W97" s="141">
        <f t="shared" si="6"/>
        <v>5.5324215487039995E-2</v>
      </c>
      <c r="X97" s="133">
        <f>IFERROR(_xlfn.XLOOKUP($A97,'Raw Data'!$G:$G,'Raw Data'!AI:AI),"")</f>
        <v>10880.5</v>
      </c>
      <c r="Y97" s="133">
        <f>IFERROR(_xlfn.XLOOKUP($A97,'Raw Data'!$G:$G,'Raw Data'!AJ:AJ),"")</f>
        <v>10750</v>
      </c>
      <c r="Z97" s="133">
        <f>IFERROR(_xlfn.XLOOKUP($A97,'Raw Data'!$G:$G,'Raw Data'!AK:AK),"")</f>
        <v>100.00000000002274</v>
      </c>
      <c r="AA97" s="133">
        <f>IFERROR(_xlfn.XLOOKUP($A97,'Raw Data'!$G:$G,'Raw Data'!AL:AL),"")</f>
        <v>10649.999999999978</v>
      </c>
      <c r="AB97" s="133">
        <f>IFERROR(_xlfn.XLOOKUP($A97,'Raw Data'!$G:$G,'Raw Data'!H:H),"")</f>
        <v>8.0208999999999993</v>
      </c>
      <c r="AC97" s="142">
        <f>IFERROR(_xlfn.XLOOKUP($D97,'Modelling New'!$D:$D,'Modelling New'!P:P),"")</f>
        <v>4.0451612903225804</v>
      </c>
      <c r="AD97" s="133">
        <f>IFERROR(_xlfn.XLOOKUP($D97,'Modelling New'!$D:$D,'Modelling New'!$T:$T)*1000,"")</f>
        <v>22929.949138521675</v>
      </c>
      <c r="AE97" s="143">
        <f>IFERROR(_xlfn.XLOOKUP($D97,'Modelling New'!$D:$D,'Modelling New'!O:O),"")</f>
        <v>0.70671473575739119</v>
      </c>
      <c r="AF97" s="145">
        <f>IFERROR(_xlfn.XLOOKUP($D97,'Modelling New'!$D:$D,'Modelling New'!W:W),"")</f>
        <v>0.11911562884943125</v>
      </c>
      <c r="AG97" s="145">
        <f>IFERROR(_xlfn.XLOOKUP($D97,'Modelling New'!$D:$D,'Modelling New'!AE:AE),"")</f>
        <v>0.98040000000000005</v>
      </c>
      <c r="AH97" s="167">
        <f>IFERROR(_xlfn.XLOOKUP($D97,'Modelling New'!$D:$D,'Modelling New'!AF:AF),"")</f>
        <v>0.98</v>
      </c>
      <c r="AN97" s="144"/>
      <c r="AO97" s="141"/>
      <c r="AP97" s="141"/>
      <c r="AQ97" s="141"/>
      <c r="AR97" s="133">
        <f>'Basic Data'!$B$98/1000</f>
        <v>8.0208999999999993</v>
      </c>
    </row>
    <row r="98" spans="1:44" x14ac:dyDescent="0.3">
      <c r="A98" s="132">
        <f t="shared" si="7"/>
        <v>45841</v>
      </c>
      <c r="B98" s="133">
        <f>YEAR(Table13[[#This Row],[Date]])+IF(MONTH(Table13[[#This Row],[Date]])&gt;=4,1,0)</f>
        <v>2026</v>
      </c>
      <c r="C98" s="134">
        <f>YEAR(Table13[[#This Row],[Date]])</f>
        <v>2025</v>
      </c>
      <c r="D98" s="135">
        <f>Table13[[#This Row],[Date]]-DAY(Table13[[#This Row],[Date]])+1</f>
        <v>45839</v>
      </c>
      <c r="E98" s="134">
        <f t="shared" si="4"/>
        <v>31</v>
      </c>
      <c r="F98" s="136">
        <f>IFERROR(_xlfn.XLOOKUP($A98,'Raw Data'!$G:$G,'Raw Data'!$AM:$AM),"")</f>
        <v>12.133333333333333</v>
      </c>
      <c r="G98" s="137">
        <f>IFERROR(_xlfn.XLOOKUP($A98,'Raw Data'!$G:$G,'Raw Data'!$AB:$AB),"")</f>
        <v>0</v>
      </c>
      <c r="H98" s="137"/>
      <c r="I98" s="137">
        <f>IFERROR(_xlfn.XLOOKUP($A98,'Raw Data'!$G:$G,'Raw Data'!$AC:$AC),"")</f>
        <v>2.68</v>
      </c>
      <c r="J98" s="137"/>
      <c r="K98" s="137">
        <f>IFERROR(_xlfn.XLOOKUP($A98,'Raw Data'!$G:$G,'Raw Data'!AD:AD),"")</f>
        <v>0</v>
      </c>
      <c r="L98" s="137">
        <f>IFERROR(_xlfn.XLOOKUP($A98,'Raw Data'!$G:$G,'Raw Data'!AE:AE),"")</f>
        <v>31.01</v>
      </c>
      <c r="M98" s="137">
        <f>IFERROR(_xlfn.XLOOKUP($A98,'Raw Data'!$G:$G,'Raw Data'!AF:AF),"")</f>
        <v>0</v>
      </c>
      <c r="N98" s="137">
        <f>IFERROR(_xlfn.XLOOKUP($A98,'Raw Data'!$G:$G,'Raw Data'!AG:AG),"")</f>
        <v>0</v>
      </c>
      <c r="O98" s="138">
        <f>IFERROR(1-SUMIF('Plant BD'!$H:$H,$A98,'Plant BD'!$AE:$AE)/($AA98+SUMIF('Plant BD'!$H:$H,$A98,'Plant BD'!$AE:$AE)),"")</f>
        <v>1</v>
      </c>
      <c r="P98" s="138"/>
      <c r="Q98" s="139"/>
      <c r="R98" s="138">
        <f>IFERROR(1-SUMIF('Grid BD'!$H:$H,$A98,'Grid BD'!$AD:$AD)/($AA98+SUMIF('Grid BD'!$H:$H,$A98,'Grid BD'!$AD:$AD)),"")</f>
        <v>0.97367500063178636</v>
      </c>
      <c r="T98" s="139"/>
      <c r="U98" s="140">
        <f t="shared" si="5"/>
        <v>0.82806057235147679</v>
      </c>
      <c r="V98" s="140"/>
      <c r="W98" s="141">
        <f t="shared" si="6"/>
        <v>9.2466763912581559E-2</v>
      </c>
      <c r="X98" s="133">
        <f>IFERROR(_xlfn.XLOOKUP($A98,'Raw Data'!$G:$G,'Raw Data'!AI:AI),"")</f>
        <v>18071.099999999999</v>
      </c>
      <c r="Y98" s="133">
        <f>IFERROR(_xlfn.XLOOKUP($A98,'Raw Data'!$G:$G,'Raw Data'!AJ:AJ),"")</f>
        <v>17899.999999994179</v>
      </c>
      <c r="Z98" s="133">
        <f>IFERROR(_xlfn.XLOOKUP($A98,'Raw Data'!$G:$G,'Raw Data'!AK:AK),"")</f>
        <v>99.999999999965894</v>
      </c>
      <c r="AA98" s="133">
        <f>IFERROR(_xlfn.XLOOKUP($A98,'Raw Data'!$G:$G,'Raw Data'!AL:AL),"")</f>
        <v>17799.999999994212</v>
      </c>
      <c r="AB98" s="133">
        <f>IFERROR(_xlfn.XLOOKUP($A98,'Raw Data'!$G:$G,'Raw Data'!H:H),"")</f>
        <v>8.0208999999999993</v>
      </c>
      <c r="AC98" s="142">
        <f>IFERROR(_xlfn.XLOOKUP($D98,'Modelling New'!$D:$D,'Modelling New'!P:P),"")</f>
        <v>4.0451612903225804</v>
      </c>
      <c r="AD98" s="133">
        <f>IFERROR(_xlfn.XLOOKUP($D98,'Modelling New'!$D:$D,'Modelling New'!$T:$T)*1000,"")</f>
        <v>22929.949138521675</v>
      </c>
      <c r="AE98" s="143">
        <f>IFERROR(_xlfn.XLOOKUP($D98,'Modelling New'!$D:$D,'Modelling New'!O:O),"")</f>
        <v>0.70671473575739119</v>
      </c>
      <c r="AF98" s="145">
        <f>IFERROR(_xlfn.XLOOKUP($D98,'Modelling New'!$D:$D,'Modelling New'!W:W),"")</f>
        <v>0.11911562884943125</v>
      </c>
      <c r="AG98" s="145">
        <f>IFERROR(_xlfn.XLOOKUP($D98,'Modelling New'!$D:$D,'Modelling New'!AE:AE),"")</f>
        <v>0.98040000000000005</v>
      </c>
      <c r="AH98" s="167">
        <f>IFERROR(_xlfn.XLOOKUP($D98,'Modelling New'!$D:$D,'Modelling New'!AF:AF),"")</f>
        <v>0.98</v>
      </c>
      <c r="AN98" s="144"/>
      <c r="AO98" s="141"/>
      <c r="AP98" s="141"/>
      <c r="AQ98" s="141"/>
      <c r="AR98" s="133">
        <f>'Basic Data'!$B$98/1000</f>
        <v>8.0208999999999993</v>
      </c>
    </row>
    <row r="99" spans="1:44" x14ac:dyDescent="0.3">
      <c r="A99" s="132">
        <f t="shared" si="7"/>
        <v>45842</v>
      </c>
      <c r="B99" s="133">
        <f>YEAR(Table13[[#This Row],[Date]])+IF(MONTH(Table13[[#This Row],[Date]])&gt;=4,1,0)</f>
        <v>2026</v>
      </c>
      <c r="C99" s="134">
        <f>YEAR(Table13[[#This Row],[Date]])</f>
        <v>2025</v>
      </c>
      <c r="D99" s="135">
        <f>Table13[[#This Row],[Date]]-DAY(Table13[[#This Row],[Date]])+1</f>
        <v>45839</v>
      </c>
      <c r="E99" s="134">
        <f t="shared" si="4"/>
        <v>31</v>
      </c>
      <c r="F99" s="136">
        <f>IFERROR(_xlfn.XLOOKUP($A99,'Raw Data'!$G:$G,'Raw Data'!$AM:$AM),"")</f>
        <v>12.416666666666668</v>
      </c>
      <c r="G99" s="137">
        <f>IFERROR(_xlfn.XLOOKUP($A99,'Raw Data'!$G:$G,'Raw Data'!$AB:$AB),"")</f>
        <v>0</v>
      </c>
      <c r="H99" s="137"/>
      <c r="I99" s="137">
        <f>IFERROR(_xlfn.XLOOKUP($A99,'Raw Data'!$G:$G,'Raw Data'!$AC:$AC),"")</f>
        <v>4.76</v>
      </c>
      <c r="J99" s="137"/>
      <c r="K99" s="137">
        <f>IFERROR(_xlfn.XLOOKUP($A99,'Raw Data'!$G:$G,'Raw Data'!AD:AD),"")</f>
        <v>0</v>
      </c>
      <c r="L99" s="137">
        <f>IFERROR(_xlfn.XLOOKUP($A99,'Raw Data'!$G:$G,'Raw Data'!AE:AE),"")</f>
        <v>35.32</v>
      </c>
      <c r="M99" s="137">
        <f>IFERROR(_xlfn.XLOOKUP($A99,'Raw Data'!$G:$G,'Raw Data'!AF:AF),"")</f>
        <v>0</v>
      </c>
      <c r="N99" s="137">
        <f>IFERROR(_xlfn.XLOOKUP($A99,'Raw Data'!$G:$G,'Raw Data'!AG:AG),"")</f>
        <v>0</v>
      </c>
      <c r="O99" s="138">
        <f>IFERROR(1-SUMIF('Plant BD'!$H:$H,$A99,'Plant BD'!$AE:$AE)/($AA99+SUMIF('Plant BD'!$H:$H,$A99,'Plant BD'!$AE:$AE)),"")</f>
        <v>1</v>
      </c>
      <c r="P99" s="138"/>
      <c r="Q99" s="139"/>
      <c r="R99" s="138">
        <f>IFERROR(1-SUMIF('Grid BD'!$H:$H,$A99,'Grid BD'!$AD:$AD)/($AA99+SUMIF('Grid BD'!$H:$H,$A99,'Grid BD'!$AD:$AD)),"")</f>
        <v>1</v>
      </c>
      <c r="T99" s="139"/>
      <c r="U99" s="140">
        <f t="shared" si="5"/>
        <v>0.81064479551381297</v>
      </c>
      <c r="V99" s="140"/>
      <c r="W99" s="141">
        <f t="shared" si="6"/>
        <v>0.16077788444357288</v>
      </c>
      <c r="X99" s="133">
        <f>IFERROR(_xlfn.XLOOKUP($A99,'Raw Data'!$G:$G,'Raw Data'!AI:AI),"")</f>
        <v>31337.8</v>
      </c>
      <c r="Y99" s="133">
        <f>IFERROR(_xlfn.XLOOKUP($A99,'Raw Data'!$G:$G,'Raw Data'!AJ:AJ),"")</f>
        <v>31050.00000000291</v>
      </c>
      <c r="Z99" s="133">
        <f>IFERROR(_xlfn.XLOOKUP($A99,'Raw Data'!$G:$G,'Raw Data'!AK:AK),"")</f>
        <v>100.00000000002274</v>
      </c>
      <c r="AA99" s="133">
        <f>IFERROR(_xlfn.XLOOKUP($A99,'Raw Data'!$G:$G,'Raw Data'!AL:AL),"")</f>
        <v>30950.000000002889</v>
      </c>
      <c r="AB99" s="133">
        <f>IFERROR(_xlfn.XLOOKUP($A99,'Raw Data'!$G:$G,'Raw Data'!H:H),"")</f>
        <v>8.0208999999999993</v>
      </c>
      <c r="AC99" s="142">
        <f>IFERROR(_xlfn.XLOOKUP($D99,'Modelling New'!$D:$D,'Modelling New'!P:P),"")</f>
        <v>4.0451612903225804</v>
      </c>
      <c r="AD99" s="133">
        <f>IFERROR(_xlfn.XLOOKUP($D99,'Modelling New'!$D:$D,'Modelling New'!$T:$T)*1000,"")</f>
        <v>22929.949138521675</v>
      </c>
      <c r="AE99" s="143">
        <f>IFERROR(_xlfn.XLOOKUP($D99,'Modelling New'!$D:$D,'Modelling New'!O:O),"")</f>
        <v>0.70671473575739119</v>
      </c>
      <c r="AF99" s="145">
        <f>IFERROR(_xlfn.XLOOKUP($D99,'Modelling New'!$D:$D,'Modelling New'!W:W),"")</f>
        <v>0.11911562884943125</v>
      </c>
      <c r="AG99" s="145">
        <f>IFERROR(_xlfn.XLOOKUP($D99,'Modelling New'!$D:$D,'Modelling New'!AE:AE),"")</f>
        <v>0.98040000000000005</v>
      </c>
      <c r="AH99" s="167">
        <f>IFERROR(_xlfn.XLOOKUP($D99,'Modelling New'!$D:$D,'Modelling New'!AF:AF),"")</f>
        <v>0.98</v>
      </c>
      <c r="AN99" s="144"/>
      <c r="AO99" s="141"/>
      <c r="AP99" s="141"/>
      <c r="AQ99" s="141"/>
      <c r="AR99" s="133">
        <f>'Basic Data'!$B$98/1000</f>
        <v>8.0208999999999993</v>
      </c>
    </row>
    <row r="100" spans="1:44" x14ac:dyDescent="0.3">
      <c r="A100" s="132">
        <f t="shared" si="7"/>
        <v>45843</v>
      </c>
      <c r="B100" s="133">
        <f>YEAR(Table13[[#This Row],[Date]])+IF(MONTH(Table13[[#This Row],[Date]])&gt;=4,1,0)</f>
        <v>2026</v>
      </c>
      <c r="C100" s="134">
        <f>YEAR(Table13[[#This Row],[Date]])</f>
        <v>2025</v>
      </c>
      <c r="D100" s="135">
        <f>Table13[[#This Row],[Date]]-DAY(Table13[[#This Row],[Date]])+1</f>
        <v>45839</v>
      </c>
      <c r="E100" s="134">
        <f t="shared" si="4"/>
        <v>31</v>
      </c>
      <c r="F100" s="136">
        <f>IFERROR(_xlfn.XLOOKUP($A100,'Raw Data'!$G:$G,'Raw Data'!$AM:$AM),"")</f>
        <v>12.733333333333334</v>
      </c>
      <c r="G100" s="137">
        <f>IFERROR(_xlfn.XLOOKUP($A100,'Raw Data'!$G:$G,'Raw Data'!$AB:$AB),"")</f>
        <v>0</v>
      </c>
      <c r="H100" s="137"/>
      <c r="I100" s="137">
        <f>IFERROR(_xlfn.XLOOKUP($A100,'Raw Data'!$G:$G,'Raw Data'!$AC:$AC),"")</f>
        <v>4.5999999999999996</v>
      </c>
      <c r="J100" s="137"/>
      <c r="K100" s="137">
        <f>IFERROR(_xlfn.XLOOKUP($A100,'Raw Data'!$G:$G,'Raw Data'!AD:AD),"")</f>
        <v>0</v>
      </c>
      <c r="L100" s="137">
        <f>IFERROR(_xlfn.XLOOKUP($A100,'Raw Data'!$G:$G,'Raw Data'!AE:AE),"")</f>
        <v>33.96</v>
      </c>
      <c r="M100" s="137">
        <f>IFERROR(_xlfn.XLOOKUP($A100,'Raw Data'!$G:$G,'Raw Data'!AF:AF),"")</f>
        <v>0</v>
      </c>
      <c r="N100" s="137">
        <f>IFERROR(_xlfn.XLOOKUP($A100,'Raw Data'!$G:$G,'Raw Data'!AG:AG),"")</f>
        <v>0</v>
      </c>
      <c r="O100" s="138">
        <f>IFERROR(1-SUMIF('Plant BD'!$H:$H,$A100,'Plant BD'!$AE:$AE)/($AA100+SUMIF('Plant BD'!$H:$H,$A100,'Plant BD'!$AE:$AE)),"")</f>
        <v>1</v>
      </c>
      <c r="P100" s="138"/>
      <c r="Q100" s="139"/>
      <c r="R100" s="138">
        <f>IFERROR(1-SUMIF('Grid BD'!$H:$H,$A100,'Grid BD'!$AD:$AD)/($AA100+SUMIF('Grid BD'!$H:$H,$A100,'Grid BD'!$AD:$AD)),"")</f>
        <v>1</v>
      </c>
      <c r="T100" s="139"/>
      <c r="U100" s="140">
        <f t="shared" si="5"/>
        <v>0.7954761663414418</v>
      </c>
      <c r="V100" s="140"/>
      <c r="W100" s="141">
        <f t="shared" si="6"/>
        <v>0.15246626521544299</v>
      </c>
      <c r="X100" s="133">
        <f>IFERROR(_xlfn.XLOOKUP($A100,'Raw Data'!$G:$G,'Raw Data'!AI:AI),"")</f>
        <v>29714.199999999997</v>
      </c>
      <c r="Y100" s="133">
        <f>IFERROR(_xlfn.XLOOKUP($A100,'Raw Data'!$G:$G,'Raw Data'!AJ:AJ),"")</f>
        <v>29449.99999999709</v>
      </c>
      <c r="Z100" s="133">
        <f>IFERROR(_xlfn.XLOOKUP($A100,'Raw Data'!$G:$G,'Raw Data'!AK:AK),"")</f>
        <v>99.999999999965894</v>
      </c>
      <c r="AA100" s="133">
        <f>IFERROR(_xlfn.XLOOKUP($A100,'Raw Data'!$G:$G,'Raw Data'!AL:AL),"")</f>
        <v>29349.999999997122</v>
      </c>
      <c r="AB100" s="133">
        <f>IFERROR(_xlfn.XLOOKUP($A100,'Raw Data'!$G:$G,'Raw Data'!H:H),"")</f>
        <v>8.0208999999999993</v>
      </c>
      <c r="AC100" s="142">
        <f>IFERROR(_xlfn.XLOOKUP($D100,'Modelling New'!$D:$D,'Modelling New'!P:P),"")</f>
        <v>4.0451612903225804</v>
      </c>
      <c r="AD100" s="133">
        <f>IFERROR(_xlfn.XLOOKUP($D100,'Modelling New'!$D:$D,'Modelling New'!$T:$T)*1000,"")</f>
        <v>22929.949138521675</v>
      </c>
      <c r="AE100" s="143">
        <f>IFERROR(_xlfn.XLOOKUP($D100,'Modelling New'!$D:$D,'Modelling New'!O:O),"")</f>
        <v>0.70671473575739119</v>
      </c>
      <c r="AF100" s="145">
        <f>IFERROR(_xlfn.XLOOKUP($D100,'Modelling New'!$D:$D,'Modelling New'!W:W),"")</f>
        <v>0.11911562884943125</v>
      </c>
      <c r="AG100" s="145">
        <f>IFERROR(_xlfn.XLOOKUP($D100,'Modelling New'!$D:$D,'Modelling New'!AE:AE),"")</f>
        <v>0.98040000000000005</v>
      </c>
      <c r="AH100" s="167">
        <f>IFERROR(_xlfn.XLOOKUP($D100,'Modelling New'!$D:$D,'Modelling New'!AF:AF),"")</f>
        <v>0.98</v>
      </c>
      <c r="AN100" s="144"/>
      <c r="AO100" s="141"/>
      <c r="AP100" s="141"/>
      <c r="AQ100" s="141"/>
      <c r="AR100" s="133">
        <f>'Basic Data'!$B$98/1000</f>
        <v>8.0208999999999993</v>
      </c>
    </row>
    <row r="101" spans="1:44" x14ac:dyDescent="0.3">
      <c r="A101" s="132">
        <f t="shared" si="7"/>
        <v>45844</v>
      </c>
      <c r="B101" s="133">
        <f>YEAR(Table13[[#This Row],[Date]])+IF(MONTH(Table13[[#This Row],[Date]])&gt;=4,1,0)</f>
        <v>2026</v>
      </c>
      <c r="C101" s="134">
        <f>YEAR(Table13[[#This Row],[Date]])</f>
        <v>2025</v>
      </c>
      <c r="D101" s="135">
        <f>Table13[[#This Row],[Date]]-DAY(Table13[[#This Row],[Date]])+1</f>
        <v>45839</v>
      </c>
      <c r="E101" s="134">
        <f t="shared" si="4"/>
        <v>31</v>
      </c>
      <c r="F101" s="136">
        <f>IFERROR(_xlfn.XLOOKUP($A101,'Raw Data'!$G:$G,'Raw Data'!$AM:$AM),"")</f>
        <v>12.616666666666667</v>
      </c>
      <c r="G101" s="137">
        <f>IFERROR(_xlfn.XLOOKUP($A101,'Raw Data'!$G:$G,'Raw Data'!$AB:$AB),"")</f>
        <v>0</v>
      </c>
      <c r="H101" s="137"/>
      <c r="I101" s="137">
        <f>IFERROR(_xlfn.XLOOKUP($A101,'Raw Data'!$G:$G,'Raw Data'!$AC:$AC),"")</f>
        <v>5.21</v>
      </c>
      <c r="J101" s="137"/>
      <c r="K101" s="137">
        <f>IFERROR(_xlfn.XLOOKUP($A101,'Raw Data'!$G:$G,'Raw Data'!AD:AD),"")</f>
        <v>0</v>
      </c>
      <c r="L101" s="137">
        <f>IFERROR(_xlfn.XLOOKUP($A101,'Raw Data'!$G:$G,'Raw Data'!AE:AE),"")</f>
        <v>35.729999999999997</v>
      </c>
      <c r="M101" s="137">
        <f>IFERROR(_xlfn.XLOOKUP($A101,'Raw Data'!$G:$G,'Raw Data'!AF:AF),"")</f>
        <v>0</v>
      </c>
      <c r="N101" s="137">
        <f>IFERROR(_xlfn.XLOOKUP($A101,'Raw Data'!$G:$G,'Raw Data'!AG:AG),"")</f>
        <v>0</v>
      </c>
      <c r="O101" s="138">
        <f>IFERROR(1-SUMIF('Plant BD'!$H:$H,$A101,'Plant BD'!$AE:$AE)/($AA101+SUMIF('Plant BD'!$H:$H,$A101,'Plant BD'!$AE:$AE)),"")</f>
        <v>1</v>
      </c>
      <c r="P101" s="138"/>
      <c r="Q101" s="139"/>
      <c r="R101" s="138">
        <f>IFERROR(1-SUMIF('Grid BD'!$H:$H,$A101,'Grid BD'!$AD:$AD)/($AA101+SUMIF('Grid BD'!$H:$H,$A101,'Grid BD'!$AD:$AD)),"")</f>
        <v>0.96849104290833155</v>
      </c>
      <c r="T101" s="139"/>
      <c r="U101" s="140">
        <f t="shared" si="5"/>
        <v>0.76695027714205832</v>
      </c>
      <c r="V101" s="140"/>
      <c r="W101" s="141">
        <f t="shared" si="6"/>
        <v>0.16649212266292179</v>
      </c>
      <c r="X101" s="133">
        <f>IFERROR(_xlfn.XLOOKUP($A101,'Raw Data'!$G:$G,'Raw Data'!AI:AI),"")</f>
        <v>32440.700000000004</v>
      </c>
      <c r="Y101" s="133">
        <f>IFERROR(_xlfn.XLOOKUP($A101,'Raw Data'!$G:$G,'Raw Data'!AJ:AJ),"")</f>
        <v>32150.000000008731</v>
      </c>
      <c r="Z101" s="133">
        <f>IFERROR(_xlfn.XLOOKUP($A101,'Raw Data'!$G:$G,'Raw Data'!AK:AK),"")</f>
        <v>100.00000000002274</v>
      </c>
      <c r="AA101" s="133">
        <f>IFERROR(_xlfn.XLOOKUP($A101,'Raw Data'!$G:$G,'Raw Data'!AL:AL),"")</f>
        <v>32050.000000008709</v>
      </c>
      <c r="AB101" s="133">
        <f>IFERROR(_xlfn.XLOOKUP($A101,'Raw Data'!$G:$G,'Raw Data'!H:H),"")</f>
        <v>8.0208999999999993</v>
      </c>
      <c r="AC101" s="142">
        <f>IFERROR(_xlfn.XLOOKUP($D101,'Modelling New'!$D:$D,'Modelling New'!P:P),"")</f>
        <v>4.0451612903225804</v>
      </c>
      <c r="AD101" s="133">
        <f>IFERROR(_xlfn.XLOOKUP($D101,'Modelling New'!$D:$D,'Modelling New'!$T:$T)*1000,"")</f>
        <v>22929.949138521675</v>
      </c>
      <c r="AE101" s="143">
        <f>IFERROR(_xlfn.XLOOKUP($D101,'Modelling New'!$D:$D,'Modelling New'!O:O),"")</f>
        <v>0.70671473575739119</v>
      </c>
      <c r="AF101" s="145">
        <f>IFERROR(_xlfn.XLOOKUP($D101,'Modelling New'!$D:$D,'Modelling New'!W:W),"")</f>
        <v>0.11911562884943125</v>
      </c>
      <c r="AG101" s="145">
        <f>IFERROR(_xlfn.XLOOKUP($D101,'Modelling New'!$D:$D,'Modelling New'!AE:AE),"")</f>
        <v>0.98040000000000005</v>
      </c>
      <c r="AH101" s="167">
        <f>IFERROR(_xlfn.XLOOKUP($D101,'Modelling New'!$D:$D,'Modelling New'!AF:AF),"")</f>
        <v>0.98</v>
      </c>
      <c r="AN101" s="144"/>
      <c r="AO101" s="141"/>
      <c r="AP101" s="141"/>
      <c r="AQ101" s="141"/>
      <c r="AR101" s="133">
        <f>'Basic Data'!$B$98/1000</f>
        <v>8.0208999999999993</v>
      </c>
    </row>
    <row r="102" spans="1:44" x14ac:dyDescent="0.3">
      <c r="A102" s="132">
        <f t="shared" si="7"/>
        <v>45845</v>
      </c>
      <c r="B102" s="133">
        <f>YEAR(Table13[[#This Row],[Date]])+IF(MONTH(Table13[[#This Row],[Date]])&gt;=4,1,0)</f>
        <v>2026</v>
      </c>
      <c r="C102" s="134">
        <f>YEAR(Table13[[#This Row],[Date]])</f>
        <v>2025</v>
      </c>
      <c r="D102" s="135">
        <f>Table13[[#This Row],[Date]]-DAY(Table13[[#This Row],[Date]])+1</f>
        <v>45839</v>
      </c>
      <c r="E102" s="134">
        <f t="shared" si="4"/>
        <v>31</v>
      </c>
      <c r="F102" s="136">
        <f>IFERROR(_xlfn.XLOOKUP($A102,'Raw Data'!$G:$G,'Raw Data'!$AM:$AM),"")</f>
        <v>12.133333333333333</v>
      </c>
      <c r="G102" s="137">
        <f>IFERROR(_xlfn.XLOOKUP($A102,'Raw Data'!$G:$G,'Raw Data'!$AB:$AB),"")</f>
        <v>0</v>
      </c>
      <c r="H102" s="137"/>
      <c r="I102" s="137">
        <f>IFERROR(_xlfn.XLOOKUP($A102,'Raw Data'!$G:$G,'Raw Data'!$AC:$AC),"")</f>
        <v>2.27</v>
      </c>
      <c r="J102" s="137"/>
      <c r="K102" s="137">
        <f>IFERROR(_xlfn.XLOOKUP($A102,'Raw Data'!$G:$G,'Raw Data'!AD:AD),"")</f>
        <v>0</v>
      </c>
      <c r="L102" s="137">
        <f>IFERROR(_xlfn.XLOOKUP($A102,'Raw Data'!$G:$G,'Raw Data'!AE:AE),"")</f>
        <v>30.36</v>
      </c>
      <c r="M102" s="137">
        <f>IFERROR(_xlfn.XLOOKUP($A102,'Raw Data'!$G:$G,'Raw Data'!AF:AF),"")</f>
        <v>0</v>
      </c>
      <c r="N102" s="137">
        <f>IFERROR(_xlfn.XLOOKUP($A102,'Raw Data'!$G:$G,'Raw Data'!AG:AG),"")</f>
        <v>0</v>
      </c>
      <c r="O102" s="138">
        <f>IFERROR(1-SUMIF('Plant BD'!$H:$H,$A102,'Plant BD'!$AE:$AE)/($AA102+SUMIF('Plant BD'!$H:$H,$A102,'Plant BD'!$AE:$AE)),"")</f>
        <v>1</v>
      </c>
      <c r="P102" s="138"/>
      <c r="Q102" s="139"/>
      <c r="R102" s="138">
        <f>IFERROR(1-SUMIF('Grid BD'!$H:$H,$A102,'Grid BD'!$AD:$AD)/($AA102+SUMIF('Grid BD'!$H:$H,$A102,'Grid BD'!$AD:$AD)),"")</f>
        <v>1</v>
      </c>
      <c r="T102" s="139"/>
      <c r="U102" s="140">
        <f t="shared" si="5"/>
        <v>0.84031568847938498</v>
      </c>
      <c r="V102" s="140"/>
      <c r="W102" s="141">
        <f t="shared" si="6"/>
        <v>7.947985886867516E-2</v>
      </c>
      <c r="X102" s="133">
        <f>IFERROR(_xlfn.XLOOKUP($A102,'Raw Data'!$G:$G,'Raw Data'!AI:AI),"")</f>
        <v>15535.800000000001</v>
      </c>
      <c r="Y102" s="133">
        <f>IFERROR(_xlfn.XLOOKUP($A102,'Raw Data'!$G:$G,'Raw Data'!AJ:AJ),"")</f>
        <v>15399.999999994179</v>
      </c>
      <c r="Z102" s="133">
        <f>IFERROR(_xlfn.XLOOKUP($A102,'Raw Data'!$G:$G,'Raw Data'!AK:AK),"")</f>
        <v>100.00000000002274</v>
      </c>
      <c r="AA102" s="133">
        <f>IFERROR(_xlfn.XLOOKUP($A102,'Raw Data'!$G:$G,'Raw Data'!AL:AL),"")</f>
        <v>15299.999999994157</v>
      </c>
      <c r="AB102" s="133">
        <f>IFERROR(_xlfn.XLOOKUP($A102,'Raw Data'!$G:$G,'Raw Data'!H:H),"")</f>
        <v>8.0208999999999993</v>
      </c>
      <c r="AC102" s="142">
        <f>IFERROR(_xlfn.XLOOKUP($D102,'Modelling New'!$D:$D,'Modelling New'!P:P),"")</f>
        <v>4.0451612903225804</v>
      </c>
      <c r="AD102" s="133">
        <f>IFERROR(_xlfn.XLOOKUP($D102,'Modelling New'!$D:$D,'Modelling New'!$T:$T)*1000,"")</f>
        <v>22929.949138521675</v>
      </c>
      <c r="AE102" s="143">
        <f>IFERROR(_xlfn.XLOOKUP($D102,'Modelling New'!$D:$D,'Modelling New'!O:O),"")</f>
        <v>0.70671473575739119</v>
      </c>
      <c r="AF102" s="145">
        <f>IFERROR(_xlfn.XLOOKUP($D102,'Modelling New'!$D:$D,'Modelling New'!W:W),"")</f>
        <v>0.11911562884943125</v>
      </c>
      <c r="AG102" s="145">
        <f>IFERROR(_xlfn.XLOOKUP($D102,'Modelling New'!$D:$D,'Modelling New'!AE:AE),"")</f>
        <v>0.98040000000000005</v>
      </c>
      <c r="AH102" s="167">
        <f>IFERROR(_xlfn.XLOOKUP($D102,'Modelling New'!$D:$D,'Modelling New'!AF:AF),"")</f>
        <v>0.98</v>
      </c>
      <c r="AN102" s="144"/>
      <c r="AO102" s="141"/>
      <c r="AP102" s="141"/>
      <c r="AQ102" s="141"/>
      <c r="AR102" s="133">
        <f>'Basic Data'!$B$98/1000</f>
        <v>8.0208999999999993</v>
      </c>
    </row>
    <row r="103" spans="1:44" x14ac:dyDescent="0.3">
      <c r="A103" s="132">
        <f t="shared" si="7"/>
        <v>45846</v>
      </c>
      <c r="B103" s="133">
        <f>YEAR(Table13[[#This Row],[Date]])+IF(MONTH(Table13[[#This Row],[Date]])&gt;=4,1,0)</f>
        <v>2026</v>
      </c>
      <c r="C103" s="134">
        <f>YEAR(Table13[[#This Row],[Date]])</f>
        <v>2025</v>
      </c>
      <c r="D103" s="135">
        <f>Table13[[#This Row],[Date]]-DAY(Table13[[#This Row],[Date]])+1</f>
        <v>45839</v>
      </c>
      <c r="E103" s="134">
        <f t="shared" si="4"/>
        <v>31</v>
      </c>
      <c r="F103" s="136">
        <f>IFERROR(_xlfn.XLOOKUP($A103,'Raw Data'!$G:$G,'Raw Data'!$AM:$AM),"")</f>
        <v>11.8</v>
      </c>
      <c r="G103" s="137">
        <f>IFERROR(_xlfn.XLOOKUP($A103,'Raw Data'!$G:$G,'Raw Data'!$AB:$AB),"")</f>
        <v>0</v>
      </c>
      <c r="H103" s="137"/>
      <c r="I103" s="137">
        <f>IFERROR(_xlfn.XLOOKUP($A103,'Raw Data'!$G:$G,'Raw Data'!$AC:$AC),"")</f>
        <v>3.44</v>
      </c>
      <c r="J103" s="137"/>
      <c r="K103" s="137">
        <f>IFERROR(_xlfn.XLOOKUP($A103,'Raw Data'!$G:$G,'Raw Data'!AD:AD),"")</f>
        <v>0</v>
      </c>
      <c r="L103" s="137">
        <f>IFERROR(_xlfn.XLOOKUP($A103,'Raw Data'!$G:$G,'Raw Data'!AE:AE),"")</f>
        <v>32.1</v>
      </c>
      <c r="M103" s="137">
        <f>IFERROR(_xlfn.XLOOKUP($A103,'Raw Data'!$G:$G,'Raw Data'!AF:AF),"")</f>
        <v>0</v>
      </c>
      <c r="N103" s="137">
        <f>IFERROR(_xlfn.XLOOKUP($A103,'Raw Data'!$G:$G,'Raw Data'!AG:AG),"")</f>
        <v>0</v>
      </c>
      <c r="O103" s="138">
        <f>IFERROR(1-SUMIF('Plant BD'!$H:$H,$A103,'Plant BD'!$AE:$AE)/($AA103+SUMIF('Plant BD'!$H:$H,$A103,'Plant BD'!$AE:$AE)),"")</f>
        <v>1</v>
      </c>
      <c r="P103" s="138"/>
      <c r="Q103" s="139"/>
      <c r="R103" s="138">
        <f>IFERROR(1-SUMIF('Grid BD'!$H:$H,$A103,'Grid BD'!$AD:$AD)/($AA103+SUMIF('Grid BD'!$H:$H,$A103,'Grid BD'!$AD:$AD)),"")</f>
        <v>1</v>
      </c>
      <c r="T103" s="139"/>
      <c r="U103" s="140">
        <f t="shared" si="5"/>
        <v>0.8208932071938817</v>
      </c>
      <c r="V103" s="140"/>
      <c r="W103" s="141">
        <f t="shared" si="6"/>
        <v>0.11766135969778969</v>
      </c>
      <c r="X103" s="133">
        <f>IFERROR(_xlfn.XLOOKUP($A103,'Raw Data'!$G:$G,'Raw Data'!AI:AI),"")</f>
        <v>22969.8</v>
      </c>
      <c r="Y103" s="133">
        <f>IFERROR(_xlfn.XLOOKUP($A103,'Raw Data'!$G:$G,'Raw Data'!AJ:AJ),"")</f>
        <v>22750</v>
      </c>
      <c r="Z103" s="133">
        <f>IFERROR(_xlfn.XLOOKUP($A103,'Raw Data'!$G:$G,'Raw Data'!AK:AK),"")</f>
        <v>99.999999999965894</v>
      </c>
      <c r="AA103" s="133">
        <f>IFERROR(_xlfn.XLOOKUP($A103,'Raw Data'!$G:$G,'Raw Data'!AL:AL),"")</f>
        <v>22650.000000000033</v>
      </c>
      <c r="AB103" s="133">
        <f>IFERROR(_xlfn.XLOOKUP($A103,'Raw Data'!$G:$G,'Raw Data'!H:H),"")</f>
        <v>8.0208999999999993</v>
      </c>
      <c r="AC103" s="142">
        <f>IFERROR(_xlfn.XLOOKUP($D103,'Modelling New'!$D:$D,'Modelling New'!P:P),"")</f>
        <v>4.0451612903225804</v>
      </c>
      <c r="AD103" s="133">
        <f>IFERROR(_xlfn.XLOOKUP($D103,'Modelling New'!$D:$D,'Modelling New'!$T:$T)*1000,"")</f>
        <v>22929.949138521675</v>
      </c>
      <c r="AE103" s="143">
        <f>IFERROR(_xlfn.XLOOKUP($D103,'Modelling New'!$D:$D,'Modelling New'!O:O),"")</f>
        <v>0.70671473575739119</v>
      </c>
      <c r="AF103" s="145">
        <f>IFERROR(_xlfn.XLOOKUP($D103,'Modelling New'!$D:$D,'Modelling New'!W:W),"")</f>
        <v>0.11911562884943125</v>
      </c>
      <c r="AG103" s="145">
        <f>IFERROR(_xlfn.XLOOKUP($D103,'Modelling New'!$D:$D,'Modelling New'!AE:AE),"")</f>
        <v>0.98040000000000005</v>
      </c>
      <c r="AH103" s="167">
        <f>IFERROR(_xlfn.XLOOKUP($D103,'Modelling New'!$D:$D,'Modelling New'!AF:AF),"")</f>
        <v>0.98</v>
      </c>
      <c r="AN103" s="144"/>
      <c r="AO103" s="141"/>
      <c r="AP103" s="141"/>
      <c r="AQ103" s="141"/>
      <c r="AR103" s="133">
        <f>'Basic Data'!$B$98/1000</f>
        <v>8.0208999999999993</v>
      </c>
    </row>
    <row r="104" spans="1:44" x14ac:dyDescent="0.3">
      <c r="A104" s="132">
        <f t="shared" si="7"/>
        <v>45847</v>
      </c>
      <c r="B104" s="133">
        <f>YEAR(Table13[[#This Row],[Date]])+IF(MONTH(Table13[[#This Row],[Date]])&gt;=4,1,0)</f>
        <v>2026</v>
      </c>
      <c r="C104" s="134">
        <f>YEAR(Table13[[#This Row],[Date]])</f>
        <v>2025</v>
      </c>
      <c r="D104" s="135">
        <f>Table13[[#This Row],[Date]]-DAY(Table13[[#This Row],[Date]])+1</f>
        <v>45839</v>
      </c>
      <c r="E104" s="134">
        <f t="shared" si="4"/>
        <v>31</v>
      </c>
      <c r="F104" s="136">
        <f>IFERROR(_xlfn.XLOOKUP($A104,'Raw Data'!$G:$G,'Raw Data'!$AM:$AM),"")</f>
        <v>12.433333333333334</v>
      </c>
      <c r="G104" s="137">
        <f>IFERROR(_xlfn.XLOOKUP($A104,'Raw Data'!$G:$G,'Raw Data'!$AB:$AB),"")</f>
        <v>0</v>
      </c>
      <c r="H104" s="137"/>
      <c r="I104" s="137">
        <f>IFERROR(_xlfn.XLOOKUP($A104,'Raw Data'!$G:$G,'Raw Data'!$AC:$AC),"")</f>
        <v>3.83</v>
      </c>
      <c r="J104" s="137"/>
      <c r="K104" s="137">
        <f>IFERROR(_xlfn.XLOOKUP($A104,'Raw Data'!$G:$G,'Raw Data'!AD:AD),"")</f>
        <v>0</v>
      </c>
      <c r="L104" s="137">
        <f>IFERROR(_xlfn.XLOOKUP($A104,'Raw Data'!$G:$G,'Raw Data'!AE:AE),"")</f>
        <v>33</v>
      </c>
      <c r="M104" s="137">
        <f>IFERROR(_xlfn.XLOOKUP($A104,'Raw Data'!$G:$G,'Raw Data'!AF:AF),"")</f>
        <v>0</v>
      </c>
      <c r="N104" s="137">
        <f>IFERROR(_xlfn.XLOOKUP($A104,'Raw Data'!$G:$G,'Raw Data'!AG:AG),"")</f>
        <v>0</v>
      </c>
      <c r="O104" s="138">
        <f>IFERROR(1-SUMIF('Plant BD'!$H:$H,$A104,'Plant BD'!$AE:$AE)/($AA104+SUMIF('Plant BD'!$H:$H,$A104,'Plant BD'!$AE:$AE)),"")</f>
        <v>1</v>
      </c>
      <c r="P104" s="138"/>
      <c r="Q104" s="139"/>
      <c r="R104" s="138">
        <f>IFERROR(1-SUMIF('Grid BD'!$H:$H,$A104,'Grid BD'!$AD:$AD)/($AA104+SUMIF('Grid BD'!$H:$H,$A104,'Grid BD'!$AD:$AD)),"")</f>
        <v>1</v>
      </c>
      <c r="T104" s="139"/>
      <c r="U104" s="140">
        <f t="shared" si="5"/>
        <v>0.79752482149541626</v>
      </c>
      <c r="V104" s="140"/>
      <c r="W104" s="141">
        <f t="shared" si="6"/>
        <v>0.12727166943031018</v>
      </c>
      <c r="X104" s="133">
        <f>IFERROR(_xlfn.XLOOKUP($A104,'Raw Data'!$G:$G,'Raw Data'!AI:AI),"")</f>
        <v>24839.300000000003</v>
      </c>
      <c r="Y104" s="133">
        <f>IFERROR(_xlfn.XLOOKUP($A104,'Raw Data'!$G:$G,'Raw Data'!AJ:AJ),"")</f>
        <v>24600.000000005821</v>
      </c>
      <c r="Z104" s="133">
        <f>IFERROR(_xlfn.XLOOKUP($A104,'Raw Data'!$G:$G,'Raw Data'!AK:AK),"")</f>
        <v>100.00000000002274</v>
      </c>
      <c r="AA104" s="133">
        <f>IFERROR(_xlfn.XLOOKUP($A104,'Raw Data'!$G:$G,'Raw Data'!AL:AL),"")</f>
        <v>24500.000000005799</v>
      </c>
      <c r="AB104" s="133">
        <f>IFERROR(_xlfn.XLOOKUP($A104,'Raw Data'!$G:$G,'Raw Data'!H:H),"")</f>
        <v>8.0208999999999993</v>
      </c>
      <c r="AC104" s="142">
        <f>IFERROR(_xlfn.XLOOKUP($D104,'Modelling New'!$D:$D,'Modelling New'!P:P),"")</f>
        <v>4.0451612903225804</v>
      </c>
      <c r="AD104" s="133">
        <f>IFERROR(_xlfn.XLOOKUP($D104,'Modelling New'!$D:$D,'Modelling New'!$T:$T)*1000,"")</f>
        <v>22929.949138521675</v>
      </c>
      <c r="AE104" s="143">
        <f>IFERROR(_xlfn.XLOOKUP($D104,'Modelling New'!$D:$D,'Modelling New'!O:O),"")</f>
        <v>0.70671473575739119</v>
      </c>
      <c r="AF104" s="145">
        <f>IFERROR(_xlfn.XLOOKUP($D104,'Modelling New'!$D:$D,'Modelling New'!W:W),"")</f>
        <v>0.11911562884943125</v>
      </c>
      <c r="AG104" s="145">
        <f>IFERROR(_xlfn.XLOOKUP($D104,'Modelling New'!$D:$D,'Modelling New'!AE:AE),"")</f>
        <v>0.98040000000000005</v>
      </c>
      <c r="AH104" s="167">
        <f>IFERROR(_xlfn.XLOOKUP($D104,'Modelling New'!$D:$D,'Modelling New'!AF:AF),"")</f>
        <v>0.98</v>
      </c>
      <c r="AN104" s="144"/>
      <c r="AO104" s="141"/>
      <c r="AP104" s="141"/>
      <c r="AQ104" s="141"/>
      <c r="AR104" s="133">
        <f>'Basic Data'!$B$98/1000</f>
        <v>8.0208999999999993</v>
      </c>
    </row>
    <row r="105" spans="1:44" x14ac:dyDescent="0.3">
      <c r="A105" s="132">
        <f t="shared" si="7"/>
        <v>45848</v>
      </c>
      <c r="B105" s="133">
        <f>YEAR(Table13[[#This Row],[Date]])+IF(MONTH(Table13[[#This Row],[Date]])&gt;=4,1,0)</f>
        <v>2026</v>
      </c>
      <c r="C105" s="134">
        <f>YEAR(Table13[[#This Row],[Date]])</f>
        <v>2025</v>
      </c>
      <c r="D105" s="135">
        <f>Table13[[#This Row],[Date]]-DAY(Table13[[#This Row],[Date]])+1</f>
        <v>45839</v>
      </c>
      <c r="E105" s="134">
        <f t="shared" si="4"/>
        <v>31</v>
      </c>
      <c r="F105" s="136">
        <f>IFERROR(_xlfn.XLOOKUP($A105,'Raw Data'!$G:$G,'Raw Data'!$AM:$AM),"")</f>
        <v>12.5</v>
      </c>
      <c r="G105" s="137">
        <f>IFERROR(_xlfn.XLOOKUP($A105,'Raw Data'!$G:$G,'Raw Data'!$AB:$AB),"")</f>
        <v>0</v>
      </c>
      <c r="H105" s="137"/>
      <c r="I105" s="137">
        <f>IFERROR(_xlfn.XLOOKUP($A105,'Raw Data'!$G:$G,'Raw Data'!$AC:$AC),"")</f>
        <v>5.12</v>
      </c>
      <c r="J105" s="137"/>
      <c r="K105" s="137">
        <f>IFERROR(_xlfn.XLOOKUP($A105,'Raw Data'!$G:$G,'Raw Data'!AD:AD),"")</f>
        <v>0</v>
      </c>
      <c r="L105" s="137">
        <f>IFERROR(_xlfn.XLOOKUP($A105,'Raw Data'!$G:$G,'Raw Data'!AE:AE),"")</f>
        <v>36.53</v>
      </c>
      <c r="M105" s="137">
        <f>IFERROR(_xlfn.XLOOKUP($A105,'Raw Data'!$G:$G,'Raw Data'!AF:AF),"")</f>
        <v>0</v>
      </c>
      <c r="N105" s="137">
        <f>IFERROR(_xlfn.XLOOKUP($A105,'Raw Data'!$G:$G,'Raw Data'!AG:AG),"")</f>
        <v>0</v>
      </c>
      <c r="O105" s="138">
        <f>IFERROR(1-SUMIF('Plant BD'!$H:$H,$A105,'Plant BD'!$AE:$AE)/($AA105+SUMIF('Plant BD'!$H:$H,$A105,'Plant BD'!$AE:$AE)),"")</f>
        <v>1</v>
      </c>
      <c r="P105" s="138"/>
      <c r="Q105" s="139"/>
      <c r="R105" s="138">
        <f>IFERROR(1-SUMIF('Grid BD'!$H:$H,$A105,'Grid BD'!$AD:$AD)/($AA105+SUMIF('Grid BD'!$H:$H,$A105,'Grid BD'!$AD:$AD)),"")</f>
        <v>1</v>
      </c>
      <c r="T105" s="139"/>
      <c r="U105" s="140">
        <f t="shared" si="5"/>
        <v>0.79625961550456625</v>
      </c>
      <c r="V105" s="140"/>
      <c r="W105" s="141">
        <f t="shared" si="6"/>
        <v>0.16986871797430744</v>
      </c>
      <c r="X105" s="133">
        <f>IFERROR(_xlfn.XLOOKUP($A105,'Raw Data'!$G:$G,'Raw Data'!AI:AI),"")</f>
        <v>33102</v>
      </c>
      <c r="Y105" s="133">
        <f>IFERROR(_xlfn.XLOOKUP($A105,'Raw Data'!$G:$G,'Raw Data'!AJ:AJ),"")</f>
        <v>32800.00000000291</v>
      </c>
      <c r="Z105" s="133">
        <f>IFERROR(_xlfn.XLOOKUP($A105,'Raw Data'!$G:$G,'Raw Data'!AK:AK),"")</f>
        <v>99.999999999965894</v>
      </c>
      <c r="AA105" s="133">
        <f>IFERROR(_xlfn.XLOOKUP($A105,'Raw Data'!$G:$G,'Raw Data'!AL:AL),"")</f>
        <v>32700.000000002943</v>
      </c>
      <c r="AB105" s="133">
        <f>IFERROR(_xlfn.XLOOKUP($A105,'Raw Data'!$G:$G,'Raw Data'!H:H),"")</f>
        <v>8.0208999999999993</v>
      </c>
      <c r="AC105" s="142">
        <f>IFERROR(_xlfn.XLOOKUP($D105,'Modelling New'!$D:$D,'Modelling New'!P:P),"")</f>
        <v>4.0451612903225804</v>
      </c>
      <c r="AD105" s="133">
        <f>IFERROR(_xlfn.XLOOKUP($D105,'Modelling New'!$D:$D,'Modelling New'!$T:$T)*1000,"")</f>
        <v>22929.949138521675</v>
      </c>
      <c r="AE105" s="143">
        <f>IFERROR(_xlfn.XLOOKUP($D105,'Modelling New'!$D:$D,'Modelling New'!O:O),"")</f>
        <v>0.70671473575739119</v>
      </c>
      <c r="AF105" s="145">
        <f>IFERROR(_xlfn.XLOOKUP($D105,'Modelling New'!$D:$D,'Modelling New'!W:W),"")</f>
        <v>0.11911562884943125</v>
      </c>
      <c r="AG105" s="145">
        <f>IFERROR(_xlfn.XLOOKUP($D105,'Modelling New'!$D:$D,'Modelling New'!AE:AE),"")</f>
        <v>0.98040000000000005</v>
      </c>
      <c r="AH105" s="167">
        <f>IFERROR(_xlfn.XLOOKUP($D105,'Modelling New'!$D:$D,'Modelling New'!AF:AF),"")</f>
        <v>0.98</v>
      </c>
      <c r="AN105" s="144"/>
      <c r="AO105" s="141"/>
      <c r="AP105" s="141"/>
      <c r="AQ105" s="141"/>
      <c r="AR105" s="133">
        <f>'Basic Data'!$B$98/1000</f>
        <v>8.0208999999999993</v>
      </c>
    </row>
    <row r="106" spans="1:44" x14ac:dyDescent="0.3">
      <c r="A106" s="132">
        <f t="shared" si="7"/>
        <v>45849</v>
      </c>
      <c r="B106" s="133">
        <f>YEAR(Table13[[#This Row],[Date]])+IF(MONTH(Table13[[#This Row],[Date]])&gt;=4,1,0)</f>
        <v>2026</v>
      </c>
      <c r="C106" s="134">
        <f>YEAR(Table13[[#This Row],[Date]])</f>
        <v>2025</v>
      </c>
      <c r="D106" s="135">
        <f>Table13[[#This Row],[Date]]-DAY(Table13[[#This Row],[Date]])+1</f>
        <v>45839</v>
      </c>
      <c r="E106" s="134">
        <f t="shared" si="4"/>
        <v>31</v>
      </c>
      <c r="F106" s="136">
        <f>IFERROR(_xlfn.XLOOKUP($A106,'Raw Data'!$G:$G,'Raw Data'!$AM:$AM),"")</f>
        <v>12.600000000000001</v>
      </c>
      <c r="G106" s="137">
        <f>IFERROR(_xlfn.XLOOKUP($A106,'Raw Data'!$G:$G,'Raw Data'!$AB:$AB),"")</f>
        <v>0</v>
      </c>
      <c r="H106" s="137"/>
      <c r="I106" s="137">
        <f>IFERROR(_xlfn.XLOOKUP($A106,'Raw Data'!$G:$G,'Raw Data'!$AC:$AC),"")</f>
        <v>5.42</v>
      </c>
      <c r="J106" s="137"/>
      <c r="K106" s="137">
        <f>IFERROR(_xlfn.XLOOKUP($A106,'Raw Data'!$G:$G,'Raw Data'!AD:AD),"")</f>
        <v>0</v>
      </c>
      <c r="L106" s="137">
        <f>IFERROR(_xlfn.XLOOKUP($A106,'Raw Data'!$G:$G,'Raw Data'!AE:AE),"")</f>
        <v>36.53</v>
      </c>
      <c r="M106" s="137">
        <f>IFERROR(_xlfn.XLOOKUP($A106,'Raw Data'!$G:$G,'Raw Data'!AF:AF),"")</f>
        <v>0</v>
      </c>
      <c r="N106" s="137">
        <f>IFERROR(_xlfn.XLOOKUP($A106,'Raw Data'!$G:$G,'Raw Data'!AG:AG),"")</f>
        <v>0</v>
      </c>
      <c r="O106" s="138">
        <f>IFERROR(1-SUMIF('Plant BD'!$H:$H,$A106,'Plant BD'!$AE:$AE)/($AA106+SUMIF('Plant BD'!$H:$H,$A106,'Plant BD'!$AE:$AE)),"")</f>
        <v>1</v>
      </c>
      <c r="P106" s="138"/>
      <c r="Q106" s="139"/>
      <c r="R106" s="138">
        <f>IFERROR(1-SUMIF('Grid BD'!$H:$H,$A106,'Grid BD'!$AD:$AD)/($AA106+SUMIF('Grid BD'!$H:$H,$A106,'Grid BD'!$AD:$AD)),"")</f>
        <v>0.96954923290694617</v>
      </c>
      <c r="T106" s="139"/>
      <c r="U106" s="140">
        <f t="shared" si="5"/>
        <v>0.76368752317201249</v>
      </c>
      <c r="V106" s="140"/>
      <c r="W106" s="141">
        <f t="shared" si="6"/>
        <v>0.17246609898301279</v>
      </c>
      <c r="X106" s="133">
        <f>IFERROR(_xlfn.XLOOKUP($A106,'Raw Data'!$G:$G,'Raw Data'!AI:AI),"")</f>
        <v>33591.699999999997</v>
      </c>
      <c r="Y106" s="133">
        <f>IFERROR(_xlfn.XLOOKUP($A106,'Raw Data'!$G:$G,'Raw Data'!AJ:AJ),"")</f>
        <v>33299.999999988358</v>
      </c>
      <c r="Z106" s="133">
        <f>IFERROR(_xlfn.XLOOKUP($A106,'Raw Data'!$G:$G,'Raw Data'!AK:AK),"")</f>
        <v>100.00000000002274</v>
      </c>
      <c r="AA106" s="133">
        <f>IFERROR(_xlfn.XLOOKUP($A106,'Raw Data'!$G:$G,'Raw Data'!AL:AL),"")</f>
        <v>33199.999999988337</v>
      </c>
      <c r="AB106" s="133">
        <f>IFERROR(_xlfn.XLOOKUP($A106,'Raw Data'!$G:$G,'Raw Data'!H:H),"")</f>
        <v>8.0208999999999993</v>
      </c>
      <c r="AC106" s="142">
        <f>IFERROR(_xlfn.XLOOKUP($D106,'Modelling New'!$D:$D,'Modelling New'!P:P),"")</f>
        <v>4.0451612903225804</v>
      </c>
      <c r="AD106" s="133">
        <f>IFERROR(_xlfn.XLOOKUP($D106,'Modelling New'!$D:$D,'Modelling New'!$T:$T)*1000,"")</f>
        <v>22929.949138521675</v>
      </c>
      <c r="AE106" s="143">
        <f>IFERROR(_xlfn.XLOOKUP($D106,'Modelling New'!$D:$D,'Modelling New'!O:O),"")</f>
        <v>0.70671473575739119</v>
      </c>
      <c r="AF106" s="145">
        <f>IFERROR(_xlfn.XLOOKUP($D106,'Modelling New'!$D:$D,'Modelling New'!W:W),"")</f>
        <v>0.11911562884943125</v>
      </c>
      <c r="AG106" s="145">
        <f>IFERROR(_xlfn.XLOOKUP($D106,'Modelling New'!$D:$D,'Modelling New'!AE:AE),"")</f>
        <v>0.98040000000000005</v>
      </c>
      <c r="AH106" s="167">
        <f>IFERROR(_xlfn.XLOOKUP($D106,'Modelling New'!$D:$D,'Modelling New'!AF:AF),"")</f>
        <v>0.98</v>
      </c>
      <c r="AN106" s="144"/>
      <c r="AO106" s="141"/>
      <c r="AP106" s="141"/>
      <c r="AQ106" s="141"/>
      <c r="AR106" s="133">
        <f>'Basic Data'!$B$98/1000</f>
        <v>8.0208999999999993</v>
      </c>
    </row>
    <row r="107" spans="1:44" x14ac:dyDescent="0.3">
      <c r="A107" s="132">
        <f t="shared" si="7"/>
        <v>45850</v>
      </c>
      <c r="B107" s="133">
        <f>YEAR(Table13[[#This Row],[Date]])+IF(MONTH(Table13[[#This Row],[Date]])&gt;=4,1,0)</f>
        <v>2026</v>
      </c>
      <c r="C107" s="134">
        <f>YEAR(Table13[[#This Row],[Date]])</f>
        <v>2025</v>
      </c>
      <c r="D107" s="135">
        <f>Table13[[#This Row],[Date]]-DAY(Table13[[#This Row],[Date]])+1</f>
        <v>45839</v>
      </c>
      <c r="E107" s="134">
        <f t="shared" si="4"/>
        <v>31</v>
      </c>
      <c r="F107" s="136">
        <f>IFERROR(_xlfn.XLOOKUP($A107,'Raw Data'!$G:$G,'Raw Data'!$AM:$AM),"")</f>
        <v>12.65</v>
      </c>
      <c r="G107" s="137">
        <f>IFERROR(_xlfn.XLOOKUP($A107,'Raw Data'!$G:$G,'Raw Data'!$AB:$AB),"")</f>
        <v>0</v>
      </c>
      <c r="H107" s="137"/>
      <c r="I107" s="137">
        <f>IFERROR(_xlfn.XLOOKUP($A107,'Raw Data'!$G:$G,'Raw Data'!$AC:$AC),"")</f>
        <v>5.2</v>
      </c>
      <c r="J107" s="137"/>
      <c r="K107" s="137">
        <f>IFERROR(_xlfn.XLOOKUP($A107,'Raw Data'!$G:$G,'Raw Data'!AD:AD),"")</f>
        <v>0</v>
      </c>
      <c r="L107" s="137">
        <f>IFERROR(_xlfn.XLOOKUP($A107,'Raw Data'!$G:$G,'Raw Data'!AE:AE),"")</f>
        <v>37.07</v>
      </c>
      <c r="M107" s="137">
        <f>IFERROR(_xlfn.XLOOKUP($A107,'Raw Data'!$G:$G,'Raw Data'!AF:AF),"")</f>
        <v>0</v>
      </c>
      <c r="N107" s="137">
        <f>IFERROR(_xlfn.XLOOKUP($A107,'Raw Data'!$G:$G,'Raw Data'!AG:AG),"")</f>
        <v>0</v>
      </c>
      <c r="O107" s="138">
        <f>IFERROR(1-SUMIF('Plant BD'!$H:$H,$A107,'Plant BD'!$AE:$AE)/($AA107+SUMIF('Plant BD'!$H:$H,$A107,'Plant BD'!$AE:$AE)),"")</f>
        <v>1</v>
      </c>
      <c r="P107" s="138"/>
      <c r="Q107" s="139"/>
      <c r="R107" s="138">
        <f>IFERROR(1-SUMIF('Grid BD'!$H:$H,$A107,'Grid BD'!$AD:$AD)/($AA107+SUMIF('Grid BD'!$H:$H,$A107,'Grid BD'!$AD:$AD)),"")</f>
        <v>0.93696821386717688</v>
      </c>
      <c r="T107" s="139"/>
      <c r="U107" s="140">
        <f t="shared" si="5"/>
        <v>0.7432505655898437</v>
      </c>
      <c r="V107" s="140"/>
      <c r="W107" s="141">
        <f t="shared" si="6"/>
        <v>0.1610376225444661</v>
      </c>
      <c r="X107" s="133">
        <f>IFERROR(_xlfn.XLOOKUP($A107,'Raw Data'!$G:$G,'Raw Data'!AI:AI),"")</f>
        <v>31407.5</v>
      </c>
      <c r="Y107" s="133">
        <f>IFERROR(_xlfn.XLOOKUP($A107,'Raw Data'!$G:$G,'Raw Data'!AJ:AJ),"")</f>
        <v>31100.000000005821</v>
      </c>
      <c r="Z107" s="133">
        <f>IFERROR(_xlfn.XLOOKUP($A107,'Raw Data'!$G:$G,'Raw Data'!AK:AK),"")</f>
        <v>100.00000000002274</v>
      </c>
      <c r="AA107" s="133">
        <f>IFERROR(_xlfn.XLOOKUP($A107,'Raw Data'!$G:$G,'Raw Data'!AL:AL),"")</f>
        <v>31000.000000005799</v>
      </c>
      <c r="AB107" s="133">
        <f>IFERROR(_xlfn.XLOOKUP($A107,'Raw Data'!$G:$G,'Raw Data'!H:H),"")</f>
        <v>8.0208999999999993</v>
      </c>
      <c r="AC107" s="142">
        <f>IFERROR(_xlfn.XLOOKUP($D107,'Modelling New'!$D:$D,'Modelling New'!P:P),"")</f>
        <v>4.0451612903225804</v>
      </c>
      <c r="AD107" s="133">
        <f>IFERROR(_xlfn.XLOOKUP($D107,'Modelling New'!$D:$D,'Modelling New'!$T:$T)*1000,"")</f>
        <v>22929.949138521675</v>
      </c>
      <c r="AE107" s="143">
        <f>IFERROR(_xlfn.XLOOKUP($D107,'Modelling New'!$D:$D,'Modelling New'!O:O),"")</f>
        <v>0.70671473575739119</v>
      </c>
      <c r="AF107" s="145">
        <f>IFERROR(_xlfn.XLOOKUP($D107,'Modelling New'!$D:$D,'Modelling New'!W:W),"")</f>
        <v>0.11911562884943125</v>
      </c>
      <c r="AG107" s="145">
        <f>IFERROR(_xlfn.XLOOKUP($D107,'Modelling New'!$D:$D,'Modelling New'!AE:AE),"")</f>
        <v>0.98040000000000005</v>
      </c>
      <c r="AH107" s="167">
        <f>IFERROR(_xlfn.XLOOKUP($D107,'Modelling New'!$D:$D,'Modelling New'!AF:AF),"")</f>
        <v>0.98</v>
      </c>
      <c r="AN107" s="144"/>
      <c r="AO107" s="141"/>
      <c r="AP107" s="141"/>
      <c r="AQ107" s="141"/>
      <c r="AR107" s="133">
        <f>'Basic Data'!$B$98/1000</f>
        <v>8.0208999999999993</v>
      </c>
    </row>
    <row r="108" spans="1:44" x14ac:dyDescent="0.3">
      <c r="A108" s="132">
        <f t="shared" si="7"/>
        <v>45851</v>
      </c>
      <c r="B108" s="133">
        <f>YEAR(Table13[[#This Row],[Date]])+IF(MONTH(Table13[[#This Row],[Date]])&gt;=4,1,0)</f>
        <v>2026</v>
      </c>
      <c r="C108" s="134">
        <f>YEAR(Table13[[#This Row],[Date]])</f>
        <v>2025</v>
      </c>
      <c r="D108" s="135">
        <f>Table13[[#This Row],[Date]]-DAY(Table13[[#This Row],[Date]])+1</f>
        <v>45839</v>
      </c>
      <c r="E108" s="134">
        <f t="shared" si="4"/>
        <v>31</v>
      </c>
      <c r="F108" s="136">
        <f>IFERROR(_xlfn.XLOOKUP($A108,'Raw Data'!$G:$G,'Raw Data'!$AM:$AM),"")</f>
        <v>12.85</v>
      </c>
      <c r="G108" s="137">
        <f>IFERROR(_xlfn.XLOOKUP($A108,'Raw Data'!$G:$G,'Raw Data'!$AB:$AB),"")</f>
        <v>0</v>
      </c>
      <c r="H108" s="137"/>
      <c r="I108" s="137">
        <f>IFERROR(_xlfn.XLOOKUP($A108,'Raw Data'!$G:$G,'Raw Data'!$AC:$AC),"")</f>
        <v>5.12</v>
      </c>
      <c r="J108" s="137"/>
      <c r="K108" s="137">
        <f>IFERROR(_xlfn.XLOOKUP($A108,'Raw Data'!$G:$G,'Raw Data'!AD:AD),"")</f>
        <v>0</v>
      </c>
      <c r="L108" s="137">
        <f>IFERROR(_xlfn.XLOOKUP($A108,'Raw Data'!$G:$G,'Raw Data'!AE:AE),"")</f>
        <v>36.71</v>
      </c>
      <c r="M108" s="137">
        <f>IFERROR(_xlfn.XLOOKUP($A108,'Raw Data'!$G:$G,'Raw Data'!AF:AF),"")</f>
        <v>0</v>
      </c>
      <c r="N108" s="137">
        <f>IFERROR(_xlfn.XLOOKUP($A108,'Raw Data'!$G:$G,'Raw Data'!AG:AG),"")</f>
        <v>0</v>
      </c>
      <c r="O108" s="138">
        <f>IFERROR(1-SUMIF('Plant BD'!$H:$H,$A108,'Plant BD'!$AE:$AE)/($AA108+SUMIF('Plant BD'!$H:$H,$A108,'Plant BD'!$AE:$AE)),"")</f>
        <v>1</v>
      </c>
      <c r="P108" s="138"/>
      <c r="Q108" s="139"/>
      <c r="R108" s="138">
        <f>IFERROR(1-SUMIF('Grid BD'!$H:$H,$A108,'Grid BD'!$AD:$AD)/($AA108+SUMIF('Grid BD'!$H:$H,$A108,'Grid BD'!$AD:$AD)),"")</f>
        <v>1</v>
      </c>
      <c r="T108" s="139"/>
      <c r="U108" s="140">
        <f t="shared" si="5"/>
        <v>0.79504209315662921</v>
      </c>
      <c r="V108" s="140"/>
      <c r="W108" s="141">
        <f t="shared" si="6"/>
        <v>0.1696089798734142</v>
      </c>
      <c r="X108" s="133">
        <f>IFERROR(_xlfn.XLOOKUP($A108,'Raw Data'!$G:$G,'Raw Data'!AI:AI),"")</f>
        <v>33013.699999999997</v>
      </c>
      <c r="Y108" s="133">
        <f>IFERROR(_xlfn.XLOOKUP($A108,'Raw Data'!$G:$G,'Raw Data'!AJ:AJ),"")</f>
        <v>32750</v>
      </c>
      <c r="Z108" s="133">
        <f>IFERROR(_xlfn.XLOOKUP($A108,'Raw Data'!$G:$G,'Raw Data'!AK:AK),"")</f>
        <v>99.999999999965894</v>
      </c>
      <c r="AA108" s="133">
        <f>IFERROR(_xlfn.XLOOKUP($A108,'Raw Data'!$G:$G,'Raw Data'!AL:AL),"")</f>
        <v>32650.000000000033</v>
      </c>
      <c r="AB108" s="133">
        <f>IFERROR(_xlfn.XLOOKUP($A108,'Raw Data'!$G:$G,'Raw Data'!H:H),"")</f>
        <v>8.0208999999999993</v>
      </c>
      <c r="AC108" s="142">
        <f>IFERROR(_xlfn.XLOOKUP($D108,'Modelling New'!$D:$D,'Modelling New'!P:P),"")</f>
        <v>4.0451612903225804</v>
      </c>
      <c r="AD108" s="133">
        <f>IFERROR(_xlfn.XLOOKUP($D108,'Modelling New'!$D:$D,'Modelling New'!$T:$T)*1000,"")</f>
        <v>22929.949138521675</v>
      </c>
      <c r="AE108" s="143">
        <f>IFERROR(_xlfn.XLOOKUP($D108,'Modelling New'!$D:$D,'Modelling New'!O:O),"")</f>
        <v>0.70671473575739119</v>
      </c>
      <c r="AF108" s="145">
        <f>IFERROR(_xlfn.XLOOKUP($D108,'Modelling New'!$D:$D,'Modelling New'!W:W),"")</f>
        <v>0.11911562884943125</v>
      </c>
      <c r="AG108" s="145">
        <f>IFERROR(_xlfn.XLOOKUP($D108,'Modelling New'!$D:$D,'Modelling New'!AE:AE),"")</f>
        <v>0.98040000000000005</v>
      </c>
      <c r="AH108" s="167">
        <f>IFERROR(_xlfn.XLOOKUP($D108,'Modelling New'!$D:$D,'Modelling New'!AF:AF),"")</f>
        <v>0.98</v>
      </c>
      <c r="AN108" s="144"/>
      <c r="AO108" s="141"/>
      <c r="AP108" s="141"/>
      <c r="AQ108" s="141"/>
      <c r="AR108" s="133">
        <f>'Basic Data'!$B$98/1000</f>
        <v>8.0208999999999993</v>
      </c>
    </row>
    <row r="109" spans="1:44" x14ac:dyDescent="0.3">
      <c r="A109" s="132">
        <f t="shared" si="7"/>
        <v>45852</v>
      </c>
      <c r="B109" s="133">
        <f>YEAR(Table13[[#This Row],[Date]])+IF(MONTH(Table13[[#This Row],[Date]])&gt;=4,1,0)</f>
        <v>2026</v>
      </c>
      <c r="C109" s="134">
        <f>YEAR(Table13[[#This Row],[Date]])</f>
        <v>2025</v>
      </c>
      <c r="D109" s="135">
        <f>Table13[[#This Row],[Date]]-DAY(Table13[[#This Row],[Date]])+1</f>
        <v>45839</v>
      </c>
      <c r="E109" s="134">
        <f t="shared" si="4"/>
        <v>31</v>
      </c>
      <c r="F109" s="136" t="str">
        <f>IFERROR(_xlfn.XLOOKUP($A109,'Raw Data'!$G:$G,'Raw Data'!$AM:$AM),"")</f>
        <v/>
      </c>
      <c r="G109" s="137" t="str">
        <f>IFERROR(_xlfn.XLOOKUP($A109,'Raw Data'!$G:$G,'Raw Data'!$AB:$AB),"")</f>
        <v/>
      </c>
      <c r="H109" s="137"/>
      <c r="I109" s="137" t="str">
        <f>IFERROR(_xlfn.XLOOKUP($A109,'Raw Data'!$G:$G,'Raw Data'!$AC:$AC),"")</f>
        <v/>
      </c>
      <c r="J109" s="137"/>
      <c r="K109" s="137" t="str">
        <f>IFERROR(_xlfn.XLOOKUP($A109,'Raw Data'!$G:$G,'Raw Data'!AD:AD),"")</f>
        <v/>
      </c>
      <c r="L109" s="137" t="str">
        <f>IFERROR(_xlfn.XLOOKUP($A109,'Raw Data'!$G:$G,'Raw Data'!AE:AE),"")</f>
        <v/>
      </c>
      <c r="M109" s="137" t="str">
        <f>IFERROR(_xlfn.XLOOKUP($A109,'Raw Data'!$G:$G,'Raw Data'!AF:AF),"")</f>
        <v/>
      </c>
      <c r="N109" s="137" t="str">
        <f>IFERROR(_xlfn.XLOOKUP($A109,'Raw Data'!$G:$G,'Raw Data'!AG:AG),"")</f>
        <v/>
      </c>
      <c r="O109" s="138" t="str">
        <f>IFERROR(1-SUMIF('Plant BD'!$H:$H,$A109,'Plant BD'!$AE:$AE)/($AA109+SUMIF('Plant BD'!$H:$H,$A109,'Plant BD'!$AE:$AE)),"")</f>
        <v/>
      </c>
      <c r="P109" s="138"/>
      <c r="Q109" s="139"/>
      <c r="R109" s="138" t="str">
        <f>IFERROR(1-SUMIF('Grid BD'!$H:$H,$A109,'Grid BD'!$AD:$AD)/($AA109+SUMIF('Grid BD'!$H:$H,$A109,'Grid BD'!$AD:$AD)),"")</f>
        <v/>
      </c>
      <c r="T109" s="139"/>
      <c r="U109" s="140" t="str">
        <f t="shared" si="5"/>
        <v/>
      </c>
      <c r="V109" s="140"/>
      <c r="W109" s="141" t="str">
        <f t="shared" si="6"/>
        <v/>
      </c>
      <c r="X109" s="133" t="str">
        <f>IFERROR(_xlfn.XLOOKUP($A109,'Raw Data'!$G:$G,'Raw Data'!AI:AI),"")</f>
        <v/>
      </c>
      <c r="Y109" s="133" t="str">
        <f>IFERROR(_xlfn.XLOOKUP($A109,'Raw Data'!$G:$G,'Raw Data'!AJ:AJ),"")</f>
        <v/>
      </c>
      <c r="Z109" s="133" t="str">
        <f>IFERROR(_xlfn.XLOOKUP($A109,'Raw Data'!$G:$G,'Raw Data'!AK:AK),"")</f>
        <v/>
      </c>
      <c r="AA109" s="133" t="str">
        <f>IFERROR(_xlfn.XLOOKUP($A109,'Raw Data'!$G:$G,'Raw Data'!AL:AL),"")</f>
        <v/>
      </c>
      <c r="AB109" s="133" t="str">
        <f>IFERROR(_xlfn.XLOOKUP($A109,'Raw Data'!$G:$G,'Raw Data'!H:H),"")</f>
        <v/>
      </c>
      <c r="AC109" s="142">
        <f>IFERROR(_xlfn.XLOOKUP($D109,'Modelling New'!$D:$D,'Modelling New'!P:P),"")</f>
        <v>4.0451612903225804</v>
      </c>
      <c r="AD109" s="133">
        <f>IFERROR(_xlfn.XLOOKUP($D109,'Modelling New'!$D:$D,'Modelling New'!$T:$T)*1000,"")</f>
        <v>22929.949138521675</v>
      </c>
      <c r="AE109" s="143">
        <f>IFERROR(_xlfn.XLOOKUP($D109,'Modelling New'!$D:$D,'Modelling New'!O:O),"")</f>
        <v>0.70671473575739119</v>
      </c>
      <c r="AF109" s="145">
        <f>IFERROR(_xlfn.XLOOKUP($D109,'Modelling New'!$D:$D,'Modelling New'!W:W),"")</f>
        <v>0.11911562884943125</v>
      </c>
      <c r="AG109" s="145">
        <f>IFERROR(_xlfn.XLOOKUP($D109,'Modelling New'!$D:$D,'Modelling New'!AE:AE),"")</f>
        <v>0.98040000000000005</v>
      </c>
      <c r="AH109" s="167">
        <f>IFERROR(_xlfn.XLOOKUP($D109,'Modelling New'!$D:$D,'Modelling New'!AF:AF),"")</f>
        <v>0.98</v>
      </c>
      <c r="AN109" s="144"/>
      <c r="AO109" s="141"/>
      <c r="AP109" s="141"/>
      <c r="AQ109" s="141"/>
      <c r="AR109" s="133">
        <f>'Basic Data'!$B$98/1000</f>
        <v>8.0208999999999993</v>
      </c>
    </row>
    <row r="110" spans="1:44" x14ac:dyDescent="0.3">
      <c r="A110" s="132">
        <f t="shared" si="7"/>
        <v>45853</v>
      </c>
      <c r="B110" s="133">
        <f>YEAR(Table13[[#This Row],[Date]])+IF(MONTH(Table13[[#This Row],[Date]])&gt;=4,1,0)</f>
        <v>2026</v>
      </c>
      <c r="C110" s="134">
        <f>YEAR(Table13[[#This Row],[Date]])</f>
        <v>2025</v>
      </c>
      <c r="D110" s="135">
        <f>Table13[[#This Row],[Date]]-DAY(Table13[[#This Row],[Date]])+1</f>
        <v>45839</v>
      </c>
      <c r="E110" s="134">
        <f t="shared" si="4"/>
        <v>31</v>
      </c>
      <c r="F110" s="136" t="str">
        <f>IFERROR(_xlfn.XLOOKUP($A110,'Raw Data'!$G:$G,'Raw Data'!$AM:$AM),"")</f>
        <v/>
      </c>
      <c r="G110" s="137" t="str">
        <f>IFERROR(_xlfn.XLOOKUP($A110,'Raw Data'!$G:$G,'Raw Data'!$AB:$AB),"")</f>
        <v/>
      </c>
      <c r="H110" s="137"/>
      <c r="I110" s="137" t="str">
        <f>IFERROR(_xlfn.XLOOKUP($A110,'Raw Data'!$G:$G,'Raw Data'!$AC:$AC),"")</f>
        <v/>
      </c>
      <c r="J110" s="137"/>
      <c r="K110" s="137" t="str">
        <f>IFERROR(_xlfn.XLOOKUP($A110,'Raw Data'!$G:$G,'Raw Data'!AD:AD),"")</f>
        <v/>
      </c>
      <c r="L110" s="137" t="str">
        <f>IFERROR(_xlfn.XLOOKUP($A110,'Raw Data'!$G:$G,'Raw Data'!AE:AE),"")</f>
        <v/>
      </c>
      <c r="M110" s="137" t="str">
        <f>IFERROR(_xlfn.XLOOKUP($A110,'Raw Data'!$G:$G,'Raw Data'!AF:AF),"")</f>
        <v/>
      </c>
      <c r="N110" s="137" t="str">
        <f>IFERROR(_xlfn.XLOOKUP($A110,'Raw Data'!$G:$G,'Raw Data'!AG:AG),"")</f>
        <v/>
      </c>
      <c r="O110" s="138" t="str">
        <f>IFERROR(1-SUMIF('Plant BD'!$H:$H,$A110,'Plant BD'!$AE:$AE)/($AA110+SUMIF('Plant BD'!$H:$H,$A110,'Plant BD'!$AE:$AE)),"")</f>
        <v/>
      </c>
      <c r="P110" s="138"/>
      <c r="Q110" s="139"/>
      <c r="R110" s="138" t="str">
        <f>IFERROR(1-SUMIF('Grid BD'!$H:$H,$A110,'Grid BD'!$AD:$AD)/($AA110+SUMIF('Grid BD'!$H:$H,$A110,'Grid BD'!$AD:$AD)),"")</f>
        <v/>
      </c>
      <c r="T110" s="139"/>
      <c r="U110" s="140" t="str">
        <f t="shared" si="5"/>
        <v/>
      </c>
      <c r="V110" s="140"/>
      <c r="W110" s="141" t="str">
        <f t="shared" si="6"/>
        <v/>
      </c>
      <c r="X110" s="133" t="str">
        <f>IFERROR(_xlfn.XLOOKUP($A110,'Raw Data'!$G:$G,'Raw Data'!AI:AI),"")</f>
        <v/>
      </c>
      <c r="Y110" s="133" t="str">
        <f>IFERROR(_xlfn.XLOOKUP($A110,'Raw Data'!$G:$G,'Raw Data'!AJ:AJ),"")</f>
        <v/>
      </c>
      <c r="Z110" s="133" t="str">
        <f>IFERROR(_xlfn.XLOOKUP($A110,'Raw Data'!$G:$G,'Raw Data'!AK:AK),"")</f>
        <v/>
      </c>
      <c r="AA110" s="133" t="str">
        <f>IFERROR(_xlfn.XLOOKUP($A110,'Raw Data'!$G:$G,'Raw Data'!AL:AL),"")</f>
        <v/>
      </c>
      <c r="AB110" s="133" t="str">
        <f>IFERROR(_xlfn.XLOOKUP($A110,'Raw Data'!$G:$G,'Raw Data'!H:H),"")</f>
        <v/>
      </c>
      <c r="AC110" s="142">
        <f>IFERROR(_xlfn.XLOOKUP($D110,'Modelling New'!$D:$D,'Modelling New'!P:P),"")</f>
        <v>4.0451612903225804</v>
      </c>
      <c r="AD110" s="133">
        <f>IFERROR(_xlfn.XLOOKUP($D110,'Modelling New'!$D:$D,'Modelling New'!$T:$T)*1000,"")</f>
        <v>22929.949138521675</v>
      </c>
      <c r="AE110" s="143">
        <f>IFERROR(_xlfn.XLOOKUP($D110,'Modelling New'!$D:$D,'Modelling New'!O:O),"")</f>
        <v>0.70671473575739119</v>
      </c>
      <c r="AF110" s="145">
        <f>IFERROR(_xlfn.XLOOKUP($D110,'Modelling New'!$D:$D,'Modelling New'!W:W),"")</f>
        <v>0.11911562884943125</v>
      </c>
      <c r="AG110" s="145">
        <f>IFERROR(_xlfn.XLOOKUP($D110,'Modelling New'!$D:$D,'Modelling New'!AE:AE),"")</f>
        <v>0.98040000000000005</v>
      </c>
      <c r="AH110" s="167">
        <f>IFERROR(_xlfn.XLOOKUP($D110,'Modelling New'!$D:$D,'Modelling New'!AF:AF),"")</f>
        <v>0.98</v>
      </c>
      <c r="AN110" s="144"/>
      <c r="AO110" s="141"/>
      <c r="AP110" s="141"/>
      <c r="AQ110" s="141"/>
      <c r="AR110" s="133">
        <f>'Basic Data'!$B$98/1000</f>
        <v>8.0208999999999993</v>
      </c>
    </row>
    <row r="111" spans="1:44" x14ac:dyDescent="0.3">
      <c r="A111" s="132">
        <f t="shared" si="7"/>
        <v>45854</v>
      </c>
      <c r="B111" s="133">
        <f>YEAR(Table13[[#This Row],[Date]])+IF(MONTH(Table13[[#This Row],[Date]])&gt;=4,1,0)</f>
        <v>2026</v>
      </c>
      <c r="C111" s="134">
        <f>YEAR(Table13[[#This Row],[Date]])</f>
        <v>2025</v>
      </c>
      <c r="D111" s="135">
        <f>Table13[[#This Row],[Date]]-DAY(Table13[[#This Row],[Date]])+1</f>
        <v>45839</v>
      </c>
      <c r="E111" s="134">
        <f t="shared" si="4"/>
        <v>31</v>
      </c>
      <c r="F111" s="136" t="str">
        <f>IFERROR(_xlfn.XLOOKUP($A111,'Raw Data'!$G:$G,'Raw Data'!$AM:$AM),"")</f>
        <v/>
      </c>
      <c r="G111" s="137" t="str">
        <f>IFERROR(_xlfn.XLOOKUP($A111,'Raw Data'!$G:$G,'Raw Data'!$AB:$AB),"")</f>
        <v/>
      </c>
      <c r="H111" s="137"/>
      <c r="I111" s="137" t="str">
        <f>IFERROR(_xlfn.XLOOKUP($A111,'Raw Data'!$G:$G,'Raw Data'!$AC:$AC),"")</f>
        <v/>
      </c>
      <c r="J111" s="137"/>
      <c r="K111" s="137" t="str">
        <f>IFERROR(_xlfn.XLOOKUP($A111,'Raw Data'!$G:$G,'Raw Data'!AD:AD),"")</f>
        <v/>
      </c>
      <c r="L111" s="137" t="str">
        <f>IFERROR(_xlfn.XLOOKUP($A111,'Raw Data'!$G:$G,'Raw Data'!AE:AE),"")</f>
        <v/>
      </c>
      <c r="M111" s="137" t="str">
        <f>IFERROR(_xlfn.XLOOKUP($A111,'Raw Data'!$G:$G,'Raw Data'!AF:AF),"")</f>
        <v/>
      </c>
      <c r="N111" s="137" t="str">
        <f>IFERROR(_xlfn.XLOOKUP($A111,'Raw Data'!$G:$G,'Raw Data'!AG:AG),"")</f>
        <v/>
      </c>
      <c r="O111" s="138" t="str">
        <f>IFERROR(1-SUMIF('Plant BD'!$H:$H,$A111,'Plant BD'!$AE:$AE)/($AA111+SUMIF('Plant BD'!$H:$H,$A111,'Plant BD'!$AE:$AE)),"")</f>
        <v/>
      </c>
      <c r="P111" s="138"/>
      <c r="Q111" s="139"/>
      <c r="R111" s="138" t="str">
        <f>IFERROR(1-SUMIF('Grid BD'!$H:$H,$A111,'Grid BD'!$AD:$AD)/($AA111+SUMIF('Grid BD'!$H:$H,$A111,'Grid BD'!$AD:$AD)),"")</f>
        <v/>
      </c>
      <c r="T111" s="139"/>
      <c r="U111" s="140" t="str">
        <f t="shared" si="5"/>
        <v/>
      </c>
      <c r="V111" s="140"/>
      <c r="W111" s="141" t="str">
        <f t="shared" si="6"/>
        <v/>
      </c>
      <c r="X111" s="133" t="str">
        <f>IFERROR(_xlfn.XLOOKUP($A111,'Raw Data'!$G:$G,'Raw Data'!AI:AI),"")</f>
        <v/>
      </c>
      <c r="Y111" s="133" t="str">
        <f>IFERROR(_xlfn.XLOOKUP($A111,'Raw Data'!$G:$G,'Raw Data'!AJ:AJ),"")</f>
        <v/>
      </c>
      <c r="Z111" s="133" t="str">
        <f>IFERROR(_xlfn.XLOOKUP($A111,'Raw Data'!$G:$G,'Raw Data'!AK:AK),"")</f>
        <v/>
      </c>
      <c r="AA111" s="133" t="str">
        <f>IFERROR(_xlfn.XLOOKUP($A111,'Raw Data'!$G:$G,'Raw Data'!AL:AL),"")</f>
        <v/>
      </c>
      <c r="AB111" s="133" t="str">
        <f>IFERROR(_xlfn.XLOOKUP($A111,'Raw Data'!$G:$G,'Raw Data'!H:H),"")</f>
        <v/>
      </c>
      <c r="AC111" s="142">
        <f>IFERROR(_xlfn.XLOOKUP($D111,'Modelling New'!$D:$D,'Modelling New'!P:P),"")</f>
        <v>4.0451612903225804</v>
      </c>
      <c r="AD111" s="133">
        <f>IFERROR(_xlfn.XLOOKUP($D111,'Modelling New'!$D:$D,'Modelling New'!$T:$T)*1000,"")</f>
        <v>22929.949138521675</v>
      </c>
      <c r="AE111" s="143">
        <f>IFERROR(_xlfn.XLOOKUP($D111,'Modelling New'!$D:$D,'Modelling New'!O:O),"")</f>
        <v>0.70671473575739119</v>
      </c>
      <c r="AF111" s="145">
        <f>IFERROR(_xlfn.XLOOKUP($D111,'Modelling New'!$D:$D,'Modelling New'!W:W),"")</f>
        <v>0.11911562884943125</v>
      </c>
      <c r="AG111" s="145">
        <f>IFERROR(_xlfn.XLOOKUP($D111,'Modelling New'!$D:$D,'Modelling New'!AE:AE),"")</f>
        <v>0.98040000000000005</v>
      </c>
      <c r="AH111" s="167">
        <f>IFERROR(_xlfn.XLOOKUP($D111,'Modelling New'!$D:$D,'Modelling New'!AF:AF),"")</f>
        <v>0.98</v>
      </c>
      <c r="AN111" s="144"/>
      <c r="AO111" s="141"/>
      <c r="AP111" s="141"/>
      <c r="AQ111" s="141"/>
      <c r="AR111" s="133">
        <f>'Basic Data'!$B$98/1000</f>
        <v>8.0208999999999993</v>
      </c>
    </row>
    <row r="112" spans="1:44" x14ac:dyDescent="0.3">
      <c r="A112" s="132">
        <f t="shared" si="7"/>
        <v>45855</v>
      </c>
      <c r="B112" s="133">
        <f>YEAR(Table13[[#This Row],[Date]])+IF(MONTH(Table13[[#This Row],[Date]])&gt;=4,1,0)</f>
        <v>2026</v>
      </c>
      <c r="C112" s="134">
        <f>YEAR(Table13[[#This Row],[Date]])</f>
        <v>2025</v>
      </c>
      <c r="D112" s="135">
        <f>Table13[[#This Row],[Date]]-DAY(Table13[[#This Row],[Date]])+1</f>
        <v>45839</v>
      </c>
      <c r="E112" s="134">
        <f t="shared" si="4"/>
        <v>31</v>
      </c>
      <c r="F112" s="136" t="str">
        <f>IFERROR(_xlfn.XLOOKUP($A112,'Raw Data'!$G:$G,'Raw Data'!$AM:$AM),"")</f>
        <v/>
      </c>
      <c r="G112" s="137" t="str">
        <f>IFERROR(_xlfn.XLOOKUP($A112,'Raw Data'!$G:$G,'Raw Data'!$AB:$AB),"")</f>
        <v/>
      </c>
      <c r="H112" s="137"/>
      <c r="I112" s="137" t="str">
        <f>IFERROR(_xlfn.XLOOKUP($A112,'Raw Data'!$G:$G,'Raw Data'!$AC:$AC),"")</f>
        <v/>
      </c>
      <c r="J112" s="137"/>
      <c r="K112" s="137" t="str">
        <f>IFERROR(_xlfn.XLOOKUP($A112,'Raw Data'!$G:$G,'Raw Data'!AD:AD),"")</f>
        <v/>
      </c>
      <c r="L112" s="137" t="str">
        <f>IFERROR(_xlfn.XLOOKUP($A112,'Raw Data'!$G:$G,'Raw Data'!AE:AE),"")</f>
        <v/>
      </c>
      <c r="M112" s="137" t="str">
        <f>IFERROR(_xlfn.XLOOKUP($A112,'Raw Data'!$G:$G,'Raw Data'!AF:AF),"")</f>
        <v/>
      </c>
      <c r="N112" s="137" t="str">
        <f>IFERROR(_xlfn.XLOOKUP($A112,'Raw Data'!$G:$G,'Raw Data'!AG:AG),"")</f>
        <v/>
      </c>
      <c r="O112" s="138" t="str">
        <f>IFERROR(1-SUMIF('Plant BD'!$H:$H,$A112,'Plant BD'!$AE:$AE)/($AA112+SUMIF('Plant BD'!$H:$H,$A112,'Plant BD'!$AE:$AE)),"")</f>
        <v/>
      </c>
      <c r="P112" s="138"/>
      <c r="Q112" s="139"/>
      <c r="R112" s="138" t="str">
        <f>IFERROR(1-SUMIF('Grid BD'!$H:$H,$A112,'Grid BD'!$AD:$AD)/($AA112+SUMIF('Grid BD'!$H:$H,$A112,'Grid BD'!$AD:$AD)),"")</f>
        <v/>
      </c>
      <c r="T112" s="139"/>
      <c r="U112" s="140" t="str">
        <f t="shared" si="5"/>
        <v/>
      </c>
      <c r="V112" s="140"/>
      <c r="W112" s="141" t="str">
        <f t="shared" si="6"/>
        <v/>
      </c>
      <c r="X112" s="133" t="str">
        <f>IFERROR(_xlfn.XLOOKUP($A112,'Raw Data'!$G:$G,'Raw Data'!AI:AI),"")</f>
        <v/>
      </c>
      <c r="Y112" s="133" t="str">
        <f>IFERROR(_xlfn.XLOOKUP($A112,'Raw Data'!$G:$G,'Raw Data'!AJ:AJ),"")</f>
        <v/>
      </c>
      <c r="Z112" s="133" t="str">
        <f>IFERROR(_xlfn.XLOOKUP($A112,'Raw Data'!$G:$G,'Raw Data'!AK:AK),"")</f>
        <v/>
      </c>
      <c r="AA112" s="133" t="str">
        <f>IFERROR(_xlfn.XLOOKUP($A112,'Raw Data'!$G:$G,'Raw Data'!AL:AL),"")</f>
        <v/>
      </c>
      <c r="AB112" s="133" t="str">
        <f>IFERROR(_xlfn.XLOOKUP($A112,'Raw Data'!$G:$G,'Raw Data'!H:H),"")</f>
        <v/>
      </c>
      <c r="AC112" s="142">
        <f>IFERROR(_xlfn.XLOOKUP($D112,'Modelling New'!$D:$D,'Modelling New'!P:P),"")</f>
        <v>4.0451612903225804</v>
      </c>
      <c r="AD112" s="133">
        <f>IFERROR(_xlfn.XLOOKUP($D112,'Modelling New'!$D:$D,'Modelling New'!$T:$T)*1000,"")</f>
        <v>22929.949138521675</v>
      </c>
      <c r="AE112" s="143">
        <f>IFERROR(_xlfn.XLOOKUP($D112,'Modelling New'!$D:$D,'Modelling New'!O:O),"")</f>
        <v>0.70671473575739119</v>
      </c>
      <c r="AF112" s="145">
        <f>IFERROR(_xlfn.XLOOKUP($D112,'Modelling New'!$D:$D,'Modelling New'!W:W),"")</f>
        <v>0.11911562884943125</v>
      </c>
      <c r="AG112" s="145">
        <f>IFERROR(_xlfn.XLOOKUP($D112,'Modelling New'!$D:$D,'Modelling New'!AE:AE),"")</f>
        <v>0.98040000000000005</v>
      </c>
      <c r="AH112" s="167">
        <f>IFERROR(_xlfn.XLOOKUP($D112,'Modelling New'!$D:$D,'Modelling New'!AF:AF),"")</f>
        <v>0.98</v>
      </c>
      <c r="AN112" s="144"/>
      <c r="AO112" s="141"/>
      <c r="AP112" s="141"/>
      <c r="AQ112" s="141"/>
      <c r="AR112" s="133">
        <f>'Basic Data'!$B$98/1000</f>
        <v>8.0208999999999993</v>
      </c>
    </row>
    <row r="113" spans="1:44" x14ac:dyDescent="0.3">
      <c r="A113" s="132">
        <f t="shared" si="7"/>
        <v>45856</v>
      </c>
      <c r="B113" s="133">
        <f>YEAR(Table13[[#This Row],[Date]])+IF(MONTH(Table13[[#This Row],[Date]])&gt;=4,1,0)</f>
        <v>2026</v>
      </c>
      <c r="C113" s="134">
        <f>YEAR(Table13[[#This Row],[Date]])</f>
        <v>2025</v>
      </c>
      <c r="D113" s="135">
        <f>Table13[[#This Row],[Date]]-DAY(Table13[[#This Row],[Date]])+1</f>
        <v>45839</v>
      </c>
      <c r="E113" s="134">
        <f t="shared" si="4"/>
        <v>31</v>
      </c>
      <c r="F113" s="136" t="str">
        <f>IFERROR(_xlfn.XLOOKUP($A113,'Raw Data'!$G:$G,'Raw Data'!$AM:$AM),"")</f>
        <v/>
      </c>
      <c r="G113" s="137" t="str">
        <f>IFERROR(_xlfn.XLOOKUP($A113,'Raw Data'!$G:$G,'Raw Data'!$AB:$AB),"")</f>
        <v/>
      </c>
      <c r="H113" s="137"/>
      <c r="I113" s="137" t="str">
        <f>IFERROR(_xlfn.XLOOKUP($A113,'Raw Data'!$G:$G,'Raw Data'!$AC:$AC),"")</f>
        <v/>
      </c>
      <c r="J113" s="137"/>
      <c r="K113" s="137" t="str">
        <f>IFERROR(_xlfn.XLOOKUP($A113,'Raw Data'!$G:$G,'Raw Data'!AD:AD),"")</f>
        <v/>
      </c>
      <c r="L113" s="137" t="str">
        <f>IFERROR(_xlfn.XLOOKUP($A113,'Raw Data'!$G:$G,'Raw Data'!AE:AE),"")</f>
        <v/>
      </c>
      <c r="M113" s="137" t="str">
        <f>IFERROR(_xlfn.XLOOKUP($A113,'Raw Data'!$G:$G,'Raw Data'!AF:AF),"")</f>
        <v/>
      </c>
      <c r="N113" s="137" t="str">
        <f>IFERROR(_xlfn.XLOOKUP($A113,'Raw Data'!$G:$G,'Raw Data'!AG:AG),"")</f>
        <v/>
      </c>
      <c r="O113" s="138" t="str">
        <f>IFERROR(1-SUMIF('Plant BD'!$H:$H,$A113,'Plant BD'!$AE:$AE)/($AA113+SUMIF('Plant BD'!$H:$H,$A113,'Plant BD'!$AE:$AE)),"")</f>
        <v/>
      </c>
      <c r="P113" s="138"/>
      <c r="Q113" s="139"/>
      <c r="R113" s="138" t="str">
        <f>IFERROR(1-SUMIF('Grid BD'!$H:$H,$A113,'Grid BD'!$AD:$AD)/($AA113+SUMIF('Grid BD'!$H:$H,$A113,'Grid BD'!$AD:$AD)),"")</f>
        <v/>
      </c>
      <c r="T113" s="139"/>
      <c r="U113" s="140" t="str">
        <f t="shared" si="5"/>
        <v/>
      </c>
      <c r="V113" s="140"/>
      <c r="W113" s="141" t="str">
        <f t="shared" si="6"/>
        <v/>
      </c>
      <c r="X113" s="133" t="str">
        <f>IFERROR(_xlfn.XLOOKUP($A113,'Raw Data'!$G:$G,'Raw Data'!AI:AI),"")</f>
        <v/>
      </c>
      <c r="Y113" s="133" t="str">
        <f>IFERROR(_xlfn.XLOOKUP($A113,'Raw Data'!$G:$G,'Raw Data'!AJ:AJ),"")</f>
        <v/>
      </c>
      <c r="Z113" s="133" t="str">
        <f>IFERROR(_xlfn.XLOOKUP($A113,'Raw Data'!$G:$G,'Raw Data'!AK:AK),"")</f>
        <v/>
      </c>
      <c r="AA113" s="133" t="str">
        <f>IFERROR(_xlfn.XLOOKUP($A113,'Raw Data'!$G:$G,'Raw Data'!AL:AL),"")</f>
        <v/>
      </c>
      <c r="AB113" s="133" t="str">
        <f>IFERROR(_xlfn.XLOOKUP($A113,'Raw Data'!$G:$G,'Raw Data'!H:H),"")</f>
        <v/>
      </c>
      <c r="AC113" s="142">
        <f>IFERROR(_xlfn.XLOOKUP($D113,'Modelling New'!$D:$D,'Modelling New'!P:P),"")</f>
        <v>4.0451612903225804</v>
      </c>
      <c r="AD113" s="133">
        <f>IFERROR(_xlfn.XLOOKUP($D113,'Modelling New'!$D:$D,'Modelling New'!$T:$T)*1000,"")</f>
        <v>22929.949138521675</v>
      </c>
      <c r="AE113" s="143">
        <f>IFERROR(_xlfn.XLOOKUP($D113,'Modelling New'!$D:$D,'Modelling New'!O:O),"")</f>
        <v>0.70671473575739119</v>
      </c>
      <c r="AF113" s="145">
        <f>IFERROR(_xlfn.XLOOKUP($D113,'Modelling New'!$D:$D,'Modelling New'!W:W),"")</f>
        <v>0.11911562884943125</v>
      </c>
      <c r="AG113" s="145">
        <f>IFERROR(_xlfn.XLOOKUP($D113,'Modelling New'!$D:$D,'Modelling New'!AE:AE),"")</f>
        <v>0.98040000000000005</v>
      </c>
      <c r="AH113" s="167">
        <f>IFERROR(_xlfn.XLOOKUP($D113,'Modelling New'!$D:$D,'Modelling New'!AF:AF),"")</f>
        <v>0.98</v>
      </c>
      <c r="AN113" s="144"/>
      <c r="AO113" s="141"/>
      <c r="AP113" s="141"/>
      <c r="AQ113" s="141"/>
      <c r="AR113" s="133">
        <f>'Basic Data'!$B$98/1000</f>
        <v>8.0208999999999993</v>
      </c>
    </row>
    <row r="114" spans="1:44" x14ac:dyDescent="0.3">
      <c r="A114" s="132">
        <f t="shared" si="7"/>
        <v>45857</v>
      </c>
      <c r="B114" s="133">
        <f>YEAR(Table13[[#This Row],[Date]])+IF(MONTH(Table13[[#This Row],[Date]])&gt;=4,1,0)</f>
        <v>2026</v>
      </c>
      <c r="C114" s="134">
        <f>YEAR(Table13[[#This Row],[Date]])</f>
        <v>2025</v>
      </c>
      <c r="D114" s="135">
        <f>Table13[[#This Row],[Date]]-DAY(Table13[[#This Row],[Date]])+1</f>
        <v>45839</v>
      </c>
      <c r="E114" s="134">
        <f t="shared" si="4"/>
        <v>31</v>
      </c>
      <c r="F114" s="136" t="str">
        <f>IFERROR(_xlfn.XLOOKUP($A114,'Raw Data'!$G:$G,'Raw Data'!$AM:$AM),"")</f>
        <v/>
      </c>
      <c r="G114" s="137" t="str">
        <f>IFERROR(_xlfn.XLOOKUP($A114,'Raw Data'!$G:$G,'Raw Data'!$AB:$AB),"")</f>
        <v/>
      </c>
      <c r="H114" s="137"/>
      <c r="I114" s="137" t="str">
        <f>IFERROR(_xlfn.XLOOKUP($A114,'Raw Data'!$G:$G,'Raw Data'!$AC:$AC),"")</f>
        <v/>
      </c>
      <c r="J114" s="137"/>
      <c r="K114" s="137" t="str">
        <f>IFERROR(_xlfn.XLOOKUP($A114,'Raw Data'!$G:$G,'Raw Data'!AD:AD),"")</f>
        <v/>
      </c>
      <c r="L114" s="137" t="str">
        <f>IFERROR(_xlfn.XLOOKUP($A114,'Raw Data'!$G:$G,'Raw Data'!AE:AE),"")</f>
        <v/>
      </c>
      <c r="M114" s="137" t="str">
        <f>IFERROR(_xlfn.XLOOKUP($A114,'Raw Data'!$G:$G,'Raw Data'!AF:AF),"")</f>
        <v/>
      </c>
      <c r="N114" s="137" t="str">
        <f>IFERROR(_xlfn.XLOOKUP($A114,'Raw Data'!$G:$G,'Raw Data'!AG:AG),"")</f>
        <v/>
      </c>
      <c r="O114" s="138" t="str">
        <f>IFERROR(1-SUMIF('Plant BD'!$H:$H,$A114,'Plant BD'!$AE:$AE)/($AA114+SUMIF('Plant BD'!$H:$H,$A114,'Plant BD'!$AE:$AE)),"")</f>
        <v/>
      </c>
      <c r="P114" s="138"/>
      <c r="Q114" s="139"/>
      <c r="R114" s="138" t="str">
        <f>IFERROR(1-SUMIF('Grid BD'!$H:$H,$A114,'Grid BD'!$AD:$AD)/($AA114+SUMIF('Grid BD'!$H:$H,$A114,'Grid BD'!$AD:$AD)),"")</f>
        <v/>
      </c>
      <c r="T114" s="139"/>
      <c r="U114" s="140" t="str">
        <f t="shared" si="5"/>
        <v/>
      </c>
      <c r="V114" s="140"/>
      <c r="W114" s="141" t="str">
        <f t="shared" si="6"/>
        <v/>
      </c>
      <c r="X114" s="133" t="str">
        <f>IFERROR(_xlfn.XLOOKUP($A114,'Raw Data'!$G:$G,'Raw Data'!AI:AI),"")</f>
        <v/>
      </c>
      <c r="Y114" s="133" t="str">
        <f>IFERROR(_xlfn.XLOOKUP($A114,'Raw Data'!$G:$G,'Raw Data'!AJ:AJ),"")</f>
        <v/>
      </c>
      <c r="Z114" s="133" t="str">
        <f>IFERROR(_xlfn.XLOOKUP($A114,'Raw Data'!$G:$G,'Raw Data'!AK:AK),"")</f>
        <v/>
      </c>
      <c r="AA114" s="133" t="str">
        <f>IFERROR(_xlfn.XLOOKUP($A114,'Raw Data'!$G:$G,'Raw Data'!AL:AL),"")</f>
        <v/>
      </c>
      <c r="AB114" s="133" t="str">
        <f>IFERROR(_xlfn.XLOOKUP($A114,'Raw Data'!$G:$G,'Raw Data'!H:H),"")</f>
        <v/>
      </c>
      <c r="AC114" s="142">
        <f>IFERROR(_xlfn.XLOOKUP($D114,'Modelling New'!$D:$D,'Modelling New'!P:P),"")</f>
        <v>4.0451612903225804</v>
      </c>
      <c r="AD114" s="133">
        <f>IFERROR(_xlfn.XLOOKUP($D114,'Modelling New'!$D:$D,'Modelling New'!$T:$T)*1000,"")</f>
        <v>22929.949138521675</v>
      </c>
      <c r="AE114" s="143">
        <f>IFERROR(_xlfn.XLOOKUP($D114,'Modelling New'!$D:$D,'Modelling New'!O:O),"")</f>
        <v>0.70671473575739119</v>
      </c>
      <c r="AF114" s="145">
        <f>IFERROR(_xlfn.XLOOKUP($D114,'Modelling New'!$D:$D,'Modelling New'!W:W),"")</f>
        <v>0.11911562884943125</v>
      </c>
      <c r="AG114" s="145">
        <f>IFERROR(_xlfn.XLOOKUP($D114,'Modelling New'!$D:$D,'Modelling New'!AE:AE),"")</f>
        <v>0.98040000000000005</v>
      </c>
      <c r="AH114" s="167">
        <f>IFERROR(_xlfn.XLOOKUP($D114,'Modelling New'!$D:$D,'Modelling New'!AF:AF),"")</f>
        <v>0.98</v>
      </c>
      <c r="AN114" s="144"/>
      <c r="AO114" s="141"/>
      <c r="AP114" s="141"/>
      <c r="AQ114" s="141"/>
      <c r="AR114" s="133">
        <f>'Basic Data'!$B$98/1000</f>
        <v>8.0208999999999993</v>
      </c>
    </row>
    <row r="115" spans="1:44" x14ac:dyDescent="0.3">
      <c r="A115" s="132">
        <f t="shared" si="7"/>
        <v>45858</v>
      </c>
      <c r="B115" s="133">
        <f>YEAR(Table13[[#This Row],[Date]])+IF(MONTH(Table13[[#This Row],[Date]])&gt;=4,1,0)</f>
        <v>2026</v>
      </c>
      <c r="C115" s="134">
        <f>YEAR(Table13[[#This Row],[Date]])</f>
        <v>2025</v>
      </c>
      <c r="D115" s="135">
        <f>Table13[[#This Row],[Date]]-DAY(Table13[[#This Row],[Date]])+1</f>
        <v>45839</v>
      </c>
      <c r="E115" s="134">
        <f t="shared" si="4"/>
        <v>31</v>
      </c>
      <c r="F115" s="136" t="str">
        <f>IFERROR(_xlfn.XLOOKUP($A115,'Raw Data'!$G:$G,'Raw Data'!$AM:$AM),"")</f>
        <v/>
      </c>
      <c r="G115" s="137" t="str">
        <f>IFERROR(_xlfn.XLOOKUP($A115,'Raw Data'!$G:$G,'Raw Data'!$AB:$AB),"")</f>
        <v/>
      </c>
      <c r="H115" s="137"/>
      <c r="I115" s="137" t="str">
        <f>IFERROR(_xlfn.XLOOKUP($A115,'Raw Data'!$G:$G,'Raw Data'!$AC:$AC),"")</f>
        <v/>
      </c>
      <c r="J115" s="137"/>
      <c r="K115" s="137" t="str">
        <f>IFERROR(_xlfn.XLOOKUP($A115,'Raw Data'!$G:$G,'Raw Data'!AD:AD),"")</f>
        <v/>
      </c>
      <c r="L115" s="137" t="str">
        <f>IFERROR(_xlfn.XLOOKUP($A115,'Raw Data'!$G:$G,'Raw Data'!AE:AE),"")</f>
        <v/>
      </c>
      <c r="M115" s="137" t="str">
        <f>IFERROR(_xlfn.XLOOKUP($A115,'Raw Data'!$G:$G,'Raw Data'!AF:AF),"")</f>
        <v/>
      </c>
      <c r="N115" s="137" t="str">
        <f>IFERROR(_xlfn.XLOOKUP($A115,'Raw Data'!$G:$G,'Raw Data'!AG:AG),"")</f>
        <v/>
      </c>
      <c r="O115" s="138" t="str">
        <f>IFERROR(1-SUMIF('Plant BD'!$H:$H,$A115,'Plant BD'!$AE:$AE)/($AA115+SUMIF('Plant BD'!$H:$H,$A115,'Plant BD'!$AE:$AE)),"")</f>
        <v/>
      </c>
      <c r="P115" s="138"/>
      <c r="Q115" s="139"/>
      <c r="R115" s="138" t="str">
        <f>IFERROR(1-SUMIF('Grid BD'!$H:$H,$A115,'Grid BD'!$AD:$AD)/($AA115+SUMIF('Grid BD'!$H:$H,$A115,'Grid BD'!$AD:$AD)),"")</f>
        <v/>
      </c>
      <c r="T115" s="139"/>
      <c r="U115" s="140" t="str">
        <f t="shared" si="5"/>
        <v/>
      </c>
      <c r="V115" s="140"/>
      <c r="W115" s="141" t="str">
        <f t="shared" si="6"/>
        <v/>
      </c>
      <c r="X115" s="133" t="str">
        <f>IFERROR(_xlfn.XLOOKUP($A115,'Raw Data'!$G:$G,'Raw Data'!AI:AI),"")</f>
        <v/>
      </c>
      <c r="Y115" s="133" t="str">
        <f>IFERROR(_xlfn.XLOOKUP($A115,'Raw Data'!$G:$G,'Raw Data'!AJ:AJ),"")</f>
        <v/>
      </c>
      <c r="Z115" s="133" t="str">
        <f>IFERROR(_xlfn.XLOOKUP($A115,'Raw Data'!$G:$G,'Raw Data'!AK:AK),"")</f>
        <v/>
      </c>
      <c r="AA115" s="133" t="str">
        <f>IFERROR(_xlfn.XLOOKUP($A115,'Raw Data'!$G:$G,'Raw Data'!AL:AL),"")</f>
        <v/>
      </c>
      <c r="AB115" s="133" t="str">
        <f>IFERROR(_xlfn.XLOOKUP($A115,'Raw Data'!$G:$G,'Raw Data'!H:H),"")</f>
        <v/>
      </c>
      <c r="AC115" s="142">
        <f>IFERROR(_xlfn.XLOOKUP($D115,'Modelling New'!$D:$D,'Modelling New'!P:P),"")</f>
        <v>4.0451612903225804</v>
      </c>
      <c r="AD115" s="133">
        <f>IFERROR(_xlfn.XLOOKUP($D115,'Modelling New'!$D:$D,'Modelling New'!$T:$T)*1000,"")</f>
        <v>22929.949138521675</v>
      </c>
      <c r="AE115" s="143">
        <f>IFERROR(_xlfn.XLOOKUP($D115,'Modelling New'!$D:$D,'Modelling New'!O:O),"")</f>
        <v>0.70671473575739119</v>
      </c>
      <c r="AF115" s="145">
        <f>IFERROR(_xlfn.XLOOKUP($D115,'Modelling New'!$D:$D,'Modelling New'!W:W),"")</f>
        <v>0.11911562884943125</v>
      </c>
      <c r="AG115" s="145">
        <f>IFERROR(_xlfn.XLOOKUP($D115,'Modelling New'!$D:$D,'Modelling New'!AE:AE),"")</f>
        <v>0.98040000000000005</v>
      </c>
      <c r="AH115" s="167">
        <f>IFERROR(_xlfn.XLOOKUP($D115,'Modelling New'!$D:$D,'Modelling New'!AF:AF),"")</f>
        <v>0.98</v>
      </c>
      <c r="AN115" s="144"/>
      <c r="AO115" s="141"/>
      <c r="AP115" s="141"/>
      <c r="AQ115" s="141"/>
      <c r="AR115" s="133">
        <f>'Basic Data'!$B$98/1000</f>
        <v>8.0208999999999993</v>
      </c>
    </row>
    <row r="116" spans="1:44" x14ac:dyDescent="0.3">
      <c r="A116" s="132">
        <f t="shared" si="7"/>
        <v>45859</v>
      </c>
      <c r="B116" s="133">
        <f>YEAR(Table13[[#This Row],[Date]])+IF(MONTH(Table13[[#This Row],[Date]])&gt;=4,1,0)</f>
        <v>2026</v>
      </c>
      <c r="C116" s="134">
        <f>YEAR(Table13[[#This Row],[Date]])</f>
        <v>2025</v>
      </c>
      <c r="D116" s="135">
        <f>Table13[[#This Row],[Date]]-DAY(Table13[[#This Row],[Date]])+1</f>
        <v>45839</v>
      </c>
      <c r="E116" s="134">
        <f t="shared" si="4"/>
        <v>31</v>
      </c>
      <c r="F116" s="136" t="str">
        <f>IFERROR(_xlfn.XLOOKUP($A116,'Raw Data'!$G:$G,'Raw Data'!$AM:$AM),"")</f>
        <v/>
      </c>
      <c r="G116" s="137" t="str">
        <f>IFERROR(_xlfn.XLOOKUP($A116,'Raw Data'!$G:$G,'Raw Data'!$AB:$AB),"")</f>
        <v/>
      </c>
      <c r="H116" s="137"/>
      <c r="I116" s="137" t="str">
        <f>IFERROR(_xlfn.XLOOKUP($A116,'Raw Data'!$G:$G,'Raw Data'!$AC:$AC),"")</f>
        <v/>
      </c>
      <c r="J116" s="137"/>
      <c r="K116" s="137" t="str">
        <f>IFERROR(_xlfn.XLOOKUP($A116,'Raw Data'!$G:$G,'Raw Data'!AD:AD),"")</f>
        <v/>
      </c>
      <c r="L116" s="137" t="str">
        <f>IFERROR(_xlfn.XLOOKUP($A116,'Raw Data'!$G:$G,'Raw Data'!AE:AE),"")</f>
        <v/>
      </c>
      <c r="M116" s="137" t="str">
        <f>IFERROR(_xlfn.XLOOKUP($A116,'Raw Data'!$G:$G,'Raw Data'!AF:AF),"")</f>
        <v/>
      </c>
      <c r="N116" s="137" t="str">
        <f>IFERROR(_xlfn.XLOOKUP($A116,'Raw Data'!$G:$G,'Raw Data'!AG:AG),"")</f>
        <v/>
      </c>
      <c r="O116" s="138" t="str">
        <f>IFERROR(1-SUMIF('Plant BD'!$H:$H,$A116,'Plant BD'!$AE:$AE)/($AA116+SUMIF('Plant BD'!$H:$H,$A116,'Plant BD'!$AE:$AE)),"")</f>
        <v/>
      </c>
      <c r="P116" s="138"/>
      <c r="Q116" s="139"/>
      <c r="R116" s="138" t="str">
        <f>IFERROR(1-SUMIF('Grid BD'!$H:$H,$A116,'Grid BD'!$AD:$AD)/($AA116+SUMIF('Grid BD'!$H:$H,$A116,'Grid BD'!$AD:$AD)),"")</f>
        <v/>
      </c>
      <c r="T116" s="139"/>
      <c r="U116" s="140" t="str">
        <f t="shared" si="5"/>
        <v/>
      </c>
      <c r="V116" s="140"/>
      <c r="W116" s="141" t="str">
        <f t="shared" si="6"/>
        <v/>
      </c>
      <c r="X116" s="133" t="str">
        <f>IFERROR(_xlfn.XLOOKUP($A116,'Raw Data'!$G:$G,'Raw Data'!AI:AI),"")</f>
        <v/>
      </c>
      <c r="Y116" s="133" t="str">
        <f>IFERROR(_xlfn.XLOOKUP($A116,'Raw Data'!$G:$G,'Raw Data'!AJ:AJ),"")</f>
        <v/>
      </c>
      <c r="Z116" s="133" t="str">
        <f>IFERROR(_xlfn.XLOOKUP($A116,'Raw Data'!$G:$G,'Raw Data'!AK:AK),"")</f>
        <v/>
      </c>
      <c r="AA116" s="133" t="str">
        <f>IFERROR(_xlfn.XLOOKUP($A116,'Raw Data'!$G:$G,'Raw Data'!AL:AL),"")</f>
        <v/>
      </c>
      <c r="AB116" s="133" t="str">
        <f>IFERROR(_xlfn.XLOOKUP($A116,'Raw Data'!$G:$G,'Raw Data'!H:H),"")</f>
        <v/>
      </c>
      <c r="AC116" s="142">
        <f>IFERROR(_xlfn.XLOOKUP($D116,'Modelling New'!$D:$D,'Modelling New'!P:P),"")</f>
        <v>4.0451612903225804</v>
      </c>
      <c r="AD116" s="133">
        <f>IFERROR(_xlfn.XLOOKUP($D116,'Modelling New'!$D:$D,'Modelling New'!$T:$T)*1000,"")</f>
        <v>22929.949138521675</v>
      </c>
      <c r="AE116" s="143">
        <f>IFERROR(_xlfn.XLOOKUP($D116,'Modelling New'!$D:$D,'Modelling New'!O:O),"")</f>
        <v>0.70671473575739119</v>
      </c>
      <c r="AF116" s="145">
        <f>IFERROR(_xlfn.XLOOKUP($D116,'Modelling New'!$D:$D,'Modelling New'!W:W),"")</f>
        <v>0.11911562884943125</v>
      </c>
      <c r="AG116" s="145">
        <f>IFERROR(_xlfn.XLOOKUP($D116,'Modelling New'!$D:$D,'Modelling New'!AE:AE),"")</f>
        <v>0.98040000000000005</v>
      </c>
      <c r="AH116" s="167">
        <f>IFERROR(_xlfn.XLOOKUP($D116,'Modelling New'!$D:$D,'Modelling New'!AF:AF),"")</f>
        <v>0.98</v>
      </c>
      <c r="AN116" s="144"/>
      <c r="AO116" s="141"/>
      <c r="AP116" s="141"/>
      <c r="AQ116" s="141"/>
      <c r="AR116" s="133">
        <f>'Basic Data'!$B$98/1000</f>
        <v>8.0208999999999993</v>
      </c>
    </row>
    <row r="117" spans="1:44" x14ac:dyDescent="0.3">
      <c r="A117" s="132">
        <f t="shared" si="7"/>
        <v>45860</v>
      </c>
      <c r="B117" s="133">
        <f>YEAR(Table13[[#This Row],[Date]])+IF(MONTH(Table13[[#This Row],[Date]])&gt;=4,1,0)</f>
        <v>2026</v>
      </c>
      <c r="C117" s="134">
        <f>YEAR(Table13[[#This Row],[Date]])</f>
        <v>2025</v>
      </c>
      <c r="D117" s="135">
        <f>Table13[[#This Row],[Date]]-DAY(Table13[[#This Row],[Date]])+1</f>
        <v>45839</v>
      </c>
      <c r="E117" s="134">
        <f t="shared" ref="E117:E180" si="8">DAY(EOMONTH(A117,0))</f>
        <v>31</v>
      </c>
      <c r="F117" s="136" t="str">
        <f>IFERROR(_xlfn.XLOOKUP($A117,'Raw Data'!$G:$G,'Raw Data'!$AM:$AM),"")</f>
        <v/>
      </c>
      <c r="G117" s="137" t="str">
        <f>IFERROR(_xlfn.XLOOKUP($A117,'Raw Data'!$G:$G,'Raw Data'!$AB:$AB),"")</f>
        <v/>
      </c>
      <c r="H117" s="137"/>
      <c r="I117" s="137" t="str">
        <f>IFERROR(_xlfn.XLOOKUP($A117,'Raw Data'!$G:$G,'Raw Data'!$AC:$AC),"")</f>
        <v/>
      </c>
      <c r="J117" s="137"/>
      <c r="K117" s="137" t="str">
        <f>IFERROR(_xlfn.XLOOKUP($A117,'Raw Data'!$G:$G,'Raw Data'!AD:AD),"")</f>
        <v/>
      </c>
      <c r="L117" s="137" t="str">
        <f>IFERROR(_xlfn.XLOOKUP($A117,'Raw Data'!$G:$G,'Raw Data'!AE:AE),"")</f>
        <v/>
      </c>
      <c r="M117" s="137" t="str">
        <f>IFERROR(_xlfn.XLOOKUP($A117,'Raw Data'!$G:$G,'Raw Data'!AF:AF),"")</f>
        <v/>
      </c>
      <c r="N117" s="137" t="str">
        <f>IFERROR(_xlfn.XLOOKUP($A117,'Raw Data'!$G:$G,'Raw Data'!AG:AG),"")</f>
        <v/>
      </c>
      <c r="O117" s="138" t="str">
        <f>IFERROR(1-SUMIF('Plant BD'!$H:$H,$A117,'Plant BD'!$AE:$AE)/($AA117+SUMIF('Plant BD'!$H:$H,$A117,'Plant BD'!$AE:$AE)),"")</f>
        <v/>
      </c>
      <c r="P117" s="138"/>
      <c r="Q117" s="139"/>
      <c r="R117" s="138" t="str">
        <f>IFERROR(1-SUMIF('Grid BD'!$H:$H,$A117,'Grid BD'!$AD:$AD)/($AA117+SUMIF('Grid BD'!$H:$H,$A117,'Grid BD'!$AD:$AD)),"")</f>
        <v/>
      </c>
      <c r="T117" s="139"/>
      <c r="U117" s="140" t="str">
        <f t="shared" ref="U117:U180" si="9">IFERROR(AA117/I117/AB117/1000,"")</f>
        <v/>
      </c>
      <c r="V117" s="140"/>
      <c r="W117" s="141" t="str">
        <f t="shared" ref="W117:W180" si="10">IFERROR(AA117/(24*AB117*1000),"")</f>
        <v/>
      </c>
      <c r="X117" s="133" t="str">
        <f>IFERROR(_xlfn.XLOOKUP($A117,'Raw Data'!$G:$G,'Raw Data'!AI:AI),"")</f>
        <v/>
      </c>
      <c r="Y117" s="133" t="str">
        <f>IFERROR(_xlfn.XLOOKUP($A117,'Raw Data'!$G:$G,'Raw Data'!AJ:AJ),"")</f>
        <v/>
      </c>
      <c r="Z117" s="133" t="str">
        <f>IFERROR(_xlfn.XLOOKUP($A117,'Raw Data'!$G:$G,'Raw Data'!AK:AK),"")</f>
        <v/>
      </c>
      <c r="AA117" s="133" t="str">
        <f>IFERROR(_xlfn.XLOOKUP($A117,'Raw Data'!$G:$G,'Raw Data'!AL:AL),"")</f>
        <v/>
      </c>
      <c r="AB117" s="133" t="str">
        <f>IFERROR(_xlfn.XLOOKUP($A117,'Raw Data'!$G:$G,'Raw Data'!H:H),"")</f>
        <v/>
      </c>
      <c r="AC117" s="142">
        <f>IFERROR(_xlfn.XLOOKUP($D117,'Modelling New'!$D:$D,'Modelling New'!P:P),"")</f>
        <v>4.0451612903225804</v>
      </c>
      <c r="AD117" s="133">
        <f>IFERROR(_xlfn.XLOOKUP($D117,'Modelling New'!$D:$D,'Modelling New'!$T:$T)*1000,"")</f>
        <v>22929.949138521675</v>
      </c>
      <c r="AE117" s="143">
        <f>IFERROR(_xlfn.XLOOKUP($D117,'Modelling New'!$D:$D,'Modelling New'!O:O),"")</f>
        <v>0.70671473575739119</v>
      </c>
      <c r="AF117" s="145">
        <f>IFERROR(_xlfn.XLOOKUP($D117,'Modelling New'!$D:$D,'Modelling New'!W:W),"")</f>
        <v>0.11911562884943125</v>
      </c>
      <c r="AG117" s="145">
        <f>IFERROR(_xlfn.XLOOKUP($D117,'Modelling New'!$D:$D,'Modelling New'!AE:AE),"")</f>
        <v>0.98040000000000005</v>
      </c>
      <c r="AH117" s="167">
        <f>IFERROR(_xlfn.XLOOKUP($D117,'Modelling New'!$D:$D,'Modelling New'!AF:AF),"")</f>
        <v>0.98</v>
      </c>
      <c r="AN117" s="144"/>
      <c r="AO117" s="141"/>
      <c r="AP117" s="141"/>
      <c r="AQ117" s="141"/>
      <c r="AR117" s="133">
        <f>'Basic Data'!$B$98/1000</f>
        <v>8.0208999999999993</v>
      </c>
    </row>
    <row r="118" spans="1:44" x14ac:dyDescent="0.3">
      <c r="A118" s="132">
        <f t="shared" ref="A118:A181" si="11">A117+1</f>
        <v>45861</v>
      </c>
      <c r="B118" s="133">
        <f>YEAR(Table13[[#This Row],[Date]])+IF(MONTH(Table13[[#This Row],[Date]])&gt;=4,1,0)</f>
        <v>2026</v>
      </c>
      <c r="C118" s="134">
        <f>YEAR(Table13[[#This Row],[Date]])</f>
        <v>2025</v>
      </c>
      <c r="D118" s="135">
        <f>Table13[[#This Row],[Date]]-DAY(Table13[[#This Row],[Date]])+1</f>
        <v>45839</v>
      </c>
      <c r="E118" s="134">
        <f t="shared" si="8"/>
        <v>31</v>
      </c>
      <c r="F118" s="136" t="str">
        <f>IFERROR(_xlfn.XLOOKUP($A118,'Raw Data'!$G:$G,'Raw Data'!$AM:$AM),"")</f>
        <v/>
      </c>
      <c r="G118" s="137" t="str">
        <f>IFERROR(_xlfn.XLOOKUP($A118,'Raw Data'!$G:$G,'Raw Data'!$AB:$AB),"")</f>
        <v/>
      </c>
      <c r="H118" s="137"/>
      <c r="I118" s="137" t="str">
        <f>IFERROR(_xlfn.XLOOKUP($A118,'Raw Data'!$G:$G,'Raw Data'!$AC:$AC),"")</f>
        <v/>
      </c>
      <c r="J118" s="137"/>
      <c r="K118" s="137" t="str">
        <f>IFERROR(_xlfn.XLOOKUP($A118,'Raw Data'!$G:$G,'Raw Data'!AD:AD),"")</f>
        <v/>
      </c>
      <c r="L118" s="137" t="str">
        <f>IFERROR(_xlfn.XLOOKUP($A118,'Raw Data'!$G:$G,'Raw Data'!AE:AE),"")</f>
        <v/>
      </c>
      <c r="M118" s="137" t="str">
        <f>IFERROR(_xlfn.XLOOKUP($A118,'Raw Data'!$G:$G,'Raw Data'!AF:AF),"")</f>
        <v/>
      </c>
      <c r="N118" s="137" t="str">
        <f>IFERROR(_xlfn.XLOOKUP($A118,'Raw Data'!$G:$G,'Raw Data'!AG:AG),"")</f>
        <v/>
      </c>
      <c r="O118" s="138" t="str">
        <f>IFERROR(1-SUMIF('Plant BD'!$H:$H,$A118,'Plant BD'!$AE:$AE)/($AA118+SUMIF('Plant BD'!$H:$H,$A118,'Plant BD'!$AE:$AE)),"")</f>
        <v/>
      </c>
      <c r="P118" s="138"/>
      <c r="Q118" s="139"/>
      <c r="R118" s="138" t="str">
        <f>IFERROR(1-SUMIF('Grid BD'!$H:$H,$A118,'Grid BD'!$AD:$AD)/($AA118+SUMIF('Grid BD'!$H:$H,$A118,'Grid BD'!$AD:$AD)),"")</f>
        <v/>
      </c>
      <c r="T118" s="139"/>
      <c r="U118" s="140" t="str">
        <f t="shared" si="9"/>
        <v/>
      </c>
      <c r="V118" s="140"/>
      <c r="W118" s="141" t="str">
        <f t="shared" si="10"/>
        <v/>
      </c>
      <c r="X118" s="133" t="str">
        <f>IFERROR(_xlfn.XLOOKUP($A118,'Raw Data'!$G:$G,'Raw Data'!AI:AI),"")</f>
        <v/>
      </c>
      <c r="Y118" s="133" t="str">
        <f>IFERROR(_xlfn.XLOOKUP($A118,'Raw Data'!$G:$G,'Raw Data'!AJ:AJ),"")</f>
        <v/>
      </c>
      <c r="Z118" s="133" t="str">
        <f>IFERROR(_xlfn.XLOOKUP($A118,'Raw Data'!$G:$G,'Raw Data'!AK:AK),"")</f>
        <v/>
      </c>
      <c r="AA118" s="133" t="str">
        <f>IFERROR(_xlfn.XLOOKUP($A118,'Raw Data'!$G:$G,'Raw Data'!AL:AL),"")</f>
        <v/>
      </c>
      <c r="AB118" s="133" t="str">
        <f>IFERROR(_xlfn.XLOOKUP($A118,'Raw Data'!$G:$G,'Raw Data'!H:H),"")</f>
        <v/>
      </c>
      <c r="AC118" s="142">
        <f>IFERROR(_xlfn.XLOOKUP($D118,'Modelling New'!$D:$D,'Modelling New'!P:P),"")</f>
        <v>4.0451612903225804</v>
      </c>
      <c r="AD118" s="133">
        <f>IFERROR(_xlfn.XLOOKUP($D118,'Modelling New'!$D:$D,'Modelling New'!$T:$T)*1000,"")</f>
        <v>22929.949138521675</v>
      </c>
      <c r="AE118" s="143">
        <f>IFERROR(_xlfn.XLOOKUP($D118,'Modelling New'!$D:$D,'Modelling New'!O:O),"")</f>
        <v>0.70671473575739119</v>
      </c>
      <c r="AF118" s="145">
        <f>IFERROR(_xlfn.XLOOKUP($D118,'Modelling New'!$D:$D,'Modelling New'!W:W),"")</f>
        <v>0.11911562884943125</v>
      </c>
      <c r="AG118" s="145">
        <f>IFERROR(_xlfn.XLOOKUP($D118,'Modelling New'!$D:$D,'Modelling New'!AE:AE),"")</f>
        <v>0.98040000000000005</v>
      </c>
      <c r="AH118" s="167">
        <f>IFERROR(_xlfn.XLOOKUP($D118,'Modelling New'!$D:$D,'Modelling New'!AF:AF),"")</f>
        <v>0.98</v>
      </c>
      <c r="AN118" s="144"/>
      <c r="AO118" s="141"/>
      <c r="AP118" s="141"/>
      <c r="AQ118" s="141"/>
      <c r="AR118" s="133">
        <f>'Basic Data'!$B$98/1000</f>
        <v>8.0208999999999993</v>
      </c>
    </row>
    <row r="119" spans="1:44" x14ac:dyDescent="0.3">
      <c r="A119" s="132">
        <f t="shared" si="11"/>
        <v>45862</v>
      </c>
      <c r="B119" s="133">
        <f>YEAR(Table13[[#This Row],[Date]])+IF(MONTH(Table13[[#This Row],[Date]])&gt;=4,1,0)</f>
        <v>2026</v>
      </c>
      <c r="C119" s="134">
        <f>YEAR(Table13[[#This Row],[Date]])</f>
        <v>2025</v>
      </c>
      <c r="D119" s="135">
        <f>Table13[[#This Row],[Date]]-DAY(Table13[[#This Row],[Date]])+1</f>
        <v>45839</v>
      </c>
      <c r="E119" s="134">
        <f t="shared" si="8"/>
        <v>31</v>
      </c>
      <c r="F119" s="136" t="str">
        <f>IFERROR(_xlfn.XLOOKUP($A119,'Raw Data'!$G:$G,'Raw Data'!$AM:$AM),"")</f>
        <v/>
      </c>
      <c r="G119" s="137" t="str">
        <f>IFERROR(_xlfn.XLOOKUP($A119,'Raw Data'!$G:$G,'Raw Data'!$AB:$AB),"")</f>
        <v/>
      </c>
      <c r="H119" s="137"/>
      <c r="I119" s="137" t="str">
        <f>IFERROR(_xlfn.XLOOKUP($A119,'Raw Data'!$G:$G,'Raw Data'!$AC:$AC),"")</f>
        <v/>
      </c>
      <c r="J119" s="137"/>
      <c r="K119" s="137" t="str">
        <f>IFERROR(_xlfn.XLOOKUP($A119,'Raw Data'!$G:$G,'Raw Data'!AD:AD),"")</f>
        <v/>
      </c>
      <c r="L119" s="137" t="str">
        <f>IFERROR(_xlfn.XLOOKUP($A119,'Raw Data'!$G:$G,'Raw Data'!AE:AE),"")</f>
        <v/>
      </c>
      <c r="M119" s="137" t="str">
        <f>IFERROR(_xlfn.XLOOKUP($A119,'Raw Data'!$G:$G,'Raw Data'!AF:AF),"")</f>
        <v/>
      </c>
      <c r="N119" s="137" t="str">
        <f>IFERROR(_xlfn.XLOOKUP($A119,'Raw Data'!$G:$G,'Raw Data'!AG:AG),"")</f>
        <v/>
      </c>
      <c r="O119" s="138" t="str">
        <f>IFERROR(1-SUMIF('Plant BD'!$H:$H,$A119,'Plant BD'!$AE:$AE)/($AA119+SUMIF('Plant BD'!$H:$H,$A119,'Plant BD'!$AE:$AE)),"")</f>
        <v/>
      </c>
      <c r="P119" s="138"/>
      <c r="Q119" s="139"/>
      <c r="R119" s="138" t="str">
        <f>IFERROR(1-SUMIF('Grid BD'!$H:$H,$A119,'Grid BD'!$AD:$AD)/($AA119+SUMIF('Grid BD'!$H:$H,$A119,'Grid BD'!$AD:$AD)),"")</f>
        <v/>
      </c>
      <c r="T119" s="139"/>
      <c r="U119" s="140" t="str">
        <f t="shared" si="9"/>
        <v/>
      </c>
      <c r="V119" s="140"/>
      <c r="W119" s="141" t="str">
        <f t="shared" si="10"/>
        <v/>
      </c>
      <c r="X119" s="133" t="str">
        <f>IFERROR(_xlfn.XLOOKUP($A119,'Raw Data'!$G:$G,'Raw Data'!AI:AI),"")</f>
        <v/>
      </c>
      <c r="Y119" s="133" t="str">
        <f>IFERROR(_xlfn.XLOOKUP($A119,'Raw Data'!$G:$G,'Raw Data'!AJ:AJ),"")</f>
        <v/>
      </c>
      <c r="Z119" s="133" t="str">
        <f>IFERROR(_xlfn.XLOOKUP($A119,'Raw Data'!$G:$G,'Raw Data'!AK:AK),"")</f>
        <v/>
      </c>
      <c r="AA119" s="133" t="str">
        <f>IFERROR(_xlfn.XLOOKUP($A119,'Raw Data'!$G:$G,'Raw Data'!AL:AL),"")</f>
        <v/>
      </c>
      <c r="AB119" s="133" t="str">
        <f>IFERROR(_xlfn.XLOOKUP($A119,'Raw Data'!$G:$G,'Raw Data'!H:H),"")</f>
        <v/>
      </c>
      <c r="AC119" s="142">
        <f>IFERROR(_xlfn.XLOOKUP($D119,'Modelling New'!$D:$D,'Modelling New'!P:P),"")</f>
        <v>4.0451612903225804</v>
      </c>
      <c r="AD119" s="133">
        <f>IFERROR(_xlfn.XLOOKUP($D119,'Modelling New'!$D:$D,'Modelling New'!$T:$T)*1000,"")</f>
        <v>22929.949138521675</v>
      </c>
      <c r="AE119" s="143">
        <f>IFERROR(_xlfn.XLOOKUP($D119,'Modelling New'!$D:$D,'Modelling New'!O:O),"")</f>
        <v>0.70671473575739119</v>
      </c>
      <c r="AF119" s="145">
        <f>IFERROR(_xlfn.XLOOKUP($D119,'Modelling New'!$D:$D,'Modelling New'!W:W),"")</f>
        <v>0.11911562884943125</v>
      </c>
      <c r="AG119" s="145">
        <f>IFERROR(_xlfn.XLOOKUP($D119,'Modelling New'!$D:$D,'Modelling New'!AE:AE),"")</f>
        <v>0.98040000000000005</v>
      </c>
      <c r="AH119" s="167">
        <f>IFERROR(_xlfn.XLOOKUP($D119,'Modelling New'!$D:$D,'Modelling New'!AF:AF),"")</f>
        <v>0.98</v>
      </c>
      <c r="AN119" s="144"/>
      <c r="AO119" s="141"/>
      <c r="AP119" s="141"/>
      <c r="AQ119" s="141"/>
      <c r="AR119" s="133">
        <f>'Basic Data'!$B$98/1000</f>
        <v>8.0208999999999993</v>
      </c>
    </row>
    <row r="120" spans="1:44" x14ac:dyDescent="0.3">
      <c r="A120" s="132">
        <f t="shared" si="11"/>
        <v>45863</v>
      </c>
      <c r="B120" s="133">
        <f>YEAR(Table13[[#This Row],[Date]])+IF(MONTH(Table13[[#This Row],[Date]])&gt;=4,1,0)</f>
        <v>2026</v>
      </c>
      <c r="C120" s="134">
        <f>YEAR(Table13[[#This Row],[Date]])</f>
        <v>2025</v>
      </c>
      <c r="D120" s="135">
        <f>Table13[[#This Row],[Date]]-DAY(Table13[[#This Row],[Date]])+1</f>
        <v>45839</v>
      </c>
      <c r="E120" s="134">
        <f t="shared" si="8"/>
        <v>31</v>
      </c>
      <c r="F120" s="136" t="str">
        <f>IFERROR(_xlfn.XLOOKUP($A120,'Raw Data'!$G:$G,'Raw Data'!$AM:$AM),"")</f>
        <v/>
      </c>
      <c r="G120" s="137" t="str">
        <f>IFERROR(_xlfn.XLOOKUP($A120,'Raw Data'!$G:$G,'Raw Data'!$AB:$AB),"")</f>
        <v/>
      </c>
      <c r="H120" s="137"/>
      <c r="I120" s="137" t="str">
        <f>IFERROR(_xlfn.XLOOKUP($A120,'Raw Data'!$G:$G,'Raw Data'!$AC:$AC),"")</f>
        <v/>
      </c>
      <c r="J120" s="137"/>
      <c r="K120" s="137" t="str">
        <f>IFERROR(_xlfn.XLOOKUP($A120,'Raw Data'!$G:$G,'Raw Data'!AD:AD),"")</f>
        <v/>
      </c>
      <c r="L120" s="137" t="str">
        <f>IFERROR(_xlfn.XLOOKUP($A120,'Raw Data'!$G:$G,'Raw Data'!AE:AE),"")</f>
        <v/>
      </c>
      <c r="M120" s="137" t="str">
        <f>IFERROR(_xlfn.XLOOKUP($A120,'Raw Data'!$G:$G,'Raw Data'!AF:AF),"")</f>
        <v/>
      </c>
      <c r="N120" s="137" t="str">
        <f>IFERROR(_xlfn.XLOOKUP($A120,'Raw Data'!$G:$G,'Raw Data'!AG:AG),"")</f>
        <v/>
      </c>
      <c r="O120" s="138" t="str">
        <f>IFERROR(1-SUMIF('Plant BD'!$H:$H,$A120,'Plant BD'!$AE:$AE)/($AA120+SUMIF('Plant BD'!$H:$H,$A120,'Plant BD'!$AE:$AE)),"")</f>
        <v/>
      </c>
      <c r="P120" s="138"/>
      <c r="Q120" s="139"/>
      <c r="R120" s="138" t="str">
        <f>IFERROR(1-SUMIF('Grid BD'!$H:$H,$A120,'Grid BD'!$AD:$AD)/($AA120+SUMIF('Grid BD'!$H:$H,$A120,'Grid BD'!$AD:$AD)),"")</f>
        <v/>
      </c>
      <c r="T120" s="139"/>
      <c r="U120" s="140" t="str">
        <f t="shared" si="9"/>
        <v/>
      </c>
      <c r="V120" s="140"/>
      <c r="W120" s="141" t="str">
        <f t="shared" si="10"/>
        <v/>
      </c>
      <c r="X120" s="133" t="str">
        <f>IFERROR(_xlfn.XLOOKUP($A120,'Raw Data'!$G:$G,'Raw Data'!AI:AI),"")</f>
        <v/>
      </c>
      <c r="Y120" s="133" t="str">
        <f>IFERROR(_xlfn.XLOOKUP($A120,'Raw Data'!$G:$G,'Raw Data'!AJ:AJ),"")</f>
        <v/>
      </c>
      <c r="Z120" s="133" t="str">
        <f>IFERROR(_xlfn.XLOOKUP($A120,'Raw Data'!$G:$G,'Raw Data'!AK:AK),"")</f>
        <v/>
      </c>
      <c r="AA120" s="133" t="str">
        <f>IFERROR(_xlfn.XLOOKUP($A120,'Raw Data'!$G:$G,'Raw Data'!AL:AL),"")</f>
        <v/>
      </c>
      <c r="AB120" s="133" t="str">
        <f>IFERROR(_xlfn.XLOOKUP($A120,'Raw Data'!$G:$G,'Raw Data'!H:H),"")</f>
        <v/>
      </c>
      <c r="AC120" s="142">
        <f>IFERROR(_xlfn.XLOOKUP($D120,'Modelling New'!$D:$D,'Modelling New'!P:P),"")</f>
        <v>4.0451612903225804</v>
      </c>
      <c r="AD120" s="133">
        <f>IFERROR(_xlfn.XLOOKUP($D120,'Modelling New'!$D:$D,'Modelling New'!$T:$T)*1000,"")</f>
        <v>22929.949138521675</v>
      </c>
      <c r="AE120" s="143">
        <f>IFERROR(_xlfn.XLOOKUP($D120,'Modelling New'!$D:$D,'Modelling New'!O:O),"")</f>
        <v>0.70671473575739119</v>
      </c>
      <c r="AF120" s="145">
        <f>IFERROR(_xlfn.XLOOKUP($D120,'Modelling New'!$D:$D,'Modelling New'!W:W),"")</f>
        <v>0.11911562884943125</v>
      </c>
      <c r="AG120" s="145">
        <f>IFERROR(_xlfn.XLOOKUP($D120,'Modelling New'!$D:$D,'Modelling New'!AE:AE),"")</f>
        <v>0.98040000000000005</v>
      </c>
      <c r="AH120" s="167">
        <f>IFERROR(_xlfn.XLOOKUP($D120,'Modelling New'!$D:$D,'Modelling New'!AF:AF),"")</f>
        <v>0.98</v>
      </c>
      <c r="AN120" s="144"/>
      <c r="AO120" s="141"/>
      <c r="AP120" s="141"/>
      <c r="AQ120" s="141"/>
      <c r="AR120" s="133">
        <f>'Basic Data'!$B$98/1000</f>
        <v>8.0208999999999993</v>
      </c>
    </row>
    <row r="121" spans="1:44" x14ac:dyDescent="0.3">
      <c r="A121" s="132">
        <f t="shared" si="11"/>
        <v>45864</v>
      </c>
      <c r="B121" s="133">
        <f>YEAR(Table13[[#This Row],[Date]])+IF(MONTH(Table13[[#This Row],[Date]])&gt;=4,1,0)</f>
        <v>2026</v>
      </c>
      <c r="C121" s="134">
        <f>YEAR(Table13[[#This Row],[Date]])</f>
        <v>2025</v>
      </c>
      <c r="D121" s="135">
        <f>Table13[[#This Row],[Date]]-DAY(Table13[[#This Row],[Date]])+1</f>
        <v>45839</v>
      </c>
      <c r="E121" s="134">
        <f t="shared" si="8"/>
        <v>31</v>
      </c>
      <c r="F121" s="136" t="str">
        <f>IFERROR(_xlfn.XLOOKUP($A121,'Raw Data'!$G:$G,'Raw Data'!$AM:$AM),"")</f>
        <v/>
      </c>
      <c r="G121" s="137" t="str">
        <f>IFERROR(_xlfn.XLOOKUP($A121,'Raw Data'!$G:$G,'Raw Data'!$AB:$AB),"")</f>
        <v/>
      </c>
      <c r="H121" s="137"/>
      <c r="I121" s="137" t="str">
        <f>IFERROR(_xlfn.XLOOKUP($A121,'Raw Data'!$G:$G,'Raw Data'!$AC:$AC),"")</f>
        <v/>
      </c>
      <c r="J121" s="137"/>
      <c r="K121" s="137" t="str">
        <f>IFERROR(_xlfn.XLOOKUP($A121,'Raw Data'!$G:$G,'Raw Data'!AD:AD),"")</f>
        <v/>
      </c>
      <c r="L121" s="137" t="str">
        <f>IFERROR(_xlfn.XLOOKUP($A121,'Raw Data'!$G:$G,'Raw Data'!AE:AE),"")</f>
        <v/>
      </c>
      <c r="M121" s="137" t="str">
        <f>IFERROR(_xlfn.XLOOKUP($A121,'Raw Data'!$G:$G,'Raw Data'!AF:AF),"")</f>
        <v/>
      </c>
      <c r="N121" s="137" t="str">
        <f>IFERROR(_xlfn.XLOOKUP($A121,'Raw Data'!$G:$G,'Raw Data'!AG:AG),"")</f>
        <v/>
      </c>
      <c r="O121" s="138" t="str">
        <f>IFERROR(1-SUMIF('Plant BD'!$H:$H,$A121,'Plant BD'!$AE:$AE)/($AA121+SUMIF('Plant BD'!$H:$H,$A121,'Plant BD'!$AE:$AE)),"")</f>
        <v/>
      </c>
      <c r="P121" s="138"/>
      <c r="Q121" s="139"/>
      <c r="R121" s="138" t="str">
        <f>IFERROR(1-SUMIF('Grid BD'!$H:$H,$A121,'Grid BD'!$AD:$AD)/($AA121+SUMIF('Grid BD'!$H:$H,$A121,'Grid BD'!$AD:$AD)),"")</f>
        <v/>
      </c>
      <c r="T121" s="139"/>
      <c r="U121" s="140" t="str">
        <f t="shared" si="9"/>
        <v/>
      </c>
      <c r="V121" s="140"/>
      <c r="W121" s="141" t="str">
        <f t="shared" si="10"/>
        <v/>
      </c>
      <c r="X121" s="133" t="str">
        <f>IFERROR(_xlfn.XLOOKUP($A121,'Raw Data'!$G:$G,'Raw Data'!AI:AI),"")</f>
        <v/>
      </c>
      <c r="Y121" s="133" t="str">
        <f>IFERROR(_xlfn.XLOOKUP($A121,'Raw Data'!$G:$G,'Raw Data'!AJ:AJ),"")</f>
        <v/>
      </c>
      <c r="Z121" s="133" t="str">
        <f>IFERROR(_xlfn.XLOOKUP($A121,'Raw Data'!$G:$G,'Raw Data'!AK:AK),"")</f>
        <v/>
      </c>
      <c r="AA121" s="133" t="str">
        <f>IFERROR(_xlfn.XLOOKUP($A121,'Raw Data'!$G:$G,'Raw Data'!AL:AL),"")</f>
        <v/>
      </c>
      <c r="AB121" s="133" t="str">
        <f>IFERROR(_xlfn.XLOOKUP($A121,'Raw Data'!$G:$G,'Raw Data'!H:H),"")</f>
        <v/>
      </c>
      <c r="AC121" s="142">
        <f>IFERROR(_xlfn.XLOOKUP($D121,'Modelling New'!$D:$D,'Modelling New'!P:P),"")</f>
        <v>4.0451612903225804</v>
      </c>
      <c r="AD121" s="133">
        <f>IFERROR(_xlfn.XLOOKUP($D121,'Modelling New'!$D:$D,'Modelling New'!$T:$T)*1000,"")</f>
        <v>22929.949138521675</v>
      </c>
      <c r="AE121" s="143">
        <f>IFERROR(_xlfn.XLOOKUP($D121,'Modelling New'!$D:$D,'Modelling New'!O:O),"")</f>
        <v>0.70671473575739119</v>
      </c>
      <c r="AF121" s="145">
        <f>IFERROR(_xlfn.XLOOKUP($D121,'Modelling New'!$D:$D,'Modelling New'!W:W),"")</f>
        <v>0.11911562884943125</v>
      </c>
      <c r="AG121" s="145">
        <f>IFERROR(_xlfn.XLOOKUP($D121,'Modelling New'!$D:$D,'Modelling New'!AE:AE),"")</f>
        <v>0.98040000000000005</v>
      </c>
      <c r="AH121" s="167">
        <f>IFERROR(_xlfn.XLOOKUP($D121,'Modelling New'!$D:$D,'Modelling New'!AF:AF),"")</f>
        <v>0.98</v>
      </c>
      <c r="AN121" s="144"/>
      <c r="AO121" s="141"/>
      <c r="AP121" s="141"/>
      <c r="AQ121" s="141"/>
      <c r="AR121" s="133">
        <f>'Basic Data'!$B$98/1000</f>
        <v>8.0208999999999993</v>
      </c>
    </row>
    <row r="122" spans="1:44" x14ac:dyDescent="0.3">
      <c r="A122" s="132">
        <f t="shared" si="11"/>
        <v>45865</v>
      </c>
      <c r="B122" s="133">
        <f>YEAR(Table13[[#This Row],[Date]])+IF(MONTH(Table13[[#This Row],[Date]])&gt;=4,1,0)</f>
        <v>2026</v>
      </c>
      <c r="C122" s="134">
        <f>YEAR(Table13[[#This Row],[Date]])</f>
        <v>2025</v>
      </c>
      <c r="D122" s="135">
        <f>Table13[[#This Row],[Date]]-DAY(Table13[[#This Row],[Date]])+1</f>
        <v>45839</v>
      </c>
      <c r="E122" s="134">
        <f t="shared" si="8"/>
        <v>31</v>
      </c>
      <c r="F122" s="136" t="str">
        <f>IFERROR(_xlfn.XLOOKUP($A122,'Raw Data'!$G:$G,'Raw Data'!$AM:$AM),"")</f>
        <v/>
      </c>
      <c r="G122" s="137" t="str">
        <f>IFERROR(_xlfn.XLOOKUP($A122,'Raw Data'!$G:$G,'Raw Data'!$AB:$AB),"")</f>
        <v/>
      </c>
      <c r="H122" s="137"/>
      <c r="I122" s="137" t="str">
        <f>IFERROR(_xlfn.XLOOKUP($A122,'Raw Data'!$G:$G,'Raw Data'!$AC:$AC),"")</f>
        <v/>
      </c>
      <c r="J122" s="137"/>
      <c r="K122" s="137" t="str">
        <f>IFERROR(_xlfn.XLOOKUP($A122,'Raw Data'!$G:$G,'Raw Data'!AD:AD),"")</f>
        <v/>
      </c>
      <c r="L122" s="137" t="str">
        <f>IFERROR(_xlfn.XLOOKUP($A122,'Raw Data'!$G:$G,'Raw Data'!AE:AE),"")</f>
        <v/>
      </c>
      <c r="M122" s="137" t="str">
        <f>IFERROR(_xlfn.XLOOKUP($A122,'Raw Data'!$G:$G,'Raw Data'!AF:AF),"")</f>
        <v/>
      </c>
      <c r="N122" s="137" t="str">
        <f>IFERROR(_xlfn.XLOOKUP($A122,'Raw Data'!$G:$G,'Raw Data'!AG:AG),"")</f>
        <v/>
      </c>
      <c r="O122" s="138" t="str">
        <f>IFERROR(1-SUMIF('Plant BD'!$H:$H,$A122,'Plant BD'!$AE:$AE)/($AA122+SUMIF('Plant BD'!$H:$H,$A122,'Plant BD'!$AE:$AE)),"")</f>
        <v/>
      </c>
      <c r="P122" s="138"/>
      <c r="Q122" s="139"/>
      <c r="R122" s="138" t="str">
        <f>IFERROR(1-SUMIF('Grid BD'!$H:$H,$A122,'Grid BD'!$AD:$AD)/($AA122+SUMIF('Grid BD'!$H:$H,$A122,'Grid BD'!$AD:$AD)),"")</f>
        <v/>
      </c>
      <c r="T122" s="139"/>
      <c r="U122" s="140" t="str">
        <f t="shared" si="9"/>
        <v/>
      </c>
      <c r="V122" s="140"/>
      <c r="W122" s="141" t="str">
        <f t="shared" si="10"/>
        <v/>
      </c>
      <c r="X122" s="133" t="str">
        <f>IFERROR(_xlfn.XLOOKUP($A122,'Raw Data'!$G:$G,'Raw Data'!AI:AI),"")</f>
        <v/>
      </c>
      <c r="Y122" s="133" t="str">
        <f>IFERROR(_xlfn.XLOOKUP($A122,'Raw Data'!$G:$G,'Raw Data'!AJ:AJ),"")</f>
        <v/>
      </c>
      <c r="Z122" s="133" t="str">
        <f>IFERROR(_xlfn.XLOOKUP($A122,'Raw Data'!$G:$G,'Raw Data'!AK:AK),"")</f>
        <v/>
      </c>
      <c r="AA122" s="133" t="str">
        <f>IFERROR(_xlfn.XLOOKUP($A122,'Raw Data'!$G:$G,'Raw Data'!AL:AL),"")</f>
        <v/>
      </c>
      <c r="AB122" s="133" t="str">
        <f>IFERROR(_xlfn.XLOOKUP($A122,'Raw Data'!$G:$G,'Raw Data'!H:H),"")</f>
        <v/>
      </c>
      <c r="AC122" s="142">
        <f>IFERROR(_xlfn.XLOOKUP($D122,'Modelling New'!$D:$D,'Modelling New'!P:P),"")</f>
        <v>4.0451612903225804</v>
      </c>
      <c r="AD122" s="133">
        <f>IFERROR(_xlfn.XLOOKUP($D122,'Modelling New'!$D:$D,'Modelling New'!$T:$T)*1000,"")</f>
        <v>22929.949138521675</v>
      </c>
      <c r="AE122" s="143">
        <f>IFERROR(_xlfn.XLOOKUP($D122,'Modelling New'!$D:$D,'Modelling New'!O:O),"")</f>
        <v>0.70671473575739119</v>
      </c>
      <c r="AF122" s="145">
        <f>IFERROR(_xlfn.XLOOKUP($D122,'Modelling New'!$D:$D,'Modelling New'!W:W),"")</f>
        <v>0.11911562884943125</v>
      </c>
      <c r="AG122" s="145">
        <f>IFERROR(_xlfn.XLOOKUP($D122,'Modelling New'!$D:$D,'Modelling New'!AE:AE),"")</f>
        <v>0.98040000000000005</v>
      </c>
      <c r="AH122" s="167">
        <f>IFERROR(_xlfn.XLOOKUP($D122,'Modelling New'!$D:$D,'Modelling New'!AF:AF),"")</f>
        <v>0.98</v>
      </c>
      <c r="AN122" s="144"/>
      <c r="AO122" s="141"/>
      <c r="AP122" s="141"/>
      <c r="AQ122" s="141"/>
      <c r="AR122" s="133">
        <f>'Basic Data'!$B$98/1000</f>
        <v>8.0208999999999993</v>
      </c>
    </row>
    <row r="123" spans="1:44" x14ac:dyDescent="0.3">
      <c r="A123" s="132">
        <f t="shared" si="11"/>
        <v>45866</v>
      </c>
      <c r="B123" s="133">
        <f>YEAR(Table13[[#This Row],[Date]])+IF(MONTH(Table13[[#This Row],[Date]])&gt;=4,1,0)</f>
        <v>2026</v>
      </c>
      <c r="C123" s="134">
        <f>YEAR(Table13[[#This Row],[Date]])</f>
        <v>2025</v>
      </c>
      <c r="D123" s="135">
        <f>Table13[[#This Row],[Date]]-DAY(Table13[[#This Row],[Date]])+1</f>
        <v>45839</v>
      </c>
      <c r="E123" s="134">
        <f t="shared" si="8"/>
        <v>31</v>
      </c>
      <c r="F123" s="136" t="str">
        <f>IFERROR(_xlfn.XLOOKUP($A123,'Raw Data'!$G:$G,'Raw Data'!$AM:$AM),"")</f>
        <v/>
      </c>
      <c r="G123" s="137" t="str">
        <f>IFERROR(_xlfn.XLOOKUP($A123,'Raw Data'!$G:$G,'Raw Data'!$AB:$AB),"")</f>
        <v/>
      </c>
      <c r="H123" s="137"/>
      <c r="I123" s="137" t="str">
        <f>IFERROR(_xlfn.XLOOKUP($A123,'Raw Data'!$G:$G,'Raw Data'!$AC:$AC),"")</f>
        <v/>
      </c>
      <c r="J123" s="137"/>
      <c r="K123" s="137" t="str">
        <f>IFERROR(_xlfn.XLOOKUP($A123,'Raw Data'!$G:$G,'Raw Data'!AD:AD),"")</f>
        <v/>
      </c>
      <c r="L123" s="137" t="str">
        <f>IFERROR(_xlfn.XLOOKUP($A123,'Raw Data'!$G:$G,'Raw Data'!AE:AE),"")</f>
        <v/>
      </c>
      <c r="M123" s="137" t="str">
        <f>IFERROR(_xlfn.XLOOKUP($A123,'Raw Data'!$G:$G,'Raw Data'!AF:AF),"")</f>
        <v/>
      </c>
      <c r="N123" s="137" t="str">
        <f>IFERROR(_xlfn.XLOOKUP($A123,'Raw Data'!$G:$G,'Raw Data'!AG:AG),"")</f>
        <v/>
      </c>
      <c r="O123" s="138" t="str">
        <f>IFERROR(1-SUMIF('Plant BD'!$H:$H,$A123,'Plant BD'!$AE:$AE)/($AA123+SUMIF('Plant BD'!$H:$H,$A123,'Plant BD'!$AE:$AE)),"")</f>
        <v/>
      </c>
      <c r="P123" s="138"/>
      <c r="Q123" s="139"/>
      <c r="R123" s="138" t="str">
        <f>IFERROR(1-SUMIF('Grid BD'!$H:$H,$A123,'Grid BD'!$AD:$AD)/($AA123+SUMIF('Grid BD'!$H:$H,$A123,'Grid BD'!$AD:$AD)),"")</f>
        <v/>
      </c>
      <c r="T123" s="139"/>
      <c r="U123" s="140" t="str">
        <f t="shared" si="9"/>
        <v/>
      </c>
      <c r="V123" s="140"/>
      <c r="W123" s="141" t="str">
        <f t="shared" si="10"/>
        <v/>
      </c>
      <c r="X123" s="133" t="str">
        <f>IFERROR(_xlfn.XLOOKUP($A123,'Raw Data'!$G:$G,'Raw Data'!AI:AI),"")</f>
        <v/>
      </c>
      <c r="Y123" s="133" t="str">
        <f>IFERROR(_xlfn.XLOOKUP($A123,'Raw Data'!$G:$G,'Raw Data'!AJ:AJ),"")</f>
        <v/>
      </c>
      <c r="Z123" s="133" t="str">
        <f>IFERROR(_xlfn.XLOOKUP($A123,'Raw Data'!$G:$G,'Raw Data'!AK:AK),"")</f>
        <v/>
      </c>
      <c r="AA123" s="133" t="str">
        <f>IFERROR(_xlfn.XLOOKUP($A123,'Raw Data'!$G:$G,'Raw Data'!AL:AL),"")</f>
        <v/>
      </c>
      <c r="AB123" s="133" t="str">
        <f>IFERROR(_xlfn.XLOOKUP($A123,'Raw Data'!$G:$G,'Raw Data'!H:H),"")</f>
        <v/>
      </c>
      <c r="AC123" s="142">
        <f>IFERROR(_xlfn.XLOOKUP($D123,'Modelling New'!$D:$D,'Modelling New'!P:P),"")</f>
        <v>4.0451612903225804</v>
      </c>
      <c r="AD123" s="133">
        <f>IFERROR(_xlfn.XLOOKUP($D123,'Modelling New'!$D:$D,'Modelling New'!$T:$T)*1000,"")</f>
        <v>22929.949138521675</v>
      </c>
      <c r="AE123" s="143">
        <f>IFERROR(_xlfn.XLOOKUP($D123,'Modelling New'!$D:$D,'Modelling New'!O:O),"")</f>
        <v>0.70671473575739119</v>
      </c>
      <c r="AF123" s="145">
        <f>IFERROR(_xlfn.XLOOKUP($D123,'Modelling New'!$D:$D,'Modelling New'!W:W),"")</f>
        <v>0.11911562884943125</v>
      </c>
      <c r="AG123" s="145">
        <f>IFERROR(_xlfn.XLOOKUP($D123,'Modelling New'!$D:$D,'Modelling New'!AE:AE),"")</f>
        <v>0.98040000000000005</v>
      </c>
      <c r="AH123" s="167">
        <f>IFERROR(_xlfn.XLOOKUP($D123,'Modelling New'!$D:$D,'Modelling New'!AF:AF),"")</f>
        <v>0.98</v>
      </c>
      <c r="AN123" s="144"/>
      <c r="AO123" s="141"/>
      <c r="AP123" s="141"/>
      <c r="AQ123" s="141"/>
      <c r="AR123" s="133">
        <f>'Basic Data'!$B$98/1000</f>
        <v>8.0208999999999993</v>
      </c>
    </row>
    <row r="124" spans="1:44" x14ac:dyDescent="0.3">
      <c r="A124" s="132">
        <f t="shared" si="11"/>
        <v>45867</v>
      </c>
      <c r="B124" s="133">
        <f>YEAR(Table13[[#This Row],[Date]])+IF(MONTH(Table13[[#This Row],[Date]])&gt;=4,1,0)</f>
        <v>2026</v>
      </c>
      <c r="C124" s="134">
        <f>YEAR(Table13[[#This Row],[Date]])</f>
        <v>2025</v>
      </c>
      <c r="D124" s="135">
        <f>Table13[[#This Row],[Date]]-DAY(Table13[[#This Row],[Date]])+1</f>
        <v>45839</v>
      </c>
      <c r="E124" s="134">
        <f t="shared" si="8"/>
        <v>31</v>
      </c>
      <c r="F124" s="136" t="str">
        <f>IFERROR(_xlfn.XLOOKUP($A124,'Raw Data'!$G:$G,'Raw Data'!$AM:$AM),"")</f>
        <v/>
      </c>
      <c r="G124" s="137" t="str">
        <f>IFERROR(_xlfn.XLOOKUP($A124,'Raw Data'!$G:$G,'Raw Data'!$AB:$AB),"")</f>
        <v/>
      </c>
      <c r="H124" s="137"/>
      <c r="I124" s="137" t="str">
        <f>IFERROR(_xlfn.XLOOKUP($A124,'Raw Data'!$G:$G,'Raw Data'!$AC:$AC),"")</f>
        <v/>
      </c>
      <c r="J124" s="137"/>
      <c r="K124" s="137" t="str">
        <f>IFERROR(_xlfn.XLOOKUP($A124,'Raw Data'!$G:$G,'Raw Data'!AD:AD),"")</f>
        <v/>
      </c>
      <c r="L124" s="137" t="str">
        <f>IFERROR(_xlfn.XLOOKUP($A124,'Raw Data'!$G:$G,'Raw Data'!AE:AE),"")</f>
        <v/>
      </c>
      <c r="M124" s="137" t="str">
        <f>IFERROR(_xlfn.XLOOKUP($A124,'Raw Data'!$G:$G,'Raw Data'!AF:AF),"")</f>
        <v/>
      </c>
      <c r="N124" s="137" t="str">
        <f>IFERROR(_xlfn.XLOOKUP($A124,'Raw Data'!$G:$G,'Raw Data'!AG:AG),"")</f>
        <v/>
      </c>
      <c r="O124" s="138" t="str">
        <f>IFERROR(1-SUMIF('Plant BD'!$H:$H,$A124,'Plant BD'!$AE:$AE)/($AA124+SUMIF('Plant BD'!$H:$H,$A124,'Plant BD'!$AE:$AE)),"")</f>
        <v/>
      </c>
      <c r="P124" s="138"/>
      <c r="Q124" s="139"/>
      <c r="R124" s="138" t="str">
        <f>IFERROR(1-SUMIF('Grid BD'!$H:$H,$A124,'Grid BD'!$AD:$AD)/($AA124+SUMIF('Grid BD'!$H:$H,$A124,'Grid BD'!$AD:$AD)),"")</f>
        <v/>
      </c>
      <c r="T124" s="139"/>
      <c r="U124" s="140" t="str">
        <f t="shared" si="9"/>
        <v/>
      </c>
      <c r="V124" s="140"/>
      <c r="W124" s="141" t="str">
        <f t="shared" si="10"/>
        <v/>
      </c>
      <c r="X124" s="133" t="str">
        <f>IFERROR(_xlfn.XLOOKUP($A124,'Raw Data'!$G:$G,'Raw Data'!AI:AI),"")</f>
        <v/>
      </c>
      <c r="Y124" s="133" t="str">
        <f>IFERROR(_xlfn.XLOOKUP($A124,'Raw Data'!$G:$G,'Raw Data'!AJ:AJ),"")</f>
        <v/>
      </c>
      <c r="Z124" s="133" t="str">
        <f>IFERROR(_xlfn.XLOOKUP($A124,'Raw Data'!$G:$G,'Raw Data'!AK:AK),"")</f>
        <v/>
      </c>
      <c r="AA124" s="133" t="str">
        <f>IFERROR(_xlfn.XLOOKUP($A124,'Raw Data'!$G:$G,'Raw Data'!AL:AL),"")</f>
        <v/>
      </c>
      <c r="AB124" s="133" t="str">
        <f>IFERROR(_xlfn.XLOOKUP($A124,'Raw Data'!$G:$G,'Raw Data'!H:H),"")</f>
        <v/>
      </c>
      <c r="AC124" s="142">
        <f>IFERROR(_xlfn.XLOOKUP($D124,'Modelling New'!$D:$D,'Modelling New'!P:P),"")</f>
        <v>4.0451612903225804</v>
      </c>
      <c r="AD124" s="133">
        <f>IFERROR(_xlfn.XLOOKUP($D124,'Modelling New'!$D:$D,'Modelling New'!$T:$T)*1000,"")</f>
        <v>22929.949138521675</v>
      </c>
      <c r="AE124" s="143">
        <f>IFERROR(_xlfn.XLOOKUP($D124,'Modelling New'!$D:$D,'Modelling New'!O:O),"")</f>
        <v>0.70671473575739119</v>
      </c>
      <c r="AF124" s="145">
        <f>IFERROR(_xlfn.XLOOKUP($D124,'Modelling New'!$D:$D,'Modelling New'!W:W),"")</f>
        <v>0.11911562884943125</v>
      </c>
      <c r="AG124" s="145">
        <f>IFERROR(_xlfn.XLOOKUP($D124,'Modelling New'!$D:$D,'Modelling New'!AE:AE),"")</f>
        <v>0.98040000000000005</v>
      </c>
      <c r="AH124" s="167">
        <f>IFERROR(_xlfn.XLOOKUP($D124,'Modelling New'!$D:$D,'Modelling New'!AF:AF),"")</f>
        <v>0.98</v>
      </c>
      <c r="AN124" s="144"/>
      <c r="AO124" s="141"/>
      <c r="AP124" s="141"/>
      <c r="AQ124" s="141"/>
      <c r="AR124" s="133">
        <f>'Basic Data'!$B$98/1000</f>
        <v>8.0208999999999993</v>
      </c>
    </row>
    <row r="125" spans="1:44" x14ac:dyDescent="0.3">
      <c r="A125" s="132">
        <f t="shared" si="11"/>
        <v>45868</v>
      </c>
      <c r="B125" s="133">
        <f>YEAR(Table13[[#This Row],[Date]])+IF(MONTH(Table13[[#This Row],[Date]])&gt;=4,1,0)</f>
        <v>2026</v>
      </c>
      <c r="C125" s="134">
        <f>YEAR(Table13[[#This Row],[Date]])</f>
        <v>2025</v>
      </c>
      <c r="D125" s="135">
        <f>Table13[[#This Row],[Date]]-DAY(Table13[[#This Row],[Date]])+1</f>
        <v>45839</v>
      </c>
      <c r="E125" s="134">
        <f t="shared" si="8"/>
        <v>31</v>
      </c>
      <c r="F125" s="136" t="str">
        <f>IFERROR(_xlfn.XLOOKUP($A125,'Raw Data'!$G:$G,'Raw Data'!$AM:$AM),"")</f>
        <v/>
      </c>
      <c r="G125" s="137" t="str">
        <f>IFERROR(_xlfn.XLOOKUP($A125,'Raw Data'!$G:$G,'Raw Data'!$AB:$AB),"")</f>
        <v/>
      </c>
      <c r="H125" s="137"/>
      <c r="I125" s="137" t="str">
        <f>IFERROR(_xlfn.XLOOKUP($A125,'Raw Data'!$G:$G,'Raw Data'!$AC:$AC),"")</f>
        <v/>
      </c>
      <c r="J125" s="137"/>
      <c r="K125" s="137" t="str">
        <f>IFERROR(_xlfn.XLOOKUP($A125,'Raw Data'!$G:$G,'Raw Data'!AD:AD),"")</f>
        <v/>
      </c>
      <c r="L125" s="137" t="str">
        <f>IFERROR(_xlfn.XLOOKUP($A125,'Raw Data'!$G:$G,'Raw Data'!AE:AE),"")</f>
        <v/>
      </c>
      <c r="M125" s="137" t="str">
        <f>IFERROR(_xlfn.XLOOKUP($A125,'Raw Data'!$G:$G,'Raw Data'!AF:AF),"")</f>
        <v/>
      </c>
      <c r="N125" s="137" t="str">
        <f>IFERROR(_xlfn.XLOOKUP($A125,'Raw Data'!$G:$G,'Raw Data'!AG:AG),"")</f>
        <v/>
      </c>
      <c r="O125" s="138" t="str">
        <f>IFERROR(1-SUMIF('Plant BD'!$H:$H,$A125,'Plant BD'!$AE:$AE)/($AA125+SUMIF('Plant BD'!$H:$H,$A125,'Plant BD'!$AE:$AE)),"")</f>
        <v/>
      </c>
      <c r="P125" s="138"/>
      <c r="Q125" s="139"/>
      <c r="R125" s="138" t="str">
        <f>IFERROR(1-SUMIF('Grid BD'!$H:$H,$A125,'Grid BD'!$AD:$AD)/($AA125+SUMIF('Grid BD'!$H:$H,$A125,'Grid BD'!$AD:$AD)),"")</f>
        <v/>
      </c>
      <c r="T125" s="139"/>
      <c r="U125" s="140" t="str">
        <f t="shared" si="9"/>
        <v/>
      </c>
      <c r="V125" s="140"/>
      <c r="W125" s="141" t="str">
        <f t="shared" si="10"/>
        <v/>
      </c>
      <c r="X125" s="133" t="str">
        <f>IFERROR(_xlfn.XLOOKUP($A125,'Raw Data'!$G:$G,'Raw Data'!AI:AI),"")</f>
        <v/>
      </c>
      <c r="Y125" s="133" t="str">
        <f>IFERROR(_xlfn.XLOOKUP($A125,'Raw Data'!$G:$G,'Raw Data'!AJ:AJ),"")</f>
        <v/>
      </c>
      <c r="Z125" s="133" t="str">
        <f>IFERROR(_xlfn.XLOOKUP($A125,'Raw Data'!$G:$G,'Raw Data'!AK:AK),"")</f>
        <v/>
      </c>
      <c r="AA125" s="133" t="str">
        <f>IFERROR(_xlfn.XLOOKUP($A125,'Raw Data'!$G:$G,'Raw Data'!AL:AL),"")</f>
        <v/>
      </c>
      <c r="AB125" s="133" t="str">
        <f>IFERROR(_xlfn.XLOOKUP($A125,'Raw Data'!$G:$G,'Raw Data'!H:H),"")</f>
        <v/>
      </c>
      <c r="AC125" s="142">
        <f>IFERROR(_xlfn.XLOOKUP($D125,'Modelling New'!$D:$D,'Modelling New'!P:P),"")</f>
        <v>4.0451612903225804</v>
      </c>
      <c r="AD125" s="133">
        <f>IFERROR(_xlfn.XLOOKUP($D125,'Modelling New'!$D:$D,'Modelling New'!$T:$T)*1000,"")</f>
        <v>22929.949138521675</v>
      </c>
      <c r="AE125" s="143">
        <f>IFERROR(_xlfn.XLOOKUP($D125,'Modelling New'!$D:$D,'Modelling New'!O:O),"")</f>
        <v>0.70671473575739119</v>
      </c>
      <c r="AF125" s="145">
        <f>IFERROR(_xlfn.XLOOKUP($D125,'Modelling New'!$D:$D,'Modelling New'!W:W),"")</f>
        <v>0.11911562884943125</v>
      </c>
      <c r="AG125" s="145">
        <f>IFERROR(_xlfn.XLOOKUP($D125,'Modelling New'!$D:$D,'Modelling New'!AE:AE),"")</f>
        <v>0.98040000000000005</v>
      </c>
      <c r="AH125" s="167">
        <f>IFERROR(_xlfn.XLOOKUP($D125,'Modelling New'!$D:$D,'Modelling New'!AF:AF),"")</f>
        <v>0.98</v>
      </c>
      <c r="AN125" s="144"/>
      <c r="AO125" s="141"/>
      <c r="AP125" s="141"/>
      <c r="AQ125" s="141"/>
      <c r="AR125" s="133">
        <f>'Basic Data'!$B$98/1000</f>
        <v>8.0208999999999993</v>
      </c>
    </row>
    <row r="126" spans="1:44" x14ac:dyDescent="0.3">
      <c r="A126" s="132">
        <f t="shared" si="11"/>
        <v>45869</v>
      </c>
      <c r="B126" s="133">
        <f>YEAR(Table13[[#This Row],[Date]])+IF(MONTH(Table13[[#This Row],[Date]])&gt;=4,1,0)</f>
        <v>2026</v>
      </c>
      <c r="C126" s="134">
        <f>YEAR(Table13[[#This Row],[Date]])</f>
        <v>2025</v>
      </c>
      <c r="D126" s="135">
        <f>Table13[[#This Row],[Date]]-DAY(Table13[[#This Row],[Date]])+1</f>
        <v>45839</v>
      </c>
      <c r="E126" s="134">
        <f t="shared" si="8"/>
        <v>31</v>
      </c>
      <c r="F126" s="136" t="str">
        <f>IFERROR(_xlfn.XLOOKUP($A126,'Raw Data'!$G:$G,'Raw Data'!$AM:$AM),"")</f>
        <v/>
      </c>
      <c r="G126" s="137" t="str">
        <f>IFERROR(_xlfn.XLOOKUP($A126,'Raw Data'!$G:$G,'Raw Data'!$AB:$AB),"")</f>
        <v/>
      </c>
      <c r="H126" s="137"/>
      <c r="I126" s="137" t="str">
        <f>IFERROR(_xlfn.XLOOKUP($A126,'Raw Data'!$G:$G,'Raw Data'!$AC:$AC),"")</f>
        <v/>
      </c>
      <c r="J126" s="137"/>
      <c r="K126" s="137" t="str">
        <f>IFERROR(_xlfn.XLOOKUP($A126,'Raw Data'!$G:$G,'Raw Data'!AD:AD),"")</f>
        <v/>
      </c>
      <c r="L126" s="137" t="str">
        <f>IFERROR(_xlfn.XLOOKUP($A126,'Raw Data'!$G:$G,'Raw Data'!AE:AE),"")</f>
        <v/>
      </c>
      <c r="M126" s="137" t="str">
        <f>IFERROR(_xlfn.XLOOKUP($A126,'Raw Data'!$G:$G,'Raw Data'!AF:AF),"")</f>
        <v/>
      </c>
      <c r="N126" s="137" t="str">
        <f>IFERROR(_xlfn.XLOOKUP($A126,'Raw Data'!$G:$G,'Raw Data'!AG:AG),"")</f>
        <v/>
      </c>
      <c r="O126" s="138" t="str">
        <f>IFERROR(1-SUMIF('Plant BD'!$H:$H,$A126,'Plant BD'!$AE:$AE)/($AA126+SUMIF('Plant BD'!$H:$H,$A126,'Plant BD'!$AE:$AE)),"")</f>
        <v/>
      </c>
      <c r="P126" s="138"/>
      <c r="Q126" s="139"/>
      <c r="R126" s="138" t="str">
        <f>IFERROR(1-SUMIF('Grid BD'!$H:$H,$A126,'Grid BD'!$AD:$AD)/($AA126+SUMIF('Grid BD'!$H:$H,$A126,'Grid BD'!$AD:$AD)),"")</f>
        <v/>
      </c>
      <c r="T126" s="139"/>
      <c r="U126" s="140" t="str">
        <f t="shared" si="9"/>
        <v/>
      </c>
      <c r="V126" s="140"/>
      <c r="W126" s="141" t="str">
        <f t="shared" si="10"/>
        <v/>
      </c>
      <c r="X126" s="133" t="str">
        <f>IFERROR(_xlfn.XLOOKUP($A126,'Raw Data'!$G:$G,'Raw Data'!AI:AI),"")</f>
        <v/>
      </c>
      <c r="Y126" s="133" t="str">
        <f>IFERROR(_xlfn.XLOOKUP($A126,'Raw Data'!$G:$G,'Raw Data'!AJ:AJ),"")</f>
        <v/>
      </c>
      <c r="Z126" s="133" t="str">
        <f>IFERROR(_xlfn.XLOOKUP($A126,'Raw Data'!$G:$G,'Raw Data'!AK:AK),"")</f>
        <v/>
      </c>
      <c r="AA126" s="133" t="str">
        <f>IFERROR(_xlfn.XLOOKUP($A126,'Raw Data'!$G:$G,'Raw Data'!AL:AL),"")</f>
        <v/>
      </c>
      <c r="AB126" s="133" t="str">
        <f>IFERROR(_xlfn.XLOOKUP($A126,'Raw Data'!$G:$G,'Raw Data'!H:H),"")</f>
        <v/>
      </c>
      <c r="AC126" s="142">
        <f>IFERROR(_xlfn.XLOOKUP($D126,'Modelling New'!$D:$D,'Modelling New'!P:P),"")</f>
        <v>4.0451612903225804</v>
      </c>
      <c r="AD126" s="133">
        <f>IFERROR(_xlfn.XLOOKUP($D126,'Modelling New'!$D:$D,'Modelling New'!$T:$T)*1000,"")</f>
        <v>22929.949138521675</v>
      </c>
      <c r="AE126" s="143">
        <f>IFERROR(_xlfn.XLOOKUP($D126,'Modelling New'!$D:$D,'Modelling New'!O:O),"")</f>
        <v>0.70671473575739119</v>
      </c>
      <c r="AF126" s="145">
        <f>IFERROR(_xlfn.XLOOKUP($D126,'Modelling New'!$D:$D,'Modelling New'!W:W),"")</f>
        <v>0.11911562884943125</v>
      </c>
      <c r="AG126" s="145">
        <f>IFERROR(_xlfn.XLOOKUP($D126,'Modelling New'!$D:$D,'Modelling New'!AE:AE),"")</f>
        <v>0.98040000000000005</v>
      </c>
      <c r="AH126" s="167">
        <f>IFERROR(_xlfn.XLOOKUP($D126,'Modelling New'!$D:$D,'Modelling New'!AF:AF),"")</f>
        <v>0.98</v>
      </c>
      <c r="AN126" s="144"/>
      <c r="AO126" s="141"/>
      <c r="AP126" s="141"/>
      <c r="AQ126" s="141"/>
      <c r="AR126" s="133">
        <f>'Basic Data'!$B$98/1000</f>
        <v>8.0208999999999993</v>
      </c>
    </row>
    <row r="127" spans="1:44" x14ac:dyDescent="0.3">
      <c r="A127" s="132">
        <f t="shared" si="11"/>
        <v>45870</v>
      </c>
      <c r="B127" s="133">
        <f>YEAR(Table13[[#This Row],[Date]])+IF(MONTH(Table13[[#This Row],[Date]])&gt;=4,1,0)</f>
        <v>2026</v>
      </c>
      <c r="C127" s="134">
        <f>YEAR(Table13[[#This Row],[Date]])</f>
        <v>2025</v>
      </c>
      <c r="D127" s="135">
        <f>Table13[[#This Row],[Date]]-DAY(Table13[[#This Row],[Date]])+1</f>
        <v>45870</v>
      </c>
      <c r="E127" s="134">
        <f t="shared" si="8"/>
        <v>31</v>
      </c>
      <c r="F127" s="136" t="str">
        <f>IFERROR(_xlfn.XLOOKUP($A127,'Raw Data'!$G:$G,'Raw Data'!$AM:$AM),"")</f>
        <v/>
      </c>
      <c r="G127" s="137" t="str">
        <f>IFERROR(_xlfn.XLOOKUP($A127,'Raw Data'!$G:$G,'Raw Data'!$AB:$AB),"")</f>
        <v/>
      </c>
      <c r="H127" s="137"/>
      <c r="I127" s="137" t="str">
        <f>IFERROR(_xlfn.XLOOKUP($A127,'Raw Data'!$G:$G,'Raw Data'!$AC:$AC),"")</f>
        <v/>
      </c>
      <c r="J127" s="137"/>
      <c r="K127" s="137" t="str">
        <f>IFERROR(_xlfn.XLOOKUP($A127,'Raw Data'!$G:$G,'Raw Data'!AD:AD),"")</f>
        <v/>
      </c>
      <c r="L127" s="137" t="str">
        <f>IFERROR(_xlfn.XLOOKUP($A127,'Raw Data'!$G:$G,'Raw Data'!AE:AE),"")</f>
        <v/>
      </c>
      <c r="M127" s="137" t="str">
        <f>IFERROR(_xlfn.XLOOKUP($A127,'Raw Data'!$G:$G,'Raw Data'!AF:AF),"")</f>
        <v/>
      </c>
      <c r="N127" s="137" t="str">
        <f>IFERROR(_xlfn.XLOOKUP($A127,'Raw Data'!$G:$G,'Raw Data'!AG:AG),"")</f>
        <v/>
      </c>
      <c r="O127" s="138" t="str">
        <f>IFERROR(1-SUMIF('Plant BD'!$H:$H,$A127,'Plant BD'!$AE:$AE)/($AA127+SUMIF('Plant BD'!$H:$H,$A127,'Plant BD'!$AE:$AE)),"")</f>
        <v/>
      </c>
      <c r="P127" s="138"/>
      <c r="Q127" s="139"/>
      <c r="R127" s="138" t="str">
        <f>IFERROR(1-SUMIF('Grid BD'!$H:$H,$A127,'Grid BD'!$AD:$AD)/($AA127+SUMIF('Grid BD'!$H:$H,$A127,'Grid BD'!$AD:$AD)),"")</f>
        <v/>
      </c>
      <c r="T127" s="139"/>
      <c r="U127" s="140" t="str">
        <f t="shared" si="9"/>
        <v/>
      </c>
      <c r="V127" s="140"/>
      <c r="W127" s="141" t="str">
        <f t="shared" si="10"/>
        <v/>
      </c>
      <c r="X127" s="133" t="str">
        <f>IFERROR(_xlfn.XLOOKUP($A127,'Raw Data'!$G:$G,'Raw Data'!AI:AI),"")</f>
        <v/>
      </c>
      <c r="Y127" s="133" t="str">
        <f>IFERROR(_xlfn.XLOOKUP($A127,'Raw Data'!$G:$G,'Raw Data'!AJ:AJ),"")</f>
        <v/>
      </c>
      <c r="Z127" s="133" t="str">
        <f>IFERROR(_xlfn.XLOOKUP($A127,'Raw Data'!$G:$G,'Raw Data'!AK:AK),"")</f>
        <v/>
      </c>
      <c r="AA127" s="133" t="str">
        <f>IFERROR(_xlfn.XLOOKUP($A127,'Raw Data'!$G:$G,'Raw Data'!AL:AL),"")</f>
        <v/>
      </c>
      <c r="AB127" s="133" t="str">
        <f>IFERROR(_xlfn.XLOOKUP($A127,'Raw Data'!$G:$G,'Raw Data'!H:H),"")</f>
        <v/>
      </c>
      <c r="AC127" s="142">
        <f>IFERROR(_xlfn.XLOOKUP($D127,'Modelling New'!$D:$D,'Modelling New'!P:P),"")</f>
        <v>4.2161290322580642</v>
      </c>
      <c r="AD127" s="133">
        <f>IFERROR(_xlfn.XLOOKUP($D127,'Modelling New'!$D:$D,'Modelling New'!$T:$T)*1000,"")</f>
        <v>24273.156786520856</v>
      </c>
      <c r="AE127" s="143">
        <f>IFERROR(_xlfn.XLOOKUP($D127,'Modelling New'!$D:$D,'Modelling New'!O:O),"")</f>
        <v>0.71777654975663252</v>
      </c>
      <c r="AF127" s="145">
        <f>IFERROR(_xlfn.XLOOKUP($D127,'Modelling New'!$D:$D,'Modelling New'!W:W),"")</f>
        <v>0.12609327292095679</v>
      </c>
      <c r="AG127" s="145">
        <f>IFERROR(_xlfn.XLOOKUP($D127,'Modelling New'!$D:$D,'Modelling New'!AE:AE),"")</f>
        <v>0.98040000000000005</v>
      </c>
      <c r="AH127" s="167">
        <f>IFERROR(_xlfn.XLOOKUP($D127,'Modelling New'!$D:$D,'Modelling New'!AF:AF),"")</f>
        <v>0.98</v>
      </c>
      <c r="AN127" s="144"/>
      <c r="AO127" s="141"/>
      <c r="AP127" s="141"/>
      <c r="AQ127" s="141"/>
      <c r="AR127" s="133">
        <f>'Basic Data'!$B$98/1000</f>
        <v>8.0208999999999993</v>
      </c>
    </row>
    <row r="128" spans="1:44" x14ac:dyDescent="0.3">
      <c r="A128" s="132">
        <f t="shared" si="11"/>
        <v>45871</v>
      </c>
      <c r="B128" s="133">
        <f>YEAR(Table13[[#This Row],[Date]])+IF(MONTH(Table13[[#This Row],[Date]])&gt;=4,1,0)</f>
        <v>2026</v>
      </c>
      <c r="C128" s="134">
        <f>YEAR(Table13[[#This Row],[Date]])</f>
        <v>2025</v>
      </c>
      <c r="D128" s="135">
        <f>Table13[[#This Row],[Date]]-DAY(Table13[[#This Row],[Date]])+1</f>
        <v>45870</v>
      </c>
      <c r="E128" s="134">
        <f t="shared" si="8"/>
        <v>31</v>
      </c>
      <c r="F128" s="136" t="str">
        <f>IFERROR(_xlfn.XLOOKUP($A128,'Raw Data'!$G:$G,'Raw Data'!$AM:$AM),"")</f>
        <v/>
      </c>
      <c r="G128" s="137" t="str">
        <f>IFERROR(_xlfn.XLOOKUP($A128,'Raw Data'!$G:$G,'Raw Data'!$AB:$AB),"")</f>
        <v/>
      </c>
      <c r="H128" s="137"/>
      <c r="I128" s="137" t="str">
        <f>IFERROR(_xlfn.XLOOKUP($A128,'Raw Data'!$G:$G,'Raw Data'!$AC:$AC),"")</f>
        <v/>
      </c>
      <c r="J128" s="137"/>
      <c r="K128" s="137" t="str">
        <f>IFERROR(_xlfn.XLOOKUP($A128,'Raw Data'!$G:$G,'Raw Data'!AD:AD),"")</f>
        <v/>
      </c>
      <c r="L128" s="137" t="str">
        <f>IFERROR(_xlfn.XLOOKUP($A128,'Raw Data'!$G:$G,'Raw Data'!AE:AE),"")</f>
        <v/>
      </c>
      <c r="M128" s="137" t="str">
        <f>IFERROR(_xlfn.XLOOKUP($A128,'Raw Data'!$G:$G,'Raw Data'!AF:AF),"")</f>
        <v/>
      </c>
      <c r="N128" s="137" t="str">
        <f>IFERROR(_xlfn.XLOOKUP($A128,'Raw Data'!$G:$G,'Raw Data'!AG:AG),"")</f>
        <v/>
      </c>
      <c r="O128" s="138" t="str">
        <f>IFERROR(1-SUMIF('Plant BD'!$H:$H,$A128,'Plant BD'!$AE:$AE)/($AA128+SUMIF('Plant BD'!$H:$H,$A128,'Plant BD'!$AE:$AE)),"")</f>
        <v/>
      </c>
      <c r="P128" s="138"/>
      <c r="Q128" s="139"/>
      <c r="R128" s="138" t="str">
        <f>IFERROR(1-SUMIF('Grid BD'!$H:$H,$A128,'Grid BD'!$AD:$AD)/($AA128+SUMIF('Grid BD'!$H:$H,$A128,'Grid BD'!$AD:$AD)),"")</f>
        <v/>
      </c>
      <c r="T128" s="139"/>
      <c r="U128" s="140" t="str">
        <f t="shared" si="9"/>
        <v/>
      </c>
      <c r="V128" s="140"/>
      <c r="W128" s="141" t="str">
        <f t="shared" si="10"/>
        <v/>
      </c>
      <c r="X128" s="133" t="str">
        <f>IFERROR(_xlfn.XLOOKUP($A128,'Raw Data'!$G:$G,'Raw Data'!AI:AI),"")</f>
        <v/>
      </c>
      <c r="Y128" s="133" t="str">
        <f>IFERROR(_xlfn.XLOOKUP($A128,'Raw Data'!$G:$G,'Raw Data'!AJ:AJ),"")</f>
        <v/>
      </c>
      <c r="Z128" s="133" t="str">
        <f>IFERROR(_xlfn.XLOOKUP($A128,'Raw Data'!$G:$G,'Raw Data'!AK:AK),"")</f>
        <v/>
      </c>
      <c r="AA128" s="133" t="str">
        <f>IFERROR(_xlfn.XLOOKUP($A128,'Raw Data'!$G:$G,'Raw Data'!AL:AL),"")</f>
        <v/>
      </c>
      <c r="AB128" s="133" t="str">
        <f>IFERROR(_xlfn.XLOOKUP($A128,'Raw Data'!$G:$G,'Raw Data'!H:H),"")</f>
        <v/>
      </c>
      <c r="AC128" s="142">
        <f>IFERROR(_xlfn.XLOOKUP($D128,'Modelling New'!$D:$D,'Modelling New'!P:P),"")</f>
        <v>4.2161290322580642</v>
      </c>
      <c r="AD128" s="133">
        <f>IFERROR(_xlfn.XLOOKUP($D128,'Modelling New'!$D:$D,'Modelling New'!$T:$T)*1000,"")</f>
        <v>24273.156786520856</v>
      </c>
      <c r="AE128" s="143">
        <f>IFERROR(_xlfn.XLOOKUP($D128,'Modelling New'!$D:$D,'Modelling New'!O:O),"")</f>
        <v>0.71777654975663252</v>
      </c>
      <c r="AF128" s="145">
        <f>IFERROR(_xlfn.XLOOKUP($D128,'Modelling New'!$D:$D,'Modelling New'!W:W),"")</f>
        <v>0.12609327292095679</v>
      </c>
      <c r="AG128" s="145">
        <f>IFERROR(_xlfn.XLOOKUP($D128,'Modelling New'!$D:$D,'Modelling New'!AE:AE),"")</f>
        <v>0.98040000000000005</v>
      </c>
      <c r="AH128" s="167">
        <f>IFERROR(_xlfn.XLOOKUP($D128,'Modelling New'!$D:$D,'Modelling New'!AF:AF),"")</f>
        <v>0.98</v>
      </c>
      <c r="AN128" s="144"/>
      <c r="AO128" s="141"/>
      <c r="AP128" s="141"/>
      <c r="AQ128" s="141"/>
      <c r="AR128" s="133">
        <f>'Basic Data'!$B$98/1000</f>
        <v>8.0208999999999993</v>
      </c>
    </row>
    <row r="129" spans="1:44" x14ac:dyDescent="0.3">
      <c r="A129" s="132">
        <f t="shared" si="11"/>
        <v>45872</v>
      </c>
      <c r="B129" s="133">
        <f>YEAR(Table13[[#This Row],[Date]])+IF(MONTH(Table13[[#This Row],[Date]])&gt;=4,1,0)</f>
        <v>2026</v>
      </c>
      <c r="C129" s="134">
        <f>YEAR(Table13[[#This Row],[Date]])</f>
        <v>2025</v>
      </c>
      <c r="D129" s="135">
        <f>Table13[[#This Row],[Date]]-DAY(Table13[[#This Row],[Date]])+1</f>
        <v>45870</v>
      </c>
      <c r="E129" s="134">
        <f t="shared" si="8"/>
        <v>31</v>
      </c>
      <c r="F129" s="136" t="str">
        <f>IFERROR(_xlfn.XLOOKUP($A129,'Raw Data'!$G:$G,'Raw Data'!$AM:$AM),"")</f>
        <v/>
      </c>
      <c r="G129" s="137" t="str">
        <f>IFERROR(_xlfn.XLOOKUP($A129,'Raw Data'!$G:$G,'Raw Data'!$AB:$AB),"")</f>
        <v/>
      </c>
      <c r="H129" s="137"/>
      <c r="I129" s="137" t="str">
        <f>IFERROR(_xlfn.XLOOKUP($A129,'Raw Data'!$G:$G,'Raw Data'!$AC:$AC),"")</f>
        <v/>
      </c>
      <c r="J129" s="137"/>
      <c r="K129" s="137" t="str">
        <f>IFERROR(_xlfn.XLOOKUP($A129,'Raw Data'!$G:$G,'Raw Data'!AD:AD),"")</f>
        <v/>
      </c>
      <c r="L129" s="137" t="str">
        <f>IFERROR(_xlfn.XLOOKUP($A129,'Raw Data'!$G:$G,'Raw Data'!AE:AE),"")</f>
        <v/>
      </c>
      <c r="M129" s="137" t="str">
        <f>IFERROR(_xlfn.XLOOKUP($A129,'Raw Data'!$G:$G,'Raw Data'!AF:AF),"")</f>
        <v/>
      </c>
      <c r="N129" s="137" t="str">
        <f>IFERROR(_xlfn.XLOOKUP($A129,'Raw Data'!$G:$G,'Raw Data'!AG:AG),"")</f>
        <v/>
      </c>
      <c r="O129" s="138" t="str">
        <f>IFERROR(1-SUMIF('Plant BD'!$H:$H,$A129,'Plant BD'!$AE:$AE)/($AA129+SUMIF('Plant BD'!$H:$H,$A129,'Plant BD'!$AE:$AE)),"")</f>
        <v/>
      </c>
      <c r="P129" s="138"/>
      <c r="Q129" s="139"/>
      <c r="R129" s="138" t="str">
        <f>IFERROR(1-SUMIF('Grid BD'!$H:$H,$A129,'Grid BD'!$AD:$AD)/($AA129+SUMIF('Grid BD'!$H:$H,$A129,'Grid BD'!$AD:$AD)),"")</f>
        <v/>
      </c>
      <c r="T129" s="139"/>
      <c r="U129" s="140" t="str">
        <f t="shared" si="9"/>
        <v/>
      </c>
      <c r="V129" s="140"/>
      <c r="W129" s="141" t="str">
        <f t="shared" si="10"/>
        <v/>
      </c>
      <c r="X129" s="133" t="str">
        <f>IFERROR(_xlfn.XLOOKUP($A129,'Raw Data'!$G:$G,'Raw Data'!AI:AI),"")</f>
        <v/>
      </c>
      <c r="Y129" s="133" t="str">
        <f>IFERROR(_xlfn.XLOOKUP($A129,'Raw Data'!$G:$G,'Raw Data'!AJ:AJ),"")</f>
        <v/>
      </c>
      <c r="Z129" s="133" t="str">
        <f>IFERROR(_xlfn.XLOOKUP($A129,'Raw Data'!$G:$G,'Raw Data'!AK:AK),"")</f>
        <v/>
      </c>
      <c r="AA129" s="133" t="str">
        <f>IFERROR(_xlfn.XLOOKUP($A129,'Raw Data'!$G:$G,'Raw Data'!AL:AL),"")</f>
        <v/>
      </c>
      <c r="AB129" s="133" t="str">
        <f>IFERROR(_xlfn.XLOOKUP($A129,'Raw Data'!$G:$G,'Raw Data'!H:H),"")</f>
        <v/>
      </c>
      <c r="AC129" s="142">
        <f>IFERROR(_xlfn.XLOOKUP($D129,'Modelling New'!$D:$D,'Modelling New'!P:P),"")</f>
        <v>4.2161290322580642</v>
      </c>
      <c r="AD129" s="133">
        <f>IFERROR(_xlfn.XLOOKUP($D129,'Modelling New'!$D:$D,'Modelling New'!$T:$T)*1000,"")</f>
        <v>24273.156786520856</v>
      </c>
      <c r="AE129" s="143">
        <f>IFERROR(_xlfn.XLOOKUP($D129,'Modelling New'!$D:$D,'Modelling New'!O:O),"")</f>
        <v>0.71777654975663252</v>
      </c>
      <c r="AF129" s="145">
        <f>IFERROR(_xlfn.XLOOKUP($D129,'Modelling New'!$D:$D,'Modelling New'!W:W),"")</f>
        <v>0.12609327292095679</v>
      </c>
      <c r="AG129" s="145">
        <f>IFERROR(_xlfn.XLOOKUP($D129,'Modelling New'!$D:$D,'Modelling New'!AE:AE),"")</f>
        <v>0.98040000000000005</v>
      </c>
      <c r="AH129" s="167">
        <f>IFERROR(_xlfn.XLOOKUP($D129,'Modelling New'!$D:$D,'Modelling New'!AF:AF),"")</f>
        <v>0.98</v>
      </c>
      <c r="AN129" s="144"/>
      <c r="AO129" s="141"/>
      <c r="AP129" s="141"/>
      <c r="AQ129" s="141"/>
      <c r="AR129" s="133">
        <f>'Basic Data'!$B$98/1000</f>
        <v>8.0208999999999993</v>
      </c>
    </row>
    <row r="130" spans="1:44" x14ac:dyDescent="0.3">
      <c r="A130" s="132">
        <f t="shared" si="11"/>
        <v>45873</v>
      </c>
      <c r="B130" s="133">
        <f>YEAR(Table13[[#This Row],[Date]])+IF(MONTH(Table13[[#This Row],[Date]])&gt;=4,1,0)</f>
        <v>2026</v>
      </c>
      <c r="C130" s="134">
        <f>YEAR(Table13[[#This Row],[Date]])</f>
        <v>2025</v>
      </c>
      <c r="D130" s="135">
        <f>Table13[[#This Row],[Date]]-DAY(Table13[[#This Row],[Date]])+1</f>
        <v>45870</v>
      </c>
      <c r="E130" s="134">
        <f t="shared" si="8"/>
        <v>31</v>
      </c>
      <c r="F130" s="136" t="str">
        <f>IFERROR(_xlfn.XLOOKUP($A130,'Raw Data'!$G:$G,'Raw Data'!$AM:$AM),"")</f>
        <v/>
      </c>
      <c r="G130" s="137" t="str">
        <f>IFERROR(_xlfn.XLOOKUP($A130,'Raw Data'!$G:$G,'Raw Data'!$AB:$AB),"")</f>
        <v/>
      </c>
      <c r="H130" s="137"/>
      <c r="I130" s="137" t="str">
        <f>IFERROR(_xlfn.XLOOKUP($A130,'Raw Data'!$G:$G,'Raw Data'!$AC:$AC),"")</f>
        <v/>
      </c>
      <c r="J130" s="137"/>
      <c r="K130" s="137" t="str">
        <f>IFERROR(_xlfn.XLOOKUP($A130,'Raw Data'!$G:$G,'Raw Data'!AD:AD),"")</f>
        <v/>
      </c>
      <c r="L130" s="137" t="str">
        <f>IFERROR(_xlfn.XLOOKUP($A130,'Raw Data'!$G:$G,'Raw Data'!AE:AE),"")</f>
        <v/>
      </c>
      <c r="M130" s="137" t="str">
        <f>IFERROR(_xlfn.XLOOKUP($A130,'Raw Data'!$G:$G,'Raw Data'!AF:AF),"")</f>
        <v/>
      </c>
      <c r="N130" s="137" t="str">
        <f>IFERROR(_xlfn.XLOOKUP($A130,'Raw Data'!$G:$G,'Raw Data'!AG:AG),"")</f>
        <v/>
      </c>
      <c r="O130" s="138" t="str">
        <f>IFERROR(1-SUMIF('Plant BD'!$H:$H,$A130,'Plant BD'!$AE:$AE)/($AA130+SUMIF('Plant BD'!$H:$H,$A130,'Plant BD'!$AE:$AE)),"")</f>
        <v/>
      </c>
      <c r="P130" s="138"/>
      <c r="Q130" s="139"/>
      <c r="R130" s="138" t="str">
        <f>IFERROR(1-SUMIF('Grid BD'!$H:$H,$A130,'Grid BD'!$AD:$AD)/($AA130+SUMIF('Grid BD'!$H:$H,$A130,'Grid BD'!$AD:$AD)),"")</f>
        <v/>
      </c>
      <c r="T130" s="139"/>
      <c r="U130" s="140" t="str">
        <f t="shared" si="9"/>
        <v/>
      </c>
      <c r="V130" s="140"/>
      <c r="W130" s="141" t="str">
        <f t="shared" si="10"/>
        <v/>
      </c>
      <c r="X130" s="133" t="str">
        <f>IFERROR(_xlfn.XLOOKUP($A130,'Raw Data'!$G:$G,'Raw Data'!AI:AI),"")</f>
        <v/>
      </c>
      <c r="Y130" s="133" t="str">
        <f>IFERROR(_xlfn.XLOOKUP($A130,'Raw Data'!$G:$G,'Raw Data'!AJ:AJ),"")</f>
        <v/>
      </c>
      <c r="Z130" s="133" t="str">
        <f>IFERROR(_xlfn.XLOOKUP($A130,'Raw Data'!$G:$G,'Raw Data'!AK:AK),"")</f>
        <v/>
      </c>
      <c r="AA130" s="133" t="str">
        <f>IFERROR(_xlfn.XLOOKUP($A130,'Raw Data'!$G:$G,'Raw Data'!AL:AL),"")</f>
        <v/>
      </c>
      <c r="AB130" s="133" t="str">
        <f>IFERROR(_xlfn.XLOOKUP($A130,'Raw Data'!$G:$G,'Raw Data'!H:H),"")</f>
        <v/>
      </c>
      <c r="AC130" s="142">
        <f>IFERROR(_xlfn.XLOOKUP($D130,'Modelling New'!$D:$D,'Modelling New'!P:P),"")</f>
        <v>4.2161290322580642</v>
      </c>
      <c r="AD130" s="133">
        <f>IFERROR(_xlfn.XLOOKUP($D130,'Modelling New'!$D:$D,'Modelling New'!$T:$T)*1000,"")</f>
        <v>24273.156786520856</v>
      </c>
      <c r="AE130" s="143">
        <f>IFERROR(_xlfn.XLOOKUP($D130,'Modelling New'!$D:$D,'Modelling New'!O:O),"")</f>
        <v>0.71777654975663252</v>
      </c>
      <c r="AF130" s="145">
        <f>IFERROR(_xlfn.XLOOKUP($D130,'Modelling New'!$D:$D,'Modelling New'!W:W),"")</f>
        <v>0.12609327292095679</v>
      </c>
      <c r="AG130" s="145">
        <f>IFERROR(_xlfn.XLOOKUP($D130,'Modelling New'!$D:$D,'Modelling New'!AE:AE),"")</f>
        <v>0.98040000000000005</v>
      </c>
      <c r="AH130" s="167">
        <f>IFERROR(_xlfn.XLOOKUP($D130,'Modelling New'!$D:$D,'Modelling New'!AF:AF),"")</f>
        <v>0.98</v>
      </c>
      <c r="AN130" s="144"/>
      <c r="AO130" s="141"/>
      <c r="AP130" s="141"/>
      <c r="AQ130" s="141"/>
      <c r="AR130" s="133">
        <f>'Basic Data'!$B$98/1000</f>
        <v>8.0208999999999993</v>
      </c>
    </row>
    <row r="131" spans="1:44" x14ac:dyDescent="0.3">
      <c r="A131" s="132">
        <f t="shared" si="11"/>
        <v>45874</v>
      </c>
      <c r="B131" s="133">
        <f>YEAR(Table13[[#This Row],[Date]])+IF(MONTH(Table13[[#This Row],[Date]])&gt;=4,1,0)</f>
        <v>2026</v>
      </c>
      <c r="C131" s="134">
        <f>YEAR(Table13[[#This Row],[Date]])</f>
        <v>2025</v>
      </c>
      <c r="D131" s="135">
        <f>Table13[[#This Row],[Date]]-DAY(Table13[[#This Row],[Date]])+1</f>
        <v>45870</v>
      </c>
      <c r="E131" s="134">
        <f t="shared" si="8"/>
        <v>31</v>
      </c>
      <c r="F131" s="136" t="str">
        <f>IFERROR(_xlfn.XLOOKUP($A131,'Raw Data'!$G:$G,'Raw Data'!$AM:$AM),"")</f>
        <v/>
      </c>
      <c r="G131" s="137" t="str">
        <f>IFERROR(_xlfn.XLOOKUP($A131,'Raw Data'!$G:$G,'Raw Data'!$AB:$AB),"")</f>
        <v/>
      </c>
      <c r="H131" s="137"/>
      <c r="I131" s="137" t="str">
        <f>IFERROR(_xlfn.XLOOKUP($A131,'Raw Data'!$G:$G,'Raw Data'!$AC:$AC),"")</f>
        <v/>
      </c>
      <c r="J131" s="137"/>
      <c r="K131" s="137" t="str">
        <f>IFERROR(_xlfn.XLOOKUP($A131,'Raw Data'!$G:$G,'Raw Data'!AD:AD),"")</f>
        <v/>
      </c>
      <c r="L131" s="137" t="str">
        <f>IFERROR(_xlfn.XLOOKUP($A131,'Raw Data'!$G:$G,'Raw Data'!AE:AE),"")</f>
        <v/>
      </c>
      <c r="M131" s="137" t="str">
        <f>IFERROR(_xlfn.XLOOKUP($A131,'Raw Data'!$G:$G,'Raw Data'!AF:AF),"")</f>
        <v/>
      </c>
      <c r="N131" s="137" t="str">
        <f>IFERROR(_xlfn.XLOOKUP($A131,'Raw Data'!$G:$G,'Raw Data'!AG:AG),"")</f>
        <v/>
      </c>
      <c r="O131" s="138" t="str">
        <f>IFERROR(1-SUMIF('Plant BD'!$H:$H,$A131,'Plant BD'!$AE:$AE)/($AA131+SUMIF('Plant BD'!$H:$H,$A131,'Plant BD'!$AE:$AE)),"")</f>
        <v/>
      </c>
      <c r="P131" s="138"/>
      <c r="Q131" s="139"/>
      <c r="R131" s="138" t="str">
        <f>IFERROR(1-SUMIF('Grid BD'!$H:$H,$A131,'Grid BD'!$AD:$AD)/($AA131+SUMIF('Grid BD'!$H:$H,$A131,'Grid BD'!$AD:$AD)),"")</f>
        <v/>
      </c>
      <c r="T131" s="139"/>
      <c r="U131" s="140" t="str">
        <f t="shared" si="9"/>
        <v/>
      </c>
      <c r="V131" s="140"/>
      <c r="W131" s="141" t="str">
        <f t="shared" si="10"/>
        <v/>
      </c>
      <c r="X131" s="133" t="str">
        <f>IFERROR(_xlfn.XLOOKUP($A131,'Raw Data'!$G:$G,'Raw Data'!AI:AI),"")</f>
        <v/>
      </c>
      <c r="Y131" s="133" t="str">
        <f>IFERROR(_xlfn.XLOOKUP($A131,'Raw Data'!$G:$G,'Raw Data'!AJ:AJ),"")</f>
        <v/>
      </c>
      <c r="Z131" s="133" t="str">
        <f>IFERROR(_xlfn.XLOOKUP($A131,'Raw Data'!$G:$G,'Raw Data'!AK:AK),"")</f>
        <v/>
      </c>
      <c r="AA131" s="133" t="str">
        <f>IFERROR(_xlfn.XLOOKUP($A131,'Raw Data'!$G:$G,'Raw Data'!AL:AL),"")</f>
        <v/>
      </c>
      <c r="AB131" s="133" t="str">
        <f>IFERROR(_xlfn.XLOOKUP($A131,'Raw Data'!$G:$G,'Raw Data'!H:H),"")</f>
        <v/>
      </c>
      <c r="AC131" s="142">
        <f>IFERROR(_xlfn.XLOOKUP($D131,'Modelling New'!$D:$D,'Modelling New'!P:P),"")</f>
        <v>4.2161290322580642</v>
      </c>
      <c r="AD131" s="133">
        <f>IFERROR(_xlfn.XLOOKUP($D131,'Modelling New'!$D:$D,'Modelling New'!$T:$T)*1000,"")</f>
        <v>24273.156786520856</v>
      </c>
      <c r="AE131" s="143">
        <f>IFERROR(_xlfn.XLOOKUP($D131,'Modelling New'!$D:$D,'Modelling New'!O:O),"")</f>
        <v>0.71777654975663252</v>
      </c>
      <c r="AF131" s="145">
        <f>IFERROR(_xlfn.XLOOKUP($D131,'Modelling New'!$D:$D,'Modelling New'!W:W),"")</f>
        <v>0.12609327292095679</v>
      </c>
      <c r="AG131" s="145">
        <f>IFERROR(_xlfn.XLOOKUP($D131,'Modelling New'!$D:$D,'Modelling New'!AE:AE),"")</f>
        <v>0.98040000000000005</v>
      </c>
      <c r="AH131" s="167">
        <f>IFERROR(_xlfn.XLOOKUP($D131,'Modelling New'!$D:$D,'Modelling New'!AF:AF),"")</f>
        <v>0.98</v>
      </c>
      <c r="AN131" s="144"/>
      <c r="AO131" s="141"/>
      <c r="AP131" s="141"/>
      <c r="AQ131" s="141"/>
      <c r="AR131" s="133">
        <f>'Basic Data'!$B$98/1000</f>
        <v>8.0208999999999993</v>
      </c>
    </row>
    <row r="132" spans="1:44" x14ac:dyDescent="0.3">
      <c r="A132" s="132">
        <f t="shared" si="11"/>
        <v>45875</v>
      </c>
      <c r="B132" s="133">
        <f>YEAR(Table13[[#This Row],[Date]])+IF(MONTH(Table13[[#This Row],[Date]])&gt;=4,1,0)</f>
        <v>2026</v>
      </c>
      <c r="C132" s="134">
        <f>YEAR(Table13[[#This Row],[Date]])</f>
        <v>2025</v>
      </c>
      <c r="D132" s="135">
        <f>Table13[[#This Row],[Date]]-DAY(Table13[[#This Row],[Date]])+1</f>
        <v>45870</v>
      </c>
      <c r="E132" s="134">
        <f t="shared" si="8"/>
        <v>31</v>
      </c>
      <c r="F132" s="136" t="str">
        <f>IFERROR(_xlfn.XLOOKUP($A132,'Raw Data'!$G:$G,'Raw Data'!$AM:$AM),"")</f>
        <v/>
      </c>
      <c r="G132" s="137" t="str">
        <f>IFERROR(_xlfn.XLOOKUP($A132,'Raw Data'!$G:$G,'Raw Data'!$AB:$AB),"")</f>
        <v/>
      </c>
      <c r="H132" s="137"/>
      <c r="I132" s="137" t="str">
        <f>IFERROR(_xlfn.XLOOKUP($A132,'Raw Data'!$G:$G,'Raw Data'!$AC:$AC),"")</f>
        <v/>
      </c>
      <c r="J132" s="137"/>
      <c r="K132" s="137" t="str">
        <f>IFERROR(_xlfn.XLOOKUP($A132,'Raw Data'!$G:$G,'Raw Data'!AD:AD),"")</f>
        <v/>
      </c>
      <c r="L132" s="137" t="str">
        <f>IFERROR(_xlfn.XLOOKUP($A132,'Raw Data'!$G:$G,'Raw Data'!AE:AE),"")</f>
        <v/>
      </c>
      <c r="M132" s="137" t="str">
        <f>IFERROR(_xlfn.XLOOKUP($A132,'Raw Data'!$G:$G,'Raw Data'!AF:AF),"")</f>
        <v/>
      </c>
      <c r="N132" s="137" t="str">
        <f>IFERROR(_xlfn.XLOOKUP($A132,'Raw Data'!$G:$G,'Raw Data'!AG:AG),"")</f>
        <v/>
      </c>
      <c r="O132" s="138" t="str">
        <f>IFERROR(1-SUMIF('Plant BD'!$H:$H,$A132,'Plant BD'!$AE:$AE)/($AA132+SUMIF('Plant BD'!$H:$H,$A132,'Plant BD'!$AE:$AE)),"")</f>
        <v/>
      </c>
      <c r="P132" s="138"/>
      <c r="Q132" s="139"/>
      <c r="R132" s="138" t="str">
        <f>IFERROR(1-SUMIF('Grid BD'!$H:$H,$A132,'Grid BD'!$AD:$AD)/($AA132+SUMIF('Grid BD'!$H:$H,$A132,'Grid BD'!$AD:$AD)),"")</f>
        <v/>
      </c>
      <c r="T132" s="139"/>
      <c r="U132" s="140" t="str">
        <f t="shared" si="9"/>
        <v/>
      </c>
      <c r="V132" s="140"/>
      <c r="W132" s="141" t="str">
        <f t="shared" si="10"/>
        <v/>
      </c>
      <c r="X132" s="133" t="str">
        <f>IFERROR(_xlfn.XLOOKUP($A132,'Raw Data'!$G:$G,'Raw Data'!AI:AI),"")</f>
        <v/>
      </c>
      <c r="Y132" s="133" t="str">
        <f>IFERROR(_xlfn.XLOOKUP($A132,'Raw Data'!$G:$G,'Raw Data'!AJ:AJ),"")</f>
        <v/>
      </c>
      <c r="Z132" s="133" t="str">
        <f>IFERROR(_xlfn.XLOOKUP($A132,'Raw Data'!$G:$G,'Raw Data'!AK:AK),"")</f>
        <v/>
      </c>
      <c r="AA132" s="133" t="str">
        <f>IFERROR(_xlfn.XLOOKUP($A132,'Raw Data'!$G:$G,'Raw Data'!AL:AL),"")</f>
        <v/>
      </c>
      <c r="AB132" s="133" t="str">
        <f>IFERROR(_xlfn.XLOOKUP($A132,'Raw Data'!$G:$G,'Raw Data'!H:H),"")</f>
        <v/>
      </c>
      <c r="AC132" s="142">
        <f>IFERROR(_xlfn.XLOOKUP($D132,'Modelling New'!$D:$D,'Modelling New'!P:P),"")</f>
        <v>4.2161290322580642</v>
      </c>
      <c r="AD132" s="133">
        <f>IFERROR(_xlfn.XLOOKUP($D132,'Modelling New'!$D:$D,'Modelling New'!$T:$T)*1000,"")</f>
        <v>24273.156786520856</v>
      </c>
      <c r="AE132" s="143">
        <f>IFERROR(_xlfn.XLOOKUP($D132,'Modelling New'!$D:$D,'Modelling New'!O:O),"")</f>
        <v>0.71777654975663252</v>
      </c>
      <c r="AF132" s="145">
        <f>IFERROR(_xlfn.XLOOKUP($D132,'Modelling New'!$D:$D,'Modelling New'!W:W),"")</f>
        <v>0.12609327292095679</v>
      </c>
      <c r="AG132" s="145">
        <f>IFERROR(_xlfn.XLOOKUP($D132,'Modelling New'!$D:$D,'Modelling New'!AE:AE),"")</f>
        <v>0.98040000000000005</v>
      </c>
      <c r="AH132" s="167">
        <f>IFERROR(_xlfn.XLOOKUP($D132,'Modelling New'!$D:$D,'Modelling New'!AF:AF),"")</f>
        <v>0.98</v>
      </c>
      <c r="AN132" s="144"/>
      <c r="AO132" s="141"/>
      <c r="AP132" s="141"/>
      <c r="AQ132" s="141"/>
      <c r="AR132" s="133">
        <f>'Basic Data'!$B$98/1000</f>
        <v>8.0208999999999993</v>
      </c>
    </row>
    <row r="133" spans="1:44" x14ac:dyDescent="0.3">
      <c r="A133" s="132">
        <f t="shared" si="11"/>
        <v>45876</v>
      </c>
      <c r="B133" s="133">
        <f>YEAR(Table13[[#This Row],[Date]])+IF(MONTH(Table13[[#This Row],[Date]])&gt;=4,1,0)</f>
        <v>2026</v>
      </c>
      <c r="C133" s="134">
        <f>YEAR(Table13[[#This Row],[Date]])</f>
        <v>2025</v>
      </c>
      <c r="D133" s="135">
        <f>Table13[[#This Row],[Date]]-DAY(Table13[[#This Row],[Date]])+1</f>
        <v>45870</v>
      </c>
      <c r="E133" s="134">
        <f t="shared" si="8"/>
        <v>31</v>
      </c>
      <c r="F133" s="136" t="str">
        <f>IFERROR(_xlfn.XLOOKUP($A133,'Raw Data'!$G:$G,'Raw Data'!$AM:$AM),"")</f>
        <v/>
      </c>
      <c r="G133" s="137" t="str">
        <f>IFERROR(_xlfn.XLOOKUP($A133,'Raw Data'!$G:$G,'Raw Data'!$AB:$AB),"")</f>
        <v/>
      </c>
      <c r="H133" s="137"/>
      <c r="I133" s="137" t="str">
        <f>IFERROR(_xlfn.XLOOKUP($A133,'Raw Data'!$G:$G,'Raw Data'!$AC:$AC),"")</f>
        <v/>
      </c>
      <c r="J133" s="137"/>
      <c r="K133" s="137" t="str">
        <f>IFERROR(_xlfn.XLOOKUP($A133,'Raw Data'!$G:$G,'Raw Data'!AD:AD),"")</f>
        <v/>
      </c>
      <c r="L133" s="137" t="str">
        <f>IFERROR(_xlfn.XLOOKUP($A133,'Raw Data'!$G:$G,'Raw Data'!AE:AE),"")</f>
        <v/>
      </c>
      <c r="M133" s="137" t="str">
        <f>IFERROR(_xlfn.XLOOKUP($A133,'Raw Data'!$G:$G,'Raw Data'!AF:AF),"")</f>
        <v/>
      </c>
      <c r="N133" s="137" t="str">
        <f>IFERROR(_xlfn.XLOOKUP($A133,'Raw Data'!$G:$G,'Raw Data'!AG:AG),"")</f>
        <v/>
      </c>
      <c r="O133" s="138" t="str">
        <f>IFERROR(1-SUMIF('Plant BD'!$H:$H,$A133,'Plant BD'!$AE:$AE)/($AA133+SUMIF('Plant BD'!$H:$H,$A133,'Plant BD'!$AE:$AE)),"")</f>
        <v/>
      </c>
      <c r="P133" s="138"/>
      <c r="Q133" s="139"/>
      <c r="R133" s="138" t="str">
        <f>IFERROR(1-SUMIF('Grid BD'!$H:$H,$A133,'Grid BD'!$AD:$AD)/($AA133+SUMIF('Grid BD'!$H:$H,$A133,'Grid BD'!$AD:$AD)),"")</f>
        <v/>
      </c>
      <c r="T133" s="139"/>
      <c r="U133" s="140" t="str">
        <f t="shared" si="9"/>
        <v/>
      </c>
      <c r="V133" s="140"/>
      <c r="W133" s="141" t="str">
        <f t="shared" si="10"/>
        <v/>
      </c>
      <c r="X133" s="133" t="str">
        <f>IFERROR(_xlfn.XLOOKUP($A133,'Raw Data'!$G:$G,'Raw Data'!AI:AI),"")</f>
        <v/>
      </c>
      <c r="Y133" s="133" t="str">
        <f>IFERROR(_xlfn.XLOOKUP($A133,'Raw Data'!$G:$G,'Raw Data'!AJ:AJ),"")</f>
        <v/>
      </c>
      <c r="Z133" s="133" t="str">
        <f>IFERROR(_xlfn.XLOOKUP($A133,'Raw Data'!$G:$G,'Raw Data'!AK:AK),"")</f>
        <v/>
      </c>
      <c r="AA133" s="133" t="str">
        <f>IFERROR(_xlfn.XLOOKUP($A133,'Raw Data'!$G:$G,'Raw Data'!AL:AL),"")</f>
        <v/>
      </c>
      <c r="AB133" s="133" t="str">
        <f>IFERROR(_xlfn.XLOOKUP($A133,'Raw Data'!$G:$G,'Raw Data'!H:H),"")</f>
        <v/>
      </c>
      <c r="AC133" s="142">
        <f>IFERROR(_xlfn.XLOOKUP($D133,'Modelling New'!$D:$D,'Modelling New'!P:P),"")</f>
        <v>4.2161290322580642</v>
      </c>
      <c r="AD133" s="133">
        <f>IFERROR(_xlfn.XLOOKUP($D133,'Modelling New'!$D:$D,'Modelling New'!$T:$T)*1000,"")</f>
        <v>24273.156786520856</v>
      </c>
      <c r="AE133" s="143">
        <f>IFERROR(_xlfn.XLOOKUP($D133,'Modelling New'!$D:$D,'Modelling New'!O:O),"")</f>
        <v>0.71777654975663252</v>
      </c>
      <c r="AF133" s="145">
        <f>IFERROR(_xlfn.XLOOKUP($D133,'Modelling New'!$D:$D,'Modelling New'!W:W),"")</f>
        <v>0.12609327292095679</v>
      </c>
      <c r="AG133" s="145">
        <f>IFERROR(_xlfn.XLOOKUP($D133,'Modelling New'!$D:$D,'Modelling New'!AE:AE),"")</f>
        <v>0.98040000000000005</v>
      </c>
      <c r="AH133" s="167">
        <f>IFERROR(_xlfn.XLOOKUP($D133,'Modelling New'!$D:$D,'Modelling New'!AF:AF),"")</f>
        <v>0.98</v>
      </c>
      <c r="AN133" s="144"/>
      <c r="AO133" s="141"/>
      <c r="AP133" s="141"/>
      <c r="AQ133" s="141"/>
      <c r="AR133" s="133">
        <f>'Basic Data'!$B$98/1000</f>
        <v>8.0208999999999993</v>
      </c>
    </row>
    <row r="134" spans="1:44" x14ac:dyDescent="0.3">
      <c r="A134" s="132">
        <f t="shared" si="11"/>
        <v>45877</v>
      </c>
      <c r="B134" s="133">
        <f>YEAR(Table13[[#This Row],[Date]])+IF(MONTH(Table13[[#This Row],[Date]])&gt;=4,1,0)</f>
        <v>2026</v>
      </c>
      <c r="C134" s="134">
        <f>YEAR(Table13[[#This Row],[Date]])</f>
        <v>2025</v>
      </c>
      <c r="D134" s="135">
        <f>Table13[[#This Row],[Date]]-DAY(Table13[[#This Row],[Date]])+1</f>
        <v>45870</v>
      </c>
      <c r="E134" s="134">
        <f t="shared" si="8"/>
        <v>31</v>
      </c>
      <c r="F134" s="136" t="str">
        <f>IFERROR(_xlfn.XLOOKUP($A134,'Raw Data'!$G:$G,'Raw Data'!$AM:$AM),"")</f>
        <v/>
      </c>
      <c r="G134" s="137" t="str">
        <f>IFERROR(_xlfn.XLOOKUP($A134,'Raw Data'!$G:$G,'Raw Data'!$AB:$AB),"")</f>
        <v/>
      </c>
      <c r="H134" s="137"/>
      <c r="I134" s="137" t="str">
        <f>IFERROR(_xlfn.XLOOKUP($A134,'Raw Data'!$G:$G,'Raw Data'!$AC:$AC),"")</f>
        <v/>
      </c>
      <c r="J134" s="137"/>
      <c r="K134" s="137" t="str">
        <f>IFERROR(_xlfn.XLOOKUP($A134,'Raw Data'!$G:$G,'Raw Data'!AD:AD),"")</f>
        <v/>
      </c>
      <c r="L134" s="137" t="str">
        <f>IFERROR(_xlfn.XLOOKUP($A134,'Raw Data'!$G:$G,'Raw Data'!AE:AE),"")</f>
        <v/>
      </c>
      <c r="M134" s="137" t="str">
        <f>IFERROR(_xlfn.XLOOKUP($A134,'Raw Data'!$G:$G,'Raw Data'!AF:AF),"")</f>
        <v/>
      </c>
      <c r="N134" s="137" t="str">
        <f>IFERROR(_xlfn.XLOOKUP($A134,'Raw Data'!$G:$G,'Raw Data'!AG:AG),"")</f>
        <v/>
      </c>
      <c r="O134" s="138" t="str">
        <f>IFERROR(1-SUMIF('Plant BD'!$H:$H,$A134,'Plant BD'!$AE:$AE)/($AA134+SUMIF('Plant BD'!$H:$H,$A134,'Plant BD'!$AE:$AE)),"")</f>
        <v/>
      </c>
      <c r="P134" s="138"/>
      <c r="Q134" s="139"/>
      <c r="R134" s="138" t="str">
        <f>IFERROR(1-SUMIF('Grid BD'!$H:$H,$A134,'Grid BD'!$AD:$AD)/($AA134+SUMIF('Grid BD'!$H:$H,$A134,'Grid BD'!$AD:$AD)),"")</f>
        <v/>
      </c>
      <c r="T134" s="139"/>
      <c r="U134" s="140" t="str">
        <f t="shared" si="9"/>
        <v/>
      </c>
      <c r="V134" s="140"/>
      <c r="W134" s="141" t="str">
        <f t="shared" si="10"/>
        <v/>
      </c>
      <c r="X134" s="133" t="str">
        <f>IFERROR(_xlfn.XLOOKUP($A134,'Raw Data'!$G:$G,'Raw Data'!AI:AI),"")</f>
        <v/>
      </c>
      <c r="Y134" s="133" t="str">
        <f>IFERROR(_xlfn.XLOOKUP($A134,'Raw Data'!$G:$G,'Raw Data'!AJ:AJ),"")</f>
        <v/>
      </c>
      <c r="Z134" s="133" t="str">
        <f>IFERROR(_xlfn.XLOOKUP($A134,'Raw Data'!$G:$G,'Raw Data'!AK:AK),"")</f>
        <v/>
      </c>
      <c r="AA134" s="133" t="str">
        <f>IFERROR(_xlfn.XLOOKUP($A134,'Raw Data'!$G:$G,'Raw Data'!AL:AL),"")</f>
        <v/>
      </c>
      <c r="AB134" s="133" t="str">
        <f>IFERROR(_xlfn.XLOOKUP($A134,'Raw Data'!$G:$G,'Raw Data'!H:H),"")</f>
        <v/>
      </c>
      <c r="AC134" s="142">
        <f>IFERROR(_xlfn.XLOOKUP($D134,'Modelling New'!$D:$D,'Modelling New'!P:P),"")</f>
        <v>4.2161290322580642</v>
      </c>
      <c r="AD134" s="133">
        <f>IFERROR(_xlfn.XLOOKUP($D134,'Modelling New'!$D:$D,'Modelling New'!$T:$T)*1000,"")</f>
        <v>24273.156786520856</v>
      </c>
      <c r="AE134" s="143">
        <f>IFERROR(_xlfn.XLOOKUP($D134,'Modelling New'!$D:$D,'Modelling New'!O:O),"")</f>
        <v>0.71777654975663252</v>
      </c>
      <c r="AF134" s="145">
        <f>IFERROR(_xlfn.XLOOKUP($D134,'Modelling New'!$D:$D,'Modelling New'!W:W),"")</f>
        <v>0.12609327292095679</v>
      </c>
      <c r="AG134" s="145">
        <f>IFERROR(_xlfn.XLOOKUP($D134,'Modelling New'!$D:$D,'Modelling New'!AE:AE),"")</f>
        <v>0.98040000000000005</v>
      </c>
      <c r="AH134" s="167">
        <f>IFERROR(_xlfn.XLOOKUP($D134,'Modelling New'!$D:$D,'Modelling New'!AF:AF),"")</f>
        <v>0.98</v>
      </c>
      <c r="AN134" s="144"/>
      <c r="AO134" s="141"/>
      <c r="AP134" s="141"/>
      <c r="AQ134" s="141"/>
      <c r="AR134" s="133">
        <f>'Basic Data'!$B$98/1000</f>
        <v>8.0208999999999993</v>
      </c>
    </row>
    <row r="135" spans="1:44" x14ac:dyDescent="0.3">
      <c r="A135" s="132">
        <f t="shared" si="11"/>
        <v>45878</v>
      </c>
      <c r="B135" s="133">
        <f>YEAR(Table13[[#This Row],[Date]])+IF(MONTH(Table13[[#This Row],[Date]])&gt;=4,1,0)</f>
        <v>2026</v>
      </c>
      <c r="C135" s="134">
        <f>YEAR(Table13[[#This Row],[Date]])</f>
        <v>2025</v>
      </c>
      <c r="D135" s="135">
        <f>Table13[[#This Row],[Date]]-DAY(Table13[[#This Row],[Date]])+1</f>
        <v>45870</v>
      </c>
      <c r="E135" s="134">
        <f t="shared" si="8"/>
        <v>31</v>
      </c>
      <c r="F135" s="136" t="str">
        <f>IFERROR(_xlfn.XLOOKUP($A135,'Raw Data'!$G:$G,'Raw Data'!$AM:$AM),"")</f>
        <v/>
      </c>
      <c r="G135" s="137" t="str">
        <f>IFERROR(_xlfn.XLOOKUP($A135,'Raw Data'!$G:$G,'Raw Data'!$AB:$AB),"")</f>
        <v/>
      </c>
      <c r="H135" s="137"/>
      <c r="I135" s="137" t="str">
        <f>IFERROR(_xlfn.XLOOKUP($A135,'Raw Data'!$G:$G,'Raw Data'!$AC:$AC),"")</f>
        <v/>
      </c>
      <c r="J135" s="137"/>
      <c r="K135" s="137" t="str">
        <f>IFERROR(_xlfn.XLOOKUP($A135,'Raw Data'!$G:$G,'Raw Data'!AD:AD),"")</f>
        <v/>
      </c>
      <c r="L135" s="137" t="str">
        <f>IFERROR(_xlfn.XLOOKUP($A135,'Raw Data'!$G:$G,'Raw Data'!AE:AE),"")</f>
        <v/>
      </c>
      <c r="M135" s="137" t="str">
        <f>IFERROR(_xlfn.XLOOKUP($A135,'Raw Data'!$G:$G,'Raw Data'!AF:AF),"")</f>
        <v/>
      </c>
      <c r="N135" s="137" t="str">
        <f>IFERROR(_xlfn.XLOOKUP($A135,'Raw Data'!$G:$G,'Raw Data'!AG:AG),"")</f>
        <v/>
      </c>
      <c r="O135" s="138" t="str">
        <f>IFERROR(1-SUMIF('Plant BD'!$H:$H,$A135,'Plant BD'!$AE:$AE)/($AA135+SUMIF('Plant BD'!$H:$H,$A135,'Plant BD'!$AE:$AE)),"")</f>
        <v/>
      </c>
      <c r="P135" s="138"/>
      <c r="Q135" s="139"/>
      <c r="R135" s="138" t="str">
        <f>IFERROR(1-SUMIF('Grid BD'!$H:$H,$A135,'Grid BD'!$AD:$AD)/($AA135+SUMIF('Grid BD'!$H:$H,$A135,'Grid BD'!$AD:$AD)),"")</f>
        <v/>
      </c>
      <c r="T135" s="139"/>
      <c r="U135" s="140" t="str">
        <f t="shared" si="9"/>
        <v/>
      </c>
      <c r="V135" s="140"/>
      <c r="W135" s="141" t="str">
        <f t="shared" si="10"/>
        <v/>
      </c>
      <c r="X135" s="133" t="str">
        <f>IFERROR(_xlfn.XLOOKUP($A135,'Raw Data'!$G:$G,'Raw Data'!AI:AI),"")</f>
        <v/>
      </c>
      <c r="Y135" s="133" t="str">
        <f>IFERROR(_xlfn.XLOOKUP($A135,'Raw Data'!$G:$G,'Raw Data'!AJ:AJ),"")</f>
        <v/>
      </c>
      <c r="Z135" s="133" t="str">
        <f>IFERROR(_xlfn.XLOOKUP($A135,'Raw Data'!$G:$G,'Raw Data'!AK:AK),"")</f>
        <v/>
      </c>
      <c r="AA135" s="133" t="str">
        <f>IFERROR(_xlfn.XLOOKUP($A135,'Raw Data'!$G:$G,'Raw Data'!AL:AL),"")</f>
        <v/>
      </c>
      <c r="AB135" s="133" t="str">
        <f>IFERROR(_xlfn.XLOOKUP($A135,'Raw Data'!$G:$G,'Raw Data'!H:H),"")</f>
        <v/>
      </c>
      <c r="AC135" s="142">
        <f>IFERROR(_xlfn.XLOOKUP($D135,'Modelling New'!$D:$D,'Modelling New'!P:P),"")</f>
        <v>4.2161290322580642</v>
      </c>
      <c r="AD135" s="133">
        <f>IFERROR(_xlfn.XLOOKUP($D135,'Modelling New'!$D:$D,'Modelling New'!$T:$T)*1000,"")</f>
        <v>24273.156786520856</v>
      </c>
      <c r="AE135" s="143">
        <f>IFERROR(_xlfn.XLOOKUP($D135,'Modelling New'!$D:$D,'Modelling New'!O:O),"")</f>
        <v>0.71777654975663252</v>
      </c>
      <c r="AF135" s="145">
        <f>IFERROR(_xlfn.XLOOKUP($D135,'Modelling New'!$D:$D,'Modelling New'!W:W),"")</f>
        <v>0.12609327292095679</v>
      </c>
      <c r="AG135" s="145">
        <f>IFERROR(_xlfn.XLOOKUP($D135,'Modelling New'!$D:$D,'Modelling New'!AE:AE),"")</f>
        <v>0.98040000000000005</v>
      </c>
      <c r="AH135" s="167">
        <f>IFERROR(_xlfn.XLOOKUP($D135,'Modelling New'!$D:$D,'Modelling New'!AF:AF),"")</f>
        <v>0.98</v>
      </c>
      <c r="AN135" s="144"/>
      <c r="AO135" s="141"/>
      <c r="AP135" s="141"/>
      <c r="AQ135" s="141"/>
      <c r="AR135" s="133">
        <f>'Basic Data'!$B$98/1000</f>
        <v>8.0208999999999993</v>
      </c>
    </row>
    <row r="136" spans="1:44" x14ac:dyDescent="0.3">
      <c r="A136" s="132">
        <f t="shared" si="11"/>
        <v>45879</v>
      </c>
      <c r="B136" s="133">
        <f>YEAR(Table13[[#This Row],[Date]])+IF(MONTH(Table13[[#This Row],[Date]])&gt;=4,1,0)</f>
        <v>2026</v>
      </c>
      <c r="C136" s="134">
        <f>YEAR(Table13[[#This Row],[Date]])</f>
        <v>2025</v>
      </c>
      <c r="D136" s="135">
        <f>Table13[[#This Row],[Date]]-DAY(Table13[[#This Row],[Date]])+1</f>
        <v>45870</v>
      </c>
      <c r="E136" s="134">
        <f t="shared" si="8"/>
        <v>31</v>
      </c>
      <c r="F136" s="136" t="str">
        <f>IFERROR(_xlfn.XLOOKUP($A136,'Raw Data'!$G:$G,'Raw Data'!$AM:$AM),"")</f>
        <v/>
      </c>
      <c r="G136" s="137" t="str">
        <f>IFERROR(_xlfn.XLOOKUP($A136,'Raw Data'!$G:$G,'Raw Data'!$AB:$AB),"")</f>
        <v/>
      </c>
      <c r="H136" s="137"/>
      <c r="I136" s="137" t="str">
        <f>IFERROR(_xlfn.XLOOKUP($A136,'Raw Data'!$G:$G,'Raw Data'!$AC:$AC),"")</f>
        <v/>
      </c>
      <c r="J136" s="137"/>
      <c r="K136" s="137" t="str">
        <f>IFERROR(_xlfn.XLOOKUP($A136,'Raw Data'!$G:$G,'Raw Data'!AD:AD),"")</f>
        <v/>
      </c>
      <c r="L136" s="137" t="str">
        <f>IFERROR(_xlfn.XLOOKUP($A136,'Raw Data'!$G:$G,'Raw Data'!AE:AE),"")</f>
        <v/>
      </c>
      <c r="M136" s="137" t="str">
        <f>IFERROR(_xlfn.XLOOKUP($A136,'Raw Data'!$G:$G,'Raw Data'!AF:AF),"")</f>
        <v/>
      </c>
      <c r="N136" s="137" t="str">
        <f>IFERROR(_xlfn.XLOOKUP($A136,'Raw Data'!$G:$G,'Raw Data'!AG:AG),"")</f>
        <v/>
      </c>
      <c r="O136" s="138" t="str">
        <f>IFERROR(1-SUMIF('Plant BD'!$H:$H,$A136,'Plant BD'!$AE:$AE)/($AA136+SUMIF('Plant BD'!$H:$H,$A136,'Plant BD'!$AE:$AE)),"")</f>
        <v/>
      </c>
      <c r="P136" s="138"/>
      <c r="Q136" s="139"/>
      <c r="R136" s="138" t="str">
        <f>IFERROR(1-SUMIF('Grid BD'!$H:$H,$A136,'Grid BD'!$AD:$AD)/($AA136+SUMIF('Grid BD'!$H:$H,$A136,'Grid BD'!$AD:$AD)),"")</f>
        <v/>
      </c>
      <c r="T136" s="139"/>
      <c r="U136" s="140" t="str">
        <f t="shared" si="9"/>
        <v/>
      </c>
      <c r="V136" s="140"/>
      <c r="W136" s="141" t="str">
        <f t="shared" si="10"/>
        <v/>
      </c>
      <c r="X136" s="133" t="str">
        <f>IFERROR(_xlfn.XLOOKUP($A136,'Raw Data'!$G:$G,'Raw Data'!AI:AI),"")</f>
        <v/>
      </c>
      <c r="Y136" s="133" t="str">
        <f>IFERROR(_xlfn.XLOOKUP($A136,'Raw Data'!$G:$G,'Raw Data'!AJ:AJ),"")</f>
        <v/>
      </c>
      <c r="Z136" s="133" t="str">
        <f>IFERROR(_xlfn.XLOOKUP($A136,'Raw Data'!$G:$G,'Raw Data'!AK:AK),"")</f>
        <v/>
      </c>
      <c r="AA136" s="133" t="str">
        <f>IFERROR(_xlfn.XLOOKUP($A136,'Raw Data'!$G:$G,'Raw Data'!AL:AL),"")</f>
        <v/>
      </c>
      <c r="AB136" s="133" t="str">
        <f>IFERROR(_xlfn.XLOOKUP($A136,'Raw Data'!$G:$G,'Raw Data'!H:H),"")</f>
        <v/>
      </c>
      <c r="AC136" s="142">
        <f>IFERROR(_xlfn.XLOOKUP($D136,'Modelling New'!$D:$D,'Modelling New'!P:P),"")</f>
        <v>4.2161290322580642</v>
      </c>
      <c r="AD136" s="133">
        <f>IFERROR(_xlfn.XLOOKUP($D136,'Modelling New'!$D:$D,'Modelling New'!$T:$T)*1000,"")</f>
        <v>24273.156786520856</v>
      </c>
      <c r="AE136" s="143">
        <f>IFERROR(_xlfn.XLOOKUP($D136,'Modelling New'!$D:$D,'Modelling New'!O:O),"")</f>
        <v>0.71777654975663252</v>
      </c>
      <c r="AF136" s="145">
        <f>IFERROR(_xlfn.XLOOKUP($D136,'Modelling New'!$D:$D,'Modelling New'!W:W),"")</f>
        <v>0.12609327292095679</v>
      </c>
      <c r="AG136" s="145">
        <f>IFERROR(_xlfn.XLOOKUP($D136,'Modelling New'!$D:$D,'Modelling New'!AE:AE),"")</f>
        <v>0.98040000000000005</v>
      </c>
      <c r="AH136" s="167">
        <f>IFERROR(_xlfn.XLOOKUP($D136,'Modelling New'!$D:$D,'Modelling New'!AF:AF),"")</f>
        <v>0.98</v>
      </c>
      <c r="AN136" s="144"/>
      <c r="AO136" s="141"/>
      <c r="AP136" s="141"/>
      <c r="AQ136" s="141"/>
      <c r="AR136" s="133">
        <f>'Basic Data'!$B$98/1000</f>
        <v>8.0208999999999993</v>
      </c>
    </row>
    <row r="137" spans="1:44" x14ac:dyDescent="0.3">
      <c r="A137" s="132">
        <f t="shared" si="11"/>
        <v>45880</v>
      </c>
      <c r="B137" s="133">
        <f>YEAR(Table13[[#This Row],[Date]])+IF(MONTH(Table13[[#This Row],[Date]])&gt;=4,1,0)</f>
        <v>2026</v>
      </c>
      <c r="C137" s="134">
        <f>YEAR(Table13[[#This Row],[Date]])</f>
        <v>2025</v>
      </c>
      <c r="D137" s="135">
        <f>Table13[[#This Row],[Date]]-DAY(Table13[[#This Row],[Date]])+1</f>
        <v>45870</v>
      </c>
      <c r="E137" s="134">
        <f t="shared" si="8"/>
        <v>31</v>
      </c>
      <c r="F137" s="136" t="str">
        <f>IFERROR(_xlfn.XLOOKUP($A137,'Raw Data'!$G:$G,'Raw Data'!$AM:$AM),"")</f>
        <v/>
      </c>
      <c r="G137" s="137" t="str">
        <f>IFERROR(_xlfn.XLOOKUP($A137,'Raw Data'!$G:$G,'Raw Data'!$AB:$AB),"")</f>
        <v/>
      </c>
      <c r="H137" s="137"/>
      <c r="I137" s="137" t="str">
        <f>IFERROR(_xlfn.XLOOKUP($A137,'Raw Data'!$G:$G,'Raw Data'!$AC:$AC),"")</f>
        <v/>
      </c>
      <c r="J137" s="137"/>
      <c r="K137" s="137" t="str">
        <f>IFERROR(_xlfn.XLOOKUP($A137,'Raw Data'!$G:$G,'Raw Data'!AD:AD),"")</f>
        <v/>
      </c>
      <c r="L137" s="137" t="str">
        <f>IFERROR(_xlfn.XLOOKUP($A137,'Raw Data'!$G:$G,'Raw Data'!AE:AE),"")</f>
        <v/>
      </c>
      <c r="M137" s="137" t="str">
        <f>IFERROR(_xlfn.XLOOKUP($A137,'Raw Data'!$G:$G,'Raw Data'!AF:AF),"")</f>
        <v/>
      </c>
      <c r="N137" s="137" t="str">
        <f>IFERROR(_xlfn.XLOOKUP($A137,'Raw Data'!$G:$G,'Raw Data'!AG:AG),"")</f>
        <v/>
      </c>
      <c r="O137" s="138" t="str">
        <f>IFERROR(1-SUMIF('Plant BD'!$H:$H,$A137,'Plant BD'!$AE:$AE)/($AA137+SUMIF('Plant BD'!$H:$H,$A137,'Plant BD'!$AE:$AE)),"")</f>
        <v/>
      </c>
      <c r="P137" s="138"/>
      <c r="Q137" s="139"/>
      <c r="R137" s="138" t="str">
        <f>IFERROR(1-SUMIF('Grid BD'!$H:$H,$A137,'Grid BD'!$AD:$AD)/($AA137+SUMIF('Grid BD'!$H:$H,$A137,'Grid BD'!$AD:$AD)),"")</f>
        <v/>
      </c>
      <c r="T137" s="139"/>
      <c r="U137" s="140" t="str">
        <f t="shared" si="9"/>
        <v/>
      </c>
      <c r="V137" s="140"/>
      <c r="W137" s="141" t="str">
        <f t="shared" si="10"/>
        <v/>
      </c>
      <c r="X137" s="133" t="str">
        <f>IFERROR(_xlfn.XLOOKUP($A137,'Raw Data'!$G:$G,'Raw Data'!AI:AI),"")</f>
        <v/>
      </c>
      <c r="Y137" s="133" t="str">
        <f>IFERROR(_xlfn.XLOOKUP($A137,'Raw Data'!$G:$G,'Raw Data'!AJ:AJ),"")</f>
        <v/>
      </c>
      <c r="Z137" s="133" t="str">
        <f>IFERROR(_xlfn.XLOOKUP($A137,'Raw Data'!$G:$G,'Raw Data'!AK:AK),"")</f>
        <v/>
      </c>
      <c r="AA137" s="133" t="str">
        <f>IFERROR(_xlfn.XLOOKUP($A137,'Raw Data'!$G:$G,'Raw Data'!AL:AL),"")</f>
        <v/>
      </c>
      <c r="AB137" s="133" t="str">
        <f>IFERROR(_xlfn.XLOOKUP($A137,'Raw Data'!$G:$G,'Raw Data'!H:H),"")</f>
        <v/>
      </c>
      <c r="AC137" s="142">
        <f>IFERROR(_xlfn.XLOOKUP($D137,'Modelling New'!$D:$D,'Modelling New'!P:P),"")</f>
        <v>4.2161290322580642</v>
      </c>
      <c r="AD137" s="133">
        <f>IFERROR(_xlfn.XLOOKUP($D137,'Modelling New'!$D:$D,'Modelling New'!$T:$T)*1000,"")</f>
        <v>24273.156786520856</v>
      </c>
      <c r="AE137" s="143">
        <f>IFERROR(_xlfn.XLOOKUP($D137,'Modelling New'!$D:$D,'Modelling New'!O:O),"")</f>
        <v>0.71777654975663252</v>
      </c>
      <c r="AF137" s="145">
        <f>IFERROR(_xlfn.XLOOKUP($D137,'Modelling New'!$D:$D,'Modelling New'!W:W),"")</f>
        <v>0.12609327292095679</v>
      </c>
      <c r="AG137" s="145">
        <f>IFERROR(_xlfn.XLOOKUP($D137,'Modelling New'!$D:$D,'Modelling New'!AE:AE),"")</f>
        <v>0.98040000000000005</v>
      </c>
      <c r="AH137" s="167">
        <f>IFERROR(_xlfn.XLOOKUP($D137,'Modelling New'!$D:$D,'Modelling New'!AF:AF),"")</f>
        <v>0.98</v>
      </c>
      <c r="AN137" s="144"/>
      <c r="AO137" s="141"/>
      <c r="AP137" s="141"/>
      <c r="AQ137" s="141"/>
      <c r="AR137" s="133">
        <f>'Basic Data'!$B$98/1000</f>
        <v>8.0208999999999993</v>
      </c>
    </row>
    <row r="138" spans="1:44" x14ac:dyDescent="0.3">
      <c r="A138" s="132">
        <f t="shared" si="11"/>
        <v>45881</v>
      </c>
      <c r="B138" s="133">
        <f>YEAR(Table13[[#This Row],[Date]])+IF(MONTH(Table13[[#This Row],[Date]])&gt;=4,1,0)</f>
        <v>2026</v>
      </c>
      <c r="C138" s="134">
        <f>YEAR(Table13[[#This Row],[Date]])</f>
        <v>2025</v>
      </c>
      <c r="D138" s="135">
        <f>Table13[[#This Row],[Date]]-DAY(Table13[[#This Row],[Date]])+1</f>
        <v>45870</v>
      </c>
      <c r="E138" s="134">
        <f t="shared" si="8"/>
        <v>31</v>
      </c>
      <c r="F138" s="136" t="str">
        <f>IFERROR(_xlfn.XLOOKUP($A138,'Raw Data'!$G:$G,'Raw Data'!$AM:$AM),"")</f>
        <v/>
      </c>
      <c r="G138" s="137" t="str">
        <f>IFERROR(_xlfn.XLOOKUP($A138,'Raw Data'!$G:$G,'Raw Data'!$AB:$AB),"")</f>
        <v/>
      </c>
      <c r="H138" s="137"/>
      <c r="I138" s="137" t="str">
        <f>IFERROR(_xlfn.XLOOKUP($A138,'Raw Data'!$G:$G,'Raw Data'!$AC:$AC),"")</f>
        <v/>
      </c>
      <c r="J138" s="137"/>
      <c r="K138" s="137" t="str">
        <f>IFERROR(_xlfn.XLOOKUP($A138,'Raw Data'!$G:$G,'Raw Data'!AD:AD),"")</f>
        <v/>
      </c>
      <c r="L138" s="137" t="str">
        <f>IFERROR(_xlfn.XLOOKUP($A138,'Raw Data'!$G:$G,'Raw Data'!AE:AE),"")</f>
        <v/>
      </c>
      <c r="M138" s="137" t="str">
        <f>IFERROR(_xlfn.XLOOKUP($A138,'Raw Data'!$G:$G,'Raw Data'!AF:AF),"")</f>
        <v/>
      </c>
      <c r="N138" s="137" t="str">
        <f>IFERROR(_xlfn.XLOOKUP($A138,'Raw Data'!$G:$G,'Raw Data'!AG:AG),"")</f>
        <v/>
      </c>
      <c r="O138" s="138" t="str">
        <f>IFERROR(1-SUMIF('Plant BD'!$H:$H,$A138,'Plant BD'!$AE:$AE)/($AA138+SUMIF('Plant BD'!$H:$H,$A138,'Plant BD'!$AE:$AE)),"")</f>
        <v/>
      </c>
      <c r="P138" s="138"/>
      <c r="Q138" s="139"/>
      <c r="R138" s="138" t="str">
        <f>IFERROR(1-SUMIF('Grid BD'!$H:$H,$A138,'Grid BD'!$AD:$AD)/($AA138+SUMIF('Grid BD'!$H:$H,$A138,'Grid BD'!$AD:$AD)),"")</f>
        <v/>
      </c>
      <c r="T138" s="139"/>
      <c r="U138" s="140" t="str">
        <f t="shared" si="9"/>
        <v/>
      </c>
      <c r="V138" s="140"/>
      <c r="W138" s="141" t="str">
        <f t="shared" si="10"/>
        <v/>
      </c>
      <c r="X138" s="133" t="str">
        <f>IFERROR(_xlfn.XLOOKUP($A138,'Raw Data'!$G:$G,'Raw Data'!AI:AI),"")</f>
        <v/>
      </c>
      <c r="Y138" s="133" t="str">
        <f>IFERROR(_xlfn.XLOOKUP($A138,'Raw Data'!$G:$G,'Raw Data'!AJ:AJ),"")</f>
        <v/>
      </c>
      <c r="Z138" s="133" t="str">
        <f>IFERROR(_xlfn.XLOOKUP($A138,'Raw Data'!$G:$G,'Raw Data'!AK:AK),"")</f>
        <v/>
      </c>
      <c r="AA138" s="133" t="str">
        <f>IFERROR(_xlfn.XLOOKUP($A138,'Raw Data'!$G:$G,'Raw Data'!AL:AL),"")</f>
        <v/>
      </c>
      <c r="AB138" s="133" t="str">
        <f>IFERROR(_xlfn.XLOOKUP($A138,'Raw Data'!$G:$G,'Raw Data'!H:H),"")</f>
        <v/>
      </c>
      <c r="AC138" s="142">
        <f>IFERROR(_xlfn.XLOOKUP($D138,'Modelling New'!$D:$D,'Modelling New'!P:P),"")</f>
        <v>4.2161290322580642</v>
      </c>
      <c r="AD138" s="133">
        <f>IFERROR(_xlfn.XLOOKUP($D138,'Modelling New'!$D:$D,'Modelling New'!$T:$T)*1000,"")</f>
        <v>24273.156786520856</v>
      </c>
      <c r="AE138" s="143">
        <f>IFERROR(_xlfn.XLOOKUP($D138,'Modelling New'!$D:$D,'Modelling New'!O:O),"")</f>
        <v>0.71777654975663252</v>
      </c>
      <c r="AF138" s="145">
        <f>IFERROR(_xlfn.XLOOKUP($D138,'Modelling New'!$D:$D,'Modelling New'!W:W),"")</f>
        <v>0.12609327292095679</v>
      </c>
      <c r="AG138" s="145">
        <f>IFERROR(_xlfn.XLOOKUP($D138,'Modelling New'!$D:$D,'Modelling New'!AE:AE),"")</f>
        <v>0.98040000000000005</v>
      </c>
      <c r="AH138" s="167">
        <f>IFERROR(_xlfn.XLOOKUP($D138,'Modelling New'!$D:$D,'Modelling New'!AF:AF),"")</f>
        <v>0.98</v>
      </c>
      <c r="AN138" s="144"/>
      <c r="AO138" s="141"/>
      <c r="AP138" s="141"/>
      <c r="AQ138" s="141"/>
      <c r="AR138" s="133">
        <f>'Basic Data'!$B$98/1000</f>
        <v>8.0208999999999993</v>
      </c>
    </row>
    <row r="139" spans="1:44" x14ac:dyDescent="0.3">
      <c r="A139" s="132">
        <f t="shared" si="11"/>
        <v>45882</v>
      </c>
      <c r="B139" s="133">
        <f>YEAR(Table13[[#This Row],[Date]])+IF(MONTH(Table13[[#This Row],[Date]])&gt;=4,1,0)</f>
        <v>2026</v>
      </c>
      <c r="C139" s="134">
        <f>YEAR(Table13[[#This Row],[Date]])</f>
        <v>2025</v>
      </c>
      <c r="D139" s="135">
        <f>Table13[[#This Row],[Date]]-DAY(Table13[[#This Row],[Date]])+1</f>
        <v>45870</v>
      </c>
      <c r="E139" s="134">
        <f t="shared" si="8"/>
        <v>31</v>
      </c>
      <c r="F139" s="136" t="str">
        <f>IFERROR(_xlfn.XLOOKUP($A139,'Raw Data'!$G:$G,'Raw Data'!$AM:$AM),"")</f>
        <v/>
      </c>
      <c r="G139" s="137" t="str">
        <f>IFERROR(_xlfn.XLOOKUP($A139,'Raw Data'!$G:$G,'Raw Data'!$AB:$AB),"")</f>
        <v/>
      </c>
      <c r="H139" s="137"/>
      <c r="I139" s="137" t="str">
        <f>IFERROR(_xlfn.XLOOKUP($A139,'Raw Data'!$G:$G,'Raw Data'!$AC:$AC),"")</f>
        <v/>
      </c>
      <c r="J139" s="137"/>
      <c r="K139" s="137" t="str">
        <f>IFERROR(_xlfn.XLOOKUP($A139,'Raw Data'!$G:$G,'Raw Data'!AD:AD),"")</f>
        <v/>
      </c>
      <c r="L139" s="137" t="str">
        <f>IFERROR(_xlfn.XLOOKUP($A139,'Raw Data'!$G:$G,'Raw Data'!AE:AE),"")</f>
        <v/>
      </c>
      <c r="M139" s="137" t="str">
        <f>IFERROR(_xlfn.XLOOKUP($A139,'Raw Data'!$G:$G,'Raw Data'!AF:AF),"")</f>
        <v/>
      </c>
      <c r="N139" s="137" t="str">
        <f>IFERROR(_xlfn.XLOOKUP($A139,'Raw Data'!$G:$G,'Raw Data'!AG:AG),"")</f>
        <v/>
      </c>
      <c r="O139" s="138" t="str">
        <f>IFERROR(1-SUMIF('Plant BD'!$H:$H,$A139,'Plant BD'!$AE:$AE)/($AA139+SUMIF('Plant BD'!$H:$H,$A139,'Plant BD'!$AE:$AE)),"")</f>
        <v/>
      </c>
      <c r="P139" s="138"/>
      <c r="Q139" s="139"/>
      <c r="R139" s="138" t="str">
        <f>IFERROR(1-SUMIF('Grid BD'!$H:$H,$A139,'Grid BD'!$AD:$AD)/($AA139+SUMIF('Grid BD'!$H:$H,$A139,'Grid BD'!$AD:$AD)),"")</f>
        <v/>
      </c>
      <c r="T139" s="139"/>
      <c r="U139" s="140" t="str">
        <f t="shared" si="9"/>
        <v/>
      </c>
      <c r="V139" s="140"/>
      <c r="W139" s="141" t="str">
        <f t="shared" si="10"/>
        <v/>
      </c>
      <c r="X139" s="133" t="str">
        <f>IFERROR(_xlfn.XLOOKUP($A139,'Raw Data'!$G:$G,'Raw Data'!AI:AI),"")</f>
        <v/>
      </c>
      <c r="Y139" s="133" t="str">
        <f>IFERROR(_xlfn.XLOOKUP($A139,'Raw Data'!$G:$G,'Raw Data'!AJ:AJ),"")</f>
        <v/>
      </c>
      <c r="Z139" s="133" t="str">
        <f>IFERROR(_xlfn.XLOOKUP($A139,'Raw Data'!$G:$G,'Raw Data'!AK:AK),"")</f>
        <v/>
      </c>
      <c r="AA139" s="133" t="str">
        <f>IFERROR(_xlfn.XLOOKUP($A139,'Raw Data'!$G:$G,'Raw Data'!AL:AL),"")</f>
        <v/>
      </c>
      <c r="AB139" s="133" t="str">
        <f>IFERROR(_xlfn.XLOOKUP($A139,'Raw Data'!$G:$G,'Raw Data'!H:H),"")</f>
        <v/>
      </c>
      <c r="AC139" s="142">
        <f>IFERROR(_xlfn.XLOOKUP($D139,'Modelling New'!$D:$D,'Modelling New'!P:P),"")</f>
        <v>4.2161290322580642</v>
      </c>
      <c r="AD139" s="133">
        <f>IFERROR(_xlfn.XLOOKUP($D139,'Modelling New'!$D:$D,'Modelling New'!$T:$T)*1000,"")</f>
        <v>24273.156786520856</v>
      </c>
      <c r="AE139" s="143">
        <f>IFERROR(_xlfn.XLOOKUP($D139,'Modelling New'!$D:$D,'Modelling New'!O:O),"")</f>
        <v>0.71777654975663252</v>
      </c>
      <c r="AF139" s="145">
        <f>IFERROR(_xlfn.XLOOKUP($D139,'Modelling New'!$D:$D,'Modelling New'!W:W),"")</f>
        <v>0.12609327292095679</v>
      </c>
      <c r="AG139" s="145">
        <f>IFERROR(_xlfn.XLOOKUP($D139,'Modelling New'!$D:$D,'Modelling New'!AE:AE),"")</f>
        <v>0.98040000000000005</v>
      </c>
      <c r="AH139" s="167">
        <f>IFERROR(_xlfn.XLOOKUP($D139,'Modelling New'!$D:$D,'Modelling New'!AF:AF),"")</f>
        <v>0.98</v>
      </c>
      <c r="AN139" s="144"/>
      <c r="AO139" s="141"/>
      <c r="AP139" s="141"/>
      <c r="AQ139" s="141"/>
      <c r="AR139" s="133">
        <f>'Basic Data'!$B$98/1000</f>
        <v>8.0208999999999993</v>
      </c>
    </row>
    <row r="140" spans="1:44" x14ac:dyDescent="0.3">
      <c r="A140" s="132">
        <f t="shared" si="11"/>
        <v>45883</v>
      </c>
      <c r="B140" s="133">
        <f>YEAR(Table13[[#This Row],[Date]])+IF(MONTH(Table13[[#This Row],[Date]])&gt;=4,1,0)</f>
        <v>2026</v>
      </c>
      <c r="C140" s="134">
        <f>YEAR(Table13[[#This Row],[Date]])</f>
        <v>2025</v>
      </c>
      <c r="D140" s="135">
        <f>Table13[[#This Row],[Date]]-DAY(Table13[[#This Row],[Date]])+1</f>
        <v>45870</v>
      </c>
      <c r="E140" s="134">
        <f t="shared" si="8"/>
        <v>31</v>
      </c>
      <c r="F140" s="136" t="str">
        <f>IFERROR(_xlfn.XLOOKUP($A140,'Raw Data'!$G:$G,'Raw Data'!$AM:$AM),"")</f>
        <v/>
      </c>
      <c r="G140" s="137" t="str">
        <f>IFERROR(_xlfn.XLOOKUP($A140,'Raw Data'!$G:$G,'Raw Data'!$AB:$AB),"")</f>
        <v/>
      </c>
      <c r="H140" s="137"/>
      <c r="I140" s="137" t="str">
        <f>IFERROR(_xlfn.XLOOKUP($A140,'Raw Data'!$G:$G,'Raw Data'!$AC:$AC),"")</f>
        <v/>
      </c>
      <c r="J140" s="137"/>
      <c r="K140" s="137" t="str">
        <f>IFERROR(_xlfn.XLOOKUP($A140,'Raw Data'!$G:$G,'Raw Data'!AD:AD),"")</f>
        <v/>
      </c>
      <c r="L140" s="137" t="str">
        <f>IFERROR(_xlfn.XLOOKUP($A140,'Raw Data'!$G:$G,'Raw Data'!AE:AE),"")</f>
        <v/>
      </c>
      <c r="M140" s="137" t="str">
        <f>IFERROR(_xlfn.XLOOKUP($A140,'Raw Data'!$G:$G,'Raw Data'!AF:AF),"")</f>
        <v/>
      </c>
      <c r="N140" s="137" t="str">
        <f>IFERROR(_xlfn.XLOOKUP($A140,'Raw Data'!$G:$G,'Raw Data'!AG:AG),"")</f>
        <v/>
      </c>
      <c r="O140" s="138" t="str">
        <f>IFERROR(1-SUMIF('Plant BD'!$H:$H,$A140,'Plant BD'!$AE:$AE)/($AA140+SUMIF('Plant BD'!$H:$H,$A140,'Plant BD'!$AE:$AE)),"")</f>
        <v/>
      </c>
      <c r="P140" s="138"/>
      <c r="Q140" s="139"/>
      <c r="R140" s="138" t="str">
        <f>IFERROR(1-SUMIF('Grid BD'!$H:$H,$A140,'Grid BD'!$AD:$AD)/($AA140+SUMIF('Grid BD'!$H:$H,$A140,'Grid BD'!$AD:$AD)),"")</f>
        <v/>
      </c>
      <c r="T140" s="139"/>
      <c r="U140" s="140" t="str">
        <f t="shared" si="9"/>
        <v/>
      </c>
      <c r="V140" s="140"/>
      <c r="W140" s="141" t="str">
        <f t="shared" si="10"/>
        <v/>
      </c>
      <c r="X140" s="133" t="str">
        <f>IFERROR(_xlfn.XLOOKUP($A140,'Raw Data'!$G:$G,'Raw Data'!AI:AI),"")</f>
        <v/>
      </c>
      <c r="Y140" s="133" t="str">
        <f>IFERROR(_xlfn.XLOOKUP($A140,'Raw Data'!$G:$G,'Raw Data'!AJ:AJ),"")</f>
        <v/>
      </c>
      <c r="Z140" s="133" t="str">
        <f>IFERROR(_xlfn.XLOOKUP($A140,'Raw Data'!$G:$G,'Raw Data'!AK:AK),"")</f>
        <v/>
      </c>
      <c r="AA140" s="133" t="str">
        <f>IFERROR(_xlfn.XLOOKUP($A140,'Raw Data'!$G:$G,'Raw Data'!AL:AL),"")</f>
        <v/>
      </c>
      <c r="AB140" s="133" t="str">
        <f>IFERROR(_xlfn.XLOOKUP($A140,'Raw Data'!$G:$G,'Raw Data'!H:H),"")</f>
        <v/>
      </c>
      <c r="AC140" s="142">
        <f>IFERROR(_xlfn.XLOOKUP($D140,'Modelling New'!$D:$D,'Modelling New'!P:P),"")</f>
        <v>4.2161290322580642</v>
      </c>
      <c r="AD140" s="133">
        <f>IFERROR(_xlfn.XLOOKUP($D140,'Modelling New'!$D:$D,'Modelling New'!$T:$T)*1000,"")</f>
        <v>24273.156786520856</v>
      </c>
      <c r="AE140" s="143">
        <f>IFERROR(_xlfn.XLOOKUP($D140,'Modelling New'!$D:$D,'Modelling New'!O:O),"")</f>
        <v>0.71777654975663252</v>
      </c>
      <c r="AF140" s="145">
        <f>IFERROR(_xlfn.XLOOKUP($D140,'Modelling New'!$D:$D,'Modelling New'!W:W),"")</f>
        <v>0.12609327292095679</v>
      </c>
      <c r="AG140" s="145">
        <f>IFERROR(_xlfn.XLOOKUP($D140,'Modelling New'!$D:$D,'Modelling New'!AE:AE),"")</f>
        <v>0.98040000000000005</v>
      </c>
      <c r="AH140" s="167">
        <f>IFERROR(_xlfn.XLOOKUP($D140,'Modelling New'!$D:$D,'Modelling New'!AF:AF),"")</f>
        <v>0.98</v>
      </c>
      <c r="AN140" s="144"/>
      <c r="AO140" s="141"/>
      <c r="AP140" s="141"/>
      <c r="AQ140" s="141"/>
      <c r="AR140" s="133">
        <f>'Basic Data'!$B$98/1000</f>
        <v>8.0208999999999993</v>
      </c>
    </row>
    <row r="141" spans="1:44" x14ac:dyDescent="0.3">
      <c r="A141" s="132">
        <f t="shared" si="11"/>
        <v>45884</v>
      </c>
      <c r="B141" s="133">
        <f>YEAR(Table13[[#This Row],[Date]])+IF(MONTH(Table13[[#This Row],[Date]])&gt;=4,1,0)</f>
        <v>2026</v>
      </c>
      <c r="C141" s="134">
        <f>YEAR(Table13[[#This Row],[Date]])</f>
        <v>2025</v>
      </c>
      <c r="D141" s="135">
        <f>Table13[[#This Row],[Date]]-DAY(Table13[[#This Row],[Date]])+1</f>
        <v>45870</v>
      </c>
      <c r="E141" s="134">
        <f t="shared" si="8"/>
        <v>31</v>
      </c>
      <c r="F141" s="136" t="str">
        <f>IFERROR(_xlfn.XLOOKUP($A141,'Raw Data'!$G:$G,'Raw Data'!$AM:$AM),"")</f>
        <v/>
      </c>
      <c r="G141" s="137" t="str">
        <f>IFERROR(_xlfn.XLOOKUP($A141,'Raw Data'!$G:$G,'Raw Data'!$AB:$AB),"")</f>
        <v/>
      </c>
      <c r="H141" s="137"/>
      <c r="I141" s="137" t="str">
        <f>IFERROR(_xlfn.XLOOKUP($A141,'Raw Data'!$G:$G,'Raw Data'!$AC:$AC),"")</f>
        <v/>
      </c>
      <c r="J141" s="137"/>
      <c r="K141" s="137" t="str">
        <f>IFERROR(_xlfn.XLOOKUP($A141,'Raw Data'!$G:$G,'Raw Data'!AD:AD),"")</f>
        <v/>
      </c>
      <c r="L141" s="137" t="str">
        <f>IFERROR(_xlfn.XLOOKUP($A141,'Raw Data'!$G:$G,'Raw Data'!AE:AE),"")</f>
        <v/>
      </c>
      <c r="M141" s="137" t="str">
        <f>IFERROR(_xlfn.XLOOKUP($A141,'Raw Data'!$G:$G,'Raw Data'!AF:AF),"")</f>
        <v/>
      </c>
      <c r="N141" s="137" t="str">
        <f>IFERROR(_xlfn.XLOOKUP($A141,'Raw Data'!$G:$G,'Raw Data'!AG:AG),"")</f>
        <v/>
      </c>
      <c r="O141" s="138" t="str">
        <f>IFERROR(1-SUMIF('Plant BD'!$H:$H,$A141,'Plant BD'!$AE:$AE)/($AA141+SUMIF('Plant BD'!$H:$H,$A141,'Plant BD'!$AE:$AE)),"")</f>
        <v/>
      </c>
      <c r="P141" s="138"/>
      <c r="Q141" s="139"/>
      <c r="R141" s="138" t="str">
        <f>IFERROR(1-SUMIF('Grid BD'!$H:$H,$A141,'Grid BD'!$AD:$AD)/($AA141+SUMIF('Grid BD'!$H:$H,$A141,'Grid BD'!$AD:$AD)),"")</f>
        <v/>
      </c>
      <c r="T141" s="139"/>
      <c r="U141" s="140" t="str">
        <f t="shared" si="9"/>
        <v/>
      </c>
      <c r="V141" s="140"/>
      <c r="W141" s="141" t="str">
        <f t="shared" si="10"/>
        <v/>
      </c>
      <c r="X141" s="133" t="str">
        <f>IFERROR(_xlfn.XLOOKUP($A141,'Raw Data'!$G:$G,'Raw Data'!AI:AI),"")</f>
        <v/>
      </c>
      <c r="Y141" s="133" t="str">
        <f>IFERROR(_xlfn.XLOOKUP($A141,'Raw Data'!$G:$G,'Raw Data'!AJ:AJ),"")</f>
        <v/>
      </c>
      <c r="Z141" s="133" t="str">
        <f>IFERROR(_xlfn.XLOOKUP($A141,'Raw Data'!$G:$G,'Raw Data'!AK:AK),"")</f>
        <v/>
      </c>
      <c r="AA141" s="133" t="str">
        <f>IFERROR(_xlfn.XLOOKUP($A141,'Raw Data'!$G:$G,'Raw Data'!AL:AL),"")</f>
        <v/>
      </c>
      <c r="AB141" s="133" t="str">
        <f>IFERROR(_xlfn.XLOOKUP($A141,'Raw Data'!$G:$G,'Raw Data'!H:H),"")</f>
        <v/>
      </c>
      <c r="AC141" s="142">
        <f>IFERROR(_xlfn.XLOOKUP($D141,'Modelling New'!$D:$D,'Modelling New'!P:P),"")</f>
        <v>4.2161290322580642</v>
      </c>
      <c r="AD141" s="133">
        <f>IFERROR(_xlfn.XLOOKUP($D141,'Modelling New'!$D:$D,'Modelling New'!$T:$T)*1000,"")</f>
        <v>24273.156786520856</v>
      </c>
      <c r="AE141" s="143">
        <f>IFERROR(_xlfn.XLOOKUP($D141,'Modelling New'!$D:$D,'Modelling New'!O:O),"")</f>
        <v>0.71777654975663252</v>
      </c>
      <c r="AF141" s="145">
        <f>IFERROR(_xlfn.XLOOKUP($D141,'Modelling New'!$D:$D,'Modelling New'!W:W),"")</f>
        <v>0.12609327292095679</v>
      </c>
      <c r="AG141" s="145">
        <f>IFERROR(_xlfn.XLOOKUP($D141,'Modelling New'!$D:$D,'Modelling New'!AE:AE),"")</f>
        <v>0.98040000000000005</v>
      </c>
      <c r="AH141" s="167">
        <f>IFERROR(_xlfn.XLOOKUP($D141,'Modelling New'!$D:$D,'Modelling New'!AF:AF),"")</f>
        <v>0.98</v>
      </c>
      <c r="AN141" s="144"/>
      <c r="AO141" s="141"/>
      <c r="AP141" s="141"/>
      <c r="AQ141" s="141"/>
      <c r="AR141" s="133">
        <f>'Basic Data'!$B$98/1000</f>
        <v>8.0208999999999993</v>
      </c>
    </row>
    <row r="142" spans="1:44" x14ac:dyDescent="0.3">
      <c r="A142" s="132">
        <f t="shared" si="11"/>
        <v>45885</v>
      </c>
      <c r="B142" s="133">
        <f>YEAR(Table13[[#This Row],[Date]])+IF(MONTH(Table13[[#This Row],[Date]])&gt;=4,1,0)</f>
        <v>2026</v>
      </c>
      <c r="C142" s="134">
        <f>YEAR(Table13[[#This Row],[Date]])</f>
        <v>2025</v>
      </c>
      <c r="D142" s="135">
        <f>Table13[[#This Row],[Date]]-DAY(Table13[[#This Row],[Date]])+1</f>
        <v>45870</v>
      </c>
      <c r="E142" s="134">
        <f t="shared" si="8"/>
        <v>31</v>
      </c>
      <c r="F142" s="136" t="str">
        <f>IFERROR(_xlfn.XLOOKUP($A142,'Raw Data'!$G:$G,'Raw Data'!$AM:$AM),"")</f>
        <v/>
      </c>
      <c r="G142" s="137" t="str">
        <f>IFERROR(_xlfn.XLOOKUP($A142,'Raw Data'!$G:$G,'Raw Data'!$AB:$AB),"")</f>
        <v/>
      </c>
      <c r="H142" s="137"/>
      <c r="I142" s="137" t="str">
        <f>IFERROR(_xlfn.XLOOKUP($A142,'Raw Data'!$G:$G,'Raw Data'!$AC:$AC),"")</f>
        <v/>
      </c>
      <c r="J142" s="137"/>
      <c r="K142" s="137" t="str">
        <f>IFERROR(_xlfn.XLOOKUP($A142,'Raw Data'!$G:$G,'Raw Data'!AD:AD),"")</f>
        <v/>
      </c>
      <c r="L142" s="137" t="str">
        <f>IFERROR(_xlfn.XLOOKUP($A142,'Raw Data'!$G:$G,'Raw Data'!AE:AE),"")</f>
        <v/>
      </c>
      <c r="M142" s="137" t="str">
        <f>IFERROR(_xlfn.XLOOKUP($A142,'Raw Data'!$G:$G,'Raw Data'!AF:AF),"")</f>
        <v/>
      </c>
      <c r="N142" s="137" t="str">
        <f>IFERROR(_xlfn.XLOOKUP($A142,'Raw Data'!$G:$G,'Raw Data'!AG:AG),"")</f>
        <v/>
      </c>
      <c r="O142" s="138" t="str">
        <f>IFERROR(1-SUMIF('Plant BD'!$H:$H,$A142,'Plant BD'!$AE:$AE)/($AA142+SUMIF('Plant BD'!$H:$H,$A142,'Plant BD'!$AE:$AE)),"")</f>
        <v/>
      </c>
      <c r="P142" s="138"/>
      <c r="Q142" s="139"/>
      <c r="R142" s="138" t="str">
        <f>IFERROR(1-SUMIF('Grid BD'!$H:$H,$A142,'Grid BD'!$AD:$AD)/($AA142+SUMIF('Grid BD'!$H:$H,$A142,'Grid BD'!$AD:$AD)),"")</f>
        <v/>
      </c>
      <c r="T142" s="139"/>
      <c r="U142" s="140" t="str">
        <f t="shared" si="9"/>
        <v/>
      </c>
      <c r="V142" s="140"/>
      <c r="W142" s="141" t="str">
        <f t="shared" si="10"/>
        <v/>
      </c>
      <c r="X142" s="133" t="str">
        <f>IFERROR(_xlfn.XLOOKUP($A142,'Raw Data'!$G:$G,'Raw Data'!AI:AI),"")</f>
        <v/>
      </c>
      <c r="Y142" s="133" t="str">
        <f>IFERROR(_xlfn.XLOOKUP($A142,'Raw Data'!$G:$G,'Raw Data'!AJ:AJ),"")</f>
        <v/>
      </c>
      <c r="Z142" s="133" t="str">
        <f>IFERROR(_xlfn.XLOOKUP($A142,'Raw Data'!$G:$G,'Raw Data'!AK:AK),"")</f>
        <v/>
      </c>
      <c r="AA142" s="133" t="str">
        <f>IFERROR(_xlfn.XLOOKUP($A142,'Raw Data'!$G:$G,'Raw Data'!AL:AL),"")</f>
        <v/>
      </c>
      <c r="AB142" s="133" t="str">
        <f>IFERROR(_xlfn.XLOOKUP($A142,'Raw Data'!$G:$G,'Raw Data'!H:H),"")</f>
        <v/>
      </c>
      <c r="AC142" s="142">
        <f>IFERROR(_xlfn.XLOOKUP($D142,'Modelling New'!$D:$D,'Modelling New'!P:P),"")</f>
        <v>4.2161290322580642</v>
      </c>
      <c r="AD142" s="133">
        <f>IFERROR(_xlfn.XLOOKUP($D142,'Modelling New'!$D:$D,'Modelling New'!$T:$T)*1000,"")</f>
        <v>24273.156786520856</v>
      </c>
      <c r="AE142" s="143">
        <f>IFERROR(_xlfn.XLOOKUP($D142,'Modelling New'!$D:$D,'Modelling New'!O:O),"")</f>
        <v>0.71777654975663252</v>
      </c>
      <c r="AF142" s="145">
        <f>IFERROR(_xlfn.XLOOKUP($D142,'Modelling New'!$D:$D,'Modelling New'!W:W),"")</f>
        <v>0.12609327292095679</v>
      </c>
      <c r="AG142" s="145">
        <f>IFERROR(_xlfn.XLOOKUP($D142,'Modelling New'!$D:$D,'Modelling New'!AE:AE),"")</f>
        <v>0.98040000000000005</v>
      </c>
      <c r="AH142" s="167">
        <f>IFERROR(_xlfn.XLOOKUP($D142,'Modelling New'!$D:$D,'Modelling New'!AF:AF),"")</f>
        <v>0.98</v>
      </c>
      <c r="AN142" s="144"/>
      <c r="AO142" s="141"/>
      <c r="AP142" s="141"/>
      <c r="AQ142" s="141"/>
      <c r="AR142" s="133">
        <f>'Basic Data'!$B$98/1000</f>
        <v>8.0208999999999993</v>
      </c>
    </row>
    <row r="143" spans="1:44" x14ac:dyDescent="0.3">
      <c r="A143" s="132">
        <f t="shared" si="11"/>
        <v>45886</v>
      </c>
      <c r="B143" s="133">
        <f>YEAR(Table13[[#This Row],[Date]])+IF(MONTH(Table13[[#This Row],[Date]])&gt;=4,1,0)</f>
        <v>2026</v>
      </c>
      <c r="C143" s="134">
        <f>YEAR(Table13[[#This Row],[Date]])</f>
        <v>2025</v>
      </c>
      <c r="D143" s="135">
        <f>Table13[[#This Row],[Date]]-DAY(Table13[[#This Row],[Date]])+1</f>
        <v>45870</v>
      </c>
      <c r="E143" s="134">
        <f t="shared" si="8"/>
        <v>31</v>
      </c>
      <c r="F143" s="136" t="str">
        <f>IFERROR(_xlfn.XLOOKUP($A143,'Raw Data'!$G:$G,'Raw Data'!$AM:$AM),"")</f>
        <v/>
      </c>
      <c r="G143" s="137" t="str">
        <f>IFERROR(_xlfn.XLOOKUP($A143,'Raw Data'!$G:$G,'Raw Data'!$AB:$AB),"")</f>
        <v/>
      </c>
      <c r="H143" s="137"/>
      <c r="I143" s="137" t="str">
        <f>IFERROR(_xlfn.XLOOKUP($A143,'Raw Data'!$G:$G,'Raw Data'!$AC:$AC),"")</f>
        <v/>
      </c>
      <c r="J143" s="137"/>
      <c r="K143" s="137" t="str">
        <f>IFERROR(_xlfn.XLOOKUP($A143,'Raw Data'!$G:$G,'Raw Data'!AD:AD),"")</f>
        <v/>
      </c>
      <c r="L143" s="137" t="str">
        <f>IFERROR(_xlfn.XLOOKUP($A143,'Raw Data'!$G:$G,'Raw Data'!AE:AE),"")</f>
        <v/>
      </c>
      <c r="M143" s="137" t="str">
        <f>IFERROR(_xlfn.XLOOKUP($A143,'Raw Data'!$G:$G,'Raw Data'!AF:AF),"")</f>
        <v/>
      </c>
      <c r="N143" s="137" t="str">
        <f>IFERROR(_xlfn.XLOOKUP($A143,'Raw Data'!$G:$G,'Raw Data'!AG:AG),"")</f>
        <v/>
      </c>
      <c r="O143" s="138" t="str">
        <f>IFERROR(1-SUMIF('Plant BD'!$H:$H,$A143,'Plant BD'!$AE:$AE)/($AA143+SUMIF('Plant BD'!$H:$H,$A143,'Plant BD'!$AE:$AE)),"")</f>
        <v/>
      </c>
      <c r="P143" s="138"/>
      <c r="Q143" s="139"/>
      <c r="R143" s="138" t="str">
        <f>IFERROR(1-SUMIF('Grid BD'!$H:$H,$A143,'Grid BD'!$AD:$AD)/($AA143+SUMIF('Grid BD'!$H:$H,$A143,'Grid BD'!$AD:$AD)),"")</f>
        <v/>
      </c>
      <c r="T143" s="139"/>
      <c r="U143" s="140" t="str">
        <f t="shared" si="9"/>
        <v/>
      </c>
      <c r="V143" s="140"/>
      <c r="W143" s="141" t="str">
        <f t="shared" si="10"/>
        <v/>
      </c>
      <c r="X143" s="133" t="str">
        <f>IFERROR(_xlfn.XLOOKUP($A143,'Raw Data'!$G:$G,'Raw Data'!AI:AI),"")</f>
        <v/>
      </c>
      <c r="Y143" s="133" t="str">
        <f>IFERROR(_xlfn.XLOOKUP($A143,'Raw Data'!$G:$G,'Raw Data'!AJ:AJ),"")</f>
        <v/>
      </c>
      <c r="Z143" s="133" t="str">
        <f>IFERROR(_xlfn.XLOOKUP($A143,'Raw Data'!$G:$G,'Raw Data'!AK:AK),"")</f>
        <v/>
      </c>
      <c r="AA143" s="133" t="str">
        <f>IFERROR(_xlfn.XLOOKUP($A143,'Raw Data'!$G:$G,'Raw Data'!AL:AL),"")</f>
        <v/>
      </c>
      <c r="AB143" s="133" t="str">
        <f>IFERROR(_xlfn.XLOOKUP($A143,'Raw Data'!$G:$G,'Raw Data'!H:H),"")</f>
        <v/>
      </c>
      <c r="AC143" s="142">
        <f>IFERROR(_xlfn.XLOOKUP($D143,'Modelling New'!$D:$D,'Modelling New'!P:P),"")</f>
        <v>4.2161290322580642</v>
      </c>
      <c r="AD143" s="133">
        <f>IFERROR(_xlfn.XLOOKUP($D143,'Modelling New'!$D:$D,'Modelling New'!$T:$T)*1000,"")</f>
        <v>24273.156786520856</v>
      </c>
      <c r="AE143" s="143">
        <f>IFERROR(_xlfn.XLOOKUP($D143,'Modelling New'!$D:$D,'Modelling New'!O:O),"")</f>
        <v>0.71777654975663252</v>
      </c>
      <c r="AF143" s="145">
        <f>IFERROR(_xlfn.XLOOKUP($D143,'Modelling New'!$D:$D,'Modelling New'!W:W),"")</f>
        <v>0.12609327292095679</v>
      </c>
      <c r="AG143" s="145">
        <f>IFERROR(_xlfn.XLOOKUP($D143,'Modelling New'!$D:$D,'Modelling New'!AE:AE),"")</f>
        <v>0.98040000000000005</v>
      </c>
      <c r="AH143" s="167">
        <f>IFERROR(_xlfn.XLOOKUP($D143,'Modelling New'!$D:$D,'Modelling New'!AF:AF),"")</f>
        <v>0.98</v>
      </c>
      <c r="AN143" s="144"/>
      <c r="AO143" s="141"/>
      <c r="AP143" s="141"/>
      <c r="AQ143" s="141"/>
      <c r="AR143" s="133">
        <f>'Basic Data'!$B$98/1000</f>
        <v>8.0208999999999993</v>
      </c>
    </row>
    <row r="144" spans="1:44" x14ac:dyDescent="0.3">
      <c r="A144" s="132">
        <f t="shared" si="11"/>
        <v>45887</v>
      </c>
      <c r="B144" s="133">
        <f>YEAR(Table13[[#This Row],[Date]])+IF(MONTH(Table13[[#This Row],[Date]])&gt;=4,1,0)</f>
        <v>2026</v>
      </c>
      <c r="C144" s="134">
        <f>YEAR(Table13[[#This Row],[Date]])</f>
        <v>2025</v>
      </c>
      <c r="D144" s="135">
        <f>Table13[[#This Row],[Date]]-DAY(Table13[[#This Row],[Date]])+1</f>
        <v>45870</v>
      </c>
      <c r="E144" s="134">
        <f t="shared" si="8"/>
        <v>31</v>
      </c>
      <c r="F144" s="136" t="str">
        <f>IFERROR(_xlfn.XLOOKUP($A144,'Raw Data'!$G:$G,'Raw Data'!$AM:$AM),"")</f>
        <v/>
      </c>
      <c r="G144" s="137" t="str">
        <f>IFERROR(_xlfn.XLOOKUP($A144,'Raw Data'!$G:$G,'Raw Data'!$AB:$AB),"")</f>
        <v/>
      </c>
      <c r="H144" s="137"/>
      <c r="I144" s="137" t="str">
        <f>IFERROR(_xlfn.XLOOKUP($A144,'Raw Data'!$G:$G,'Raw Data'!$AC:$AC),"")</f>
        <v/>
      </c>
      <c r="J144" s="137"/>
      <c r="K144" s="137" t="str">
        <f>IFERROR(_xlfn.XLOOKUP($A144,'Raw Data'!$G:$G,'Raw Data'!AD:AD),"")</f>
        <v/>
      </c>
      <c r="L144" s="137" t="str">
        <f>IFERROR(_xlfn.XLOOKUP($A144,'Raw Data'!$G:$G,'Raw Data'!AE:AE),"")</f>
        <v/>
      </c>
      <c r="M144" s="137" t="str">
        <f>IFERROR(_xlfn.XLOOKUP($A144,'Raw Data'!$G:$G,'Raw Data'!AF:AF),"")</f>
        <v/>
      </c>
      <c r="N144" s="137" t="str">
        <f>IFERROR(_xlfn.XLOOKUP($A144,'Raw Data'!$G:$G,'Raw Data'!AG:AG),"")</f>
        <v/>
      </c>
      <c r="O144" s="138" t="str">
        <f>IFERROR(1-SUMIF('Plant BD'!$H:$H,$A144,'Plant BD'!$AE:$AE)/($AA144+SUMIF('Plant BD'!$H:$H,$A144,'Plant BD'!$AE:$AE)),"")</f>
        <v/>
      </c>
      <c r="P144" s="138"/>
      <c r="Q144" s="139"/>
      <c r="R144" s="138" t="str">
        <f>IFERROR(1-SUMIF('Grid BD'!$H:$H,$A144,'Grid BD'!$AD:$AD)/($AA144+SUMIF('Grid BD'!$H:$H,$A144,'Grid BD'!$AD:$AD)),"")</f>
        <v/>
      </c>
      <c r="T144" s="139"/>
      <c r="U144" s="140" t="str">
        <f t="shared" si="9"/>
        <v/>
      </c>
      <c r="V144" s="140"/>
      <c r="W144" s="141" t="str">
        <f t="shared" si="10"/>
        <v/>
      </c>
      <c r="X144" s="133" t="str">
        <f>IFERROR(_xlfn.XLOOKUP($A144,'Raw Data'!$G:$G,'Raw Data'!AI:AI),"")</f>
        <v/>
      </c>
      <c r="Y144" s="133" t="str">
        <f>IFERROR(_xlfn.XLOOKUP($A144,'Raw Data'!$G:$G,'Raw Data'!AJ:AJ),"")</f>
        <v/>
      </c>
      <c r="Z144" s="133" t="str">
        <f>IFERROR(_xlfn.XLOOKUP($A144,'Raw Data'!$G:$G,'Raw Data'!AK:AK),"")</f>
        <v/>
      </c>
      <c r="AA144" s="133" t="str">
        <f>IFERROR(_xlfn.XLOOKUP($A144,'Raw Data'!$G:$G,'Raw Data'!AL:AL),"")</f>
        <v/>
      </c>
      <c r="AB144" s="133" t="str">
        <f>IFERROR(_xlfn.XLOOKUP($A144,'Raw Data'!$G:$G,'Raw Data'!H:H),"")</f>
        <v/>
      </c>
      <c r="AC144" s="142">
        <f>IFERROR(_xlfn.XLOOKUP($D144,'Modelling New'!$D:$D,'Modelling New'!P:P),"")</f>
        <v>4.2161290322580642</v>
      </c>
      <c r="AD144" s="133">
        <f>IFERROR(_xlfn.XLOOKUP($D144,'Modelling New'!$D:$D,'Modelling New'!$T:$T)*1000,"")</f>
        <v>24273.156786520856</v>
      </c>
      <c r="AE144" s="143">
        <f>IFERROR(_xlfn.XLOOKUP($D144,'Modelling New'!$D:$D,'Modelling New'!O:O),"")</f>
        <v>0.71777654975663252</v>
      </c>
      <c r="AF144" s="145">
        <f>IFERROR(_xlfn.XLOOKUP($D144,'Modelling New'!$D:$D,'Modelling New'!W:W),"")</f>
        <v>0.12609327292095679</v>
      </c>
      <c r="AG144" s="145">
        <f>IFERROR(_xlfn.XLOOKUP($D144,'Modelling New'!$D:$D,'Modelling New'!AE:AE),"")</f>
        <v>0.98040000000000005</v>
      </c>
      <c r="AH144" s="167">
        <f>IFERROR(_xlfn.XLOOKUP($D144,'Modelling New'!$D:$D,'Modelling New'!AF:AF),"")</f>
        <v>0.98</v>
      </c>
      <c r="AN144" s="144"/>
      <c r="AO144" s="141"/>
      <c r="AP144" s="141"/>
      <c r="AQ144" s="141"/>
      <c r="AR144" s="133">
        <f>'Basic Data'!$B$98/1000</f>
        <v>8.0208999999999993</v>
      </c>
    </row>
    <row r="145" spans="1:44" x14ac:dyDescent="0.3">
      <c r="A145" s="132">
        <f t="shared" si="11"/>
        <v>45888</v>
      </c>
      <c r="B145" s="133">
        <f>YEAR(Table13[[#This Row],[Date]])+IF(MONTH(Table13[[#This Row],[Date]])&gt;=4,1,0)</f>
        <v>2026</v>
      </c>
      <c r="C145" s="134">
        <f>YEAR(Table13[[#This Row],[Date]])</f>
        <v>2025</v>
      </c>
      <c r="D145" s="135">
        <f>Table13[[#This Row],[Date]]-DAY(Table13[[#This Row],[Date]])+1</f>
        <v>45870</v>
      </c>
      <c r="E145" s="134">
        <f t="shared" si="8"/>
        <v>31</v>
      </c>
      <c r="F145" s="136" t="str">
        <f>IFERROR(_xlfn.XLOOKUP($A145,'Raw Data'!$G:$G,'Raw Data'!$AM:$AM),"")</f>
        <v/>
      </c>
      <c r="G145" s="137" t="str">
        <f>IFERROR(_xlfn.XLOOKUP($A145,'Raw Data'!$G:$G,'Raw Data'!$AB:$AB),"")</f>
        <v/>
      </c>
      <c r="H145" s="137"/>
      <c r="I145" s="137" t="str">
        <f>IFERROR(_xlfn.XLOOKUP($A145,'Raw Data'!$G:$G,'Raw Data'!$AC:$AC),"")</f>
        <v/>
      </c>
      <c r="J145" s="137"/>
      <c r="K145" s="137" t="str">
        <f>IFERROR(_xlfn.XLOOKUP($A145,'Raw Data'!$G:$G,'Raw Data'!AD:AD),"")</f>
        <v/>
      </c>
      <c r="L145" s="137" t="str">
        <f>IFERROR(_xlfn.XLOOKUP($A145,'Raw Data'!$G:$G,'Raw Data'!AE:AE),"")</f>
        <v/>
      </c>
      <c r="M145" s="137" t="str">
        <f>IFERROR(_xlfn.XLOOKUP($A145,'Raw Data'!$G:$G,'Raw Data'!AF:AF),"")</f>
        <v/>
      </c>
      <c r="N145" s="137" t="str">
        <f>IFERROR(_xlfn.XLOOKUP($A145,'Raw Data'!$G:$G,'Raw Data'!AG:AG),"")</f>
        <v/>
      </c>
      <c r="O145" s="138" t="str">
        <f>IFERROR(1-SUMIF('Plant BD'!$H:$H,$A145,'Plant BD'!$AE:$AE)/($AA145+SUMIF('Plant BD'!$H:$H,$A145,'Plant BD'!$AE:$AE)),"")</f>
        <v/>
      </c>
      <c r="P145" s="138"/>
      <c r="Q145" s="139"/>
      <c r="R145" s="138" t="str">
        <f>IFERROR(1-SUMIF('Grid BD'!$H:$H,$A145,'Grid BD'!$AD:$AD)/($AA145+SUMIF('Grid BD'!$H:$H,$A145,'Grid BD'!$AD:$AD)),"")</f>
        <v/>
      </c>
      <c r="T145" s="139"/>
      <c r="U145" s="140" t="str">
        <f t="shared" si="9"/>
        <v/>
      </c>
      <c r="V145" s="140"/>
      <c r="W145" s="141" t="str">
        <f t="shared" si="10"/>
        <v/>
      </c>
      <c r="X145" s="133" t="str">
        <f>IFERROR(_xlfn.XLOOKUP($A145,'Raw Data'!$G:$G,'Raw Data'!AI:AI),"")</f>
        <v/>
      </c>
      <c r="Y145" s="133" t="str">
        <f>IFERROR(_xlfn.XLOOKUP($A145,'Raw Data'!$G:$G,'Raw Data'!AJ:AJ),"")</f>
        <v/>
      </c>
      <c r="Z145" s="133" t="str">
        <f>IFERROR(_xlfn.XLOOKUP($A145,'Raw Data'!$G:$G,'Raw Data'!AK:AK),"")</f>
        <v/>
      </c>
      <c r="AA145" s="133" t="str">
        <f>IFERROR(_xlfn.XLOOKUP($A145,'Raw Data'!$G:$G,'Raw Data'!AL:AL),"")</f>
        <v/>
      </c>
      <c r="AB145" s="133" t="str">
        <f>IFERROR(_xlfn.XLOOKUP($A145,'Raw Data'!$G:$G,'Raw Data'!H:H),"")</f>
        <v/>
      </c>
      <c r="AC145" s="142">
        <f>IFERROR(_xlfn.XLOOKUP($D145,'Modelling New'!$D:$D,'Modelling New'!P:P),"")</f>
        <v>4.2161290322580642</v>
      </c>
      <c r="AD145" s="133">
        <f>IFERROR(_xlfn.XLOOKUP($D145,'Modelling New'!$D:$D,'Modelling New'!$T:$T)*1000,"")</f>
        <v>24273.156786520856</v>
      </c>
      <c r="AE145" s="143">
        <f>IFERROR(_xlfn.XLOOKUP($D145,'Modelling New'!$D:$D,'Modelling New'!O:O),"")</f>
        <v>0.71777654975663252</v>
      </c>
      <c r="AF145" s="145">
        <f>IFERROR(_xlfn.XLOOKUP($D145,'Modelling New'!$D:$D,'Modelling New'!W:W),"")</f>
        <v>0.12609327292095679</v>
      </c>
      <c r="AG145" s="145">
        <f>IFERROR(_xlfn.XLOOKUP($D145,'Modelling New'!$D:$D,'Modelling New'!AE:AE),"")</f>
        <v>0.98040000000000005</v>
      </c>
      <c r="AH145" s="167">
        <f>IFERROR(_xlfn.XLOOKUP($D145,'Modelling New'!$D:$D,'Modelling New'!AF:AF),"")</f>
        <v>0.98</v>
      </c>
      <c r="AN145" s="144"/>
      <c r="AO145" s="141"/>
      <c r="AP145" s="141"/>
      <c r="AQ145" s="141"/>
      <c r="AR145" s="133">
        <f>'Basic Data'!$B$98/1000</f>
        <v>8.0208999999999993</v>
      </c>
    </row>
    <row r="146" spans="1:44" x14ac:dyDescent="0.3">
      <c r="A146" s="132">
        <f t="shared" si="11"/>
        <v>45889</v>
      </c>
      <c r="B146" s="133">
        <f>YEAR(Table13[[#This Row],[Date]])+IF(MONTH(Table13[[#This Row],[Date]])&gt;=4,1,0)</f>
        <v>2026</v>
      </c>
      <c r="C146" s="134">
        <f>YEAR(Table13[[#This Row],[Date]])</f>
        <v>2025</v>
      </c>
      <c r="D146" s="135">
        <f>Table13[[#This Row],[Date]]-DAY(Table13[[#This Row],[Date]])+1</f>
        <v>45870</v>
      </c>
      <c r="E146" s="134">
        <f t="shared" si="8"/>
        <v>31</v>
      </c>
      <c r="F146" s="136" t="str">
        <f>IFERROR(_xlfn.XLOOKUP($A146,'Raw Data'!$G:$G,'Raw Data'!$AM:$AM),"")</f>
        <v/>
      </c>
      <c r="G146" s="137" t="str">
        <f>IFERROR(_xlfn.XLOOKUP($A146,'Raw Data'!$G:$G,'Raw Data'!$AB:$AB),"")</f>
        <v/>
      </c>
      <c r="H146" s="137"/>
      <c r="I146" s="137" t="str">
        <f>IFERROR(_xlfn.XLOOKUP($A146,'Raw Data'!$G:$G,'Raw Data'!$AC:$AC),"")</f>
        <v/>
      </c>
      <c r="J146" s="137"/>
      <c r="K146" s="137" t="str">
        <f>IFERROR(_xlfn.XLOOKUP($A146,'Raw Data'!$G:$G,'Raw Data'!AD:AD),"")</f>
        <v/>
      </c>
      <c r="L146" s="137" t="str">
        <f>IFERROR(_xlfn.XLOOKUP($A146,'Raw Data'!$G:$G,'Raw Data'!AE:AE),"")</f>
        <v/>
      </c>
      <c r="M146" s="137" t="str">
        <f>IFERROR(_xlfn.XLOOKUP($A146,'Raw Data'!$G:$G,'Raw Data'!AF:AF),"")</f>
        <v/>
      </c>
      <c r="N146" s="137" t="str">
        <f>IFERROR(_xlfn.XLOOKUP($A146,'Raw Data'!$G:$G,'Raw Data'!AG:AG),"")</f>
        <v/>
      </c>
      <c r="O146" s="138" t="str">
        <f>IFERROR(1-SUMIF('Plant BD'!$H:$H,$A146,'Plant BD'!$AE:$AE)/($AA146+SUMIF('Plant BD'!$H:$H,$A146,'Plant BD'!$AE:$AE)),"")</f>
        <v/>
      </c>
      <c r="P146" s="138"/>
      <c r="Q146" s="139"/>
      <c r="R146" s="138" t="str">
        <f>IFERROR(1-SUMIF('Grid BD'!$H:$H,$A146,'Grid BD'!$AD:$AD)/($AA146+SUMIF('Grid BD'!$H:$H,$A146,'Grid BD'!$AD:$AD)),"")</f>
        <v/>
      </c>
      <c r="T146" s="139"/>
      <c r="U146" s="140" t="str">
        <f t="shared" si="9"/>
        <v/>
      </c>
      <c r="V146" s="140"/>
      <c r="W146" s="141" t="str">
        <f t="shared" si="10"/>
        <v/>
      </c>
      <c r="X146" s="133" t="str">
        <f>IFERROR(_xlfn.XLOOKUP($A146,'Raw Data'!$G:$G,'Raw Data'!AI:AI),"")</f>
        <v/>
      </c>
      <c r="Y146" s="133" t="str">
        <f>IFERROR(_xlfn.XLOOKUP($A146,'Raw Data'!$G:$G,'Raw Data'!AJ:AJ),"")</f>
        <v/>
      </c>
      <c r="Z146" s="133" t="str">
        <f>IFERROR(_xlfn.XLOOKUP($A146,'Raw Data'!$G:$G,'Raw Data'!AK:AK),"")</f>
        <v/>
      </c>
      <c r="AA146" s="133" t="str">
        <f>IFERROR(_xlfn.XLOOKUP($A146,'Raw Data'!$G:$G,'Raw Data'!AL:AL),"")</f>
        <v/>
      </c>
      <c r="AB146" s="133" t="str">
        <f>IFERROR(_xlfn.XLOOKUP($A146,'Raw Data'!$G:$G,'Raw Data'!H:H),"")</f>
        <v/>
      </c>
      <c r="AC146" s="142">
        <f>IFERROR(_xlfn.XLOOKUP($D146,'Modelling New'!$D:$D,'Modelling New'!P:P),"")</f>
        <v>4.2161290322580642</v>
      </c>
      <c r="AD146" s="133">
        <f>IFERROR(_xlfn.XLOOKUP($D146,'Modelling New'!$D:$D,'Modelling New'!$T:$T)*1000,"")</f>
        <v>24273.156786520856</v>
      </c>
      <c r="AE146" s="143">
        <f>IFERROR(_xlfn.XLOOKUP($D146,'Modelling New'!$D:$D,'Modelling New'!O:O),"")</f>
        <v>0.71777654975663252</v>
      </c>
      <c r="AF146" s="145">
        <f>IFERROR(_xlfn.XLOOKUP($D146,'Modelling New'!$D:$D,'Modelling New'!W:W),"")</f>
        <v>0.12609327292095679</v>
      </c>
      <c r="AG146" s="145">
        <f>IFERROR(_xlfn.XLOOKUP($D146,'Modelling New'!$D:$D,'Modelling New'!AE:AE),"")</f>
        <v>0.98040000000000005</v>
      </c>
      <c r="AH146" s="167">
        <f>IFERROR(_xlfn.XLOOKUP($D146,'Modelling New'!$D:$D,'Modelling New'!AF:AF),"")</f>
        <v>0.98</v>
      </c>
      <c r="AN146" s="144"/>
      <c r="AO146" s="141"/>
      <c r="AP146" s="141"/>
      <c r="AQ146" s="141"/>
      <c r="AR146" s="133">
        <f>'Basic Data'!$B$98/1000</f>
        <v>8.0208999999999993</v>
      </c>
    </row>
    <row r="147" spans="1:44" x14ac:dyDescent="0.3">
      <c r="A147" s="132">
        <f t="shared" si="11"/>
        <v>45890</v>
      </c>
      <c r="B147" s="133">
        <f>YEAR(Table13[[#This Row],[Date]])+IF(MONTH(Table13[[#This Row],[Date]])&gt;=4,1,0)</f>
        <v>2026</v>
      </c>
      <c r="C147" s="134">
        <f>YEAR(Table13[[#This Row],[Date]])</f>
        <v>2025</v>
      </c>
      <c r="D147" s="135">
        <f>Table13[[#This Row],[Date]]-DAY(Table13[[#This Row],[Date]])+1</f>
        <v>45870</v>
      </c>
      <c r="E147" s="134">
        <f t="shared" si="8"/>
        <v>31</v>
      </c>
      <c r="F147" s="136" t="str">
        <f>IFERROR(_xlfn.XLOOKUP($A147,'Raw Data'!$G:$G,'Raw Data'!$AM:$AM),"")</f>
        <v/>
      </c>
      <c r="G147" s="137" t="str">
        <f>IFERROR(_xlfn.XLOOKUP($A147,'Raw Data'!$G:$G,'Raw Data'!$AB:$AB),"")</f>
        <v/>
      </c>
      <c r="H147" s="137"/>
      <c r="I147" s="137" t="str">
        <f>IFERROR(_xlfn.XLOOKUP($A147,'Raw Data'!$G:$G,'Raw Data'!$AC:$AC),"")</f>
        <v/>
      </c>
      <c r="J147" s="137"/>
      <c r="K147" s="137" t="str">
        <f>IFERROR(_xlfn.XLOOKUP($A147,'Raw Data'!$G:$G,'Raw Data'!AD:AD),"")</f>
        <v/>
      </c>
      <c r="L147" s="137" t="str">
        <f>IFERROR(_xlfn.XLOOKUP($A147,'Raw Data'!$G:$G,'Raw Data'!AE:AE),"")</f>
        <v/>
      </c>
      <c r="M147" s="137" t="str">
        <f>IFERROR(_xlfn.XLOOKUP($A147,'Raw Data'!$G:$G,'Raw Data'!AF:AF),"")</f>
        <v/>
      </c>
      <c r="N147" s="137" t="str">
        <f>IFERROR(_xlfn.XLOOKUP($A147,'Raw Data'!$G:$G,'Raw Data'!AG:AG),"")</f>
        <v/>
      </c>
      <c r="O147" s="138" t="str">
        <f>IFERROR(1-SUMIF('Plant BD'!$H:$H,$A147,'Plant BD'!$AE:$AE)/($AA147+SUMIF('Plant BD'!$H:$H,$A147,'Plant BD'!$AE:$AE)),"")</f>
        <v/>
      </c>
      <c r="P147" s="138"/>
      <c r="Q147" s="139"/>
      <c r="R147" s="138" t="str">
        <f>IFERROR(1-SUMIF('Grid BD'!$H:$H,$A147,'Grid BD'!$AD:$AD)/($AA147+SUMIF('Grid BD'!$H:$H,$A147,'Grid BD'!$AD:$AD)),"")</f>
        <v/>
      </c>
      <c r="T147" s="139"/>
      <c r="U147" s="140" t="str">
        <f t="shared" si="9"/>
        <v/>
      </c>
      <c r="V147" s="140"/>
      <c r="W147" s="141" t="str">
        <f t="shared" si="10"/>
        <v/>
      </c>
      <c r="X147" s="133" t="str">
        <f>IFERROR(_xlfn.XLOOKUP($A147,'Raw Data'!$G:$G,'Raw Data'!AI:AI),"")</f>
        <v/>
      </c>
      <c r="Y147" s="133" t="str">
        <f>IFERROR(_xlfn.XLOOKUP($A147,'Raw Data'!$G:$G,'Raw Data'!AJ:AJ),"")</f>
        <v/>
      </c>
      <c r="Z147" s="133" t="str">
        <f>IFERROR(_xlfn.XLOOKUP($A147,'Raw Data'!$G:$G,'Raw Data'!AK:AK),"")</f>
        <v/>
      </c>
      <c r="AA147" s="133" t="str">
        <f>IFERROR(_xlfn.XLOOKUP($A147,'Raw Data'!$G:$G,'Raw Data'!AL:AL),"")</f>
        <v/>
      </c>
      <c r="AB147" s="133" t="str">
        <f>IFERROR(_xlfn.XLOOKUP($A147,'Raw Data'!$G:$G,'Raw Data'!H:H),"")</f>
        <v/>
      </c>
      <c r="AC147" s="142">
        <f>IFERROR(_xlfn.XLOOKUP($D147,'Modelling New'!$D:$D,'Modelling New'!P:P),"")</f>
        <v>4.2161290322580642</v>
      </c>
      <c r="AD147" s="133">
        <f>IFERROR(_xlfn.XLOOKUP($D147,'Modelling New'!$D:$D,'Modelling New'!$T:$T)*1000,"")</f>
        <v>24273.156786520856</v>
      </c>
      <c r="AE147" s="143">
        <f>IFERROR(_xlfn.XLOOKUP($D147,'Modelling New'!$D:$D,'Modelling New'!O:O),"")</f>
        <v>0.71777654975663252</v>
      </c>
      <c r="AF147" s="145">
        <f>IFERROR(_xlfn.XLOOKUP($D147,'Modelling New'!$D:$D,'Modelling New'!W:W),"")</f>
        <v>0.12609327292095679</v>
      </c>
      <c r="AG147" s="145">
        <f>IFERROR(_xlfn.XLOOKUP($D147,'Modelling New'!$D:$D,'Modelling New'!AE:AE),"")</f>
        <v>0.98040000000000005</v>
      </c>
      <c r="AH147" s="167">
        <f>IFERROR(_xlfn.XLOOKUP($D147,'Modelling New'!$D:$D,'Modelling New'!AF:AF),"")</f>
        <v>0.98</v>
      </c>
      <c r="AN147" s="144"/>
      <c r="AO147" s="141"/>
      <c r="AP147" s="141"/>
      <c r="AQ147" s="141"/>
      <c r="AR147" s="133">
        <f>'Basic Data'!$B$98/1000</f>
        <v>8.0208999999999993</v>
      </c>
    </row>
    <row r="148" spans="1:44" x14ac:dyDescent="0.3">
      <c r="A148" s="132">
        <f t="shared" si="11"/>
        <v>45891</v>
      </c>
      <c r="B148" s="133">
        <f>YEAR(Table13[[#This Row],[Date]])+IF(MONTH(Table13[[#This Row],[Date]])&gt;=4,1,0)</f>
        <v>2026</v>
      </c>
      <c r="C148" s="134">
        <f>YEAR(Table13[[#This Row],[Date]])</f>
        <v>2025</v>
      </c>
      <c r="D148" s="135">
        <f>Table13[[#This Row],[Date]]-DAY(Table13[[#This Row],[Date]])+1</f>
        <v>45870</v>
      </c>
      <c r="E148" s="134">
        <f t="shared" si="8"/>
        <v>31</v>
      </c>
      <c r="F148" s="136" t="str">
        <f>IFERROR(_xlfn.XLOOKUP($A148,'Raw Data'!$G:$G,'Raw Data'!$AM:$AM),"")</f>
        <v/>
      </c>
      <c r="G148" s="137" t="str">
        <f>IFERROR(_xlfn.XLOOKUP($A148,'Raw Data'!$G:$G,'Raw Data'!$AB:$AB),"")</f>
        <v/>
      </c>
      <c r="H148" s="137"/>
      <c r="I148" s="137" t="str">
        <f>IFERROR(_xlfn.XLOOKUP($A148,'Raw Data'!$G:$G,'Raw Data'!$AC:$AC),"")</f>
        <v/>
      </c>
      <c r="J148" s="137"/>
      <c r="K148" s="137" t="str">
        <f>IFERROR(_xlfn.XLOOKUP($A148,'Raw Data'!$G:$G,'Raw Data'!AD:AD),"")</f>
        <v/>
      </c>
      <c r="L148" s="137" t="str">
        <f>IFERROR(_xlfn.XLOOKUP($A148,'Raw Data'!$G:$G,'Raw Data'!AE:AE),"")</f>
        <v/>
      </c>
      <c r="M148" s="137" t="str">
        <f>IFERROR(_xlfn.XLOOKUP($A148,'Raw Data'!$G:$G,'Raw Data'!AF:AF),"")</f>
        <v/>
      </c>
      <c r="N148" s="137" t="str">
        <f>IFERROR(_xlfn.XLOOKUP($A148,'Raw Data'!$G:$G,'Raw Data'!AG:AG),"")</f>
        <v/>
      </c>
      <c r="O148" s="138" t="str">
        <f>IFERROR(1-SUMIF('Plant BD'!$H:$H,$A148,'Plant BD'!$AE:$AE)/($AA148+SUMIF('Plant BD'!$H:$H,$A148,'Plant BD'!$AE:$AE)),"")</f>
        <v/>
      </c>
      <c r="P148" s="138"/>
      <c r="Q148" s="139"/>
      <c r="R148" s="138" t="str">
        <f>IFERROR(1-SUMIF('Grid BD'!$H:$H,$A148,'Grid BD'!$AD:$AD)/($AA148+SUMIF('Grid BD'!$H:$H,$A148,'Grid BD'!$AD:$AD)),"")</f>
        <v/>
      </c>
      <c r="T148" s="139"/>
      <c r="U148" s="140" t="str">
        <f t="shared" si="9"/>
        <v/>
      </c>
      <c r="V148" s="140"/>
      <c r="W148" s="141" t="str">
        <f t="shared" si="10"/>
        <v/>
      </c>
      <c r="X148" s="133" t="str">
        <f>IFERROR(_xlfn.XLOOKUP($A148,'Raw Data'!$G:$G,'Raw Data'!AI:AI),"")</f>
        <v/>
      </c>
      <c r="Y148" s="133" t="str">
        <f>IFERROR(_xlfn.XLOOKUP($A148,'Raw Data'!$G:$G,'Raw Data'!AJ:AJ),"")</f>
        <v/>
      </c>
      <c r="Z148" s="133" t="str">
        <f>IFERROR(_xlfn.XLOOKUP($A148,'Raw Data'!$G:$G,'Raw Data'!AK:AK),"")</f>
        <v/>
      </c>
      <c r="AA148" s="133" t="str">
        <f>IFERROR(_xlfn.XLOOKUP($A148,'Raw Data'!$G:$G,'Raw Data'!AL:AL),"")</f>
        <v/>
      </c>
      <c r="AB148" s="133" t="str">
        <f>IFERROR(_xlfn.XLOOKUP($A148,'Raw Data'!$G:$G,'Raw Data'!H:H),"")</f>
        <v/>
      </c>
      <c r="AC148" s="142">
        <f>IFERROR(_xlfn.XLOOKUP($D148,'Modelling New'!$D:$D,'Modelling New'!P:P),"")</f>
        <v>4.2161290322580642</v>
      </c>
      <c r="AD148" s="133">
        <f>IFERROR(_xlfn.XLOOKUP($D148,'Modelling New'!$D:$D,'Modelling New'!$T:$T)*1000,"")</f>
        <v>24273.156786520856</v>
      </c>
      <c r="AE148" s="143">
        <f>IFERROR(_xlfn.XLOOKUP($D148,'Modelling New'!$D:$D,'Modelling New'!O:O),"")</f>
        <v>0.71777654975663252</v>
      </c>
      <c r="AF148" s="145">
        <f>IFERROR(_xlfn.XLOOKUP($D148,'Modelling New'!$D:$D,'Modelling New'!W:W),"")</f>
        <v>0.12609327292095679</v>
      </c>
      <c r="AG148" s="145">
        <f>IFERROR(_xlfn.XLOOKUP($D148,'Modelling New'!$D:$D,'Modelling New'!AE:AE),"")</f>
        <v>0.98040000000000005</v>
      </c>
      <c r="AH148" s="167">
        <f>IFERROR(_xlfn.XLOOKUP($D148,'Modelling New'!$D:$D,'Modelling New'!AF:AF),"")</f>
        <v>0.98</v>
      </c>
      <c r="AN148" s="144"/>
      <c r="AO148" s="141"/>
      <c r="AP148" s="141"/>
      <c r="AQ148" s="141"/>
      <c r="AR148" s="133">
        <f>'Basic Data'!$B$98/1000</f>
        <v>8.0208999999999993</v>
      </c>
    </row>
    <row r="149" spans="1:44" x14ac:dyDescent="0.3">
      <c r="A149" s="132">
        <f t="shared" si="11"/>
        <v>45892</v>
      </c>
      <c r="B149" s="133">
        <f>YEAR(Table13[[#This Row],[Date]])+IF(MONTH(Table13[[#This Row],[Date]])&gt;=4,1,0)</f>
        <v>2026</v>
      </c>
      <c r="C149" s="134">
        <f>YEAR(Table13[[#This Row],[Date]])</f>
        <v>2025</v>
      </c>
      <c r="D149" s="135">
        <f>Table13[[#This Row],[Date]]-DAY(Table13[[#This Row],[Date]])+1</f>
        <v>45870</v>
      </c>
      <c r="E149" s="134">
        <f t="shared" si="8"/>
        <v>31</v>
      </c>
      <c r="F149" s="136" t="str">
        <f>IFERROR(_xlfn.XLOOKUP($A149,'Raw Data'!$G:$G,'Raw Data'!$AM:$AM),"")</f>
        <v/>
      </c>
      <c r="G149" s="137" t="str">
        <f>IFERROR(_xlfn.XLOOKUP($A149,'Raw Data'!$G:$G,'Raw Data'!$AB:$AB),"")</f>
        <v/>
      </c>
      <c r="H149" s="137"/>
      <c r="I149" s="137" t="str">
        <f>IFERROR(_xlfn.XLOOKUP($A149,'Raw Data'!$G:$G,'Raw Data'!$AC:$AC),"")</f>
        <v/>
      </c>
      <c r="J149" s="137"/>
      <c r="K149" s="137" t="str">
        <f>IFERROR(_xlfn.XLOOKUP($A149,'Raw Data'!$G:$G,'Raw Data'!AD:AD),"")</f>
        <v/>
      </c>
      <c r="L149" s="137" t="str">
        <f>IFERROR(_xlfn.XLOOKUP($A149,'Raw Data'!$G:$G,'Raw Data'!AE:AE),"")</f>
        <v/>
      </c>
      <c r="M149" s="137" t="str">
        <f>IFERROR(_xlfn.XLOOKUP($A149,'Raw Data'!$G:$G,'Raw Data'!AF:AF),"")</f>
        <v/>
      </c>
      <c r="N149" s="137" t="str">
        <f>IFERROR(_xlfn.XLOOKUP($A149,'Raw Data'!$G:$G,'Raw Data'!AG:AG),"")</f>
        <v/>
      </c>
      <c r="O149" s="138" t="str">
        <f>IFERROR(1-SUMIF('Plant BD'!$H:$H,$A149,'Plant BD'!$AE:$AE)/($AA149+SUMIF('Plant BD'!$H:$H,$A149,'Plant BD'!$AE:$AE)),"")</f>
        <v/>
      </c>
      <c r="P149" s="138"/>
      <c r="Q149" s="139"/>
      <c r="R149" s="138" t="str">
        <f>IFERROR(1-SUMIF('Grid BD'!$H:$H,$A149,'Grid BD'!$AD:$AD)/($AA149+SUMIF('Grid BD'!$H:$H,$A149,'Grid BD'!$AD:$AD)),"")</f>
        <v/>
      </c>
      <c r="T149" s="139"/>
      <c r="U149" s="140" t="str">
        <f t="shared" si="9"/>
        <v/>
      </c>
      <c r="V149" s="140"/>
      <c r="W149" s="141" t="str">
        <f t="shared" si="10"/>
        <v/>
      </c>
      <c r="X149" s="133" t="str">
        <f>IFERROR(_xlfn.XLOOKUP($A149,'Raw Data'!$G:$G,'Raw Data'!AI:AI),"")</f>
        <v/>
      </c>
      <c r="Y149" s="133" t="str">
        <f>IFERROR(_xlfn.XLOOKUP($A149,'Raw Data'!$G:$G,'Raw Data'!AJ:AJ),"")</f>
        <v/>
      </c>
      <c r="Z149" s="133" t="str">
        <f>IFERROR(_xlfn.XLOOKUP($A149,'Raw Data'!$G:$G,'Raw Data'!AK:AK),"")</f>
        <v/>
      </c>
      <c r="AA149" s="133" t="str">
        <f>IFERROR(_xlfn.XLOOKUP($A149,'Raw Data'!$G:$G,'Raw Data'!AL:AL),"")</f>
        <v/>
      </c>
      <c r="AB149" s="133" t="str">
        <f>IFERROR(_xlfn.XLOOKUP($A149,'Raw Data'!$G:$G,'Raw Data'!H:H),"")</f>
        <v/>
      </c>
      <c r="AC149" s="142">
        <f>IFERROR(_xlfn.XLOOKUP($D149,'Modelling New'!$D:$D,'Modelling New'!P:P),"")</f>
        <v>4.2161290322580642</v>
      </c>
      <c r="AD149" s="133">
        <f>IFERROR(_xlfn.XLOOKUP($D149,'Modelling New'!$D:$D,'Modelling New'!$T:$T)*1000,"")</f>
        <v>24273.156786520856</v>
      </c>
      <c r="AE149" s="143">
        <f>IFERROR(_xlfn.XLOOKUP($D149,'Modelling New'!$D:$D,'Modelling New'!O:O),"")</f>
        <v>0.71777654975663252</v>
      </c>
      <c r="AF149" s="145">
        <f>IFERROR(_xlfn.XLOOKUP($D149,'Modelling New'!$D:$D,'Modelling New'!W:W),"")</f>
        <v>0.12609327292095679</v>
      </c>
      <c r="AG149" s="145">
        <f>IFERROR(_xlfn.XLOOKUP($D149,'Modelling New'!$D:$D,'Modelling New'!AE:AE),"")</f>
        <v>0.98040000000000005</v>
      </c>
      <c r="AH149" s="167">
        <f>IFERROR(_xlfn.XLOOKUP($D149,'Modelling New'!$D:$D,'Modelling New'!AF:AF),"")</f>
        <v>0.98</v>
      </c>
      <c r="AN149" s="144"/>
      <c r="AO149" s="141"/>
      <c r="AP149" s="141"/>
      <c r="AQ149" s="141"/>
      <c r="AR149" s="133">
        <f>'Basic Data'!$B$98/1000</f>
        <v>8.0208999999999993</v>
      </c>
    </row>
    <row r="150" spans="1:44" x14ac:dyDescent="0.3">
      <c r="A150" s="132">
        <f t="shared" si="11"/>
        <v>45893</v>
      </c>
      <c r="B150" s="133">
        <f>YEAR(Table13[[#This Row],[Date]])+IF(MONTH(Table13[[#This Row],[Date]])&gt;=4,1,0)</f>
        <v>2026</v>
      </c>
      <c r="C150" s="134">
        <f>YEAR(Table13[[#This Row],[Date]])</f>
        <v>2025</v>
      </c>
      <c r="D150" s="135">
        <f>Table13[[#This Row],[Date]]-DAY(Table13[[#This Row],[Date]])+1</f>
        <v>45870</v>
      </c>
      <c r="E150" s="134">
        <f t="shared" si="8"/>
        <v>31</v>
      </c>
      <c r="F150" s="136" t="str">
        <f>IFERROR(_xlfn.XLOOKUP($A150,'Raw Data'!$G:$G,'Raw Data'!$AM:$AM),"")</f>
        <v/>
      </c>
      <c r="G150" s="137" t="str">
        <f>IFERROR(_xlfn.XLOOKUP($A150,'Raw Data'!$G:$G,'Raw Data'!$AB:$AB),"")</f>
        <v/>
      </c>
      <c r="H150" s="137"/>
      <c r="I150" s="137" t="str">
        <f>IFERROR(_xlfn.XLOOKUP($A150,'Raw Data'!$G:$G,'Raw Data'!$AC:$AC),"")</f>
        <v/>
      </c>
      <c r="J150" s="137"/>
      <c r="K150" s="137" t="str">
        <f>IFERROR(_xlfn.XLOOKUP($A150,'Raw Data'!$G:$G,'Raw Data'!AD:AD),"")</f>
        <v/>
      </c>
      <c r="L150" s="137" t="str">
        <f>IFERROR(_xlfn.XLOOKUP($A150,'Raw Data'!$G:$G,'Raw Data'!AE:AE),"")</f>
        <v/>
      </c>
      <c r="M150" s="137" t="str">
        <f>IFERROR(_xlfn.XLOOKUP($A150,'Raw Data'!$G:$G,'Raw Data'!AF:AF),"")</f>
        <v/>
      </c>
      <c r="N150" s="137" t="str">
        <f>IFERROR(_xlfn.XLOOKUP($A150,'Raw Data'!$G:$G,'Raw Data'!AG:AG),"")</f>
        <v/>
      </c>
      <c r="O150" s="138" t="str">
        <f>IFERROR(1-SUMIF('Plant BD'!$H:$H,$A150,'Plant BD'!$AE:$AE)/($AA150+SUMIF('Plant BD'!$H:$H,$A150,'Plant BD'!$AE:$AE)),"")</f>
        <v/>
      </c>
      <c r="P150" s="138"/>
      <c r="Q150" s="139"/>
      <c r="R150" s="138" t="str">
        <f>IFERROR(1-SUMIF('Grid BD'!$H:$H,$A150,'Grid BD'!$AD:$AD)/($AA150+SUMIF('Grid BD'!$H:$H,$A150,'Grid BD'!$AD:$AD)),"")</f>
        <v/>
      </c>
      <c r="T150" s="139"/>
      <c r="U150" s="140" t="str">
        <f t="shared" si="9"/>
        <v/>
      </c>
      <c r="V150" s="140"/>
      <c r="W150" s="141" t="str">
        <f t="shared" si="10"/>
        <v/>
      </c>
      <c r="X150" s="133" t="str">
        <f>IFERROR(_xlfn.XLOOKUP($A150,'Raw Data'!$G:$G,'Raw Data'!AI:AI),"")</f>
        <v/>
      </c>
      <c r="Y150" s="133" t="str">
        <f>IFERROR(_xlfn.XLOOKUP($A150,'Raw Data'!$G:$G,'Raw Data'!AJ:AJ),"")</f>
        <v/>
      </c>
      <c r="Z150" s="133" t="str">
        <f>IFERROR(_xlfn.XLOOKUP($A150,'Raw Data'!$G:$G,'Raw Data'!AK:AK),"")</f>
        <v/>
      </c>
      <c r="AA150" s="133" t="str">
        <f>IFERROR(_xlfn.XLOOKUP($A150,'Raw Data'!$G:$G,'Raw Data'!AL:AL),"")</f>
        <v/>
      </c>
      <c r="AB150" s="133" t="str">
        <f>IFERROR(_xlfn.XLOOKUP($A150,'Raw Data'!$G:$G,'Raw Data'!H:H),"")</f>
        <v/>
      </c>
      <c r="AC150" s="142">
        <f>IFERROR(_xlfn.XLOOKUP($D150,'Modelling New'!$D:$D,'Modelling New'!P:P),"")</f>
        <v>4.2161290322580642</v>
      </c>
      <c r="AD150" s="133">
        <f>IFERROR(_xlfn.XLOOKUP($D150,'Modelling New'!$D:$D,'Modelling New'!$T:$T)*1000,"")</f>
        <v>24273.156786520856</v>
      </c>
      <c r="AE150" s="143">
        <f>IFERROR(_xlfn.XLOOKUP($D150,'Modelling New'!$D:$D,'Modelling New'!O:O),"")</f>
        <v>0.71777654975663252</v>
      </c>
      <c r="AF150" s="145">
        <f>IFERROR(_xlfn.XLOOKUP($D150,'Modelling New'!$D:$D,'Modelling New'!W:W),"")</f>
        <v>0.12609327292095679</v>
      </c>
      <c r="AG150" s="145">
        <f>IFERROR(_xlfn.XLOOKUP($D150,'Modelling New'!$D:$D,'Modelling New'!AE:AE),"")</f>
        <v>0.98040000000000005</v>
      </c>
      <c r="AH150" s="167">
        <f>IFERROR(_xlfn.XLOOKUP($D150,'Modelling New'!$D:$D,'Modelling New'!AF:AF),"")</f>
        <v>0.98</v>
      </c>
      <c r="AN150" s="144"/>
      <c r="AO150" s="141"/>
      <c r="AP150" s="141"/>
      <c r="AQ150" s="141"/>
      <c r="AR150" s="133">
        <f>'Basic Data'!$B$98/1000</f>
        <v>8.0208999999999993</v>
      </c>
    </row>
    <row r="151" spans="1:44" x14ac:dyDescent="0.3">
      <c r="A151" s="132">
        <f t="shared" si="11"/>
        <v>45894</v>
      </c>
      <c r="B151" s="133">
        <f>YEAR(Table13[[#This Row],[Date]])+IF(MONTH(Table13[[#This Row],[Date]])&gt;=4,1,0)</f>
        <v>2026</v>
      </c>
      <c r="C151" s="134">
        <f>YEAR(Table13[[#This Row],[Date]])</f>
        <v>2025</v>
      </c>
      <c r="D151" s="135">
        <f>Table13[[#This Row],[Date]]-DAY(Table13[[#This Row],[Date]])+1</f>
        <v>45870</v>
      </c>
      <c r="E151" s="134">
        <f t="shared" si="8"/>
        <v>31</v>
      </c>
      <c r="F151" s="136" t="str">
        <f>IFERROR(_xlfn.XLOOKUP($A151,'Raw Data'!$G:$G,'Raw Data'!$AM:$AM),"")</f>
        <v/>
      </c>
      <c r="G151" s="137" t="str">
        <f>IFERROR(_xlfn.XLOOKUP($A151,'Raw Data'!$G:$G,'Raw Data'!$AB:$AB),"")</f>
        <v/>
      </c>
      <c r="H151" s="137"/>
      <c r="I151" s="137" t="str">
        <f>IFERROR(_xlfn.XLOOKUP($A151,'Raw Data'!$G:$G,'Raw Data'!$AC:$AC),"")</f>
        <v/>
      </c>
      <c r="J151" s="137"/>
      <c r="K151" s="137" t="str">
        <f>IFERROR(_xlfn.XLOOKUP($A151,'Raw Data'!$G:$G,'Raw Data'!AD:AD),"")</f>
        <v/>
      </c>
      <c r="L151" s="137" t="str">
        <f>IFERROR(_xlfn.XLOOKUP($A151,'Raw Data'!$G:$G,'Raw Data'!AE:AE),"")</f>
        <v/>
      </c>
      <c r="M151" s="137" t="str">
        <f>IFERROR(_xlfn.XLOOKUP($A151,'Raw Data'!$G:$G,'Raw Data'!AF:AF),"")</f>
        <v/>
      </c>
      <c r="N151" s="137" t="str">
        <f>IFERROR(_xlfn.XLOOKUP($A151,'Raw Data'!$G:$G,'Raw Data'!AG:AG),"")</f>
        <v/>
      </c>
      <c r="O151" s="138" t="str">
        <f>IFERROR(1-SUMIF('Plant BD'!$H:$H,$A151,'Plant BD'!$AE:$AE)/($AA151+SUMIF('Plant BD'!$H:$H,$A151,'Plant BD'!$AE:$AE)),"")</f>
        <v/>
      </c>
      <c r="P151" s="138"/>
      <c r="Q151" s="139"/>
      <c r="R151" s="138" t="str">
        <f>IFERROR(1-SUMIF('Grid BD'!$H:$H,$A151,'Grid BD'!$AD:$AD)/($AA151+SUMIF('Grid BD'!$H:$H,$A151,'Grid BD'!$AD:$AD)),"")</f>
        <v/>
      </c>
      <c r="T151" s="139"/>
      <c r="U151" s="140" t="str">
        <f t="shared" si="9"/>
        <v/>
      </c>
      <c r="V151" s="140"/>
      <c r="W151" s="141" t="str">
        <f t="shared" si="10"/>
        <v/>
      </c>
      <c r="X151" s="133" t="str">
        <f>IFERROR(_xlfn.XLOOKUP($A151,'Raw Data'!$G:$G,'Raw Data'!AI:AI),"")</f>
        <v/>
      </c>
      <c r="Y151" s="133" t="str">
        <f>IFERROR(_xlfn.XLOOKUP($A151,'Raw Data'!$G:$G,'Raw Data'!AJ:AJ),"")</f>
        <v/>
      </c>
      <c r="Z151" s="133" t="str">
        <f>IFERROR(_xlfn.XLOOKUP($A151,'Raw Data'!$G:$G,'Raw Data'!AK:AK),"")</f>
        <v/>
      </c>
      <c r="AA151" s="133" t="str">
        <f>IFERROR(_xlfn.XLOOKUP($A151,'Raw Data'!$G:$G,'Raw Data'!AL:AL),"")</f>
        <v/>
      </c>
      <c r="AB151" s="133" t="str">
        <f>IFERROR(_xlfn.XLOOKUP($A151,'Raw Data'!$G:$G,'Raw Data'!H:H),"")</f>
        <v/>
      </c>
      <c r="AC151" s="142">
        <f>IFERROR(_xlfn.XLOOKUP($D151,'Modelling New'!$D:$D,'Modelling New'!P:P),"")</f>
        <v>4.2161290322580642</v>
      </c>
      <c r="AD151" s="133">
        <f>IFERROR(_xlfn.XLOOKUP($D151,'Modelling New'!$D:$D,'Modelling New'!$T:$T)*1000,"")</f>
        <v>24273.156786520856</v>
      </c>
      <c r="AE151" s="143">
        <f>IFERROR(_xlfn.XLOOKUP($D151,'Modelling New'!$D:$D,'Modelling New'!O:O),"")</f>
        <v>0.71777654975663252</v>
      </c>
      <c r="AF151" s="145">
        <f>IFERROR(_xlfn.XLOOKUP($D151,'Modelling New'!$D:$D,'Modelling New'!W:W),"")</f>
        <v>0.12609327292095679</v>
      </c>
      <c r="AG151" s="145">
        <f>IFERROR(_xlfn.XLOOKUP($D151,'Modelling New'!$D:$D,'Modelling New'!AE:AE),"")</f>
        <v>0.98040000000000005</v>
      </c>
      <c r="AH151" s="167">
        <f>IFERROR(_xlfn.XLOOKUP($D151,'Modelling New'!$D:$D,'Modelling New'!AF:AF),"")</f>
        <v>0.98</v>
      </c>
      <c r="AN151" s="144"/>
      <c r="AO151" s="141"/>
      <c r="AP151" s="141"/>
      <c r="AQ151" s="141"/>
      <c r="AR151" s="133">
        <f>'Basic Data'!$B$98/1000</f>
        <v>8.0208999999999993</v>
      </c>
    </row>
    <row r="152" spans="1:44" x14ac:dyDescent="0.3">
      <c r="A152" s="132">
        <f t="shared" si="11"/>
        <v>45895</v>
      </c>
      <c r="B152" s="133">
        <f>YEAR(Table13[[#This Row],[Date]])+IF(MONTH(Table13[[#This Row],[Date]])&gt;=4,1,0)</f>
        <v>2026</v>
      </c>
      <c r="C152" s="134">
        <f>YEAR(Table13[[#This Row],[Date]])</f>
        <v>2025</v>
      </c>
      <c r="D152" s="135">
        <f>Table13[[#This Row],[Date]]-DAY(Table13[[#This Row],[Date]])+1</f>
        <v>45870</v>
      </c>
      <c r="E152" s="134">
        <f t="shared" si="8"/>
        <v>31</v>
      </c>
      <c r="F152" s="136" t="str">
        <f>IFERROR(_xlfn.XLOOKUP($A152,'Raw Data'!$G:$G,'Raw Data'!$AM:$AM),"")</f>
        <v/>
      </c>
      <c r="G152" s="137" t="str">
        <f>IFERROR(_xlfn.XLOOKUP($A152,'Raw Data'!$G:$G,'Raw Data'!$AB:$AB),"")</f>
        <v/>
      </c>
      <c r="H152" s="137"/>
      <c r="I152" s="137" t="str">
        <f>IFERROR(_xlfn.XLOOKUP($A152,'Raw Data'!$G:$G,'Raw Data'!$AC:$AC),"")</f>
        <v/>
      </c>
      <c r="J152" s="137"/>
      <c r="K152" s="137" t="str">
        <f>IFERROR(_xlfn.XLOOKUP($A152,'Raw Data'!$G:$G,'Raw Data'!AD:AD),"")</f>
        <v/>
      </c>
      <c r="L152" s="137" t="str">
        <f>IFERROR(_xlfn.XLOOKUP($A152,'Raw Data'!$G:$G,'Raw Data'!AE:AE),"")</f>
        <v/>
      </c>
      <c r="M152" s="137" t="str">
        <f>IFERROR(_xlfn.XLOOKUP($A152,'Raw Data'!$G:$G,'Raw Data'!AF:AF),"")</f>
        <v/>
      </c>
      <c r="N152" s="137" t="str">
        <f>IFERROR(_xlfn.XLOOKUP($A152,'Raw Data'!$G:$G,'Raw Data'!AG:AG),"")</f>
        <v/>
      </c>
      <c r="O152" s="138" t="str">
        <f>IFERROR(1-SUMIF('Plant BD'!$H:$H,$A152,'Plant BD'!$AE:$AE)/($AA152+SUMIF('Plant BD'!$H:$H,$A152,'Plant BD'!$AE:$AE)),"")</f>
        <v/>
      </c>
      <c r="P152" s="138"/>
      <c r="Q152" s="139"/>
      <c r="R152" s="138" t="str">
        <f>IFERROR(1-SUMIF('Grid BD'!$H:$H,$A152,'Grid BD'!$AD:$AD)/($AA152+SUMIF('Grid BD'!$H:$H,$A152,'Grid BD'!$AD:$AD)),"")</f>
        <v/>
      </c>
      <c r="T152" s="139"/>
      <c r="U152" s="140" t="str">
        <f t="shared" si="9"/>
        <v/>
      </c>
      <c r="V152" s="140"/>
      <c r="W152" s="141" t="str">
        <f t="shared" si="10"/>
        <v/>
      </c>
      <c r="X152" s="133" t="str">
        <f>IFERROR(_xlfn.XLOOKUP($A152,'Raw Data'!$G:$G,'Raw Data'!AI:AI),"")</f>
        <v/>
      </c>
      <c r="Y152" s="133" t="str">
        <f>IFERROR(_xlfn.XLOOKUP($A152,'Raw Data'!$G:$G,'Raw Data'!AJ:AJ),"")</f>
        <v/>
      </c>
      <c r="Z152" s="133" t="str">
        <f>IFERROR(_xlfn.XLOOKUP($A152,'Raw Data'!$G:$G,'Raw Data'!AK:AK),"")</f>
        <v/>
      </c>
      <c r="AA152" s="133" t="str">
        <f>IFERROR(_xlfn.XLOOKUP($A152,'Raw Data'!$G:$G,'Raw Data'!AL:AL),"")</f>
        <v/>
      </c>
      <c r="AB152" s="133" t="str">
        <f>IFERROR(_xlfn.XLOOKUP($A152,'Raw Data'!$G:$G,'Raw Data'!H:H),"")</f>
        <v/>
      </c>
      <c r="AC152" s="142">
        <f>IFERROR(_xlfn.XLOOKUP($D152,'Modelling New'!$D:$D,'Modelling New'!P:P),"")</f>
        <v>4.2161290322580642</v>
      </c>
      <c r="AD152" s="133">
        <f>IFERROR(_xlfn.XLOOKUP($D152,'Modelling New'!$D:$D,'Modelling New'!$T:$T)*1000,"")</f>
        <v>24273.156786520856</v>
      </c>
      <c r="AE152" s="143">
        <f>IFERROR(_xlfn.XLOOKUP($D152,'Modelling New'!$D:$D,'Modelling New'!O:O),"")</f>
        <v>0.71777654975663252</v>
      </c>
      <c r="AF152" s="145">
        <f>IFERROR(_xlfn.XLOOKUP($D152,'Modelling New'!$D:$D,'Modelling New'!W:W),"")</f>
        <v>0.12609327292095679</v>
      </c>
      <c r="AG152" s="145">
        <f>IFERROR(_xlfn.XLOOKUP($D152,'Modelling New'!$D:$D,'Modelling New'!AE:AE),"")</f>
        <v>0.98040000000000005</v>
      </c>
      <c r="AH152" s="167">
        <f>IFERROR(_xlfn.XLOOKUP($D152,'Modelling New'!$D:$D,'Modelling New'!AF:AF),"")</f>
        <v>0.98</v>
      </c>
      <c r="AN152" s="144"/>
      <c r="AO152" s="141"/>
      <c r="AP152" s="141"/>
      <c r="AQ152" s="141"/>
      <c r="AR152" s="133">
        <f>'Basic Data'!$B$98/1000</f>
        <v>8.0208999999999993</v>
      </c>
    </row>
    <row r="153" spans="1:44" x14ac:dyDescent="0.3">
      <c r="A153" s="132">
        <f t="shared" si="11"/>
        <v>45896</v>
      </c>
      <c r="B153" s="133">
        <f>YEAR(Table13[[#This Row],[Date]])+IF(MONTH(Table13[[#This Row],[Date]])&gt;=4,1,0)</f>
        <v>2026</v>
      </c>
      <c r="C153" s="134">
        <f>YEAR(Table13[[#This Row],[Date]])</f>
        <v>2025</v>
      </c>
      <c r="D153" s="135">
        <f>Table13[[#This Row],[Date]]-DAY(Table13[[#This Row],[Date]])+1</f>
        <v>45870</v>
      </c>
      <c r="E153" s="134">
        <f t="shared" si="8"/>
        <v>31</v>
      </c>
      <c r="F153" s="136" t="str">
        <f>IFERROR(_xlfn.XLOOKUP($A153,'Raw Data'!$G:$G,'Raw Data'!$AM:$AM),"")</f>
        <v/>
      </c>
      <c r="G153" s="137" t="str">
        <f>IFERROR(_xlfn.XLOOKUP($A153,'Raw Data'!$G:$G,'Raw Data'!$AB:$AB),"")</f>
        <v/>
      </c>
      <c r="H153" s="137"/>
      <c r="I153" s="137" t="str">
        <f>IFERROR(_xlfn.XLOOKUP($A153,'Raw Data'!$G:$G,'Raw Data'!$AC:$AC),"")</f>
        <v/>
      </c>
      <c r="J153" s="137"/>
      <c r="K153" s="137" t="str">
        <f>IFERROR(_xlfn.XLOOKUP($A153,'Raw Data'!$G:$G,'Raw Data'!AD:AD),"")</f>
        <v/>
      </c>
      <c r="L153" s="137" t="str">
        <f>IFERROR(_xlfn.XLOOKUP($A153,'Raw Data'!$G:$G,'Raw Data'!AE:AE),"")</f>
        <v/>
      </c>
      <c r="M153" s="137" t="str">
        <f>IFERROR(_xlfn.XLOOKUP($A153,'Raw Data'!$G:$G,'Raw Data'!AF:AF),"")</f>
        <v/>
      </c>
      <c r="N153" s="137" t="str">
        <f>IFERROR(_xlfn.XLOOKUP($A153,'Raw Data'!$G:$G,'Raw Data'!AG:AG),"")</f>
        <v/>
      </c>
      <c r="O153" s="138" t="str">
        <f>IFERROR(1-SUMIF('Plant BD'!$H:$H,$A153,'Plant BD'!$AE:$AE)/($AA153+SUMIF('Plant BD'!$H:$H,$A153,'Plant BD'!$AE:$AE)),"")</f>
        <v/>
      </c>
      <c r="P153" s="138"/>
      <c r="Q153" s="139"/>
      <c r="R153" s="138" t="str">
        <f>IFERROR(1-SUMIF('Grid BD'!$H:$H,$A153,'Grid BD'!$AD:$AD)/($AA153+SUMIF('Grid BD'!$H:$H,$A153,'Grid BD'!$AD:$AD)),"")</f>
        <v/>
      </c>
      <c r="T153" s="139"/>
      <c r="U153" s="140" t="str">
        <f t="shared" si="9"/>
        <v/>
      </c>
      <c r="V153" s="140"/>
      <c r="W153" s="141" t="str">
        <f t="shared" si="10"/>
        <v/>
      </c>
      <c r="X153" s="133" t="str">
        <f>IFERROR(_xlfn.XLOOKUP($A153,'Raw Data'!$G:$G,'Raw Data'!AI:AI),"")</f>
        <v/>
      </c>
      <c r="Y153" s="133" t="str">
        <f>IFERROR(_xlfn.XLOOKUP($A153,'Raw Data'!$G:$G,'Raw Data'!AJ:AJ),"")</f>
        <v/>
      </c>
      <c r="Z153" s="133" t="str">
        <f>IFERROR(_xlfn.XLOOKUP($A153,'Raw Data'!$G:$G,'Raw Data'!AK:AK),"")</f>
        <v/>
      </c>
      <c r="AA153" s="133" t="str">
        <f>IFERROR(_xlfn.XLOOKUP($A153,'Raw Data'!$G:$G,'Raw Data'!AL:AL),"")</f>
        <v/>
      </c>
      <c r="AB153" s="133" t="str">
        <f>IFERROR(_xlfn.XLOOKUP($A153,'Raw Data'!$G:$G,'Raw Data'!H:H),"")</f>
        <v/>
      </c>
      <c r="AC153" s="142">
        <f>IFERROR(_xlfn.XLOOKUP($D153,'Modelling New'!$D:$D,'Modelling New'!P:P),"")</f>
        <v>4.2161290322580642</v>
      </c>
      <c r="AD153" s="133">
        <f>IFERROR(_xlfn.XLOOKUP($D153,'Modelling New'!$D:$D,'Modelling New'!$T:$T)*1000,"")</f>
        <v>24273.156786520856</v>
      </c>
      <c r="AE153" s="143">
        <f>IFERROR(_xlfn.XLOOKUP($D153,'Modelling New'!$D:$D,'Modelling New'!O:O),"")</f>
        <v>0.71777654975663252</v>
      </c>
      <c r="AF153" s="145">
        <f>IFERROR(_xlfn.XLOOKUP($D153,'Modelling New'!$D:$D,'Modelling New'!W:W),"")</f>
        <v>0.12609327292095679</v>
      </c>
      <c r="AG153" s="145">
        <f>IFERROR(_xlfn.XLOOKUP($D153,'Modelling New'!$D:$D,'Modelling New'!AE:AE),"")</f>
        <v>0.98040000000000005</v>
      </c>
      <c r="AH153" s="167">
        <f>IFERROR(_xlfn.XLOOKUP($D153,'Modelling New'!$D:$D,'Modelling New'!AF:AF),"")</f>
        <v>0.98</v>
      </c>
      <c r="AN153" s="144"/>
      <c r="AO153" s="141"/>
      <c r="AP153" s="141"/>
      <c r="AQ153" s="141"/>
      <c r="AR153" s="133">
        <f>'Basic Data'!$B$98/1000</f>
        <v>8.0208999999999993</v>
      </c>
    </row>
    <row r="154" spans="1:44" x14ac:dyDescent="0.3">
      <c r="A154" s="132">
        <f t="shared" si="11"/>
        <v>45897</v>
      </c>
      <c r="B154" s="133">
        <f>YEAR(Table13[[#This Row],[Date]])+IF(MONTH(Table13[[#This Row],[Date]])&gt;=4,1,0)</f>
        <v>2026</v>
      </c>
      <c r="C154" s="134">
        <f>YEAR(Table13[[#This Row],[Date]])</f>
        <v>2025</v>
      </c>
      <c r="D154" s="135">
        <f>Table13[[#This Row],[Date]]-DAY(Table13[[#This Row],[Date]])+1</f>
        <v>45870</v>
      </c>
      <c r="E154" s="134">
        <f t="shared" si="8"/>
        <v>31</v>
      </c>
      <c r="F154" s="136" t="str">
        <f>IFERROR(_xlfn.XLOOKUP($A154,'Raw Data'!$G:$G,'Raw Data'!$AM:$AM),"")</f>
        <v/>
      </c>
      <c r="G154" s="137" t="str">
        <f>IFERROR(_xlfn.XLOOKUP($A154,'Raw Data'!$G:$G,'Raw Data'!$AB:$AB),"")</f>
        <v/>
      </c>
      <c r="H154" s="137"/>
      <c r="I154" s="137" t="str">
        <f>IFERROR(_xlfn.XLOOKUP($A154,'Raw Data'!$G:$G,'Raw Data'!$AC:$AC),"")</f>
        <v/>
      </c>
      <c r="J154" s="137"/>
      <c r="K154" s="137" t="str">
        <f>IFERROR(_xlfn.XLOOKUP($A154,'Raw Data'!$G:$G,'Raw Data'!AD:AD),"")</f>
        <v/>
      </c>
      <c r="L154" s="137" t="str">
        <f>IFERROR(_xlfn.XLOOKUP($A154,'Raw Data'!$G:$G,'Raw Data'!AE:AE),"")</f>
        <v/>
      </c>
      <c r="M154" s="137" t="str">
        <f>IFERROR(_xlfn.XLOOKUP($A154,'Raw Data'!$G:$G,'Raw Data'!AF:AF),"")</f>
        <v/>
      </c>
      <c r="N154" s="137" t="str">
        <f>IFERROR(_xlfn.XLOOKUP($A154,'Raw Data'!$G:$G,'Raw Data'!AG:AG),"")</f>
        <v/>
      </c>
      <c r="O154" s="138" t="str">
        <f>IFERROR(1-SUMIF('Plant BD'!$H:$H,$A154,'Plant BD'!$AE:$AE)/($AA154+SUMIF('Plant BD'!$H:$H,$A154,'Plant BD'!$AE:$AE)),"")</f>
        <v/>
      </c>
      <c r="P154" s="138"/>
      <c r="Q154" s="139"/>
      <c r="R154" s="138" t="str">
        <f>IFERROR(1-SUMIF('Grid BD'!$H:$H,$A154,'Grid BD'!$AD:$AD)/($AA154+SUMIF('Grid BD'!$H:$H,$A154,'Grid BD'!$AD:$AD)),"")</f>
        <v/>
      </c>
      <c r="T154" s="139"/>
      <c r="U154" s="140" t="str">
        <f t="shared" si="9"/>
        <v/>
      </c>
      <c r="V154" s="140"/>
      <c r="W154" s="141" t="str">
        <f t="shared" si="10"/>
        <v/>
      </c>
      <c r="X154" s="133" t="str">
        <f>IFERROR(_xlfn.XLOOKUP($A154,'Raw Data'!$G:$G,'Raw Data'!AI:AI),"")</f>
        <v/>
      </c>
      <c r="Y154" s="133" t="str">
        <f>IFERROR(_xlfn.XLOOKUP($A154,'Raw Data'!$G:$G,'Raw Data'!AJ:AJ),"")</f>
        <v/>
      </c>
      <c r="Z154" s="133" t="str">
        <f>IFERROR(_xlfn.XLOOKUP($A154,'Raw Data'!$G:$G,'Raw Data'!AK:AK),"")</f>
        <v/>
      </c>
      <c r="AA154" s="133" t="str">
        <f>IFERROR(_xlfn.XLOOKUP($A154,'Raw Data'!$G:$G,'Raw Data'!AL:AL),"")</f>
        <v/>
      </c>
      <c r="AB154" s="133" t="str">
        <f>IFERROR(_xlfn.XLOOKUP($A154,'Raw Data'!$G:$G,'Raw Data'!H:H),"")</f>
        <v/>
      </c>
      <c r="AC154" s="142">
        <f>IFERROR(_xlfn.XLOOKUP($D154,'Modelling New'!$D:$D,'Modelling New'!P:P),"")</f>
        <v>4.2161290322580642</v>
      </c>
      <c r="AD154" s="133">
        <f>IFERROR(_xlfn.XLOOKUP($D154,'Modelling New'!$D:$D,'Modelling New'!$T:$T)*1000,"")</f>
        <v>24273.156786520856</v>
      </c>
      <c r="AE154" s="143">
        <f>IFERROR(_xlfn.XLOOKUP($D154,'Modelling New'!$D:$D,'Modelling New'!O:O),"")</f>
        <v>0.71777654975663252</v>
      </c>
      <c r="AF154" s="145">
        <f>IFERROR(_xlfn.XLOOKUP($D154,'Modelling New'!$D:$D,'Modelling New'!W:W),"")</f>
        <v>0.12609327292095679</v>
      </c>
      <c r="AG154" s="145">
        <f>IFERROR(_xlfn.XLOOKUP($D154,'Modelling New'!$D:$D,'Modelling New'!AE:AE),"")</f>
        <v>0.98040000000000005</v>
      </c>
      <c r="AH154" s="167">
        <f>IFERROR(_xlfn.XLOOKUP($D154,'Modelling New'!$D:$D,'Modelling New'!AF:AF),"")</f>
        <v>0.98</v>
      </c>
      <c r="AN154" s="144"/>
      <c r="AO154" s="141"/>
      <c r="AP154" s="141"/>
      <c r="AQ154" s="141"/>
      <c r="AR154" s="133">
        <f>'Basic Data'!$B$98/1000</f>
        <v>8.0208999999999993</v>
      </c>
    </row>
    <row r="155" spans="1:44" x14ac:dyDescent="0.3">
      <c r="A155" s="132">
        <f t="shared" si="11"/>
        <v>45898</v>
      </c>
      <c r="B155" s="133">
        <f>YEAR(Table13[[#This Row],[Date]])+IF(MONTH(Table13[[#This Row],[Date]])&gt;=4,1,0)</f>
        <v>2026</v>
      </c>
      <c r="C155" s="134">
        <f>YEAR(Table13[[#This Row],[Date]])</f>
        <v>2025</v>
      </c>
      <c r="D155" s="135">
        <f>Table13[[#This Row],[Date]]-DAY(Table13[[#This Row],[Date]])+1</f>
        <v>45870</v>
      </c>
      <c r="E155" s="134">
        <f t="shared" si="8"/>
        <v>31</v>
      </c>
      <c r="F155" s="136" t="str">
        <f>IFERROR(_xlfn.XLOOKUP($A155,'Raw Data'!$G:$G,'Raw Data'!$AM:$AM),"")</f>
        <v/>
      </c>
      <c r="G155" s="137" t="str">
        <f>IFERROR(_xlfn.XLOOKUP($A155,'Raw Data'!$G:$G,'Raw Data'!$AB:$AB),"")</f>
        <v/>
      </c>
      <c r="H155" s="137"/>
      <c r="I155" s="137" t="str">
        <f>IFERROR(_xlfn.XLOOKUP($A155,'Raw Data'!$G:$G,'Raw Data'!$AC:$AC),"")</f>
        <v/>
      </c>
      <c r="J155" s="137"/>
      <c r="K155" s="137" t="str">
        <f>IFERROR(_xlfn.XLOOKUP($A155,'Raw Data'!$G:$G,'Raw Data'!AD:AD),"")</f>
        <v/>
      </c>
      <c r="L155" s="137" t="str">
        <f>IFERROR(_xlfn.XLOOKUP($A155,'Raw Data'!$G:$G,'Raw Data'!AE:AE),"")</f>
        <v/>
      </c>
      <c r="M155" s="137" t="str">
        <f>IFERROR(_xlfn.XLOOKUP($A155,'Raw Data'!$G:$G,'Raw Data'!AF:AF),"")</f>
        <v/>
      </c>
      <c r="N155" s="137" t="str">
        <f>IFERROR(_xlfn.XLOOKUP($A155,'Raw Data'!$G:$G,'Raw Data'!AG:AG),"")</f>
        <v/>
      </c>
      <c r="O155" s="138" t="str">
        <f>IFERROR(1-SUMIF('Plant BD'!$H:$H,$A155,'Plant BD'!$AE:$AE)/($AA155+SUMIF('Plant BD'!$H:$H,$A155,'Plant BD'!$AE:$AE)),"")</f>
        <v/>
      </c>
      <c r="P155" s="138"/>
      <c r="Q155" s="139"/>
      <c r="R155" s="138" t="str">
        <f>IFERROR(1-SUMIF('Grid BD'!$H:$H,$A155,'Grid BD'!$AD:$AD)/($AA155+SUMIF('Grid BD'!$H:$H,$A155,'Grid BD'!$AD:$AD)),"")</f>
        <v/>
      </c>
      <c r="T155" s="139"/>
      <c r="U155" s="140" t="str">
        <f t="shared" si="9"/>
        <v/>
      </c>
      <c r="V155" s="140"/>
      <c r="W155" s="141" t="str">
        <f t="shared" si="10"/>
        <v/>
      </c>
      <c r="X155" s="133" t="str">
        <f>IFERROR(_xlfn.XLOOKUP($A155,'Raw Data'!$G:$G,'Raw Data'!AI:AI),"")</f>
        <v/>
      </c>
      <c r="Y155" s="133" t="str">
        <f>IFERROR(_xlfn.XLOOKUP($A155,'Raw Data'!$G:$G,'Raw Data'!AJ:AJ),"")</f>
        <v/>
      </c>
      <c r="Z155" s="133" t="str">
        <f>IFERROR(_xlfn.XLOOKUP($A155,'Raw Data'!$G:$G,'Raw Data'!AK:AK),"")</f>
        <v/>
      </c>
      <c r="AA155" s="133" t="str">
        <f>IFERROR(_xlfn.XLOOKUP($A155,'Raw Data'!$G:$G,'Raw Data'!AL:AL),"")</f>
        <v/>
      </c>
      <c r="AB155" s="133" t="str">
        <f>IFERROR(_xlfn.XLOOKUP($A155,'Raw Data'!$G:$G,'Raw Data'!H:H),"")</f>
        <v/>
      </c>
      <c r="AC155" s="142">
        <f>IFERROR(_xlfn.XLOOKUP($D155,'Modelling New'!$D:$D,'Modelling New'!P:P),"")</f>
        <v>4.2161290322580642</v>
      </c>
      <c r="AD155" s="133">
        <f>IFERROR(_xlfn.XLOOKUP($D155,'Modelling New'!$D:$D,'Modelling New'!$T:$T)*1000,"")</f>
        <v>24273.156786520856</v>
      </c>
      <c r="AE155" s="143">
        <f>IFERROR(_xlfn.XLOOKUP($D155,'Modelling New'!$D:$D,'Modelling New'!O:O),"")</f>
        <v>0.71777654975663252</v>
      </c>
      <c r="AF155" s="145">
        <f>IFERROR(_xlfn.XLOOKUP($D155,'Modelling New'!$D:$D,'Modelling New'!W:W),"")</f>
        <v>0.12609327292095679</v>
      </c>
      <c r="AG155" s="145">
        <f>IFERROR(_xlfn.XLOOKUP($D155,'Modelling New'!$D:$D,'Modelling New'!AE:AE),"")</f>
        <v>0.98040000000000005</v>
      </c>
      <c r="AH155" s="167">
        <f>IFERROR(_xlfn.XLOOKUP($D155,'Modelling New'!$D:$D,'Modelling New'!AF:AF),"")</f>
        <v>0.98</v>
      </c>
      <c r="AN155" s="144"/>
      <c r="AO155" s="141"/>
      <c r="AP155" s="141"/>
      <c r="AQ155" s="141"/>
      <c r="AR155" s="133">
        <f>'Basic Data'!$B$98/1000</f>
        <v>8.0208999999999993</v>
      </c>
    </row>
    <row r="156" spans="1:44" x14ac:dyDescent="0.3">
      <c r="A156" s="132">
        <f t="shared" si="11"/>
        <v>45899</v>
      </c>
      <c r="B156" s="133">
        <f>YEAR(Table13[[#This Row],[Date]])+IF(MONTH(Table13[[#This Row],[Date]])&gt;=4,1,0)</f>
        <v>2026</v>
      </c>
      <c r="C156" s="134">
        <f>YEAR(Table13[[#This Row],[Date]])</f>
        <v>2025</v>
      </c>
      <c r="D156" s="135">
        <f>Table13[[#This Row],[Date]]-DAY(Table13[[#This Row],[Date]])+1</f>
        <v>45870</v>
      </c>
      <c r="E156" s="134">
        <f t="shared" si="8"/>
        <v>31</v>
      </c>
      <c r="F156" s="136" t="str">
        <f>IFERROR(_xlfn.XLOOKUP($A156,'Raw Data'!$G:$G,'Raw Data'!$AM:$AM),"")</f>
        <v/>
      </c>
      <c r="G156" s="137" t="str">
        <f>IFERROR(_xlfn.XLOOKUP($A156,'Raw Data'!$G:$G,'Raw Data'!$AB:$AB),"")</f>
        <v/>
      </c>
      <c r="H156" s="137"/>
      <c r="I156" s="137" t="str">
        <f>IFERROR(_xlfn.XLOOKUP($A156,'Raw Data'!$G:$G,'Raw Data'!$AC:$AC),"")</f>
        <v/>
      </c>
      <c r="J156" s="137"/>
      <c r="K156" s="137" t="str">
        <f>IFERROR(_xlfn.XLOOKUP($A156,'Raw Data'!$G:$G,'Raw Data'!AD:AD),"")</f>
        <v/>
      </c>
      <c r="L156" s="137" t="str">
        <f>IFERROR(_xlfn.XLOOKUP($A156,'Raw Data'!$G:$G,'Raw Data'!AE:AE),"")</f>
        <v/>
      </c>
      <c r="M156" s="137" t="str">
        <f>IFERROR(_xlfn.XLOOKUP($A156,'Raw Data'!$G:$G,'Raw Data'!AF:AF),"")</f>
        <v/>
      </c>
      <c r="N156" s="137" t="str">
        <f>IFERROR(_xlfn.XLOOKUP($A156,'Raw Data'!$G:$G,'Raw Data'!AG:AG),"")</f>
        <v/>
      </c>
      <c r="O156" s="138" t="str">
        <f>IFERROR(1-SUMIF('Plant BD'!$H:$H,$A156,'Plant BD'!$AE:$AE)/($AA156+SUMIF('Plant BD'!$H:$H,$A156,'Plant BD'!$AE:$AE)),"")</f>
        <v/>
      </c>
      <c r="P156" s="138"/>
      <c r="Q156" s="139"/>
      <c r="R156" s="138" t="str">
        <f>IFERROR(1-SUMIF('Grid BD'!$H:$H,$A156,'Grid BD'!$AD:$AD)/($AA156+SUMIF('Grid BD'!$H:$H,$A156,'Grid BD'!$AD:$AD)),"")</f>
        <v/>
      </c>
      <c r="T156" s="139"/>
      <c r="U156" s="140" t="str">
        <f t="shared" si="9"/>
        <v/>
      </c>
      <c r="V156" s="140"/>
      <c r="W156" s="141" t="str">
        <f t="shared" si="10"/>
        <v/>
      </c>
      <c r="X156" s="133" t="str">
        <f>IFERROR(_xlfn.XLOOKUP($A156,'Raw Data'!$G:$G,'Raw Data'!AI:AI),"")</f>
        <v/>
      </c>
      <c r="Y156" s="133" t="str">
        <f>IFERROR(_xlfn.XLOOKUP($A156,'Raw Data'!$G:$G,'Raw Data'!AJ:AJ),"")</f>
        <v/>
      </c>
      <c r="Z156" s="133" t="str">
        <f>IFERROR(_xlfn.XLOOKUP($A156,'Raw Data'!$G:$G,'Raw Data'!AK:AK),"")</f>
        <v/>
      </c>
      <c r="AA156" s="133" t="str">
        <f>IFERROR(_xlfn.XLOOKUP($A156,'Raw Data'!$G:$G,'Raw Data'!AL:AL),"")</f>
        <v/>
      </c>
      <c r="AB156" s="133" t="str">
        <f>IFERROR(_xlfn.XLOOKUP($A156,'Raw Data'!$G:$G,'Raw Data'!H:H),"")</f>
        <v/>
      </c>
      <c r="AC156" s="142">
        <f>IFERROR(_xlfn.XLOOKUP($D156,'Modelling New'!$D:$D,'Modelling New'!P:P),"")</f>
        <v>4.2161290322580642</v>
      </c>
      <c r="AD156" s="133">
        <f>IFERROR(_xlfn.XLOOKUP($D156,'Modelling New'!$D:$D,'Modelling New'!$T:$T)*1000,"")</f>
        <v>24273.156786520856</v>
      </c>
      <c r="AE156" s="143">
        <f>IFERROR(_xlfn.XLOOKUP($D156,'Modelling New'!$D:$D,'Modelling New'!O:O),"")</f>
        <v>0.71777654975663252</v>
      </c>
      <c r="AF156" s="145">
        <f>IFERROR(_xlfn.XLOOKUP($D156,'Modelling New'!$D:$D,'Modelling New'!W:W),"")</f>
        <v>0.12609327292095679</v>
      </c>
      <c r="AG156" s="145">
        <f>IFERROR(_xlfn.XLOOKUP($D156,'Modelling New'!$D:$D,'Modelling New'!AE:AE),"")</f>
        <v>0.98040000000000005</v>
      </c>
      <c r="AH156" s="167">
        <f>IFERROR(_xlfn.XLOOKUP($D156,'Modelling New'!$D:$D,'Modelling New'!AF:AF),"")</f>
        <v>0.98</v>
      </c>
      <c r="AN156" s="144"/>
      <c r="AO156" s="141"/>
      <c r="AP156" s="141"/>
      <c r="AQ156" s="141"/>
      <c r="AR156" s="133">
        <f>'Basic Data'!$B$98/1000</f>
        <v>8.0208999999999993</v>
      </c>
    </row>
    <row r="157" spans="1:44" x14ac:dyDescent="0.3">
      <c r="A157" s="132">
        <f t="shared" si="11"/>
        <v>45900</v>
      </c>
      <c r="B157" s="133">
        <f>YEAR(Table13[[#This Row],[Date]])+IF(MONTH(Table13[[#This Row],[Date]])&gt;=4,1,0)</f>
        <v>2026</v>
      </c>
      <c r="C157" s="134">
        <f>YEAR(Table13[[#This Row],[Date]])</f>
        <v>2025</v>
      </c>
      <c r="D157" s="135">
        <f>Table13[[#This Row],[Date]]-DAY(Table13[[#This Row],[Date]])+1</f>
        <v>45870</v>
      </c>
      <c r="E157" s="134">
        <f t="shared" si="8"/>
        <v>31</v>
      </c>
      <c r="F157" s="136" t="str">
        <f>IFERROR(_xlfn.XLOOKUP($A157,'Raw Data'!$G:$G,'Raw Data'!$AM:$AM),"")</f>
        <v/>
      </c>
      <c r="G157" s="137" t="str">
        <f>IFERROR(_xlfn.XLOOKUP($A157,'Raw Data'!$G:$G,'Raw Data'!$AB:$AB),"")</f>
        <v/>
      </c>
      <c r="H157" s="137"/>
      <c r="I157" s="137" t="str">
        <f>IFERROR(_xlfn.XLOOKUP($A157,'Raw Data'!$G:$G,'Raw Data'!$AC:$AC),"")</f>
        <v/>
      </c>
      <c r="J157" s="137"/>
      <c r="K157" s="137" t="str">
        <f>IFERROR(_xlfn.XLOOKUP($A157,'Raw Data'!$G:$G,'Raw Data'!AD:AD),"")</f>
        <v/>
      </c>
      <c r="L157" s="137" t="str">
        <f>IFERROR(_xlfn.XLOOKUP($A157,'Raw Data'!$G:$G,'Raw Data'!AE:AE),"")</f>
        <v/>
      </c>
      <c r="M157" s="137" t="str">
        <f>IFERROR(_xlfn.XLOOKUP($A157,'Raw Data'!$G:$G,'Raw Data'!AF:AF),"")</f>
        <v/>
      </c>
      <c r="N157" s="137" t="str">
        <f>IFERROR(_xlfn.XLOOKUP($A157,'Raw Data'!$G:$G,'Raw Data'!AG:AG),"")</f>
        <v/>
      </c>
      <c r="O157" s="138" t="str">
        <f>IFERROR(1-SUMIF('Plant BD'!$H:$H,$A157,'Plant BD'!$AE:$AE)/($AA157+SUMIF('Plant BD'!$H:$H,$A157,'Plant BD'!$AE:$AE)),"")</f>
        <v/>
      </c>
      <c r="P157" s="138"/>
      <c r="Q157" s="139"/>
      <c r="R157" s="138" t="str">
        <f>IFERROR(1-SUMIF('Grid BD'!$H:$H,$A157,'Grid BD'!$AD:$AD)/($AA157+SUMIF('Grid BD'!$H:$H,$A157,'Grid BD'!$AD:$AD)),"")</f>
        <v/>
      </c>
      <c r="T157" s="139"/>
      <c r="U157" s="140" t="str">
        <f t="shared" si="9"/>
        <v/>
      </c>
      <c r="V157" s="140"/>
      <c r="W157" s="141" t="str">
        <f t="shared" si="10"/>
        <v/>
      </c>
      <c r="X157" s="133" t="str">
        <f>IFERROR(_xlfn.XLOOKUP($A157,'Raw Data'!$G:$G,'Raw Data'!AI:AI),"")</f>
        <v/>
      </c>
      <c r="Y157" s="133" t="str">
        <f>IFERROR(_xlfn.XLOOKUP($A157,'Raw Data'!$G:$G,'Raw Data'!AJ:AJ),"")</f>
        <v/>
      </c>
      <c r="Z157" s="133" t="str">
        <f>IFERROR(_xlfn.XLOOKUP($A157,'Raw Data'!$G:$G,'Raw Data'!AK:AK),"")</f>
        <v/>
      </c>
      <c r="AA157" s="133" t="str">
        <f>IFERROR(_xlfn.XLOOKUP($A157,'Raw Data'!$G:$G,'Raw Data'!AL:AL),"")</f>
        <v/>
      </c>
      <c r="AB157" s="133" t="str">
        <f>IFERROR(_xlfn.XLOOKUP($A157,'Raw Data'!$G:$G,'Raw Data'!H:H),"")</f>
        <v/>
      </c>
      <c r="AC157" s="142">
        <f>IFERROR(_xlfn.XLOOKUP($D157,'Modelling New'!$D:$D,'Modelling New'!P:P),"")</f>
        <v>4.2161290322580642</v>
      </c>
      <c r="AD157" s="133">
        <f>IFERROR(_xlfn.XLOOKUP($D157,'Modelling New'!$D:$D,'Modelling New'!$T:$T)*1000,"")</f>
        <v>24273.156786520856</v>
      </c>
      <c r="AE157" s="143">
        <f>IFERROR(_xlfn.XLOOKUP($D157,'Modelling New'!$D:$D,'Modelling New'!O:O),"")</f>
        <v>0.71777654975663252</v>
      </c>
      <c r="AF157" s="145">
        <f>IFERROR(_xlfn.XLOOKUP($D157,'Modelling New'!$D:$D,'Modelling New'!W:W),"")</f>
        <v>0.12609327292095679</v>
      </c>
      <c r="AG157" s="145">
        <f>IFERROR(_xlfn.XLOOKUP($D157,'Modelling New'!$D:$D,'Modelling New'!AE:AE),"")</f>
        <v>0.98040000000000005</v>
      </c>
      <c r="AH157" s="167">
        <f>IFERROR(_xlfn.XLOOKUP($D157,'Modelling New'!$D:$D,'Modelling New'!AF:AF),"")</f>
        <v>0.98</v>
      </c>
      <c r="AN157" s="144"/>
      <c r="AO157" s="141"/>
      <c r="AP157" s="141"/>
      <c r="AQ157" s="141"/>
      <c r="AR157" s="133">
        <f>'Basic Data'!$B$98/1000</f>
        <v>8.0208999999999993</v>
      </c>
    </row>
    <row r="158" spans="1:44" x14ac:dyDescent="0.3">
      <c r="A158" s="132">
        <f t="shared" si="11"/>
        <v>45901</v>
      </c>
      <c r="B158" s="133">
        <f>YEAR(Table13[[#This Row],[Date]])+IF(MONTH(Table13[[#This Row],[Date]])&gt;=4,1,0)</f>
        <v>2026</v>
      </c>
      <c r="C158" s="134">
        <f>YEAR(Table13[[#This Row],[Date]])</f>
        <v>2025</v>
      </c>
      <c r="D158" s="135">
        <f>Table13[[#This Row],[Date]]-DAY(Table13[[#This Row],[Date]])+1</f>
        <v>45901</v>
      </c>
      <c r="E158" s="134">
        <f t="shared" si="8"/>
        <v>30</v>
      </c>
      <c r="F158" s="136" t="str">
        <f>IFERROR(_xlfn.XLOOKUP($A158,'Raw Data'!$G:$G,'Raw Data'!$AM:$AM),"")</f>
        <v/>
      </c>
      <c r="G158" s="137" t="str">
        <f>IFERROR(_xlfn.XLOOKUP($A158,'Raw Data'!$G:$G,'Raw Data'!$AB:$AB),"")</f>
        <v/>
      </c>
      <c r="H158" s="137"/>
      <c r="I158" s="137" t="str">
        <f>IFERROR(_xlfn.XLOOKUP($A158,'Raw Data'!$G:$G,'Raw Data'!$AC:$AC),"")</f>
        <v/>
      </c>
      <c r="J158" s="137"/>
      <c r="K158" s="137" t="str">
        <f>IFERROR(_xlfn.XLOOKUP($A158,'Raw Data'!$G:$G,'Raw Data'!AD:AD),"")</f>
        <v/>
      </c>
      <c r="L158" s="137" t="str">
        <f>IFERROR(_xlfn.XLOOKUP($A158,'Raw Data'!$G:$G,'Raw Data'!AE:AE),"")</f>
        <v/>
      </c>
      <c r="M158" s="137" t="str">
        <f>IFERROR(_xlfn.XLOOKUP($A158,'Raw Data'!$G:$G,'Raw Data'!AF:AF),"")</f>
        <v/>
      </c>
      <c r="N158" s="137" t="str">
        <f>IFERROR(_xlfn.XLOOKUP($A158,'Raw Data'!$G:$G,'Raw Data'!AG:AG),"")</f>
        <v/>
      </c>
      <c r="O158" s="138" t="str">
        <f>IFERROR(1-SUMIF('Plant BD'!$H:$H,$A158,'Plant BD'!$AE:$AE)/($AA158+SUMIF('Plant BD'!$H:$H,$A158,'Plant BD'!$AE:$AE)),"")</f>
        <v/>
      </c>
      <c r="P158" s="138"/>
      <c r="Q158" s="139"/>
      <c r="R158" s="138" t="str">
        <f>IFERROR(1-SUMIF('Grid BD'!$H:$H,$A158,'Grid BD'!$AD:$AD)/($AA158+SUMIF('Grid BD'!$H:$H,$A158,'Grid BD'!$AD:$AD)),"")</f>
        <v/>
      </c>
      <c r="T158" s="139"/>
      <c r="U158" s="140" t="str">
        <f t="shared" si="9"/>
        <v/>
      </c>
      <c r="V158" s="140"/>
      <c r="W158" s="141" t="str">
        <f t="shared" si="10"/>
        <v/>
      </c>
      <c r="X158" s="133" t="str">
        <f>IFERROR(_xlfn.XLOOKUP($A158,'Raw Data'!$G:$G,'Raw Data'!AI:AI),"")</f>
        <v/>
      </c>
      <c r="Y158" s="133" t="str">
        <f>IFERROR(_xlfn.XLOOKUP($A158,'Raw Data'!$G:$G,'Raw Data'!AJ:AJ),"")</f>
        <v/>
      </c>
      <c r="Z158" s="133" t="str">
        <f>IFERROR(_xlfn.XLOOKUP($A158,'Raw Data'!$G:$G,'Raw Data'!AK:AK),"")</f>
        <v/>
      </c>
      <c r="AA158" s="133" t="str">
        <f>IFERROR(_xlfn.XLOOKUP($A158,'Raw Data'!$G:$G,'Raw Data'!AL:AL),"")</f>
        <v/>
      </c>
      <c r="AB158" s="133" t="str">
        <f>IFERROR(_xlfn.XLOOKUP($A158,'Raw Data'!$G:$G,'Raw Data'!H:H),"")</f>
        <v/>
      </c>
      <c r="AC158" s="142">
        <f>IFERROR(_xlfn.XLOOKUP($D158,'Modelling New'!$D:$D,'Modelling New'!P:P),"")</f>
        <v>4.8466666666666667</v>
      </c>
      <c r="AD158" s="133">
        <f>IFERROR(_xlfn.XLOOKUP($D158,'Modelling New'!$D:$D,'Modelling New'!$T:$T)*1000,"")</f>
        <v>27099.030800071054</v>
      </c>
      <c r="AE158" s="143">
        <f>IFERROR(_xlfn.XLOOKUP($D158,'Modelling New'!$D:$D,'Modelling New'!O:O),"")</f>
        <v>0.69708783670793795</v>
      </c>
      <c r="AF158" s="145">
        <f>IFERROR(_xlfn.XLOOKUP($D158,'Modelling New'!$D:$D,'Modelling New'!W:W),"")</f>
        <v>0.14077301591296412</v>
      </c>
      <c r="AG158" s="145">
        <f>IFERROR(_xlfn.XLOOKUP($D158,'Modelling New'!$D:$D,'Modelling New'!AE:AE),"")</f>
        <v>0.98040000000000005</v>
      </c>
      <c r="AH158" s="167">
        <f>IFERROR(_xlfn.XLOOKUP($D158,'Modelling New'!$D:$D,'Modelling New'!AF:AF),"")</f>
        <v>0.98</v>
      </c>
      <c r="AN158" s="144"/>
      <c r="AO158" s="141"/>
      <c r="AP158" s="141"/>
      <c r="AQ158" s="141"/>
      <c r="AR158" s="133">
        <f>'Basic Data'!$B$98/1000</f>
        <v>8.0208999999999993</v>
      </c>
    </row>
    <row r="159" spans="1:44" x14ac:dyDescent="0.3">
      <c r="A159" s="132">
        <f t="shared" si="11"/>
        <v>45902</v>
      </c>
      <c r="B159" s="133">
        <f>YEAR(Table13[[#This Row],[Date]])+IF(MONTH(Table13[[#This Row],[Date]])&gt;=4,1,0)</f>
        <v>2026</v>
      </c>
      <c r="C159" s="134">
        <f>YEAR(Table13[[#This Row],[Date]])</f>
        <v>2025</v>
      </c>
      <c r="D159" s="135">
        <f>Table13[[#This Row],[Date]]-DAY(Table13[[#This Row],[Date]])+1</f>
        <v>45901</v>
      </c>
      <c r="E159" s="134">
        <f t="shared" si="8"/>
        <v>30</v>
      </c>
      <c r="F159" s="136" t="str">
        <f>IFERROR(_xlfn.XLOOKUP($A159,'Raw Data'!$G:$G,'Raw Data'!$AM:$AM),"")</f>
        <v/>
      </c>
      <c r="G159" s="137" t="str">
        <f>IFERROR(_xlfn.XLOOKUP($A159,'Raw Data'!$G:$G,'Raw Data'!$AB:$AB),"")</f>
        <v/>
      </c>
      <c r="H159" s="137"/>
      <c r="I159" s="137" t="str">
        <f>IFERROR(_xlfn.XLOOKUP($A159,'Raw Data'!$G:$G,'Raw Data'!$AC:$AC),"")</f>
        <v/>
      </c>
      <c r="J159" s="137"/>
      <c r="K159" s="137" t="str">
        <f>IFERROR(_xlfn.XLOOKUP($A159,'Raw Data'!$G:$G,'Raw Data'!AD:AD),"")</f>
        <v/>
      </c>
      <c r="L159" s="137" t="str">
        <f>IFERROR(_xlfn.XLOOKUP($A159,'Raw Data'!$G:$G,'Raw Data'!AE:AE),"")</f>
        <v/>
      </c>
      <c r="M159" s="137" t="str">
        <f>IFERROR(_xlfn.XLOOKUP($A159,'Raw Data'!$G:$G,'Raw Data'!AF:AF),"")</f>
        <v/>
      </c>
      <c r="N159" s="137" t="str">
        <f>IFERROR(_xlfn.XLOOKUP($A159,'Raw Data'!$G:$G,'Raw Data'!AG:AG),"")</f>
        <v/>
      </c>
      <c r="O159" s="138" t="str">
        <f>IFERROR(1-SUMIF('Plant BD'!$H:$H,$A159,'Plant BD'!$AE:$AE)/($AA159+SUMIF('Plant BD'!$H:$H,$A159,'Plant BD'!$AE:$AE)),"")</f>
        <v/>
      </c>
      <c r="P159" s="138"/>
      <c r="Q159" s="139"/>
      <c r="R159" s="138" t="str">
        <f>IFERROR(1-SUMIF('Grid BD'!$H:$H,$A159,'Grid BD'!$AD:$AD)/($AA159+SUMIF('Grid BD'!$H:$H,$A159,'Grid BD'!$AD:$AD)),"")</f>
        <v/>
      </c>
      <c r="T159" s="139"/>
      <c r="U159" s="140" t="str">
        <f t="shared" si="9"/>
        <v/>
      </c>
      <c r="V159" s="140"/>
      <c r="W159" s="141" t="str">
        <f t="shared" si="10"/>
        <v/>
      </c>
      <c r="X159" s="133" t="str">
        <f>IFERROR(_xlfn.XLOOKUP($A159,'Raw Data'!$G:$G,'Raw Data'!AI:AI),"")</f>
        <v/>
      </c>
      <c r="Y159" s="133" t="str">
        <f>IFERROR(_xlfn.XLOOKUP($A159,'Raw Data'!$G:$G,'Raw Data'!AJ:AJ),"")</f>
        <v/>
      </c>
      <c r="Z159" s="133" t="str">
        <f>IFERROR(_xlfn.XLOOKUP($A159,'Raw Data'!$G:$G,'Raw Data'!AK:AK),"")</f>
        <v/>
      </c>
      <c r="AA159" s="133" t="str">
        <f>IFERROR(_xlfn.XLOOKUP($A159,'Raw Data'!$G:$G,'Raw Data'!AL:AL),"")</f>
        <v/>
      </c>
      <c r="AB159" s="133" t="str">
        <f>IFERROR(_xlfn.XLOOKUP($A159,'Raw Data'!$G:$G,'Raw Data'!H:H),"")</f>
        <v/>
      </c>
      <c r="AC159" s="142">
        <f>IFERROR(_xlfn.XLOOKUP($D159,'Modelling New'!$D:$D,'Modelling New'!P:P),"")</f>
        <v>4.8466666666666667</v>
      </c>
      <c r="AD159" s="133">
        <f>IFERROR(_xlfn.XLOOKUP($D159,'Modelling New'!$D:$D,'Modelling New'!$T:$T)*1000,"")</f>
        <v>27099.030800071054</v>
      </c>
      <c r="AE159" s="143">
        <f>IFERROR(_xlfn.XLOOKUP($D159,'Modelling New'!$D:$D,'Modelling New'!O:O),"")</f>
        <v>0.69708783670793795</v>
      </c>
      <c r="AF159" s="145">
        <f>IFERROR(_xlfn.XLOOKUP($D159,'Modelling New'!$D:$D,'Modelling New'!W:W),"")</f>
        <v>0.14077301591296412</v>
      </c>
      <c r="AG159" s="145">
        <f>IFERROR(_xlfn.XLOOKUP($D159,'Modelling New'!$D:$D,'Modelling New'!AE:AE),"")</f>
        <v>0.98040000000000005</v>
      </c>
      <c r="AH159" s="167">
        <f>IFERROR(_xlfn.XLOOKUP($D159,'Modelling New'!$D:$D,'Modelling New'!AF:AF),"")</f>
        <v>0.98</v>
      </c>
      <c r="AN159" s="144"/>
      <c r="AO159" s="141"/>
      <c r="AP159" s="141"/>
      <c r="AQ159" s="141"/>
      <c r="AR159" s="133">
        <f>'Basic Data'!$B$98/1000</f>
        <v>8.0208999999999993</v>
      </c>
    </row>
    <row r="160" spans="1:44" x14ac:dyDescent="0.3">
      <c r="A160" s="132">
        <f t="shared" si="11"/>
        <v>45903</v>
      </c>
      <c r="B160" s="133">
        <f>YEAR(Table13[[#This Row],[Date]])+IF(MONTH(Table13[[#This Row],[Date]])&gt;=4,1,0)</f>
        <v>2026</v>
      </c>
      <c r="C160" s="134">
        <f>YEAR(Table13[[#This Row],[Date]])</f>
        <v>2025</v>
      </c>
      <c r="D160" s="135">
        <f>Table13[[#This Row],[Date]]-DAY(Table13[[#This Row],[Date]])+1</f>
        <v>45901</v>
      </c>
      <c r="E160" s="134">
        <f t="shared" si="8"/>
        <v>30</v>
      </c>
      <c r="F160" s="136" t="str">
        <f>IFERROR(_xlfn.XLOOKUP($A160,'Raw Data'!$G:$G,'Raw Data'!$AM:$AM),"")</f>
        <v/>
      </c>
      <c r="G160" s="137" t="str">
        <f>IFERROR(_xlfn.XLOOKUP($A160,'Raw Data'!$G:$G,'Raw Data'!$AB:$AB),"")</f>
        <v/>
      </c>
      <c r="H160" s="137"/>
      <c r="I160" s="137" t="str">
        <f>IFERROR(_xlfn.XLOOKUP($A160,'Raw Data'!$G:$G,'Raw Data'!$AC:$AC),"")</f>
        <v/>
      </c>
      <c r="J160" s="137"/>
      <c r="K160" s="137" t="str">
        <f>IFERROR(_xlfn.XLOOKUP($A160,'Raw Data'!$G:$G,'Raw Data'!AD:AD),"")</f>
        <v/>
      </c>
      <c r="L160" s="137" t="str">
        <f>IFERROR(_xlfn.XLOOKUP($A160,'Raw Data'!$G:$G,'Raw Data'!AE:AE),"")</f>
        <v/>
      </c>
      <c r="M160" s="137" t="str">
        <f>IFERROR(_xlfn.XLOOKUP($A160,'Raw Data'!$G:$G,'Raw Data'!AF:AF),"")</f>
        <v/>
      </c>
      <c r="N160" s="137" t="str">
        <f>IFERROR(_xlfn.XLOOKUP($A160,'Raw Data'!$G:$G,'Raw Data'!AG:AG),"")</f>
        <v/>
      </c>
      <c r="O160" s="138" t="str">
        <f>IFERROR(1-SUMIF('Plant BD'!$H:$H,$A160,'Plant BD'!$AE:$AE)/($AA160+SUMIF('Plant BD'!$H:$H,$A160,'Plant BD'!$AE:$AE)),"")</f>
        <v/>
      </c>
      <c r="P160" s="138"/>
      <c r="Q160" s="139"/>
      <c r="R160" s="138" t="str">
        <f>IFERROR(1-SUMIF('Grid BD'!$H:$H,$A160,'Grid BD'!$AD:$AD)/($AA160+SUMIF('Grid BD'!$H:$H,$A160,'Grid BD'!$AD:$AD)),"")</f>
        <v/>
      </c>
      <c r="T160" s="139"/>
      <c r="U160" s="140" t="str">
        <f t="shared" si="9"/>
        <v/>
      </c>
      <c r="V160" s="140"/>
      <c r="W160" s="141" t="str">
        <f t="shared" si="10"/>
        <v/>
      </c>
      <c r="X160" s="133" t="str">
        <f>IFERROR(_xlfn.XLOOKUP($A160,'Raw Data'!$G:$G,'Raw Data'!AI:AI),"")</f>
        <v/>
      </c>
      <c r="Y160" s="133" t="str">
        <f>IFERROR(_xlfn.XLOOKUP($A160,'Raw Data'!$G:$G,'Raw Data'!AJ:AJ),"")</f>
        <v/>
      </c>
      <c r="Z160" s="133" t="str">
        <f>IFERROR(_xlfn.XLOOKUP($A160,'Raw Data'!$G:$G,'Raw Data'!AK:AK),"")</f>
        <v/>
      </c>
      <c r="AA160" s="133" t="str">
        <f>IFERROR(_xlfn.XLOOKUP($A160,'Raw Data'!$G:$G,'Raw Data'!AL:AL),"")</f>
        <v/>
      </c>
      <c r="AB160" s="133" t="str">
        <f>IFERROR(_xlfn.XLOOKUP($A160,'Raw Data'!$G:$G,'Raw Data'!H:H),"")</f>
        <v/>
      </c>
      <c r="AC160" s="142">
        <f>IFERROR(_xlfn.XLOOKUP($D160,'Modelling New'!$D:$D,'Modelling New'!P:P),"")</f>
        <v>4.8466666666666667</v>
      </c>
      <c r="AD160" s="133">
        <f>IFERROR(_xlfn.XLOOKUP($D160,'Modelling New'!$D:$D,'Modelling New'!$T:$T)*1000,"")</f>
        <v>27099.030800071054</v>
      </c>
      <c r="AE160" s="143">
        <f>IFERROR(_xlfn.XLOOKUP($D160,'Modelling New'!$D:$D,'Modelling New'!O:O),"")</f>
        <v>0.69708783670793795</v>
      </c>
      <c r="AF160" s="145">
        <f>IFERROR(_xlfn.XLOOKUP($D160,'Modelling New'!$D:$D,'Modelling New'!W:W),"")</f>
        <v>0.14077301591296412</v>
      </c>
      <c r="AG160" s="145">
        <f>IFERROR(_xlfn.XLOOKUP($D160,'Modelling New'!$D:$D,'Modelling New'!AE:AE),"")</f>
        <v>0.98040000000000005</v>
      </c>
      <c r="AH160" s="167">
        <f>IFERROR(_xlfn.XLOOKUP($D160,'Modelling New'!$D:$D,'Modelling New'!AF:AF),"")</f>
        <v>0.98</v>
      </c>
      <c r="AN160" s="144"/>
      <c r="AO160" s="141"/>
      <c r="AP160" s="141"/>
      <c r="AQ160" s="141"/>
      <c r="AR160" s="133">
        <f>'Basic Data'!$B$98/1000</f>
        <v>8.0208999999999993</v>
      </c>
    </row>
    <row r="161" spans="1:44" x14ac:dyDescent="0.3">
      <c r="A161" s="132">
        <f t="shared" si="11"/>
        <v>45904</v>
      </c>
      <c r="B161" s="133">
        <f>YEAR(Table13[[#This Row],[Date]])+IF(MONTH(Table13[[#This Row],[Date]])&gt;=4,1,0)</f>
        <v>2026</v>
      </c>
      <c r="C161" s="134">
        <f>YEAR(Table13[[#This Row],[Date]])</f>
        <v>2025</v>
      </c>
      <c r="D161" s="135">
        <f>Table13[[#This Row],[Date]]-DAY(Table13[[#This Row],[Date]])+1</f>
        <v>45901</v>
      </c>
      <c r="E161" s="134">
        <f t="shared" si="8"/>
        <v>30</v>
      </c>
      <c r="F161" s="136" t="str">
        <f>IFERROR(_xlfn.XLOOKUP($A161,'Raw Data'!$G:$G,'Raw Data'!$AM:$AM),"")</f>
        <v/>
      </c>
      <c r="G161" s="137" t="str">
        <f>IFERROR(_xlfn.XLOOKUP($A161,'Raw Data'!$G:$G,'Raw Data'!$AB:$AB),"")</f>
        <v/>
      </c>
      <c r="H161" s="137"/>
      <c r="I161" s="137" t="str">
        <f>IFERROR(_xlfn.XLOOKUP($A161,'Raw Data'!$G:$G,'Raw Data'!$AC:$AC),"")</f>
        <v/>
      </c>
      <c r="J161" s="137"/>
      <c r="K161" s="137" t="str">
        <f>IFERROR(_xlfn.XLOOKUP($A161,'Raw Data'!$G:$G,'Raw Data'!AD:AD),"")</f>
        <v/>
      </c>
      <c r="L161" s="137" t="str">
        <f>IFERROR(_xlfn.XLOOKUP($A161,'Raw Data'!$G:$G,'Raw Data'!AE:AE),"")</f>
        <v/>
      </c>
      <c r="M161" s="137" t="str">
        <f>IFERROR(_xlfn.XLOOKUP($A161,'Raw Data'!$G:$G,'Raw Data'!AF:AF),"")</f>
        <v/>
      </c>
      <c r="N161" s="137" t="str">
        <f>IFERROR(_xlfn.XLOOKUP($A161,'Raw Data'!$G:$G,'Raw Data'!AG:AG),"")</f>
        <v/>
      </c>
      <c r="O161" s="138" t="str">
        <f>IFERROR(1-SUMIF('Plant BD'!$H:$H,$A161,'Plant BD'!$AE:$AE)/($AA161+SUMIF('Plant BD'!$H:$H,$A161,'Plant BD'!$AE:$AE)),"")</f>
        <v/>
      </c>
      <c r="P161" s="138"/>
      <c r="Q161" s="139"/>
      <c r="R161" s="138" t="str">
        <f>IFERROR(1-SUMIF('Grid BD'!$H:$H,$A161,'Grid BD'!$AD:$AD)/($AA161+SUMIF('Grid BD'!$H:$H,$A161,'Grid BD'!$AD:$AD)),"")</f>
        <v/>
      </c>
      <c r="T161" s="139"/>
      <c r="U161" s="140" t="str">
        <f t="shared" si="9"/>
        <v/>
      </c>
      <c r="V161" s="140"/>
      <c r="W161" s="141" t="str">
        <f t="shared" si="10"/>
        <v/>
      </c>
      <c r="X161" s="133" t="str">
        <f>IFERROR(_xlfn.XLOOKUP($A161,'Raw Data'!$G:$G,'Raw Data'!AI:AI),"")</f>
        <v/>
      </c>
      <c r="Y161" s="133" t="str">
        <f>IFERROR(_xlfn.XLOOKUP($A161,'Raw Data'!$G:$G,'Raw Data'!AJ:AJ),"")</f>
        <v/>
      </c>
      <c r="Z161" s="133" t="str">
        <f>IFERROR(_xlfn.XLOOKUP($A161,'Raw Data'!$G:$G,'Raw Data'!AK:AK),"")</f>
        <v/>
      </c>
      <c r="AA161" s="133" t="str">
        <f>IFERROR(_xlfn.XLOOKUP($A161,'Raw Data'!$G:$G,'Raw Data'!AL:AL),"")</f>
        <v/>
      </c>
      <c r="AB161" s="133" t="str">
        <f>IFERROR(_xlfn.XLOOKUP($A161,'Raw Data'!$G:$G,'Raw Data'!H:H),"")</f>
        <v/>
      </c>
      <c r="AC161" s="142">
        <f>IFERROR(_xlfn.XLOOKUP($D161,'Modelling New'!$D:$D,'Modelling New'!P:P),"")</f>
        <v>4.8466666666666667</v>
      </c>
      <c r="AD161" s="133">
        <f>IFERROR(_xlfn.XLOOKUP($D161,'Modelling New'!$D:$D,'Modelling New'!$T:$T)*1000,"")</f>
        <v>27099.030800071054</v>
      </c>
      <c r="AE161" s="143">
        <f>IFERROR(_xlfn.XLOOKUP($D161,'Modelling New'!$D:$D,'Modelling New'!O:O),"")</f>
        <v>0.69708783670793795</v>
      </c>
      <c r="AF161" s="145">
        <f>IFERROR(_xlfn.XLOOKUP($D161,'Modelling New'!$D:$D,'Modelling New'!W:W),"")</f>
        <v>0.14077301591296412</v>
      </c>
      <c r="AG161" s="145">
        <f>IFERROR(_xlfn.XLOOKUP($D161,'Modelling New'!$D:$D,'Modelling New'!AE:AE),"")</f>
        <v>0.98040000000000005</v>
      </c>
      <c r="AH161" s="167">
        <f>IFERROR(_xlfn.XLOOKUP($D161,'Modelling New'!$D:$D,'Modelling New'!AF:AF),"")</f>
        <v>0.98</v>
      </c>
      <c r="AN161" s="144"/>
      <c r="AO161" s="141"/>
      <c r="AP161" s="141"/>
      <c r="AQ161" s="141"/>
      <c r="AR161" s="133">
        <f>'Basic Data'!$B$98/1000</f>
        <v>8.0208999999999993</v>
      </c>
    </row>
    <row r="162" spans="1:44" x14ac:dyDescent="0.3">
      <c r="A162" s="132">
        <f t="shared" si="11"/>
        <v>45905</v>
      </c>
      <c r="B162" s="133">
        <f>YEAR(Table13[[#This Row],[Date]])+IF(MONTH(Table13[[#This Row],[Date]])&gt;=4,1,0)</f>
        <v>2026</v>
      </c>
      <c r="C162" s="134">
        <f>YEAR(Table13[[#This Row],[Date]])</f>
        <v>2025</v>
      </c>
      <c r="D162" s="135">
        <f>Table13[[#This Row],[Date]]-DAY(Table13[[#This Row],[Date]])+1</f>
        <v>45901</v>
      </c>
      <c r="E162" s="134">
        <f t="shared" si="8"/>
        <v>30</v>
      </c>
      <c r="F162" s="136" t="str">
        <f>IFERROR(_xlfn.XLOOKUP($A162,'Raw Data'!$G:$G,'Raw Data'!$AM:$AM),"")</f>
        <v/>
      </c>
      <c r="G162" s="137" t="str">
        <f>IFERROR(_xlfn.XLOOKUP($A162,'Raw Data'!$G:$G,'Raw Data'!$AB:$AB),"")</f>
        <v/>
      </c>
      <c r="H162" s="137"/>
      <c r="I162" s="137" t="str">
        <f>IFERROR(_xlfn.XLOOKUP($A162,'Raw Data'!$G:$G,'Raw Data'!$AC:$AC),"")</f>
        <v/>
      </c>
      <c r="J162" s="137"/>
      <c r="K162" s="137" t="str">
        <f>IFERROR(_xlfn.XLOOKUP($A162,'Raw Data'!$G:$G,'Raw Data'!AD:AD),"")</f>
        <v/>
      </c>
      <c r="L162" s="137" t="str">
        <f>IFERROR(_xlfn.XLOOKUP($A162,'Raw Data'!$G:$G,'Raw Data'!AE:AE),"")</f>
        <v/>
      </c>
      <c r="M162" s="137" t="str">
        <f>IFERROR(_xlfn.XLOOKUP($A162,'Raw Data'!$G:$G,'Raw Data'!AF:AF),"")</f>
        <v/>
      </c>
      <c r="N162" s="137" t="str">
        <f>IFERROR(_xlfn.XLOOKUP($A162,'Raw Data'!$G:$G,'Raw Data'!AG:AG),"")</f>
        <v/>
      </c>
      <c r="O162" s="138" t="str">
        <f>IFERROR(1-SUMIF('Plant BD'!$H:$H,$A162,'Plant BD'!$AE:$AE)/($AA162+SUMIF('Plant BD'!$H:$H,$A162,'Plant BD'!$AE:$AE)),"")</f>
        <v/>
      </c>
      <c r="P162" s="138"/>
      <c r="Q162" s="139"/>
      <c r="R162" s="138" t="str">
        <f>IFERROR(1-SUMIF('Grid BD'!$H:$H,$A162,'Grid BD'!$AD:$AD)/($AA162+SUMIF('Grid BD'!$H:$H,$A162,'Grid BD'!$AD:$AD)),"")</f>
        <v/>
      </c>
      <c r="T162" s="139"/>
      <c r="U162" s="140" t="str">
        <f t="shared" si="9"/>
        <v/>
      </c>
      <c r="V162" s="140"/>
      <c r="W162" s="141" t="str">
        <f t="shared" si="10"/>
        <v/>
      </c>
      <c r="X162" s="133" t="str">
        <f>IFERROR(_xlfn.XLOOKUP($A162,'Raw Data'!$G:$G,'Raw Data'!AI:AI),"")</f>
        <v/>
      </c>
      <c r="Y162" s="133" t="str">
        <f>IFERROR(_xlfn.XLOOKUP($A162,'Raw Data'!$G:$G,'Raw Data'!AJ:AJ),"")</f>
        <v/>
      </c>
      <c r="Z162" s="133" t="str">
        <f>IFERROR(_xlfn.XLOOKUP($A162,'Raw Data'!$G:$G,'Raw Data'!AK:AK),"")</f>
        <v/>
      </c>
      <c r="AA162" s="133" t="str">
        <f>IFERROR(_xlfn.XLOOKUP($A162,'Raw Data'!$G:$G,'Raw Data'!AL:AL),"")</f>
        <v/>
      </c>
      <c r="AB162" s="133" t="str">
        <f>IFERROR(_xlfn.XLOOKUP($A162,'Raw Data'!$G:$G,'Raw Data'!H:H),"")</f>
        <v/>
      </c>
      <c r="AC162" s="142">
        <f>IFERROR(_xlfn.XLOOKUP($D162,'Modelling New'!$D:$D,'Modelling New'!P:P),"")</f>
        <v>4.8466666666666667</v>
      </c>
      <c r="AD162" s="133">
        <f>IFERROR(_xlfn.XLOOKUP($D162,'Modelling New'!$D:$D,'Modelling New'!$T:$T)*1000,"")</f>
        <v>27099.030800071054</v>
      </c>
      <c r="AE162" s="143">
        <f>IFERROR(_xlfn.XLOOKUP($D162,'Modelling New'!$D:$D,'Modelling New'!O:O),"")</f>
        <v>0.69708783670793795</v>
      </c>
      <c r="AF162" s="145">
        <f>IFERROR(_xlfn.XLOOKUP($D162,'Modelling New'!$D:$D,'Modelling New'!W:W),"")</f>
        <v>0.14077301591296412</v>
      </c>
      <c r="AG162" s="145">
        <f>IFERROR(_xlfn.XLOOKUP($D162,'Modelling New'!$D:$D,'Modelling New'!AE:AE),"")</f>
        <v>0.98040000000000005</v>
      </c>
      <c r="AH162" s="167">
        <f>IFERROR(_xlfn.XLOOKUP($D162,'Modelling New'!$D:$D,'Modelling New'!AF:AF),"")</f>
        <v>0.98</v>
      </c>
      <c r="AN162" s="144"/>
      <c r="AO162" s="141"/>
      <c r="AP162" s="141"/>
      <c r="AQ162" s="141"/>
      <c r="AR162" s="133">
        <f>'Basic Data'!$B$98/1000</f>
        <v>8.0208999999999993</v>
      </c>
    </row>
    <row r="163" spans="1:44" x14ac:dyDescent="0.3">
      <c r="A163" s="132">
        <f t="shared" si="11"/>
        <v>45906</v>
      </c>
      <c r="B163" s="133">
        <f>YEAR(Table13[[#This Row],[Date]])+IF(MONTH(Table13[[#This Row],[Date]])&gt;=4,1,0)</f>
        <v>2026</v>
      </c>
      <c r="C163" s="134">
        <f>YEAR(Table13[[#This Row],[Date]])</f>
        <v>2025</v>
      </c>
      <c r="D163" s="135">
        <f>Table13[[#This Row],[Date]]-DAY(Table13[[#This Row],[Date]])+1</f>
        <v>45901</v>
      </c>
      <c r="E163" s="134">
        <f t="shared" si="8"/>
        <v>30</v>
      </c>
      <c r="F163" s="136" t="str">
        <f>IFERROR(_xlfn.XLOOKUP($A163,'Raw Data'!$G:$G,'Raw Data'!$AM:$AM),"")</f>
        <v/>
      </c>
      <c r="G163" s="137" t="str">
        <f>IFERROR(_xlfn.XLOOKUP($A163,'Raw Data'!$G:$G,'Raw Data'!$AB:$AB),"")</f>
        <v/>
      </c>
      <c r="H163" s="137"/>
      <c r="I163" s="137" t="str">
        <f>IFERROR(_xlfn.XLOOKUP($A163,'Raw Data'!$G:$G,'Raw Data'!$AC:$AC),"")</f>
        <v/>
      </c>
      <c r="J163" s="137"/>
      <c r="K163" s="137" t="str">
        <f>IFERROR(_xlfn.XLOOKUP($A163,'Raw Data'!$G:$G,'Raw Data'!AD:AD),"")</f>
        <v/>
      </c>
      <c r="L163" s="137" t="str">
        <f>IFERROR(_xlfn.XLOOKUP($A163,'Raw Data'!$G:$G,'Raw Data'!AE:AE),"")</f>
        <v/>
      </c>
      <c r="M163" s="137" t="str">
        <f>IFERROR(_xlfn.XLOOKUP($A163,'Raw Data'!$G:$G,'Raw Data'!AF:AF),"")</f>
        <v/>
      </c>
      <c r="N163" s="137" t="str">
        <f>IFERROR(_xlfn.XLOOKUP($A163,'Raw Data'!$G:$G,'Raw Data'!AG:AG),"")</f>
        <v/>
      </c>
      <c r="O163" s="138" t="str">
        <f>IFERROR(1-SUMIF('Plant BD'!$H:$H,$A163,'Plant BD'!$AE:$AE)/($AA163+SUMIF('Plant BD'!$H:$H,$A163,'Plant BD'!$AE:$AE)),"")</f>
        <v/>
      </c>
      <c r="P163" s="138"/>
      <c r="Q163" s="139"/>
      <c r="R163" s="138" t="str">
        <f>IFERROR(1-SUMIF('Grid BD'!$H:$H,$A163,'Grid BD'!$AD:$AD)/($AA163+SUMIF('Grid BD'!$H:$H,$A163,'Grid BD'!$AD:$AD)),"")</f>
        <v/>
      </c>
      <c r="T163" s="139"/>
      <c r="U163" s="140" t="str">
        <f t="shared" si="9"/>
        <v/>
      </c>
      <c r="V163" s="140"/>
      <c r="W163" s="141" t="str">
        <f t="shared" si="10"/>
        <v/>
      </c>
      <c r="X163" s="133" t="str">
        <f>IFERROR(_xlfn.XLOOKUP($A163,'Raw Data'!$G:$G,'Raw Data'!AI:AI),"")</f>
        <v/>
      </c>
      <c r="Y163" s="133" t="str">
        <f>IFERROR(_xlfn.XLOOKUP($A163,'Raw Data'!$G:$G,'Raw Data'!AJ:AJ),"")</f>
        <v/>
      </c>
      <c r="Z163" s="133" t="str">
        <f>IFERROR(_xlfn.XLOOKUP($A163,'Raw Data'!$G:$G,'Raw Data'!AK:AK),"")</f>
        <v/>
      </c>
      <c r="AA163" s="133" t="str">
        <f>IFERROR(_xlfn.XLOOKUP($A163,'Raw Data'!$G:$G,'Raw Data'!AL:AL),"")</f>
        <v/>
      </c>
      <c r="AB163" s="133" t="str">
        <f>IFERROR(_xlfn.XLOOKUP($A163,'Raw Data'!$G:$G,'Raw Data'!H:H),"")</f>
        <v/>
      </c>
      <c r="AC163" s="142">
        <f>IFERROR(_xlfn.XLOOKUP($D163,'Modelling New'!$D:$D,'Modelling New'!P:P),"")</f>
        <v>4.8466666666666667</v>
      </c>
      <c r="AD163" s="133">
        <f>IFERROR(_xlfn.XLOOKUP($D163,'Modelling New'!$D:$D,'Modelling New'!$T:$T)*1000,"")</f>
        <v>27099.030800071054</v>
      </c>
      <c r="AE163" s="143">
        <f>IFERROR(_xlfn.XLOOKUP($D163,'Modelling New'!$D:$D,'Modelling New'!O:O),"")</f>
        <v>0.69708783670793795</v>
      </c>
      <c r="AF163" s="145">
        <f>IFERROR(_xlfn.XLOOKUP($D163,'Modelling New'!$D:$D,'Modelling New'!W:W),"")</f>
        <v>0.14077301591296412</v>
      </c>
      <c r="AG163" s="145">
        <f>IFERROR(_xlfn.XLOOKUP($D163,'Modelling New'!$D:$D,'Modelling New'!AE:AE),"")</f>
        <v>0.98040000000000005</v>
      </c>
      <c r="AH163" s="167">
        <f>IFERROR(_xlfn.XLOOKUP($D163,'Modelling New'!$D:$D,'Modelling New'!AF:AF),"")</f>
        <v>0.98</v>
      </c>
      <c r="AN163" s="144"/>
      <c r="AO163" s="141"/>
      <c r="AP163" s="141"/>
      <c r="AQ163" s="141"/>
      <c r="AR163" s="133">
        <f>'Basic Data'!$B$98/1000</f>
        <v>8.0208999999999993</v>
      </c>
    </row>
    <row r="164" spans="1:44" x14ac:dyDescent="0.3">
      <c r="A164" s="132">
        <f t="shared" si="11"/>
        <v>45907</v>
      </c>
      <c r="B164" s="133">
        <f>YEAR(Table13[[#This Row],[Date]])+IF(MONTH(Table13[[#This Row],[Date]])&gt;=4,1,0)</f>
        <v>2026</v>
      </c>
      <c r="C164" s="134">
        <f>YEAR(Table13[[#This Row],[Date]])</f>
        <v>2025</v>
      </c>
      <c r="D164" s="135">
        <f>Table13[[#This Row],[Date]]-DAY(Table13[[#This Row],[Date]])+1</f>
        <v>45901</v>
      </c>
      <c r="E164" s="134">
        <f t="shared" si="8"/>
        <v>30</v>
      </c>
      <c r="F164" s="136" t="str">
        <f>IFERROR(_xlfn.XLOOKUP($A164,'Raw Data'!$G:$G,'Raw Data'!$AM:$AM),"")</f>
        <v/>
      </c>
      <c r="G164" s="137" t="str">
        <f>IFERROR(_xlfn.XLOOKUP($A164,'Raw Data'!$G:$G,'Raw Data'!$AB:$AB),"")</f>
        <v/>
      </c>
      <c r="H164" s="137"/>
      <c r="I164" s="137" t="str">
        <f>IFERROR(_xlfn.XLOOKUP($A164,'Raw Data'!$G:$G,'Raw Data'!$AC:$AC),"")</f>
        <v/>
      </c>
      <c r="J164" s="137"/>
      <c r="K164" s="137" t="str">
        <f>IFERROR(_xlfn.XLOOKUP($A164,'Raw Data'!$G:$G,'Raw Data'!AD:AD),"")</f>
        <v/>
      </c>
      <c r="L164" s="137" t="str">
        <f>IFERROR(_xlfn.XLOOKUP($A164,'Raw Data'!$G:$G,'Raw Data'!AE:AE),"")</f>
        <v/>
      </c>
      <c r="M164" s="137" t="str">
        <f>IFERROR(_xlfn.XLOOKUP($A164,'Raw Data'!$G:$G,'Raw Data'!AF:AF),"")</f>
        <v/>
      </c>
      <c r="N164" s="137" t="str">
        <f>IFERROR(_xlfn.XLOOKUP($A164,'Raw Data'!$G:$G,'Raw Data'!AG:AG),"")</f>
        <v/>
      </c>
      <c r="O164" s="138" t="str">
        <f>IFERROR(1-SUMIF('Plant BD'!$H:$H,$A164,'Plant BD'!$AE:$AE)/($AA164+SUMIF('Plant BD'!$H:$H,$A164,'Plant BD'!$AE:$AE)),"")</f>
        <v/>
      </c>
      <c r="P164" s="138"/>
      <c r="Q164" s="139"/>
      <c r="R164" s="138" t="str">
        <f>IFERROR(1-SUMIF('Grid BD'!$H:$H,$A164,'Grid BD'!$AD:$AD)/($AA164+SUMIF('Grid BD'!$H:$H,$A164,'Grid BD'!$AD:$AD)),"")</f>
        <v/>
      </c>
      <c r="T164" s="139"/>
      <c r="U164" s="140" t="str">
        <f t="shared" si="9"/>
        <v/>
      </c>
      <c r="V164" s="140"/>
      <c r="W164" s="141" t="str">
        <f t="shared" si="10"/>
        <v/>
      </c>
      <c r="X164" s="133" t="str">
        <f>IFERROR(_xlfn.XLOOKUP($A164,'Raw Data'!$G:$G,'Raw Data'!AI:AI),"")</f>
        <v/>
      </c>
      <c r="Y164" s="133" t="str">
        <f>IFERROR(_xlfn.XLOOKUP($A164,'Raw Data'!$G:$G,'Raw Data'!AJ:AJ),"")</f>
        <v/>
      </c>
      <c r="Z164" s="133" t="str">
        <f>IFERROR(_xlfn.XLOOKUP($A164,'Raw Data'!$G:$G,'Raw Data'!AK:AK),"")</f>
        <v/>
      </c>
      <c r="AA164" s="133" t="str">
        <f>IFERROR(_xlfn.XLOOKUP($A164,'Raw Data'!$G:$G,'Raw Data'!AL:AL),"")</f>
        <v/>
      </c>
      <c r="AB164" s="133" t="str">
        <f>IFERROR(_xlfn.XLOOKUP($A164,'Raw Data'!$G:$G,'Raw Data'!H:H),"")</f>
        <v/>
      </c>
      <c r="AC164" s="142">
        <f>IFERROR(_xlfn.XLOOKUP($D164,'Modelling New'!$D:$D,'Modelling New'!P:P),"")</f>
        <v>4.8466666666666667</v>
      </c>
      <c r="AD164" s="133">
        <f>IFERROR(_xlfn.XLOOKUP($D164,'Modelling New'!$D:$D,'Modelling New'!$T:$T)*1000,"")</f>
        <v>27099.030800071054</v>
      </c>
      <c r="AE164" s="143">
        <f>IFERROR(_xlfn.XLOOKUP($D164,'Modelling New'!$D:$D,'Modelling New'!O:O),"")</f>
        <v>0.69708783670793795</v>
      </c>
      <c r="AF164" s="145">
        <f>IFERROR(_xlfn.XLOOKUP($D164,'Modelling New'!$D:$D,'Modelling New'!W:W),"")</f>
        <v>0.14077301591296412</v>
      </c>
      <c r="AG164" s="145">
        <f>IFERROR(_xlfn.XLOOKUP($D164,'Modelling New'!$D:$D,'Modelling New'!AE:AE),"")</f>
        <v>0.98040000000000005</v>
      </c>
      <c r="AH164" s="167">
        <f>IFERROR(_xlfn.XLOOKUP($D164,'Modelling New'!$D:$D,'Modelling New'!AF:AF),"")</f>
        <v>0.98</v>
      </c>
      <c r="AN164" s="144"/>
      <c r="AO164" s="141"/>
      <c r="AP164" s="141"/>
      <c r="AQ164" s="141"/>
      <c r="AR164" s="133">
        <f>'Basic Data'!$B$98/1000</f>
        <v>8.0208999999999993</v>
      </c>
    </row>
    <row r="165" spans="1:44" x14ac:dyDescent="0.3">
      <c r="A165" s="132">
        <f t="shared" si="11"/>
        <v>45908</v>
      </c>
      <c r="B165" s="133">
        <f>YEAR(Table13[[#This Row],[Date]])+IF(MONTH(Table13[[#This Row],[Date]])&gt;=4,1,0)</f>
        <v>2026</v>
      </c>
      <c r="C165" s="134">
        <f>YEAR(Table13[[#This Row],[Date]])</f>
        <v>2025</v>
      </c>
      <c r="D165" s="135">
        <f>Table13[[#This Row],[Date]]-DAY(Table13[[#This Row],[Date]])+1</f>
        <v>45901</v>
      </c>
      <c r="E165" s="134">
        <f t="shared" si="8"/>
        <v>30</v>
      </c>
      <c r="F165" s="136" t="str">
        <f>IFERROR(_xlfn.XLOOKUP($A165,'Raw Data'!$G:$G,'Raw Data'!$AM:$AM),"")</f>
        <v/>
      </c>
      <c r="G165" s="137" t="str">
        <f>IFERROR(_xlfn.XLOOKUP($A165,'Raw Data'!$G:$G,'Raw Data'!$AB:$AB),"")</f>
        <v/>
      </c>
      <c r="H165" s="137"/>
      <c r="I165" s="137" t="str">
        <f>IFERROR(_xlfn.XLOOKUP($A165,'Raw Data'!$G:$G,'Raw Data'!$AC:$AC),"")</f>
        <v/>
      </c>
      <c r="J165" s="137"/>
      <c r="K165" s="137" t="str">
        <f>IFERROR(_xlfn.XLOOKUP($A165,'Raw Data'!$G:$G,'Raw Data'!AD:AD),"")</f>
        <v/>
      </c>
      <c r="L165" s="137" t="str">
        <f>IFERROR(_xlfn.XLOOKUP($A165,'Raw Data'!$G:$G,'Raw Data'!AE:AE),"")</f>
        <v/>
      </c>
      <c r="M165" s="137" t="str">
        <f>IFERROR(_xlfn.XLOOKUP($A165,'Raw Data'!$G:$G,'Raw Data'!AF:AF),"")</f>
        <v/>
      </c>
      <c r="N165" s="137" t="str">
        <f>IFERROR(_xlfn.XLOOKUP($A165,'Raw Data'!$G:$G,'Raw Data'!AG:AG),"")</f>
        <v/>
      </c>
      <c r="O165" s="138" t="str">
        <f>IFERROR(1-SUMIF('Plant BD'!$H:$H,$A165,'Plant BD'!$AE:$AE)/($AA165+SUMIF('Plant BD'!$H:$H,$A165,'Plant BD'!$AE:$AE)),"")</f>
        <v/>
      </c>
      <c r="P165" s="138"/>
      <c r="Q165" s="139"/>
      <c r="R165" s="138" t="str">
        <f>IFERROR(1-SUMIF('Grid BD'!$H:$H,$A165,'Grid BD'!$AD:$AD)/($AA165+SUMIF('Grid BD'!$H:$H,$A165,'Grid BD'!$AD:$AD)),"")</f>
        <v/>
      </c>
      <c r="T165" s="139"/>
      <c r="U165" s="140" t="str">
        <f t="shared" si="9"/>
        <v/>
      </c>
      <c r="V165" s="140"/>
      <c r="W165" s="141" t="str">
        <f t="shared" si="10"/>
        <v/>
      </c>
      <c r="X165" s="133" t="str">
        <f>IFERROR(_xlfn.XLOOKUP($A165,'Raw Data'!$G:$G,'Raw Data'!AI:AI),"")</f>
        <v/>
      </c>
      <c r="Y165" s="133" t="str">
        <f>IFERROR(_xlfn.XLOOKUP($A165,'Raw Data'!$G:$G,'Raw Data'!AJ:AJ),"")</f>
        <v/>
      </c>
      <c r="Z165" s="133" t="str">
        <f>IFERROR(_xlfn.XLOOKUP($A165,'Raw Data'!$G:$G,'Raw Data'!AK:AK),"")</f>
        <v/>
      </c>
      <c r="AA165" s="133" t="str">
        <f>IFERROR(_xlfn.XLOOKUP($A165,'Raw Data'!$G:$G,'Raw Data'!AL:AL),"")</f>
        <v/>
      </c>
      <c r="AB165" s="133" t="str">
        <f>IFERROR(_xlfn.XLOOKUP($A165,'Raw Data'!$G:$G,'Raw Data'!H:H),"")</f>
        <v/>
      </c>
      <c r="AC165" s="142">
        <f>IFERROR(_xlfn.XLOOKUP($D165,'Modelling New'!$D:$D,'Modelling New'!P:P),"")</f>
        <v>4.8466666666666667</v>
      </c>
      <c r="AD165" s="133">
        <f>IFERROR(_xlfn.XLOOKUP($D165,'Modelling New'!$D:$D,'Modelling New'!$T:$T)*1000,"")</f>
        <v>27099.030800071054</v>
      </c>
      <c r="AE165" s="143">
        <f>IFERROR(_xlfn.XLOOKUP($D165,'Modelling New'!$D:$D,'Modelling New'!O:O),"")</f>
        <v>0.69708783670793795</v>
      </c>
      <c r="AF165" s="145">
        <f>IFERROR(_xlfn.XLOOKUP($D165,'Modelling New'!$D:$D,'Modelling New'!W:W),"")</f>
        <v>0.14077301591296412</v>
      </c>
      <c r="AG165" s="145">
        <f>IFERROR(_xlfn.XLOOKUP($D165,'Modelling New'!$D:$D,'Modelling New'!AE:AE),"")</f>
        <v>0.98040000000000005</v>
      </c>
      <c r="AH165" s="167">
        <f>IFERROR(_xlfn.XLOOKUP($D165,'Modelling New'!$D:$D,'Modelling New'!AF:AF),"")</f>
        <v>0.98</v>
      </c>
      <c r="AN165" s="144"/>
      <c r="AO165" s="141"/>
      <c r="AP165" s="141"/>
      <c r="AQ165" s="141"/>
      <c r="AR165" s="133">
        <f>'Basic Data'!$B$98/1000</f>
        <v>8.0208999999999993</v>
      </c>
    </row>
    <row r="166" spans="1:44" x14ac:dyDescent="0.3">
      <c r="A166" s="132">
        <f t="shared" si="11"/>
        <v>45909</v>
      </c>
      <c r="B166" s="133">
        <f>YEAR(Table13[[#This Row],[Date]])+IF(MONTH(Table13[[#This Row],[Date]])&gt;=4,1,0)</f>
        <v>2026</v>
      </c>
      <c r="C166" s="134">
        <f>YEAR(Table13[[#This Row],[Date]])</f>
        <v>2025</v>
      </c>
      <c r="D166" s="135">
        <f>Table13[[#This Row],[Date]]-DAY(Table13[[#This Row],[Date]])+1</f>
        <v>45901</v>
      </c>
      <c r="E166" s="134">
        <f t="shared" si="8"/>
        <v>30</v>
      </c>
      <c r="F166" s="136" t="str">
        <f>IFERROR(_xlfn.XLOOKUP($A166,'Raw Data'!$G:$G,'Raw Data'!$AM:$AM),"")</f>
        <v/>
      </c>
      <c r="G166" s="137" t="str">
        <f>IFERROR(_xlfn.XLOOKUP($A166,'Raw Data'!$G:$G,'Raw Data'!$AB:$AB),"")</f>
        <v/>
      </c>
      <c r="H166" s="137"/>
      <c r="I166" s="137" t="str">
        <f>IFERROR(_xlfn.XLOOKUP($A166,'Raw Data'!$G:$G,'Raw Data'!$AC:$AC),"")</f>
        <v/>
      </c>
      <c r="J166" s="137"/>
      <c r="K166" s="137" t="str">
        <f>IFERROR(_xlfn.XLOOKUP($A166,'Raw Data'!$G:$G,'Raw Data'!AD:AD),"")</f>
        <v/>
      </c>
      <c r="L166" s="137" t="str">
        <f>IFERROR(_xlfn.XLOOKUP($A166,'Raw Data'!$G:$G,'Raw Data'!AE:AE),"")</f>
        <v/>
      </c>
      <c r="M166" s="137" t="str">
        <f>IFERROR(_xlfn.XLOOKUP($A166,'Raw Data'!$G:$G,'Raw Data'!AF:AF),"")</f>
        <v/>
      </c>
      <c r="N166" s="137" t="str">
        <f>IFERROR(_xlfn.XLOOKUP($A166,'Raw Data'!$G:$G,'Raw Data'!AG:AG),"")</f>
        <v/>
      </c>
      <c r="O166" s="138" t="str">
        <f>IFERROR(1-SUMIF('Plant BD'!$H:$H,$A166,'Plant BD'!$AE:$AE)/($AA166+SUMIF('Plant BD'!$H:$H,$A166,'Plant BD'!$AE:$AE)),"")</f>
        <v/>
      </c>
      <c r="P166" s="138"/>
      <c r="Q166" s="139"/>
      <c r="R166" s="138" t="str">
        <f>IFERROR(1-SUMIF('Grid BD'!$H:$H,$A166,'Grid BD'!$AD:$AD)/($AA166+SUMIF('Grid BD'!$H:$H,$A166,'Grid BD'!$AD:$AD)),"")</f>
        <v/>
      </c>
      <c r="T166" s="139"/>
      <c r="U166" s="140" t="str">
        <f t="shared" si="9"/>
        <v/>
      </c>
      <c r="V166" s="140"/>
      <c r="W166" s="141" t="str">
        <f t="shared" si="10"/>
        <v/>
      </c>
      <c r="X166" s="133" t="str">
        <f>IFERROR(_xlfn.XLOOKUP($A166,'Raw Data'!$G:$G,'Raw Data'!AI:AI),"")</f>
        <v/>
      </c>
      <c r="Y166" s="133" t="str">
        <f>IFERROR(_xlfn.XLOOKUP($A166,'Raw Data'!$G:$G,'Raw Data'!AJ:AJ),"")</f>
        <v/>
      </c>
      <c r="Z166" s="133" t="str">
        <f>IFERROR(_xlfn.XLOOKUP($A166,'Raw Data'!$G:$G,'Raw Data'!AK:AK),"")</f>
        <v/>
      </c>
      <c r="AA166" s="133" t="str">
        <f>IFERROR(_xlfn.XLOOKUP($A166,'Raw Data'!$G:$G,'Raw Data'!AL:AL),"")</f>
        <v/>
      </c>
      <c r="AB166" s="133" t="str">
        <f>IFERROR(_xlfn.XLOOKUP($A166,'Raw Data'!$G:$G,'Raw Data'!H:H),"")</f>
        <v/>
      </c>
      <c r="AC166" s="142">
        <f>IFERROR(_xlfn.XLOOKUP($D166,'Modelling New'!$D:$D,'Modelling New'!P:P),"")</f>
        <v>4.8466666666666667</v>
      </c>
      <c r="AD166" s="133">
        <f>IFERROR(_xlfn.XLOOKUP($D166,'Modelling New'!$D:$D,'Modelling New'!$T:$T)*1000,"")</f>
        <v>27099.030800071054</v>
      </c>
      <c r="AE166" s="143">
        <f>IFERROR(_xlfn.XLOOKUP($D166,'Modelling New'!$D:$D,'Modelling New'!O:O),"")</f>
        <v>0.69708783670793795</v>
      </c>
      <c r="AF166" s="145">
        <f>IFERROR(_xlfn.XLOOKUP($D166,'Modelling New'!$D:$D,'Modelling New'!W:W),"")</f>
        <v>0.14077301591296412</v>
      </c>
      <c r="AG166" s="145">
        <f>IFERROR(_xlfn.XLOOKUP($D166,'Modelling New'!$D:$D,'Modelling New'!AE:AE),"")</f>
        <v>0.98040000000000005</v>
      </c>
      <c r="AH166" s="167">
        <f>IFERROR(_xlfn.XLOOKUP($D166,'Modelling New'!$D:$D,'Modelling New'!AF:AF),"")</f>
        <v>0.98</v>
      </c>
      <c r="AN166" s="144"/>
      <c r="AO166" s="141"/>
      <c r="AP166" s="141"/>
      <c r="AQ166" s="141"/>
      <c r="AR166" s="133">
        <f>'Basic Data'!$B$98/1000</f>
        <v>8.0208999999999993</v>
      </c>
    </row>
    <row r="167" spans="1:44" x14ac:dyDescent="0.3">
      <c r="A167" s="132">
        <f t="shared" si="11"/>
        <v>45910</v>
      </c>
      <c r="B167" s="133">
        <f>YEAR(Table13[[#This Row],[Date]])+IF(MONTH(Table13[[#This Row],[Date]])&gt;=4,1,0)</f>
        <v>2026</v>
      </c>
      <c r="C167" s="134">
        <f>YEAR(Table13[[#This Row],[Date]])</f>
        <v>2025</v>
      </c>
      <c r="D167" s="135">
        <f>Table13[[#This Row],[Date]]-DAY(Table13[[#This Row],[Date]])+1</f>
        <v>45901</v>
      </c>
      <c r="E167" s="134">
        <f t="shared" si="8"/>
        <v>30</v>
      </c>
      <c r="F167" s="136" t="str">
        <f>IFERROR(_xlfn.XLOOKUP($A167,'Raw Data'!$G:$G,'Raw Data'!$AM:$AM),"")</f>
        <v/>
      </c>
      <c r="G167" s="137" t="str">
        <f>IFERROR(_xlfn.XLOOKUP($A167,'Raw Data'!$G:$G,'Raw Data'!$AB:$AB),"")</f>
        <v/>
      </c>
      <c r="H167" s="137"/>
      <c r="I167" s="137" t="str">
        <f>IFERROR(_xlfn.XLOOKUP($A167,'Raw Data'!$G:$G,'Raw Data'!$AC:$AC),"")</f>
        <v/>
      </c>
      <c r="J167" s="137"/>
      <c r="K167" s="137" t="str">
        <f>IFERROR(_xlfn.XLOOKUP($A167,'Raw Data'!$G:$G,'Raw Data'!AD:AD),"")</f>
        <v/>
      </c>
      <c r="L167" s="137" t="str">
        <f>IFERROR(_xlfn.XLOOKUP($A167,'Raw Data'!$G:$G,'Raw Data'!AE:AE),"")</f>
        <v/>
      </c>
      <c r="M167" s="137" t="str">
        <f>IFERROR(_xlfn.XLOOKUP($A167,'Raw Data'!$G:$G,'Raw Data'!AF:AF),"")</f>
        <v/>
      </c>
      <c r="N167" s="137" t="str">
        <f>IFERROR(_xlfn.XLOOKUP($A167,'Raw Data'!$G:$G,'Raw Data'!AG:AG),"")</f>
        <v/>
      </c>
      <c r="O167" s="138" t="str">
        <f>IFERROR(1-SUMIF('Plant BD'!$H:$H,$A167,'Plant BD'!$AE:$AE)/($AA167+SUMIF('Plant BD'!$H:$H,$A167,'Plant BD'!$AE:$AE)),"")</f>
        <v/>
      </c>
      <c r="P167" s="138"/>
      <c r="Q167" s="139"/>
      <c r="R167" s="138" t="str">
        <f>IFERROR(1-SUMIF('Grid BD'!$H:$H,$A167,'Grid BD'!$AD:$AD)/($AA167+SUMIF('Grid BD'!$H:$H,$A167,'Grid BD'!$AD:$AD)),"")</f>
        <v/>
      </c>
      <c r="T167" s="139"/>
      <c r="U167" s="140" t="str">
        <f t="shared" si="9"/>
        <v/>
      </c>
      <c r="V167" s="140"/>
      <c r="W167" s="141" t="str">
        <f t="shared" si="10"/>
        <v/>
      </c>
      <c r="X167" s="133" t="str">
        <f>IFERROR(_xlfn.XLOOKUP($A167,'Raw Data'!$G:$G,'Raw Data'!AI:AI),"")</f>
        <v/>
      </c>
      <c r="Y167" s="133" t="str">
        <f>IFERROR(_xlfn.XLOOKUP($A167,'Raw Data'!$G:$G,'Raw Data'!AJ:AJ),"")</f>
        <v/>
      </c>
      <c r="Z167" s="133" t="str">
        <f>IFERROR(_xlfn.XLOOKUP($A167,'Raw Data'!$G:$G,'Raw Data'!AK:AK),"")</f>
        <v/>
      </c>
      <c r="AA167" s="133" t="str">
        <f>IFERROR(_xlfn.XLOOKUP($A167,'Raw Data'!$G:$G,'Raw Data'!AL:AL),"")</f>
        <v/>
      </c>
      <c r="AB167" s="133" t="str">
        <f>IFERROR(_xlfn.XLOOKUP($A167,'Raw Data'!$G:$G,'Raw Data'!H:H),"")</f>
        <v/>
      </c>
      <c r="AC167" s="142">
        <f>IFERROR(_xlfn.XLOOKUP($D167,'Modelling New'!$D:$D,'Modelling New'!P:P),"")</f>
        <v>4.8466666666666667</v>
      </c>
      <c r="AD167" s="133">
        <f>IFERROR(_xlfn.XLOOKUP($D167,'Modelling New'!$D:$D,'Modelling New'!$T:$T)*1000,"")</f>
        <v>27099.030800071054</v>
      </c>
      <c r="AE167" s="143">
        <f>IFERROR(_xlfn.XLOOKUP($D167,'Modelling New'!$D:$D,'Modelling New'!O:O),"")</f>
        <v>0.69708783670793795</v>
      </c>
      <c r="AF167" s="145">
        <f>IFERROR(_xlfn.XLOOKUP($D167,'Modelling New'!$D:$D,'Modelling New'!W:W),"")</f>
        <v>0.14077301591296412</v>
      </c>
      <c r="AG167" s="145">
        <f>IFERROR(_xlfn.XLOOKUP($D167,'Modelling New'!$D:$D,'Modelling New'!AE:AE),"")</f>
        <v>0.98040000000000005</v>
      </c>
      <c r="AH167" s="167">
        <f>IFERROR(_xlfn.XLOOKUP($D167,'Modelling New'!$D:$D,'Modelling New'!AF:AF),"")</f>
        <v>0.98</v>
      </c>
      <c r="AN167" s="144"/>
      <c r="AO167" s="141"/>
      <c r="AP167" s="141"/>
      <c r="AQ167" s="141"/>
      <c r="AR167" s="133">
        <f>'Basic Data'!$B$98/1000</f>
        <v>8.0208999999999993</v>
      </c>
    </row>
    <row r="168" spans="1:44" x14ac:dyDescent="0.3">
      <c r="A168" s="132">
        <f t="shared" si="11"/>
        <v>45911</v>
      </c>
      <c r="B168" s="133">
        <f>YEAR(Table13[[#This Row],[Date]])+IF(MONTH(Table13[[#This Row],[Date]])&gt;=4,1,0)</f>
        <v>2026</v>
      </c>
      <c r="C168" s="134">
        <f>YEAR(Table13[[#This Row],[Date]])</f>
        <v>2025</v>
      </c>
      <c r="D168" s="135">
        <f>Table13[[#This Row],[Date]]-DAY(Table13[[#This Row],[Date]])+1</f>
        <v>45901</v>
      </c>
      <c r="E168" s="134">
        <f t="shared" si="8"/>
        <v>30</v>
      </c>
      <c r="F168" s="136" t="str">
        <f>IFERROR(_xlfn.XLOOKUP($A168,'Raw Data'!$G:$G,'Raw Data'!$AM:$AM),"")</f>
        <v/>
      </c>
      <c r="G168" s="137" t="str">
        <f>IFERROR(_xlfn.XLOOKUP($A168,'Raw Data'!$G:$G,'Raw Data'!$AB:$AB),"")</f>
        <v/>
      </c>
      <c r="H168" s="137"/>
      <c r="I168" s="137" t="str">
        <f>IFERROR(_xlfn.XLOOKUP($A168,'Raw Data'!$G:$G,'Raw Data'!$AC:$AC),"")</f>
        <v/>
      </c>
      <c r="J168" s="137"/>
      <c r="K168" s="137" t="str">
        <f>IFERROR(_xlfn.XLOOKUP($A168,'Raw Data'!$G:$G,'Raw Data'!AD:AD),"")</f>
        <v/>
      </c>
      <c r="L168" s="137" t="str">
        <f>IFERROR(_xlfn.XLOOKUP($A168,'Raw Data'!$G:$G,'Raw Data'!AE:AE),"")</f>
        <v/>
      </c>
      <c r="M168" s="137" t="str">
        <f>IFERROR(_xlfn.XLOOKUP($A168,'Raw Data'!$G:$G,'Raw Data'!AF:AF),"")</f>
        <v/>
      </c>
      <c r="N168" s="137" t="str">
        <f>IFERROR(_xlfn.XLOOKUP($A168,'Raw Data'!$G:$G,'Raw Data'!AG:AG),"")</f>
        <v/>
      </c>
      <c r="O168" s="138" t="str">
        <f>IFERROR(1-SUMIF('Plant BD'!$H:$H,$A168,'Plant BD'!$AE:$AE)/($AA168+SUMIF('Plant BD'!$H:$H,$A168,'Plant BD'!$AE:$AE)),"")</f>
        <v/>
      </c>
      <c r="P168" s="138"/>
      <c r="Q168" s="139"/>
      <c r="R168" s="138" t="str">
        <f>IFERROR(1-SUMIF('Grid BD'!$H:$H,$A168,'Grid BD'!$AD:$AD)/($AA168+SUMIF('Grid BD'!$H:$H,$A168,'Grid BD'!$AD:$AD)),"")</f>
        <v/>
      </c>
      <c r="T168" s="139"/>
      <c r="U168" s="140" t="str">
        <f t="shared" si="9"/>
        <v/>
      </c>
      <c r="V168" s="140"/>
      <c r="W168" s="141" t="str">
        <f t="shared" si="10"/>
        <v/>
      </c>
      <c r="X168" s="133" t="str">
        <f>IFERROR(_xlfn.XLOOKUP($A168,'Raw Data'!$G:$G,'Raw Data'!AI:AI),"")</f>
        <v/>
      </c>
      <c r="Y168" s="133" t="str">
        <f>IFERROR(_xlfn.XLOOKUP($A168,'Raw Data'!$G:$G,'Raw Data'!AJ:AJ),"")</f>
        <v/>
      </c>
      <c r="Z168" s="133" t="str">
        <f>IFERROR(_xlfn.XLOOKUP($A168,'Raw Data'!$G:$G,'Raw Data'!AK:AK),"")</f>
        <v/>
      </c>
      <c r="AA168" s="133" t="str">
        <f>IFERROR(_xlfn.XLOOKUP($A168,'Raw Data'!$G:$G,'Raw Data'!AL:AL),"")</f>
        <v/>
      </c>
      <c r="AB168" s="133" t="str">
        <f>IFERROR(_xlfn.XLOOKUP($A168,'Raw Data'!$G:$G,'Raw Data'!H:H),"")</f>
        <v/>
      </c>
      <c r="AC168" s="142">
        <f>IFERROR(_xlfn.XLOOKUP($D168,'Modelling New'!$D:$D,'Modelling New'!P:P),"")</f>
        <v>4.8466666666666667</v>
      </c>
      <c r="AD168" s="133">
        <f>IFERROR(_xlfn.XLOOKUP($D168,'Modelling New'!$D:$D,'Modelling New'!$T:$T)*1000,"")</f>
        <v>27099.030800071054</v>
      </c>
      <c r="AE168" s="143">
        <f>IFERROR(_xlfn.XLOOKUP($D168,'Modelling New'!$D:$D,'Modelling New'!O:O),"")</f>
        <v>0.69708783670793795</v>
      </c>
      <c r="AF168" s="145">
        <f>IFERROR(_xlfn.XLOOKUP($D168,'Modelling New'!$D:$D,'Modelling New'!W:W),"")</f>
        <v>0.14077301591296412</v>
      </c>
      <c r="AG168" s="145">
        <f>IFERROR(_xlfn.XLOOKUP($D168,'Modelling New'!$D:$D,'Modelling New'!AE:AE),"")</f>
        <v>0.98040000000000005</v>
      </c>
      <c r="AH168" s="167">
        <f>IFERROR(_xlfn.XLOOKUP($D168,'Modelling New'!$D:$D,'Modelling New'!AF:AF),"")</f>
        <v>0.98</v>
      </c>
      <c r="AN168" s="144"/>
      <c r="AO168" s="141"/>
      <c r="AP168" s="141"/>
      <c r="AQ168" s="141"/>
      <c r="AR168" s="133">
        <f>'Basic Data'!$B$98/1000</f>
        <v>8.0208999999999993</v>
      </c>
    </row>
    <row r="169" spans="1:44" x14ac:dyDescent="0.3">
      <c r="A169" s="132">
        <f t="shared" si="11"/>
        <v>45912</v>
      </c>
      <c r="B169" s="133">
        <f>YEAR(Table13[[#This Row],[Date]])+IF(MONTH(Table13[[#This Row],[Date]])&gt;=4,1,0)</f>
        <v>2026</v>
      </c>
      <c r="C169" s="134">
        <f>YEAR(Table13[[#This Row],[Date]])</f>
        <v>2025</v>
      </c>
      <c r="D169" s="135">
        <f>Table13[[#This Row],[Date]]-DAY(Table13[[#This Row],[Date]])+1</f>
        <v>45901</v>
      </c>
      <c r="E169" s="134">
        <f t="shared" si="8"/>
        <v>30</v>
      </c>
      <c r="F169" s="136" t="str">
        <f>IFERROR(_xlfn.XLOOKUP($A169,'Raw Data'!$G:$G,'Raw Data'!$AM:$AM),"")</f>
        <v/>
      </c>
      <c r="G169" s="137" t="str">
        <f>IFERROR(_xlfn.XLOOKUP($A169,'Raw Data'!$G:$G,'Raw Data'!$AB:$AB),"")</f>
        <v/>
      </c>
      <c r="H169" s="137"/>
      <c r="I169" s="137" t="str">
        <f>IFERROR(_xlfn.XLOOKUP($A169,'Raw Data'!$G:$G,'Raw Data'!$AC:$AC),"")</f>
        <v/>
      </c>
      <c r="J169" s="137"/>
      <c r="K169" s="137" t="str">
        <f>IFERROR(_xlfn.XLOOKUP($A169,'Raw Data'!$G:$G,'Raw Data'!AD:AD),"")</f>
        <v/>
      </c>
      <c r="L169" s="137" t="str">
        <f>IFERROR(_xlfn.XLOOKUP($A169,'Raw Data'!$G:$G,'Raw Data'!AE:AE),"")</f>
        <v/>
      </c>
      <c r="M169" s="137" t="str">
        <f>IFERROR(_xlfn.XLOOKUP($A169,'Raw Data'!$G:$G,'Raw Data'!AF:AF),"")</f>
        <v/>
      </c>
      <c r="N169" s="137" t="str">
        <f>IFERROR(_xlfn.XLOOKUP($A169,'Raw Data'!$G:$G,'Raw Data'!AG:AG),"")</f>
        <v/>
      </c>
      <c r="O169" s="138" t="str">
        <f>IFERROR(1-SUMIF('Plant BD'!$H:$H,$A169,'Plant BD'!$AE:$AE)/($AA169+SUMIF('Plant BD'!$H:$H,$A169,'Plant BD'!$AE:$AE)),"")</f>
        <v/>
      </c>
      <c r="P169" s="138"/>
      <c r="Q169" s="139"/>
      <c r="R169" s="138" t="str">
        <f>IFERROR(1-SUMIF('Grid BD'!$H:$H,$A169,'Grid BD'!$AD:$AD)/($AA169+SUMIF('Grid BD'!$H:$H,$A169,'Grid BD'!$AD:$AD)),"")</f>
        <v/>
      </c>
      <c r="T169" s="139"/>
      <c r="U169" s="140" t="str">
        <f t="shared" si="9"/>
        <v/>
      </c>
      <c r="V169" s="140"/>
      <c r="W169" s="141" t="str">
        <f t="shared" si="10"/>
        <v/>
      </c>
      <c r="X169" s="133" t="str">
        <f>IFERROR(_xlfn.XLOOKUP($A169,'Raw Data'!$G:$G,'Raw Data'!AI:AI),"")</f>
        <v/>
      </c>
      <c r="Y169" s="133" t="str">
        <f>IFERROR(_xlfn.XLOOKUP($A169,'Raw Data'!$G:$G,'Raw Data'!AJ:AJ),"")</f>
        <v/>
      </c>
      <c r="Z169" s="133" t="str">
        <f>IFERROR(_xlfn.XLOOKUP($A169,'Raw Data'!$G:$G,'Raw Data'!AK:AK),"")</f>
        <v/>
      </c>
      <c r="AA169" s="133" t="str">
        <f>IFERROR(_xlfn.XLOOKUP($A169,'Raw Data'!$G:$G,'Raw Data'!AL:AL),"")</f>
        <v/>
      </c>
      <c r="AB169" s="133" t="str">
        <f>IFERROR(_xlfn.XLOOKUP($A169,'Raw Data'!$G:$G,'Raw Data'!H:H),"")</f>
        <v/>
      </c>
      <c r="AC169" s="142">
        <f>IFERROR(_xlfn.XLOOKUP($D169,'Modelling New'!$D:$D,'Modelling New'!P:P),"")</f>
        <v>4.8466666666666667</v>
      </c>
      <c r="AD169" s="133">
        <f>IFERROR(_xlfn.XLOOKUP($D169,'Modelling New'!$D:$D,'Modelling New'!$T:$T)*1000,"")</f>
        <v>27099.030800071054</v>
      </c>
      <c r="AE169" s="143">
        <f>IFERROR(_xlfn.XLOOKUP($D169,'Modelling New'!$D:$D,'Modelling New'!O:O),"")</f>
        <v>0.69708783670793795</v>
      </c>
      <c r="AF169" s="145">
        <f>IFERROR(_xlfn.XLOOKUP($D169,'Modelling New'!$D:$D,'Modelling New'!W:W),"")</f>
        <v>0.14077301591296412</v>
      </c>
      <c r="AG169" s="145">
        <f>IFERROR(_xlfn.XLOOKUP($D169,'Modelling New'!$D:$D,'Modelling New'!AE:AE),"")</f>
        <v>0.98040000000000005</v>
      </c>
      <c r="AH169" s="167">
        <f>IFERROR(_xlfn.XLOOKUP($D169,'Modelling New'!$D:$D,'Modelling New'!AF:AF),"")</f>
        <v>0.98</v>
      </c>
      <c r="AN169" s="144"/>
      <c r="AO169" s="141"/>
      <c r="AP169" s="141"/>
      <c r="AQ169" s="141"/>
      <c r="AR169" s="133">
        <f>'Basic Data'!$B$98/1000</f>
        <v>8.0208999999999993</v>
      </c>
    </row>
    <row r="170" spans="1:44" x14ac:dyDescent="0.3">
      <c r="A170" s="132">
        <f t="shared" si="11"/>
        <v>45913</v>
      </c>
      <c r="B170" s="133">
        <f>YEAR(Table13[[#This Row],[Date]])+IF(MONTH(Table13[[#This Row],[Date]])&gt;=4,1,0)</f>
        <v>2026</v>
      </c>
      <c r="C170" s="134">
        <f>YEAR(Table13[[#This Row],[Date]])</f>
        <v>2025</v>
      </c>
      <c r="D170" s="135">
        <f>Table13[[#This Row],[Date]]-DAY(Table13[[#This Row],[Date]])+1</f>
        <v>45901</v>
      </c>
      <c r="E170" s="134">
        <f t="shared" si="8"/>
        <v>30</v>
      </c>
      <c r="F170" s="136" t="str">
        <f>IFERROR(_xlfn.XLOOKUP($A170,'Raw Data'!$G:$G,'Raw Data'!$AM:$AM),"")</f>
        <v/>
      </c>
      <c r="G170" s="137" t="str">
        <f>IFERROR(_xlfn.XLOOKUP($A170,'Raw Data'!$G:$G,'Raw Data'!$AB:$AB),"")</f>
        <v/>
      </c>
      <c r="H170" s="137"/>
      <c r="I170" s="137" t="str">
        <f>IFERROR(_xlfn.XLOOKUP($A170,'Raw Data'!$G:$G,'Raw Data'!$AC:$AC),"")</f>
        <v/>
      </c>
      <c r="J170" s="137"/>
      <c r="K170" s="137" t="str">
        <f>IFERROR(_xlfn.XLOOKUP($A170,'Raw Data'!$G:$G,'Raw Data'!AD:AD),"")</f>
        <v/>
      </c>
      <c r="L170" s="137" t="str">
        <f>IFERROR(_xlfn.XLOOKUP($A170,'Raw Data'!$G:$G,'Raw Data'!AE:AE),"")</f>
        <v/>
      </c>
      <c r="M170" s="137" t="str">
        <f>IFERROR(_xlfn.XLOOKUP($A170,'Raw Data'!$G:$G,'Raw Data'!AF:AF),"")</f>
        <v/>
      </c>
      <c r="N170" s="137" t="str">
        <f>IFERROR(_xlfn.XLOOKUP($A170,'Raw Data'!$G:$G,'Raw Data'!AG:AG),"")</f>
        <v/>
      </c>
      <c r="O170" s="138" t="str">
        <f>IFERROR(1-SUMIF('Plant BD'!$H:$H,$A170,'Plant BD'!$AE:$AE)/($AA170+SUMIF('Plant BD'!$H:$H,$A170,'Plant BD'!$AE:$AE)),"")</f>
        <v/>
      </c>
      <c r="P170" s="138"/>
      <c r="Q170" s="139"/>
      <c r="R170" s="138" t="str">
        <f>IFERROR(1-SUMIF('Grid BD'!$H:$H,$A170,'Grid BD'!$AD:$AD)/($AA170+SUMIF('Grid BD'!$H:$H,$A170,'Grid BD'!$AD:$AD)),"")</f>
        <v/>
      </c>
      <c r="T170" s="139"/>
      <c r="U170" s="140" t="str">
        <f t="shared" si="9"/>
        <v/>
      </c>
      <c r="V170" s="140"/>
      <c r="W170" s="141" t="str">
        <f t="shared" si="10"/>
        <v/>
      </c>
      <c r="X170" s="133" t="str">
        <f>IFERROR(_xlfn.XLOOKUP($A170,'Raw Data'!$G:$G,'Raw Data'!AI:AI),"")</f>
        <v/>
      </c>
      <c r="Y170" s="133" t="str">
        <f>IFERROR(_xlfn.XLOOKUP($A170,'Raw Data'!$G:$G,'Raw Data'!AJ:AJ),"")</f>
        <v/>
      </c>
      <c r="Z170" s="133" t="str">
        <f>IFERROR(_xlfn.XLOOKUP($A170,'Raw Data'!$G:$G,'Raw Data'!AK:AK),"")</f>
        <v/>
      </c>
      <c r="AA170" s="133" t="str">
        <f>IFERROR(_xlfn.XLOOKUP($A170,'Raw Data'!$G:$G,'Raw Data'!AL:AL),"")</f>
        <v/>
      </c>
      <c r="AB170" s="133" t="str">
        <f>IFERROR(_xlfn.XLOOKUP($A170,'Raw Data'!$G:$G,'Raw Data'!H:H),"")</f>
        <v/>
      </c>
      <c r="AC170" s="142">
        <f>IFERROR(_xlfn.XLOOKUP($D170,'Modelling New'!$D:$D,'Modelling New'!P:P),"")</f>
        <v>4.8466666666666667</v>
      </c>
      <c r="AD170" s="133">
        <f>IFERROR(_xlfn.XLOOKUP($D170,'Modelling New'!$D:$D,'Modelling New'!$T:$T)*1000,"")</f>
        <v>27099.030800071054</v>
      </c>
      <c r="AE170" s="143">
        <f>IFERROR(_xlfn.XLOOKUP($D170,'Modelling New'!$D:$D,'Modelling New'!O:O),"")</f>
        <v>0.69708783670793795</v>
      </c>
      <c r="AF170" s="145">
        <f>IFERROR(_xlfn.XLOOKUP($D170,'Modelling New'!$D:$D,'Modelling New'!W:W),"")</f>
        <v>0.14077301591296412</v>
      </c>
      <c r="AG170" s="145">
        <f>IFERROR(_xlfn.XLOOKUP($D170,'Modelling New'!$D:$D,'Modelling New'!AE:AE),"")</f>
        <v>0.98040000000000005</v>
      </c>
      <c r="AH170" s="167">
        <f>IFERROR(_xlfn.XLOOKUP($D170,'Modelling New'!$D:$D,'Modelling New'!AF:AF),"")</f>
        <v>0.98</v>
      </c>
      <c r="AN170" s="144"/>
      <c r="AO170" s="141"/>
      <c r="AP170" s="141"/>
      <c r="AQ170" s="141"/>
      <c r="AR170" s="133">
        <f>'Basic Data'!$B$98/1000</f>
        <v>8.0208999999999993</v>
      </c>
    </row>
    <row r="171" spans="1:44" x14ac:dyDescent="0.3">
      <c r="A171" s="132">
        <f t="shared" si="11"/>
        <v>45914</v>
      </c>
      <c r="B171" s="133">
        <f>YEAR(Table13[[#This Row],[Date]])+IF(MONTH(Table13[[#This Row],[Date]])&gt;=4,1,0)</f>
        <v>2026</v>
      </c>
      <c r="C171" s="134">
        <f>YEAR(Table13[[#This Row],[Date]])</f>
        <v>2025</v>
      </c>
      <c r="D171" s="135">
        <f>Table13[[#This Row],[Date]]-DAY(Table13[[#This Row],[Date]])+1</f>
        <v>45901</v>
      </c>
      <c r="E171" s="134">
        <f t="shared" si="8"/>
        <v>30</v>
      </c>
      <c r="F171" s="136" t="str">
        <f>IFERROR(_xlfn.XLOOKUP($A171,'Raw Data'!$G:$G,'Raw Data'!$AM:$AM),"")</f>
        <v/>
      </c>
      <c r="G171" s="137" t="str">
        <f>IFERROR(_xlfn.XLOOKUP($A171,'Raw Data'!$G:$G,'Raw Data'!$AB:$AB),"")</f>
        <v/>
      </c>
      <c r="H171" s="137"/>
      <c r="I171" s="137" t="str">
        <f>IFERROR(_xlfn.XLOOKUP($A171,'Raw Data'!$G:$G,'Raw Data'!$AC:$AC),"")</f>
        <v/>
      </c>
      <c r="J171" s="137"/>
      <c r="K171" s="137" t="str">
        <f>IFERROR(_xlfn.XLOOKUP($A171,'Raw Data'!$G:$G,'Raw Data'!AD:AD),"")</f>
        <v/>
      </c>
      <c r="L171" s="137" t="str">
        <f>IFERROR(_xlfn.XLOOKUP($A171,'Raw Data'!$G:$G,'Raw Data'!AE:AE),"")</f>
        <v/>
      </c>
      <c r="M171" s="137" t="str">
        <f>IFERROR(_xlfn.XLOOKUP($A171,'Raw Data'!$G:$G,'Raw Data'!AF:AF),"")</f>
        <v/>
      </c>
      <c r="N171" s="137" t="str">
        <f>IFERROR(_xlfn.XLOOKUP($A171,'Raw Data'!$G:$G,'Raw Data'!AG:AG),"")</f>
        <v/>
      </c>
      <c r="O171" s="138" t="str">
        <f>IFERROR(1-SUMIF('Plant BD'!$H:$H,$A171,'Plant BD'!$AE:$AE)/($AA171+SUMIF('Plant BD'!$H:$H,$A171,'Plant BD'!$AE:$AE)),"")</f>
        <v/>
      </c>
      <c r="P171" s="138"/>
      <c r="Q171" s="139"/>
      <c r="R171" s="138" t="str">
        <f>IFERROR(1-SUMIF('Grid BD'!$H:$H,$A171,'Grid BD'!$AD:$AD)/($AA171+SUMIF('Grid BD'!$H:$H,$A171,'Grid BD'!$AD:$AD)),"")</f>
        <v/>
      </c>
      <c r="T171" s="139"/>
      <c r="U171" s="140" t="str">
        <f t="shared" si="9"/>
        <v/>
      </c>
      <c r="V171" s="140"/>
      <c r="W171" s="141" t="str">
        <f t="shared" si="10"/>
        <v/>
      </c>
      <c r="X171" s="133" t="str">
        <f>IFERROR(_xlfn.XLOOKUP($A171,'Raw Data'!$G:$G,'Raw Data'!AI:AI),"")</f>
        <v/>
      </c>
      <c r="Y171" s="133" t="str">
        <f>IFERROR(_xlfn.XLOOKUP($A171,'Raw Data'!$G:$G,'Raw Data'!AJ:AJ),"")</f>
        <v/>
      </c>
      <c r="Z171" s="133" t="str">
        <f>IFERROR(_xlfn.XLOOKUP($A171,'Raw Data'!$G:$G,'Raw Data'!AK:AK),"")</f>
        <v/>
      </c>
      <c r="AA171" s="133" t="str">
        <f>IFERROR(_xlfn.XLOOKUP($A171,'Raw Data'!$G:$G,'Raw Data'!AL:AL),"")</f>
        <v/>
      </c>
      <c r="AB171" s="133" t="str">
        <f>IFERROR(_xlfn.XLOOKUP($A171,'Raw Data'!$G:$G,'Raw Data'!H:H),"")</f>
        <v/>
      </c>
      <c r="AC171" s="142">
        <f>IFERROR(_xlfn.XLOOKUP($D171,'Modelling New'!$D:$D,'Modelling New'!P:P),"")</f>
        <v>4.8466666666666667</v>
      </c>
      <c r="AD171" s="133">
        <f>IFERROR(_xlfn.XLOOKUP($D171,'Modelling New'!$D:$D,'Modelling New'!$T:$T)*1000,"")</f>
        <v>27099.030800071054</v>
      </c>
      <c r="AE171" s="143">
        <f>IFERROR(_xlfn.XLOOKUP($D171,'Modelling New'!$D:$D,'Modelling New'!O:O),"")</f>
        <v>0.69708783670793795</v>
      </c>
      <c r="AF171" s="145">
        <f>IFERROR(_xlfn.XLOOKUP($D171,'Modelling New'!$D:$D,'Modelling New'!W:W),"")</f>
        <v>0.14077301591296412</v>
      </c>
      <c r="AG171" s="145">
        <f>IFERROR(_xlfn.XLOOKUP($D171,'Modelling New'!$D:$D,'Modelling New'!AE:AE),"")</f>
        <v>0.98040000000000005</v>
      </c>
      <c r="AH171" s="167">
        <f>IFERROR(_xlfn.XLOOKUP($D171,'Modelling New'!$D:$D,'Modelling New'!AF:AF),"")</f>
        <v>0.98</v>
      </c>
      <c r="AN171" s="144"/>
      <c r="AO171" s="141"/>
      <c r="AP171" s="141"/>
      <c r="AQ171" s="141"/>
      <c r="AR171" s="133">
        <f>'Basic Data'!$B$98/1000</f>
        <v>8.0208999999999993</v>
      </c>
    </row>
    <row r="172" spans="1:44" x14ac:dyDescent="0.3">
      <c r="A172" s="132">
        <f t="shared" si="11"/>
        <v>45915</v>
      </c>
      <c r="B172" s="133">
        <f>YEAR(Table13[[#This Row],[Date]])+IF(MONTH(Table13[[#This Row],[Date]])&gt;=4,1,0)</f>
        <v>2026</v>
      </c>
      <c r="C172" s="134">
        <f>YEAR(Table13[[#This Row],[Date]])</f>
        <v>2025</v>
      </c>
      <c r="D172" s="135">
        <f>Table13[[#This Row],[Date]]-DAY(Table13[[#This Row],[Date]])+1</f>
        <v>45901</v>
      </c>
      <c r="E172" s="134">
        <f t="shared" si="8"/>
        <v>30</v>
      </c>
      <c r="F172" s="136" t="str">
        <f>IFERROR(_xlfn.XLOOKUP($A172,'Raw Data'!$G:$G,'Raw Data'!$AM:$AM),"")</f>
        <v/>
      </c>
      <c r="G172" s="137" t="str">
        <f>IFERROR(_xlfn.XLOOKUP($A172,'Raw Data'!$G:$G,'Raw Data'!$AB:$AB),"")</f>
        <v/>
      </c>
      <c r="H172" s="137"/>
      <c r="I172" s="137" t="str">
        <f>IFERROR(_xlfn.XLOOKUP($A172,'Raw Data'!$G:$G,'Raw Data'!$AC:$AC),"")</f>
        <v/>
      </c>
      <c r="J172" s="137"/>
      <c r="K172" s="137" t="str">
        <f>IFERROR(_xlfn.XLOOKUP($A172,'Raw Data'!$G:$G,'Raw Data'!AD:AD),"")</f>
        <v/>
      </c>
      <c r="L172" s="137" t="str">
        <f>IFERROR(_xlfn.XLOOKUP($A172,'Raw Data'!$G:$G,'Raw Data'!AE:AE),"")</f>
        <v/>
      </c>
      <c r="M172" s="137" t="str">
        <f>IFERROR(_xlfn.XLOOKUP($A172,'Raw Data'!$G:$G,'Raw Data'!AF:AF),"")</f>
        <v/>
      </c>
      <c r="N172" s="137" t="str">
        <f>IFERROR(_xlfn.XLOOKUP($A172,'Raw Data'!$G:$G,'Raw Data'!AG:AG),"")</f>
        <v/>
      </c>
      <c r="O172" s="138" t="str">
        <f>IFERROR(1-SUMIF('Plant BD'!$H:$H,$A172,'Plant BD'!$AE:$AE)/($AA172+SUMIF('Plant BD'!$H:$H,$A172,'Plant BD'!$AE:$AE)),"")</f>
        <v/>
      </c>
      <c r="P172" s="138"/>
      <c r="Q172" s="139"/>
      <c r="R172" s="138" t="str">
        <f>IFERROR(1-SUMIF('Grid BD'!$H:$H,$A172,'Grid BD'!$AD:$AD)/($AA172+SUMIF('Grid BD'!$H:$H,$A172,'Grid BD'!$AD:$AD)),"")</f>
        <v/>
      </c>
      <c r="T172" s="139"/>
      <c r="U172" s="140" t="str">
        <f t="shared" si="9"/>
        <v/>
      </c>
      <c r="V172" s="140"/>
      <c r="W172" s="141" t="str">
        <f t="shared" si="10"/>
        <v/>
      </c>
      <c r="X172" s="133" t="str">
        <f>IFERROR(_xlfn.XLOOKUP($A172,'Raw Data'!$G:$G,'Raw Data'!AI:AI),"")</f>
        <v/>
      </c>
      <c r="Y172" s="133" t="str">
        <f>IFERROR(_xlfn.XLOOKUP($A172,'Raw Data'!$G:$G,'Raw Data'!AJ:AJ),"")</f>
        <v/>
      </c>
      <c r="Z172" s="133" t="str">
        <f>IFERROR(_xlfn.XLOOKUP($A172,'Raw Data'!$G:$G,'Raw Data'!AK:AK),"")</f>
        <v/>
      </c>
      <c r="AA172" s="133" t="str">
        <f>IFERROR(_xlfn.XLOOKUP($A172,'Raw Data'!$G:$G,'Raw Data'!AL:AL),"")</f>
        <v/>
      </c>
      <c r="AB172" s="133" t="str">
        <f>IFERROR(_xlfn.XLOOKUP($A172,'Raw Data'!$G:$G,'Raw Data'!H:H),"")</f>
        <v/>
      </c>
      <c r="AC172" s="142">
        <f>IFERROR(_xlfn.XLOOKUP($D172,'Modelling New'!$D:$D,'Modelling New'!P:P),"")</f>
        <v>4.8466666666666667</v>
      </c>
      <c r="AD172" s="133">
        <f>IFERROR(_xlfn.XLOOKUP($D172,'Modelling New'!$D:$D,'Modelling New'!$T:$T)*1000,"")</f>
        <v>27099.030800071054</v>
      </c>
      <c r="AE172" s="143">
        <f>IFERROR(_xlfn.XLOOKUP($D172,'Modelling New'!$D:$D,'Modelling New'!O:O),"")</f>
        <v>0.69708783670793795</v>
      </c>
      <c r="AF172" s="145">
        <f>IFERROR(_xlfn.XLOOKUP($D172,'Modelling New'!$D:$D,'Modelling New'!W:W),"")</f>
        <v>0.14077301591296412</v>
      </c>
      <c r="AG172" s="145">
        <f>IFERROR(_xlfn.XLOOKUP($D172,'Modelling New'!$D:$D,'Modelling New'!AE:AE),"")</f>
        <v>0.98040000000000005</v>
      </c>
      <c r="AH172" s="167">
        <f>IFERROR(_xlfn.XLOOKUP($D172,'Modelling New'!$D:$D,'Modelling New'!AF:AF),"")</f>
        <v>0.98</v>
      </c>
      <c r="AN172" s="144"/>
      <c r="AO172" s="141"/>
      <c r="AP172" s="141"/>
      <c r="AQ172" s="141"/>
      <c r="AR172" s="133">
        <f>'Basic Data'!$B$98/1000</f>
        <v>8.0208999999999993</v>
      </c>
    </row>
    <row r="173" spans="1:44" x14ac:dyDescent="0.3">
      <c r="A173" s="132">
        <f t="shared" si="11"/>
        <v>45916</v>
      </c>
      <c r="B173" s="133">
        <f>YEAR(Table13[[#This Row],[Date]])+IF(MONTH(Table13[[#This Row],[Date]])&gt;=4,1,0)</f>
        <v>2026</v>
      </c>
      <c r="C173" s="134">
        <f>YEAR(Table13[[#This Row],[Date]])</f>
        <v>2025</v>
      </c>
      <c r="D173" s="135">
        <f>Table13[[#This Row],[Date]]-DAY(Table13[[#This Row],[Date]])+1</f>
        <v>45901</v>
      </c>
      <c r="E173" s="134">
        <f t="shared" si="8"/>
        <v>30</v>
      </c>
      <c r="F173" s="136" t="str">
        <f>IFERROR(_xlfn.XLOOKUP($A173,'Raw Data'!$G:$G,'Raw Data'!$AM:$AM),"")</f>
        <v/>
      </c>
      <c r="G173" s="137" t="str">
        <f>IFERROR(_xlfn.XLOOKUP($A173,'Raw Data'!$G:$G,'Raw Data'!$AB:$AB),"")</f>
        <v/>
      </c>
      <c r="H173" s="137"/>
      <c r="I173" s="137" t="str">
        <f>IFERROR(_xlfn.XLOOKUP($A173,'Raw Data'!$G:$G,'Raw Data'!$AC:$AC),"")</f>
        <v/>
      </c>
      <c r="J173" s="137"/>
      <c r="K173" s="137" t="str">
        <f>IFERROR(_xlfn.XLOOKUP($A173,'Raw Data'!$G:$G,'Raw Data'!AD:AD),"")</f>
        <v/>
      </c>
      <c r="L173" s="137" t="str">
        <f>IFERROR(_xlfn.XLOOKUP($A173,'Raw Data'!$G:$G,'Raw Data'!AE:AE),"")</f>
        <v/>
      </c>
      <c r="M173" s="137" t="str">
        <f>IFERROR(_xlfn.XLOOKUP($A173,'Raw Data'!$G:$G,'Raw Data'!AF:AF),"")</f>
        <v/>
      </c>
      <c r="N173" s="137" t="str">
        <f>IFERROR(_xlfn.XLOOKUP($A173,'Raw Data'!$G:$G,'Raw Data'!AG:AG),"")</f>
        <v/>
      </c>
      <c r="O173" s="138" t="str">
        <f>IFERROR(1-SUMIF('Plant BD'!$H:$H,$A173,'Plant BD'!$AE:$AE)/($AA173+SUMIF('Plant BD'!$H:$H,$A173,'Plant BD'!$AE:$AE)),"")</f>
        <v/>
      </c>
      <c r="P173" s="138"/>
      <c r="Q173" s="139"/>
      <c r="R173" s="138" t="str">
        <f>IFERROR(1-SUMIF('Grid BD'!$H:$H,$A173,'Grid BD'!$AD:$AD)/($AA173+SUMIF('Grid BD'!$H:$H,$A173,'Grid BD'!$AD:$AD)),"")</f>
        <v/>
      </c>
      <c r="T173" s="139"/>
      <c r="U173" s="140" t="str">
        <f t="shared" si="9"/>
        <v/>
      </c>
      <c r="V173" s="140"/>
      <c r="W173" s="141" t="str">
        <f t="shared" si="10"/>
        <v/>
      </c>
      <c r="X173" s="133" t="str">
        <f>IFERROR(_xlfn.XLOOKUP($A173,'Raw Data'!$G:$G,'Raw Data'!AI:AI),"")</f>
        <v/>
      </c>
      <c r="Y173" s="133" t="str">
        <f>IFERROR(_xlfn.XLOOKUP($A173,'Raw Data'!$G:$G,'Raw Data'!AJ:AJ),"")</f>
        <v/>
      </c>
      <c r="Z173" s="133" t="str">
        <f>IFERROR(_xlfn.XLOOKUP($A173,'Raw Data'!$G:$G,'Raw Data'!AK:AK),"")</f>
        <v/>
      </c>
      <c r="AA173" s="133" t="str">
        <f>IFERROR(_xlfn.XLOOKUP($A173,'Raw Data'!$G:$G,'Raw Data'!AL:AL),"")</f>
        <v/>
      </c>
      <c r="AB173" s="133" t="str">
        <f>IFERROR(_xlfn.XLOOKUP($A173,'Raw Data'!$G:$G,'Raw Data'!H:H),"")</f>
        <v/>
      </c>
      <c r="AC173" s="142">
        <f>IFERROR(_xlfn.XLOOKUP($D173,'Modelling New'!$D:$D,'Modelling New'!P:P),"")</f>
        <v>4.8466666666666667</v>
      </c>
      <c r="AD173" s="133">
        <f>IFERROR(_xlfn.XLOOKUP($D173,'Modelling New'!$D:$D,'Modelling New'!$T:$T)*1000,"")</f>
        <v>27099.030800071054</v>
      </c>
      <c r="AE173" s="143">
        <f>IFERROR(_xlfn.XLOOKUP($D173,'Modelling New'!$D:$D,'Modelling New'!O:O),"")</f>
        <v>0.69708783670793795</v>
      </c>
      <c r="AF173" s="145">
        <f>IFERROR(_xlfn.XLOOKUP($D173,'Modelling New'!$D:$D,'Modelling New'!W:W),"")</f>
        <v>0.14077301591296412</v>
      </c>
      <c r="AG173" s="145">
        <f>IFERROR(_xlfn.XLOOKUP($D173,'Modelling New'!$D:$D,'Modelling New'!AE:AE),"")</f>
        <v>0.98040000000000005</v>
      </c>
      <c r="AH173" s="167">
        <f>IFERROR(_xlfn.XLOOKUP($D173,'Modelling New'!$D:$D,'Modelling New'!AF:AF),"")</f>
        <v>0.98</v>
      </c>
      <c r="AN173" s="144"/>
      <c r="AO173" s="141"/>
      <c r="AP173" s="141"/>
      <c r="AQ173" s="141"/>
      <c r="AR173" s="133">
        <f>'Basic Data'!$B$98/1000</f>
        <v>8.0208999999999993</v>
      </c>
    </row>
    <row r="174" spans="1:44" x14ac:dyDescent="0.3">
      <c r="A174" s="132">
        <f t="shared" si="11"/>
        <v>45917</v>
      </c>
      <c r="B174" s="133">
        <f>YEAR(Table13[[#This Row],[Date]])+IF(MONTH(Table13[[#This Row],[Date]])&gt;=4,1,0)</f>
        <v>2026</v>
      </c>
      <c r="C174" s="134">
        <f>YEAR(Table13[[#This Row],[Date]])</f>
        <v>2025</v>
      </c>
      <c r="D174" s="135">
        <f>Table13[[#This Row],[Date]]-DAY(Table13[[#This Row],[Date]])+1</f>
        <v>45901</v>
      </c>
      <c r="E174" s="134">
        <f t="shared" si="8"/>
        <v>30</v>
      </c>
      <c r="F174" s="136" t="str">
        <f>IFERROR(_xlfn.XLOOKUP($A174,'Raw Data'!$G:$G,'Raw Data'!$AM:$AM),"")</f>
        <v/>
      </c>
      <c r="G174" s="137" t="str">
        <f>IFERROR(_xlfn.XLOOKUP($A174,'Raw Data'!$G:$G,'Raw Data'!$AB:$AB),"")</f>
        <v/>
      </c>
      <c r="H174" s="137"/>
      <c r="I174" s="137" t="str">
        <f>IFERROR(_xlfn.XLOOKUP($A174,'Raw Data'!$G:$G,'Raw Data'!$AC:$AC),"")</f>
        <v/>
      </c>
      <c r="J174" s="137"/>
      <c r="K174" s="137" t="str">
        <f>IFERROR(_xlfn.XLOOKUP($A174,'Raw Data'!$G:$G,'Raw Data'!AD:AD),"")</f>
        <v/>
      </c>
      <c r="L174" s="137" t="str">
        <f>IFERROR(_xlfn.XLOOKUP($A174,'Raw Data'!$G:$G,'Raw Data'!AE:AE),"")</f>
        <v/>
      </c>
      <c r="M174" s="137" t="str">
        <f>IFERROR(_xlfn.XLOOKUP($A174,'Raw Data'!$G:$G,'Raw Data'!AF:AF),"")</f>
        <v/>
      </c>
      <c r="N174" s="137" t="str">
        <f>IFERROR(_xlfn.XLOOKUP($A174,'Raw Data'!$G:$G,'Raw Data'!AG:AG),"")</f>
        <v/>
      </c>
      <c r="O174" s="138" t="str">
        <f>IFERROR(1-SUMIF('Plant BD'!$H:$H,$A174,'Plant BD'!$AE:$AE)/($AA174+SUMIF('Plant BD'!$H:$H,$A174,'Plant BD'!$AE:$AE)),"")</f>
        <v/>
      </c>
      <c r="P174" s="138"/>
      <c r="Q174" s="139"/>
      <c r="R174" s="138" t="str">
        <f>IFERROR(1-SUMIF('Grid BD'!$H:$H,$A174,'Grid BD'!$AD:$AD)/($AA174+SUMIF('Grid BD'!$H:$H,$A174,'Grid BD'!$AD:$AD)),"")</f>
        <v/>
      </c>
      <c r="T174" s="139"/>
      <c r="U174" s="140" t="str">
        <f t="shared" si="9"/>
        <v/>
      </c>
      <c r="V174" s="140"/>
      <c r="W174" s="141" t="str">
        <f t="shared" si="10"/>
        <v/>
      </c>
      <c r="X174" s="133" t="str">
        <f>IFERROR(_xlfn.XLOOKUP($A174,'Raw Data'!$G:$G,'Raw Data'!AI:AI),"")</f>
        <v/>
      </c>
      <c r="Y174" s="133" t="str">
        <f>IFERROR(_xlfn.XLOOKUP($A174,'Raw Data'!$G:$G,'Raw Data'!AJ:AJ),"")</f>
        <v/>
      </c>
      <c r="Z174" s="133" t="str">
        <f>IFERROR(_xlfn.XLOOKUP($A174,'Raw Data'!$G:$G,'Raw Data'!AK:AK),"")</f>
        <v/>
      </c>
      <c r="AA174" s="133" t="str">
        <f>IFERROR(_xlfn.XLOOKUP($A174,'Raw Data'!$G:$G,'Raw Data'!AL:AL),"")</f>
        <v/>
      </c>
      <c r="AB174" s="133" t="str">
        <f>IFERROR(_xlfn.XLOOKUP($A174,'Raw Data'!$G:$G,'Raw Data'!H:H),"")</f>
        <v/>
      </c>
      <c r="AC174" s="142">
        <f>IFERROR(_xlfn.XLOOKUP($D174,'Modelling New'!$D:$D,'Modelling New'!P:P),"")</f>
        <v>4.8466666666666667</v>
      </c>
      <c r="AD174" s="133">
        <f>IFERROR(_xlfn.XLOOKUP($D174,'Modelling New'!$D:$D,'Modelling New'!$T:$T)*1000,"")</f>
        <v>27099.030800071054</v>
      </c>
      <c r="AE174" s="143">
        <f>IFERROR(_xlfn.XLOOKUP($D174,'Modelling New'!$D:$D,'Modelling New'!O:O),"")</f>
        <v>0.69708783670793795</v>
      </c>
      <c r="AF174" s="145">
        <f>IFERROR(_xlfn.XLOOKUP($D174,'Modelling New'!$D:$D,'Modelling New'!W:W),"")</f>
        <v>0.14077301591296412</v>
      </c>
      <c r="AG174" s="145">
        <f>IFERROR(_xlfn.XLOOKUP($D174,'Modelling New'!$D:$D,'Modelling New'!AE:AE),"")</f>
        <v>0.98040000000000005</v>
      </c>
      <c r="AH174" s="167">
        <f>IFERROR(_xlfn.XLOOKUP($D174,'Modelling New'!$D:$D,'Modelling New'!AF:AF),"")</f>
        <v>0.98</v>
      </c>
      <c r="AN174" s="144"/>
      <c r="AO174" s="141"/>
      <c r="AP174" s="141"/>
      <c r="AQ174" s="141"/>
      <c r="AR174" s="133">
        <f>'Basic Data'!$B$98/1000</f>
        <v>8.0208999999999993</v>
      </c>
    </row>
    <row r="175" spans="1:44" x14ac:dyDescent="0.3">
      <c r="A175" s="132">
        <f t="shared" si="11"/>
        <v>45918</v>
      </c>
      <c r="B175" s="133">
        <f>YEAR(Table13[[#This Row],[Date]])+IF(MONTH(Table13[[#This Row],[Date]])&gt;=4,1,0)</f>
        <v>2026</v>
      </c>
      <c r="C175" s="134">
        <f>YEAR(Table13[[#This Row],[Date]])</f>
        <v>2025</v>
      </c>
      <c r="D175" s="135">
        <f>Table13[[#This Row],[Date]]-DAY(Table13[[#This Row],[Date]])+1</f>
        <v>45901</v>
      </c>
      <c r="E175" s="134">
        <f t="shared" si="8"/>
        <v>30</v>
      </c>
      <c r="F175" s="136" t="str">
        <f>IFERROR(_xlfn.XLOOKUP($A175,'Raw Data'!$G:$G,'Raw Data'!$AM:$AM),"")</f>
        <v/>
      </c>
      <c r="G175" s="137" t="str">
        <f>IFERROR(_xlfn.XLOOKUP($A175,'Raw Data'!$G:$G,'Raw Data'!$AB:$AB),"")</f>
        <v/>
      </c>
      <c r="H175" s="137"/>
      <c r="I175" s="137" t="str">
        <f>IFERROR(_xlfn.XLOOKUP($A175,'Raw Data'!$G:$G,'Raw Data'!$AC:$AC),"")</f>
        <v/>
      </c>
      <c r="J175" s="137"/>
      <c r="K175" s="137" t="str">
        <f>IFERROR(_xlfn.XLOOKUP($A175,'Raw Data'!$G:$G,'Raw Data'!AD:AD),"")</f>
        <v/>
      </c>
      <c r="L175" s="137" t="str">
        <f>IFERROR(_xlfn.XLOOKUP($A175,'Raw Data'!$G:$G,'Raw Data'!AE:AE),"")</f>
        <v/>
      </c>
      <c r="M175" s="137" t="str">
        <f>IFERROR(_xlfn.XLOOKUP($A175,'Raw Data'!$G:$G,'Raw Data'!AF:AF),"")</f>
        <v/>
      </c>
      <c r="N175" s="137" t="str">
        <f>IFERROR(_xlfn.XLOOKUP($A175,'Raw Data'!$G:$G,'Raw Data'!AG:AG),"")</f>
        <v/>
      </c>
      <c r="O175" s="138" t="str">
        <f>IFERROR(1-SUMIF('Plant BD'!$H:$H,$A175,'Plant BD'!$AE:$AE)/($AA175+SUMIF('Plant BD'!$H:$H,$A175,'Plant BD'!$AE:$AE)),"")</f>
        <v/>
      </c>
      <c r="P175" s="138"/>
      <c r="Q175" s="139"/>
      <c r="R175" s="138" t="str">
        <f>IFERROR(1-SUMIF('Grid BD'!$H:$H,$A175,'Grid BD'!$AD:$AD)/($AA175+SUMIF('Grid BD'!$H:$H,$A175,'Grid BD'!$AD:$AD)),"")</f>
        <v/>
      </c>
      <c r="T175" s="139"/>
      <c r="U175" s="140" t="str">
        <f t="shared" si="9"/>
        <v/>
      </c>
      <c r="V175" s="140"/>
      <c r="W175" s="141" t="str">
        <f t="shared" si="10"/>
        <v/>
      </c>
      <c r="X175" s="133" t="str">
        <f>IFERROR(_xlfn.XLOOKUP($A175,'Raw Data'!$G:$G,'Raw Data'!AI:AI),"")</f>
        <v/>
      </c>
      <c r="Y175" s="133" t="str">
        <f>IFERROR(_xlfn.XLOOKUP($A175,'Raw Data'!$G:$G,'Raw Data'!AJ:AJ),"")</f>
        <v/>
      </c>
      <c r="Z175" s="133" t="str">
        <f>IFERROR(_xlfn.XLOOKUP($A175,'Raw Data'!$G:$G,'Raw Data'!AK:AK),"")</f>
        <v/>
      </c>
      <c r="AA175" s="133" t="str">
        <f>IFERROR(_xlfn.XLOOKUP($A175,'Raw Data'!$G:$G,'Raw Data'!AL:AL),"")</f>
        <v/>
      </c>
      <c r="AB175" s="133" t="str">
        <f>IFERROR(_xlfn.XLOOKUP($A175,'Raw Data'!$G:$G,'Raw Data'!H:H),"")</f>
        <v/>
      </c>
      <c r="AC175" s="142">
        <f>IFERROR(_xlfn.XLOOKUP($D175,'Modelling New'!$D:$D,'Modelling New'!P:P),"")</f>
        <v>4.8466666666666667</v>
      </c>
      <c r="AD175" s="133">
        <f>IFERROR(_xlfn.XLOOKUP($D175,'Modelling New'!$D:$D,'Modelling New'!$T:$T)*1000,"")</f>
        <v>27099.030800071054</v>
      </c>
      <c r="AE175" s="143">
        <f>IFERROR(_xlfn.XLOOKUP($D175,'Modelling New'!$D:$D,'Modelling New'!O:O),"")</f>
        <v>0.69708783670793795</v>
      </c>
      <c r="AF175" s="145">
        <f>IFERROR(_xlfn.XLOOKUP($D175,'Modelling New'!$D:$D,'Modelling New'!W:W),"")</f>
        <v>0.14077301591296412</v>
      </c>
      <c r="AG175" s="145">
        <f>IFERROR(_xlfn.XLOOKUP($D175,'Modelling New'!$D:$D,'Modelling New'!AE:AE),"")</f>
        <v>0.98040000000000005</v>
      </c>
      <c r="AH175" s="167">
        <f>IFERROR(_xlfn.XLOOKUP($D175,'Modelling New'!$D:$D,'Modelling New'!AF:AF),"")</f>
        <v>0.98</v>
      </c>
      <c r="AN175" s="144"/>
      <c r="AO175" s="141"/>
      <c r="AP175" s="141"/>
      <c r="AQ175" s="141"/>
      <c r="AR175" s="133">
        <f>'Basic Data'!$B$98/1000</f>
        <v>8.0208999999999993</v>
      </c>
    </row>
    <row r="176" spans="1:44" x14ac:dyDescent="0.3">
      <c r="A176" s="132">
        <f t="shared" si="11"/>
        <v>45919</v>
      </c>
      <c r="B176" s="133">
        <f>YEAR(Table13[[#This Row],[Date]])+IF(MONTH(Table13[[#This Row],[Date]])&gt;=4,1,0)</f>
        <v>2026</v>
      </c>
      <c r="C176" s="134">
        <f>YEAR(Table13[[#This Row],[Date]])</f>
        <v>2025</v>
      </c>
      <c r="D176" s="135">
        <f>Table13[[#This Row],[Date]]-DAY(Table13[[#This Row],[Date]])+1</f>
        <v>45901</v>
      </c>
      <c r="E176" s="134">
        <f t="shared" si="8"/>
        <v>30</v>
      </c>
      <c r="F176" s="136" t="str">
        <f>IFERROR(_xlfn.XLOOKUP($A176,'Raw Data'!$G:$G,'Raw Data'!$AM:$AM),"")</f>
        <v/>
      </c>
      <c r="G176" s="137" t="str">
        <f>IFERROR(_xlfn.XLOOKUP($A176,'Raw Data'!$G:$G,'Raw Data'!$AB:$AB),"")</f>
        <v/>
      </c>
      <c r="H176" s="137"/>
      <c r="I176" s="137" t="str">
        <f>IFERROR(_xlfn.XLOOKUP($A176,'Raw Data'!$G:$G,'Raw Data'!$AC:$AC),"")</f>
        <v/>
      </c>
      <c r="J176" s="137"/>
      <c r="K176" s="137" t="str">
        <f>IFERROR(_xlfn.XLOOKUP($A176,'Raw Data'!$G:$G,'Raw Data'!AD:AD),"")</f>
        <v/>
      </c>
      <c r="L176" s="137" t="str">
        <f>IFERROR(_xlfn.XLOOKUP($A176,'Raw Data'!$G:$G,'Raw Data'!AE:AE),"")</f>
        <v/>
      </c>
      <c r="M176" s="137" t="str">
        <f>IFERROR(_xlfn.XLOOKUP($A176,'Raw Data'!$G:$G,'Raw Data'!AF:AF),"")</f>
        <v/>
      </c>
      <c r="N176" s="137" t="str">
        <f>IFERROR(_xlfn.XLOOKUP($A176,'Raw Data'!$G:$G,'Raw Data'!AG:AG),"")</f>
        <v/>
      </c>
      <c r="O176" s="138" t="str">
        <f>IFERROR(1-SUMIF('Plant BD'!$H:$H,$A176,'Plant BD'!$AE:$AE)/($AA176+SUMIF('Plant BD'!$H:$H,$A176,'Plant BD'!$AE:$AE)),"")</f>
        <v/>
      </c>
      <c r="P176" s="138"/>
      <c r="Q176" s="139"/>
      <c r="R176" s="138" t="str">
        <f>IFERROR(1-SUMIF('Grid BD'!$H:$H,$A176,'Grid BD'!$AD:$AD)/($AA176+SUMIF('Grid BD'!$H:$H,$A176,'Grid BD'!$AD:$AD)),"")</f>
        <v/>
      </c>
      <c r="T176" s="139"/>
      <c r="U176" s="140" t="str">
        <f t="shared" si="9"/>
        <v/>
      </c>
      <c r="V176" s="140"/>
      <c r="W176" s="141" t="str">
        <f t="shared" si="10"/>
        <v/>
      </c>
      <c r="X176" s="133" t="str">
        <f>IFERROR(_xlfn.XLOOKUP($A176,'Raw Data'!$G:$G,'Raw Data'!AI:AI),"")</f>
        <v/>
      </c>
      <c r="Y176" s="133" t="str">
        <f>IFERROR(_xlfn.XLOOKUP($A176,'Raw Data'!$G:$G,'Raw Data'!AJ:AJ),"")</f>
        <v/>
      </c>
      <c r="Z176" s="133" t="str">
        <f>IFERROR(_xlfn.XLOOKUP($A176,'Raw Data'!$G:$G,'Raw Data'!AK:AK),"")</f>
        <v/>
      </c>
      <c r="AA176" s="133" t="str">
        <f>IFERROR(_xlfn.XLOOKUP($A176,'Raw Data'!$G:$G,'Raw Data'!AL:AL),"")</f>
        <v/>
      </c>
      <c r="AB176" s="133" t="str">
        <f>IFERROR(_xlfn.XLOOKUP($A176,'Raw Data'!$G:$G,'Raw Data'!H:H),"")</f>
        <v/>
      </c>
      <c r="AC176" s="142">
        <f>IFERROR(_xlfn.XLOOKUP($D176,'Modelling New'!$D:$D,'Modelling New'!P:P),"")</f>
        <v>4.8466666666666667</v>
      </c>
      <c r="AD176" s="133">
        <f>IFERROR(_xlfn.XLOOKUP($D176,'Modelling New'!$D:$D,'Modelling New'!$T:$T)*1000,"")</f>
        <v>27099.030800071054</v>
      </c>
      <c r="AE176" s="143">
        <f>IFERROR(_xlfn.XLOOKUP($D176,'Modelling New'!$D:$D,'Modelling New'!O:O),"")</f>
        <v>0.69708783670793795</v>
      </c>
      <c r="AF176" s="145">
        <f>IFERROR(_xlfn.XLOOKUP($D176,'Modelling New'!$D:$D,'Modelling New'!W:W),"")</f>
        <v>0.14077301591296412</v>
      </c>
      <c r="AG176" s="145">
        <f>IFERROR(_xlfn.XLOOKUP($D176,'Modelling New'!$D:$D,'Modelling New'!AE:AE),"")</f>
        <v>0.98040000000000005</v>
      </c>
      <c r="AH176" s="167">
        <f>IFERROR(_xlfn.XLOOKUP($D176,'Modelling New'!$D:$D,'Modelling New'!AF:AF),"")</f>
        <v>0.98</v>
      </c>
      <c r="AN176" s="144"/>
      <c r="AO176" s="141"/>
      <c r="AP176" s="141"/>
      <c r="AQ176" s="141"/>
      <c r="AR176" s="133">
        <f>'Basic Data'!$B$98/1000</f>
        <v>8.0208999999999993</v>
      </c>
    </row>
    <row r="177" spans="1:44" x14ac:dyDescent="0.3">
      <c r="A177" s="132">
        <f t="shared" si="11"/>
        <v>45920</v>
      </c>
      <c r="B177" s="133">
        <f>YEAR(Table13[[#This Row],[Date]])+IF(MONTH(Table13[[#This Row],[Date]])&gt;=4,1,0)</f>
        <v>2026</v>
      </c>
      <c r="C177" s="134">
        <f>YEAR(Table13[[#This Row],[Date]])</f>
        <v>2025</v>
      </c>
      <c r="D177" s="135">
        <f>Table13[[#This Row],[Date]]-DAY(Table13[[#This Row],[Date]])+1</f>
        <v>45901</v>
      </c>
      <c r="E177" s="134">
        <f t="shared" si="8"/>
        <v>30</v>
      </c>
      <c r="F177" s="136" t="str">
        <f>IFERROR(_xlfn.XLOOKUP($A177,'Raw Data'!$G:$G,'Raw Data'!$AM:$AM),"")</f>
        <v/>
      </c>
      <c r="G177" s="137" t="str">
        <f>IFERROR(_xlfn.XLOOKUP($A177,'Raw Data'!$G:$G,'Raw Data'!$AB:$AB),"")</f>
        <v/>
      </c>
      <c r="H177" s="137"/>
      <c r="I177" s="137" t="str">
        <f>IFERROR(_xlfn.XLOOKUP($A177,'Raw Data'!$G:$G,'Raw Data'!$AC:$AC),"")</f>
        <v/>
      </c>
      <c r="J177" s="137"/>
      <c r="K177" s="137" t="str">
        <f>IFERROR(_xlfn.XLOOKUP($A177,'Raw Data'!$G:$G,'Raw Data'!AD:AD),"")</f>
        <v/>
      </c>
      <c r="L177" s="137" t="str">
        <f>IFERROR(_xlfn.XLOOKUP($A177,'Raw Data'!$G:$G,'Raw Data'!AE:AE),"")</f>
        <v/>
      </c>
      <c r="M177" s="137" t="str">
        <f>IFERROR(_xlfn.XLOOKUP($A177,'Raw Data'!$G:$G,'Raw Data'!AF:AF),"")</f>
        <v/>
      </c>
      <c r="N177" s="137" t="str">
        <f>IFERROR(_xlfn.XLOOKUP($A177,'Raw Data'!$G:$G,'Raw Data'!AG:AG),"")</f>
        <v/>
      </c>
      <c r="O177" s="138" t="str">
        <f>IFERROR(1-SUMIF('Plant BD'!$H:$H,$A177,'Plant BD'!$AE:$AE)/($AA177+SUMIF('Plant BD'!$H:$H,$A177,'Plant BD'!$AE:$AE)),"")</f>
        <v/>
      </c>
      <c r="P177" s="138"/>
      <c r="Q177" s="139"/>
      <c r="R177" s="138" t="str">
        <f>IFERROR(1-SUMIF('Grid BD'!$H:$H,$A177,'Grid BD'!$AD:$AD)/($AA177+SUMIF('Grid BD'!$H:$H,$A177,'Grid BD'!$AD:$AD)),"")</f>
        <v/>
      </c>
      <c r="T177" s="139"/>
      <c r="U177" s="140" t="str">
        <f t="shared" si="9"/>
        <v/>
      </c>
      <c r="V177" s="140"/>
      <c r="W177" s="141" t="str">
        <f t="shared" si="10"/>
        <v/>
      </c>
      <c r="X177" s="133" t="str">
        <f>IFERROR(_xlfn.XLOOKUP($A177,'Raw Data'!$G:$G,'Raw Data'!AI:AI),"")</f>
        <v/>
      </c>
      <c r="Y177" s="133" t="str">
        <f>IFERROR(_xlfn.XLOOKUP($A177,'Raw Data'!$G:$G,'Raw Data'!AJ:AJ),"")</f>
        <v/>
      </c>
      <c r="Z177" s="133" t="str">
        <f>IFERROR(_xlfn.XLOOKUP($A177,'Raw Data'!$G:$G,'Raw Data'!AK:AK),"")</f>
        <v/>
      </c>
      <c r="AA177" s="133" t="str">
        <f>IFERROR(_xlfn.XLOOKUP($A177,'Raw Data'!$G:$G,'Raw Data'!AL:AL),"")</f>
        <v/>
      </c>
      <c r="AB177" s="133" t="str">
        <f>IFERROR(_xlfn.XLOOKUP($A177,'Raw Data'!$G:$G,'Raw Data'!H:H),"")</f>
        <v/>
      </c>
      <c r="AC177" s="142">
        <f>IFERROR(_xlfn.XLOOKUP($D177,'Modelling New'!$D:$D,'Modelling New'!P:P),"")</f>
        <v>4.8466666666666667</v>
      </c>
      <c r="AD177" s="133">
        <f>IFERROR(_xlfn.XLOOKUP($D177,'Modelling New'!$D:$D,'Modelling New'!$T:$T)*1000,"")</f>
        <v>27099.030800071054</v>
      </c>
      <c r="AE177" s="143">
        <f>IFERROR(_xlfn.XLOOKUP($D177,'Modelling New'!$D:$D,'Modelling New'!O:O),"")</f>
        <v>0.69708783670793795</v>
      </c>
      <c r="AF177" s="145">
        <f>IFERROR(_xlfn.XLOOKUP($D177,'Modelling New'!$D:$D,'Modelling New'!W:W),"")</f>
        <v>0.14077301591296412</v>
      </c>
      <c r="AG177" s="145">
        <f>IFERROR(_xlfn.XLOOKUP($D177,'Modelling New'!$D:$D,'Modelling New'!AE:AE),"")</f>
        <v>0.98040000000000005</v>
      </c>
      <c r="AH177" s="167">
        <f>IFERROR(_xlfn.XLOOKUP($D177,'Modelling New'!$D:$D,'Modelling New'!AF:AF),"")</f>
        <v>0.98</v>
      </c>
      <c r="AN177" s="144"/>
      <c r="AO177" s="141"/>
      <c r="AP177" s="141"/>
      <c r="AQ177" s="141"/>
      <c r="AR177" s="133">
        <f>'Basic Data'!$B$98/1000</f>
        <v>8.0208999999999993</v>
      </c>
    </row>
    <row r="178" spans="1:44" x14ac:dyDescent="0.3">
      <c r="A178" s="132">
        <f t="shared" si="11"/>
        <v>45921</v>
      </c>
      <c r="B178" s="133">
        <f>YEAR(Table13[[#This Row],[Date]])+IF(MONTH(Table13[[#This Row],[Date]])&gt;=4,1,0)</f>
        <v>2026</v>
      </c>
      <c r="C178" s="134">
        <f>YEAR(Table13[[#This Row],[Date]])</f>
        <v>2025</v>
      </c>
      <c r="D178" s="135">
        <f>Table13[[#This Row],[Date]]-DAY(Table13[[#This Row],[Date]])+1</f>
        <v>45901</v>
      </c>
      <c r="E178" s="134">
        <f t="shared" si="8"/>
        <v>30</v>
      </c>
      <c r="F178" s="136" t="str">
        <f>IFERROR(_xlfn.XLOOKUP($A178,'Raw Data'!$G:$G,'Raw Data'!$AM:$AM),"")</f>
        <v/>
      </c>
      <c r="G178" s="137" t="str">
        <f>IFERROR(_xlfn.XLOOKUP($A178,'Raw Data'!$G:$G,'Raw Data'!$AB:$AB),"")</f>
        <v/>
      </c>
      <c r="H178" s="137"/>
      <c r="I178" s="137" t="str">
        <f>IFERROR(_xlfn.XLOOKUP($A178,'Raw Data'!$G:$G,'Raw Data'!$AC:$AC),"")</f>
        <v/>
      </c>
      <c r="J178" s="137"/>
      <c r="K178" s="137" t="str">
        <f>IFERROR(_xlfn.XLOOKUP($A178,'Raw Data'!$G:$G,'Raw Data'!AD:AD),"")</f>
        <v/>
      </c>
      <c r="L178" s="137" t="str">
        <f>IFERROR(_xlfn.XLOOKUP($A178,'Raw Data'!$G:$G,'Raw Data'!AE:AE),"")</f>
        <v/>
      </c>
      <c r="M178" s="137" t="str">
        <f>IFERROR(_xlfn.XLOOKUP($A178,'Raw Data'!$G:$G,'Raw Data'!AF:AF),"")</f>
        <v/>
      </c>
      <c r="N178" s="137" t="str">
        <f>IFERROR(_xlfn.XLOOKUP($A178,'Raw Data'!$G:$G,'Raw Data'!AG:AG),"")</f>
        <v/>
      </c>
      <c r="O178" s="138" t="str">
        <f>IFERROR(1-SUMIF('Plant BD'!$H:$H,$A178,'Plant BD'!$AE:$AE)/($AA178+SUMIF('Plant BD'!$H:$H,$A178,'Plant BD'!$AE:$AE)),"")</f>
        <v/>
      </c>
      <c r="P178" s="138"/>
      <c r="Q178" s="139"/>
      <c r="R178" s="138" t="str">
        <f>IFERROR(1-SUMIF('Grid BD'!$H:$H,$A178,'Grid BD'!$AD:$AD)/($AA178+SUMIF('Grid BD'!$H:$H,$A178,'Grid BD'!$AD:$AD)),"")</f>
        <v/>
      </c>
      <c r="T178" s="139"/>
      <c r="U178" s="140" t="str">
        <f t="shared" si="9"/>
        <v/>
      </c>
      <c r="V178" s="140"/>
      <c r="W178" s="141" t="str">
        <f t="shared" si="10"/>
        <v/>
      </c>
      <c r="X178" s="133" t="str">
        <f>IFERROR(_xlfn.XLOOKUP($A178,'Raw Data'!$G:$G,'Raw Data'!AI:AI),"")</f>
        <v/>
      </c>
      <c r="Y178" s="133" t="str">
        <f>IFERROR(_xlfn.XLOOKUP($A178,'Raw Data'!$G:$G,'Raw Data'!AJ:AJ),"")</f>
        <v/>
      </c>
      <c r="Z178" s="133" t="str">
        <f>IFERROR(_xlfn.XLOOKUP($A178,'Raw Data'!$G:$G,'Raw Data'!AK:AK),"")</f>
        <v/>
      </c>
      <c r="AA178" s="133" t="str">
        <f>IFERROR(_xlfn.XLOOKUP($A178,'Raw Data'!$G:$G,'Raw Data'!AL:AL),"")</f>
        <v/>
      </c>
      <c r="AB178" s="133" t="str">
        <f>IFERROR(_xlfn.XLOOKUP($A178,'Raw Data'!$G:$G,'Raw Data'!H:H),"")</f>
        <v/>
      </c>
      <c r="AC178" s="142">
        <f>IFERROR(_xlfn.XLOOKUP($D178,'Modelling New'!$D:$D,'Modelling New'!P:P),"")</f>
        <v>4.8466666666666667</v>
      </c>
      <c r="AD178" s="133">
        <f>IFERROR(_xlfn.XLOOKUP($D178,'Modelling New'!$D:$D,'Modelling New'!$T:$T)*1000,"")</f>
        <v>27099.030800071054</v>
      </c>
      <c r="AE178" s="143">
        <f>IFERROR(_xlfn.XLOOKUP($D178,'Modelling New'!$D:$D,'Modelling New'!O:O),"")</f>
        <v>0.69708783670793795</v>
      </c>
      <c r="AF178" s="145">
        <f>IFERROR(_xlfn.XLOOKUP($D178,'Modelling New'!$D:$D,'Modelling New'!W:W),"")</f>
        <v>0.14077301591296412</v>
      </c>
      <c r="AG178" s="145">
        <f>IFERROR(_xlfn.XLOOKUP($D178,'Modelling New'!$D:$D,'Modelling New'!AE:AE),"")</f>
        <v>0.98040000000000005</v>
      </c>
      <c r="AH178" s="167">
        <f>IFERROR(_xlfn.XLOOKUP($D178,'Modelling New'!$D:$D,'Modelling New'!AF:AF),"")</f>
        <v>0.98</v>
      </c>
      <c r="AN178" s="144"/>
      <c r="AO178" s="141"/>
      <c r="AP178" s="141"/>
      <c r="AQ178" s="141"/>
      <c r="AR178" s="133">
        <f>'Basic Data'!$B$98/1000</f>
        <v>8.0208999999999993</v>
      </c>
    </row>
    <row r="179" spans="1:44" x14ac:dyDescent="0.3">
      <c r="A179" s="132">
        <f t="shared" si="11"/>
        <v>45922</v>
      </c>
      <c r="B179" s="133">
        <f>YEAR(Table13[[#This Row],[Date]])+IF(MONTH(Table13[[#This Row],[Date]])&gt;=4,1,0)</f>
        <v>2026</v>
      </c>
      <c r="C179" s="134">
        <f>YEAR(Table13[[#This Row],[Date]])</f>
        <v>2025</v>
      </c>
      <c r="D179" s="135">
        <f>Table13[[#This Row],[Date]]-DAY(Table13[[#This Row],[Date]])+1</f>
        <v>45901</v>
      </c>
      <c r="E179" s="134">
        <f t="shared" si="8"/>
        <v>30</v>
      </c>
      <c r="F179" s="136" t="str">
        <f>IFERROR(_xlfn.XLOOKUP($A179,'Raw Data'!$G:$G,'Raw Data'!$AM:$AM),"")</f>
        <v/>
      </c>
      <c r="G179" s="137" t="str">
        <f>IFERROR(_xlfn.XLOOKUP($A179,'Raw Data'!$G:$G,'Raw Data'!$AB:$AB),"")</f>
        <v/>
      </c>
      <c r="H179" s="137"/>
      <c r="I179" s="137" t="str">
        <f>IFERROR(_xlfn.XLOOKUP($A179,'Raw Data'!$G:$G,'Raw Data'!$AC:$AC),"")</f>
        <v/>
      </c>
      <c r="J179" s="137"/>
      <c r="K179" s="137" t="str">
        <f>IFERROR(_xlfn.XLOOKUP($A179,'Raw Data'!$G:$G,'Raw Data'!AD:AD),"")</f>
        <v/>
      </c>
      <c r="L179" s="137" t="str">
        <f>IFERROR(_xlfn.XLOOKUP($A179,'Raw Data'!$G:$G,'Raw Data'!AE:AE),"")</f>
        <v/>
      </c>
      <c r="M179" s="137" t="str">
        <f>IFERROR(_xlfn.XLOOKUP($A179,'Raw Data'!$G:$G,'Raw Data'!AF:AF),"")</f>
        <v/>
      </c>
      <c r="N179" s="137" t="str">
        <f>IFERROR(_xlfn.XLOOKUP($A179,'Raw Data'!$G:$G,'Raw Data'!AG:AG),"")</f>
        <v/>
      </c>
      <c r="O179" s="138" t="str">
        <f>IFERROR(1-SUMIF('Plant BD'!$H:$H,$A179,'Plant BD'!$AE:$AE)/($AA179+SUMIF('Plant BD'!$H:$H,$A179,'Plant BD'!$AE:$AE)),"")</f>
        <v/>
      </c>
      <c r="P179" s="138"/>
      <c r="Q179" s="139"/>
      <c r="R179" s="138" t="str">
        <f>IFERROR(1-SUMIF('Grid BD'!$H:$H,$A179,'Grid BD'!$AD:$AD)/($AA179+SUMIF('Grid BD'!$H:$H,$A179,'Grid BD'!$AD:$AD)),"")</f>
        <v/>
      </c>
      <c r="T179" s="139"/>
      <c r="U179" s="140" t="str">
        <f t="shared" si="9"/>
        <v/>
      </c>
      <c r="V179" s="140"/>
      <c r="W179" s="141" t="str">
        <f t="shared" si="10"/>
        <v/>
      </c>
      <c r="X179" s="133" t="str">
        <f>IFERROR(_xlfn.XLOOKUP($A179,'Raw Data'!$G:$G,'Raw Data'!AI:AI),"")</f>
        <v/>
      </c>
      <c r="Y179" s="133" t="str">
        <f>IFERROR(_xlfn.XLOOKUP($A179,'Raw Data'!$G:$G,'Raw Data'!AJ:AJ),"")</f>
        <v/>
      </c>
      <c r="Z179" s="133" t="str">
        <f>IFERROR(_xlfn.XLOOKUP($A179,'Raw Data'!$G:$G,'Raw Data'!AK:AK),"")</f>
        <v/>
      </c>
      <c r="AA179" s="133" t="str">
        <f>IFERROR(_xlfn.XLOOKUP($A179,'Raw Data'!$G:$G,'Raw Data'!AL:AL),"")</f>
        <v/>
      </c>
      <c r="AB179" s="133" t="str">
        <f>IFERROR(_xlfn.XLOOKUP($A179,'Raw Data'!$G:$G,'Raw Data'!H:H),"")</f>
        <v/>
      </c>
      <c r="AC179" s="142">
        <f>IFERROR(_xlfn.XLOOKUP($D179,'Modelling New'!$D:$D,'Modelling New'!P:P),"")</f>
        <v>4.8466666666666667</v>
      </c>
      <c r="AD179" s="133">
        <f>IFERROR(_xlfn.XLOOKUP($D179,'Modelling New'!$D:$D,'Modelling New'!$T:$T)*1000,"")</f>
        <v>27099.030800071054</v>
      </c>
      <c r="AE179" s="143">
        <f>IFERROR(_xlfn.XLOOKUP($D179,'Modelling New'!$D:$D,'Modelling New'!O:O),"")</f>
        <v>0.69708783670793795</v>
      </c>
      <c r="AF179" s="145">
        <f>IFERROR(_xlfn.XLOOKUP($D179,'Modelling New'!$D:$D,'Modelling New'!W:W),"")</f>
        <v>0.14077301591296412</v>
      </c>
      <c r="AG179" s="145">
        <f>IFERROR(_xlfn.XLOOKUP($D179,'Modelling New'!$D:$D,'Modelling New'!AE:AE),"")</f>
        <v>0.98040000000000005</v>
      </c>
      <c r="AH179" s="167">
        <f>IFERROR(_xlfn.XLOOKUP($D179,'Modelling New'!$D:$D,'Modelling New'!AF:AF),"")</f>
        <v>0.98</v>
      </c>
      <c r="AN179" s="144"/>
      <c r="AO179" s="141"/>
      <c r="AP179" s="141"/>
      <c r="AQ179" s="141"/>
      <c r="AR179" s="133">
        <f>'Basic Data'!$B$98/1000</f>
        <v>8.0208999999999993</v>
      </c>
    </row>
    <row r="180" spans="1:44" x14ac:dyDescent="0.3">
      <c r="A180" s="132">
        <f t="shared" si="11"/>
        <v>45923</v>
      </c>
      <c r="B180" s="133">
        <f>YEAR(Table13[[#This Row],[Date]])+IF(MONTH(Table13[[#This Row],[Date]])&gt;=4,1,0)</f>
        <v>2026</v>
      </c>
      <c r="C180" s="134">
        <f>YEAR(Table13[[#This Row],[Date]])</f>
        <v>2025</v>
      </c>
      <c r="D180" s="135">
        <f>Table13[[#This Row],[Date]]-DAY(Table13[[#This Row],[Date]])+1</f>
        <v>45901</v>
      </c>
      <c r="E180" s="134">
        <f t="shared" si="8"/>
        <v>30</v>
      </c>
      <c r="F180" s="136" t="str">
        <f>IFERROR(_xlfn.XLOOKUP($A180,'Raw Data'!$G:$G,'Raw Data'!$AM:$AM),"")</f>
        <v/>
      </c>
      <c r="G180" s="137" t="str">
        <f>IFERROR(_xlfn.XLOOKUP($A180,'Raw Data'!$G:$G,'Raw Data'!$AB:$AB),"")</f>
        <v/>
      </c>
      <c r="H180" s="137"/>
      <c r="I180" s="137" t="str">
        <f>IFERROR(_xlfn.XLOOKUP($A180,'Raw Data'!$G:$G,'Raw Data'!$AC:$AC),"")</f>
        <v/>
      </c>
      <c r="J180" s="137"/>
      <c r="K180" s="137" t="str">
        <f>IFERROR(_xlfn.XLOOKUP($A180,'Raw Data'!$G:$G,'Raw Data'!AD:AD),"")</f>
        <v/>
      </c>
      <c r="L180" s="137" t="str">
        <f>IFERROR(_xlfn.XLOOKUP($A180,'Raw Data'!$G:$G,'Raw Data'!AE:AE),"")</f>
        <v/>
      </c>
      <c r="M180" s="137" t="str">
        <f>IFERROR(_xlfn.XLOOKUP($A180,'Raw Data'!$G:$G,'Raw Data'!AF:AF),"")</f>
        <v/>
      </c>
      <c r="N180" s="137" t="str">
        <f>IFERROR(_xlfn.XLOOKUP($A180,'Raw Data'!$G:$G,'Raw Data'!AG:AG),"")</f>
        <v/>
      </c>
      <c r="O180" s="138" t="str">
        <f>IFERROR(1-SUMIF('Plant BD'!$H:$H,$A180,'Plant BD'!$AE:$AE)/($AA180+SUMIF('Plant BD'!$H:$H,$A180,'Plant BD'!$AE:$AE)),"")</f>
        <v/>
      </c>
      <c r="P180" s="138"/>
      <c r="Q180" s="139"/>
      <c r="R180" s="138" t="str">
        <f>IFERROR(1-SUMIF('Grid BD'!$H:$H,$A180,'Grid BD'!$AD:$AD)/($AA180+SUMIF('Grid BD'!$H:$H,$A180,'Grid BD'!$AD:$AD)),"")</f>
        <v/>
      </c>
      <c r="T180" s="139"/>
      <c r="U180" s="140" t="str">
        <f t="shared" si="9"/>
        <v/>
      </c>
      <c r="V180" s="140"/>
      <c r="W180" s="141" t="str">
        <f t="shared" si="10"/>
        <v/>
      </c>
      <c r="X180" s="133" t="str">
        <f>IFERROR(_xlfn.XLOOKUP($A180,'Raw Data'!$G:$G,'Raw Data'!AI:AI),"")</f>
        <v/>
      </c>
      <c r="Y180" s="133" t="str">
        <f>IFERROR(_xlfn.XLOOKUP($A180,'Raw Data'!$G:$G,'Raw Data'!AJ:AJ),"")</f>
        <v/>
      </c>
      <c r="Z180" s="133" t="str">
        <f>IFERROR(_xlfn.XLOOKUP($A180,'Raw Data'!$G:$G,'Raw Data'!AK:AK),"")</f>
        <v/>
      </c>
      <c r="AA180" s="133" t="str">
        <f>IFERROR(_xlfn.XLOOKUP($A180,'Raw Data'!$G:$G,'Raw Data'!AL:AL),"")</f>
        <v/>
      </c>
      <c r="AB180" s="133" t="str">
        <f>IFERROR(_xlfn.XLOOKUP($A180,'Raw Data'!$G:$G,'Raw Data'!H:H),"")</f>
        <v/>
      </c>
      <c r="AC180" s="142">
        <f>IFERROR(_xlfn.XLOOKUP($D180,'Modelling New'!$D:$D,'Modelling New'!P:P),"")</f>
        <v>4.8466666666666667</v>
      </c>
      <c r="AD180" s="133">
        <f>IFERROR(_xlfn.XLOOKUP($D180,'Modelling New'!$D:$D,'Modelling New'!$T:$T)*1000,"")</f>
        <v>27099.030800071054</v>
      </c>
      <c r="AE180" s="143">
        <f>IFERROR(_xlfn.XLOOKUP($D180,'Modelling New'!$D:$D,'Modelling New'!O:O),"")</f>
        <v>0.69708783670793795</v>
      </c>
      <c r="AF180" s="145">
        <f>IFERROR(_xlfn.XLOOKUP($D180,'Modelling New'!$D:$D,'Modelling New'!W:W),"")</f>
        <v>0.14077301591296412</v>
      </c>
      <c r="AG180" s="145">
        <f>IFERROR(_xlfn.XLOOKUP($D180,'Modelling New'!$D:$D,'Modelling New'!AE:AE),"")</f>
        <v>0.98040000000000005</v>
      </c>
      <c r="AH180" s="167">
        <f>IFERROR(_xlfn.XLOOKUP($D180,'Modelling New'!$D:$D,'Modelling New'!AF:AF),"")</f>
        <v>0.98</v>
      </c>
      <c r="AN180" s="144"/>
      <c r="AO180" s="141"/>
      <c r="AP180" s="141"/>
      <c r="AQ180" s="141"/>
      <c r="AR180" s="133">
        <f>'Basic Data'!$B$98/1000</f>
        <v>8.0208999999999993</v>
      </c>
    </row>
    <row r="181" spans="1:44" x14ac:dyDescent="0.3">
      <c r="A181" s="132">
        <f t="shared" si="11"/>
        <v>45924</v>
      </c>
      <c r="B181" s="133">
        <f>YEAR(Table13[[#This Row],[Date]])+IF(MONTH(Table13[[#This Row],[Date]])&gt;=4,1,0)</f>
        <v>2026</v>
      </c>
      <c r="C181" s="134">
        <f>YEAR(Table13[[#This Row],[Date]])</f>
        <v>2025</v>
      </c>
      <c r="D181" s="135">
        <f>Table13[[#This Row],[Date]]-DAY(Table13[[#This Row],[Date]])+1</f>
        <v>45901</v>
      </c>
      <c r="E181" s="134">
        <f t="shared" ref="E181:E244" si="12">DAY(EOMONTH(A181,0))</f>
        <v>30</v>
      </c>
      <c r="F181" s="136" t="str">
        <f>IFERROR(_xlfn.XLOOKUP($A181,'Raw Data'!$G:$G,'Raw Data'!$AM:$AM),"")</f>
        <v/>
      </c>
      <c r="G181" s="137" t="str">
        <f>IFERROR(_xlfn.XLOOKUP($A181,'Raw Data'!$G:$G,'Raw Data'!$AB:$AB),"")</f>
        <v/>
      </c>
      <c r="H181" s="137"/>
      <c r="I181" s="137" t="str">
        <f>IFERROR(_xlfn.XLOOKUP($A181,'Raw Data'!$G:$G,'Raw Data'!$AC:$AC),"")</f>
        <v/>
      </c>
      <c r="J181" s="137"/>
      <c r="K181" s="137" t="str">
        <f>IFERROR(_xlfn.XLOOKUP($A181,'Raw Data'!$G:$G,'Raw Data'!AD:AD),"")</f>
        <v/>
      </c>
      <c r="L181" s="137" t="str">
        <f>IFERROR(_xlfn.XLOOKUP($A181,'Raw Data'!$G:$G,'Raw Data'!AE:AE),"")</f>
        <v/>
      </c>
      <c r="M181" s="137" t="str">
        <f>IFERROR(_xlfn.XLOOKUP($A181,'Raw Data'!$G:$G,'Raw Data'!AF:AF),"")</f>
        <v/>
      </c>
      <c r="N181" s="137" t="str">
        <f>IFERROR(_xlfn.XLOOKUP($A181,'Raw Data'!$G:$G,'Raw Data'!AG:AG),"")</f>
        <v/>
      </c>
      <c r="O181" s="138" t="str">
        <f>IFERROR(1-SUMIF('Plant BD'!$H:$H,$A181,'Plant BD'!$AE:$AE)/($AA181+SUMIF('Plant BD'!$H:$H,$A181,'Plant BD'!$AE:$AE)),"")</f>
        <v/>
      </c>
      <c r="P181" s="138"/>
      <c r="Q181" s="139"/>
      <c r="R181" s="138" t="str">
        <f>IFERROR(1-SUMIF('Grid BD'!$H:$H,$A181,'Grid BD'!$AD:$AD)/($AA181+SUMIF('Grid BD'!$H:$H,$A181,'Grid BD'!$AD:$AD)),"")</f>
        <v/>
      </c>
      <c r="T181" s="139"/>
      <c r="U181" s="140" t="str">
        <f t="shared" ref="U181:U244" si="13">IFERROR(AA181/I181/AB181/1000,"")</f>
        <v/>
      </c>
      <c r="V181" s="140"/>
      <c r="W181" s="141" t="str">
        <f t="shared" ref="W181:W244" si="14">IFERROR(AA181/(24*AB181*1000),"")</f>
        <v/>
      </c>
      <c r="X181" s="133" t="str">
        <f>IFERROR(_xlfn.XLOOKUP($A181,'Raw Data'!$G:$G,'Raw Data'!AI:AI),"")</f>
        <v/>
      </c>
      <c r="Y181" s="133" t="str">
        <f>IFERROR(_xlfn.XLOOKUP($A181,'Raw Data'!$G:$G,'Raw Data'!AJ:AJ),"")</f>
        <v/>
      </c>
      <c r="Z181" s="133" t="str">
        <f>IFERROR(_xlfn.XLOOKUP($A181,'Raw Data'!$G:$G,'Raw Data'!AK:AK),"")</f>
        <v/>
      </c>
      <c r="AA181" s="133" t="str">
        <f>IFERROR(_xlfn.XLOOKUP($A181,'Raw Data'!$G:$G,'Raw Data'!AL:AL),"")</f>
        <v/>
      </c>
      <c r="AB181" s="133" t="str">
        <f>IFERROR(_xlfn.XLOOKUP($A181,'Raw Data'!$G:$G,'Raw Data'!H:H),"")</f>
        <v/>
      </c>
      <c r="AC181" s="142">
        <f>IFERROR(_xlfn.XLOOKUP($D181,'Modelling New'!$D:$D,'Modelling New'!P:P),"")</f>
        <v>4.8466666666666667</v>
      </c>
      <c r="AD181" s="133">
        <f>IFERROR(_xlfn.XLOOKUP($D181,'Modelling New'!$D:$D,'Modelling New'!$T:$T)*1000,"")</f>
        <v>27099.030800071054</v>
      </c>
      <c r="AE181" s="143">
        <f>IFERROR(_xlfn.XLOOKUP($D181,'Modelling New'!$D:$D,'Modelling New'!O:O),"")</f>
        <v>0.69708783670793795</v>
      </c>
      <c r="AF181" s="145">
        <f>IFERROR(_xlfn.XLOOKUP($D181,'Modelling New'!$D:$D,'Modelling New'!W:W),"")</f>
        <v>0.14077301591296412</v>
      </c>
      <c r="AG181" s="145">
        <f>IFERROR(_xlfn.XLOOKUP($D181,'Modelling New'!$D:$D,'Modelling New'!AE:AE),"")</f>
        <v>0.98040000000000005</v>
      </c>
      <c r="AH181" s="167">
        <f>IFERROR(_xlfn.XLOOKUP($D181,'Modelling New'!$D:$D,'Modelling New'!AF:AF),"")</f>
        <v>0.98</v>
      </c>
      <c r="AN181" s="144"/>
      <c r="AO181" s="141"/>
      <c r="AP181" s="141"/>
      <c r="AQ181" s="141"/>
      <c r="AR181" s="133">
        <f>'Basic Data'!$B$98/1000</f>
        <v>8.0208999999999993</v>
      </c>
    </row>
    <row r="182" spans="1:44" x14ac:dyDescent="0.3">
      <c r="A182" s="132">
        <f t="shared" ref="A182:A245" si="15">A181+1</f>
        <v>45925</v>
      </c>
      <c r="B182" s="133">
        <f>YEAR(Table13[[#This Row],[Date]])+IF(MONTH(Table13[[#This Row],[Date]])&gt;=4,1,0)</f>
        <v>2026</v>
      </c>
      <c r="C182" s="134">
        <f>YEAR(Table13[[#This Row],[Date]])</f>
        <v>2025</v>
      </c>
      <c r="D182" s="135">
        <f>Table13[[#This Row],[Date]]-DAY(Table13[[#This Row],[Date]])+1</f>
        <v>45901</v>
      </c>
      <c r="E182" s="134">
        <f t="shared" si="12"/>
        <v>30</v>
      </c>
      <c r="F182" s="136" t="str">
        <f>IFERROR(_xlfn.XLOOKUP($A182,'Raw Data'!$G:$G,'Raw Data'!$AM:$AM),"")</f>
        <v/>
      </c>
      <c r="G182" s="137" t="str">
        <f>IFERROR(_xlfn.XLOOKUP($A182,'Raw Data'!$G:$G,'Raw Data'!$AB:$AB),"")</f>
        <v/>
      </c>
      <c r="H182" s="137"/>
      <c r="I182" s="137" t="str">
        <f>IFERROR(_xlfn.XLOOKUP($A182,'Raw Data'!$G:$G,'Raw Data'!$AC:$AC),"")</f>
        <v/>
      </c>
      <c r="J182" s="137"/>
      <c r="K182" s="137" t="str">
        <f>IFERROR(_xlfn.XLOOKUP($A182,'Raw Data'!$G:$G,'Raw Data'!AD:AD),"")</f>
        <v/>
      </c>
      <c r="L182" s="137" t="str">
        <f>IFERROR(_xlfn.XLOOKUP($A182,'Raw Data'!$G:$G,'Raw Data'!AE:AE),"")</f>
        <v/>
      </c>
      <c r="M182" s="137" t="str">
        <f>IFERROR(_xlfn.XLOOKUP($A182,'Raw Data'!$G:$G,'Raw Data'!AF:AF),"")</f>
        <v/>
      </c>
      <c r="N182" s="137" t="str">
        <f>IFERROR(_xlfn.XLOOKUP($A182,'Raw Data'!$G:$G,'Raw Data'!AG:AG),"")</f>
        <v/>
      </c>
      <c r="O182" s="138" t="str">
        <f>IFERROR(1-SUMIF('Plant BD'!$H:$H,$A182,'Plant BD'!$AE:$AE)/($AA182+SUMIF('Plant BD'!$H:$H,$A182,'Plant BD'!$AE:$AE)),"")</f>
        <v/>
      </c>
      <c r="P182" s="138"/>
      <c r="Q182" s="139"/>
      <c r="R182" s="138" t="str">
        <f>IFERROR(1-SUMIF('Grid BD'!$H:$H,$A182,'Grid BD'!$AD:$AD)/($AA182+SUMIF('Grid BD'!$H:$H,$A182,'Grid BD'!$AD:$AD)),"")</f>
        <v/>
      </c>
      <c r="T182" s="139"/>
      <c r="U182" s="140" t="str">
        <f t="shared" si="13"/>
        <v/>
      </c>
      <c r="V182" s="140"/>
      <c r="W182" s="141" t="str">
        <f t="shared" si="14"/>
        <v/>
      </c>
      <c r="X182" s="133" t="str">
        <f>IFERROR(_xlfn.XLOOKUP($A182,'Raw Data'!$G:$G,'Raw Data'!AI:AI),"")</f>
        <v/>
      </c>
      <c r="Y182" s="133" t="str">
        <f>IFERROR(_xlfn.XLOOKUP($A182,'Raw Data'!$G:$G,'Raw Data'!AJ:AJ),"")</f>
        <v/>
      </c>
      <c r="Z182" s="133" t="str">
        <f>IFERROR(_xlfn.XLOOKUP($A182,'Raw Data'!$G:$G,'Raw Data'!AK:AK),"")</f>
        <v/>
      </c>
      <c r="AA182" s="133" t="str">
        <f>IFERROR(_xlfn.XLOOKUP($A182,'Raw Data'!$G:$G,'Raw Data'!AL:AL),"")</f>
        <v/>
      </c>
      <c r="AB182" s="133" t="str">
        <f>IFERROR(_xlfn.XLOOKUP($A182,'Raw Data'!$G:$G,'Raw Data'!H:H),"")</f>
        <v/>
      </c>
      <c r="AC182" s="142">
        <f>IFERROR(_xlfn.XLOOKUP($D182,'Modelling New'!$D:$D,'Modelling New'!P:P),"")</f>
        <v>4.8466666666666667</v>
      </c>
      <c r="AD182" s="133">
        <f>IFERROR(_xlfn.XLOOKUP($D182,'Modelling New'!$D:$D,'Modelling New'!$T:$T)*1000,"")</f>
        <v>27099.030800071054</v>
      </c>
      <c r="AE182" s="143">
        <f>IFERROR(_xlfn.XLOOKUP($D182,'Modelling New'!$D:$D,'Modelling New'!O:O),"")</f>
        <v>0.69708783670793795</v>
      </c>
      <c r="AF182" s="145">
        <f>IFERROR(_xlfn.XLOOKUP($D182,'Modelling New'!$D:$D,'Modelling New'!W:W),"")</f>
        <v>0.14077301591296412</v>
      </c>
      <c r="AG182" s="145">
        <f>IFERROR(_xlfn.XLOOKUP($D182,'Modelling New'!$D:$D,'Modelling New'!AE:AE),"")</f>
        <v>0.98040000000000005</v>
      </c>
      <c r="AH182" s="167">
        <f>IFERROR(_xlfn.XLOOKUP($D182,'Modelling New'!$D:$D,'Modelling New'!AF:AF),"")</f>
        <v>0.98</v>
      </c>
      <c r="AN182" s="144"/>
      <c r="AO182" s="141"/>
      <c r="AP182" s="141"/>
      <c r="AQ182" s="141"/>
      <c r="AR182" s="133">
        <f>'Basic Data'!$B$98/1000</f>
        <v>8.0208999999999993</v>
      </c>
    </row>
    <row r="183" spans="1:44" x14ac:dyDescent="0.3">
      <c r="A183" s="132">
        <f t="shared" si="15"/>
        <v>45926</v>
      </c>
      <c r="B183" s="133">
        <f>YEAR(Table13[[#This Row],[Date]])+IF(MONTH(Table13[[#This Row],[Date]])&gt;=4,1,0)</f>
        <v>2026</v>
      </c>
      <c r="C183" s="134">
        <f>YEAR(Table13[[#This Row],[Date]])</f>
        <v>2025</v>
      </c>
      <c r="D183" s="135">
        <f>Table13[[#This Row],[Date]]-DAY(Table13[[#This Row],[Date]])+1</f>
        <v>45901</v>
      </c>
      <c r="E183" s="134">
        <f t="shared" si="12"/>
        <v>30</v>
      </c>
      <c r="F183" s="136" t="str">
        <f>IFERROR(_xlfn.XLOOKUP($A183,'Raw Data'!$G:$G,'Raw Data'!$AM:$AM),"")</f>
        <v/>
      </c>
      <c r="G183" s="137" t="str">
        <f>IFERROR(_xlfn.XLOOKUP($A183,'Raw Data'!$G:$G,'Raw Data'!$AB:$AB),"")</f>
        <v/>
      </c>
      <c r="H183" s="137"/>
      <c r="I183" s="137" t="str">
        <f>IFERROR(_xlfn.XLOOKUP($A183,'Raw Data'!$G:$G,'Raw Data'!$AC:$AC),"")</f>
        <v/>
      </c>
      <c r="J183" s="137"/>
      <c r="K183" s="137" t="str">
        <f>IFERROR(_xlfn.XLOOKUP($A183,'Raw Data'!$G:$G,'Raw Data'!AD:AD),"")</f>
        <v/>
      </c>
      <c r="L183" s="137" t="str">
        <f>IFERROR(_xlfn.XLOOKUP($A183,'Raw Data'!$G:$G,'Raw Data'!AE:AE),"")</f>
        <v/>
      </c>
      <c r="M183" s="137" t="str">
        <f>IFERROR(_xlfn.XLOOKUP($A183,'Raw Data'!$G:$G,'Raw Data'!AF:AF),"")</f>
        <v/>
      </c>
      <c r="N183" s="137" t="str">
        <f>IFERROR(_xlfn.XLOOKUP($A183,'Raw Data'!$G:$G,'Raw Data'!AG:AG),"")</f>
        <v/>
      </c>
      <c r="O183" s="138" t="str">
        <f>IFERROR(1-SUMIF('Plant BD'!$H:$H,$A183,'Plant BD'!$AE:$AE)/($AA183+SUMIF('Plant BD'!$H:$H,$A183,'Plant BD'!$AE:$AE)),"")</f>
        <v/>
      </c>
      <c r="P183" s="138"/>
      <c r="Q183" s="139"/>
      <c r="R183" s="138" t="str">
        <f>IFERROR(1-SUMIF('Grid BD'!$H:$H,$A183,'Grid BD'!$AD:$AD)/($AA183+SUMIF('Grid BD'!$H:$H,$A183,'Grid BD'!$AD:$AD)),"")</f>
        <v/>
      </c>
      <c r="T183" s="139"/>
      <c r="U183" s="140" t="str">
        <f t="shared" si="13"/>
        <v/>
      </c>
      <c r="V183" s="140"/>
      <c r="W183" s="141" t="str">
        <f t="shared" si="14"/>
        <v/>
      </c>
      <c r="X183" s="133" t="str">
        <f>IFERROR(_xlfn.XLOOKUP($A183,'Raw Data'!$G:$G,'Raw Data'!AI:AI),"")</f>
        <v/>
      </c>
      <c r="Y183" s="133" t="str">
        <f>IFERROR(_xlfn.XLOOKUP($A183,'Raw Data'!$G:$G,'Raw Data'!AJ:AJ),"")</f>
        <v/>
      </c>
      <c r="Z183" s="133" t="str">
        <f>IFERROR(_xlfn.XLOOKUP($A183,'Raw Data'!$G:$G,'Raw Data'!AK:AK),"")</f>
        <v/>
      </c>
      <c r="AA183" s="133" t="str">
        <f>IFERROR(_xlfn.XLOOKUP($A183,'Raw Data'!$G:$G,'Raw Data'!AL:AL),"")</f>
        <v/>
      </c>
      <c r="AB183" s="133" t="str">
        <f>IFERROR(_xlfn.XLOOKUP($A183,'Raw Data'!$G:$G,'Raw Data'!H:H),"")</f>
        <v/>
      </c>
      <c r="AC183" s="142">
        <f>IFERROR(_xlfn.XLOOKUP($D183,'Modelling New'!$D:$D,'Modelling New'!P:P),"")</f>
        <v>4.8466666666666667</v>
      </c>
      <c r="AD183" s="133">
        <f>IFERROR(_xlfn.XLOOKUP($D183,'Modelling New'!$D:$D,'Modelling New'!$T:$T)*1000,"")</f>
        <v>27099.030800071054</v>
      </c>
      <c r="AE183" s="143">
        <f>IFERROR(_xlfn.XLOOKUP($D183,'Modelling New'!$D:$D,'Modelling New'!O:O),"")</f>
        <v>0.69708783670793795</v>
      </c>
      <c r="AF183" s="145">
        <f>IFERROR(_xlfn.XLOOKUP($D183,'Modelling New'!$D:$D,'Modelling New'!W:W),"")</f>
        <v>0.14077301591296412</v>
      </c>
      <c r="AG183" s="145">
        <f>IFERROR(_xlfn.XLOOKUP($D183,'Modelling New'!$D:$D,'Modelling New'!AE:AE),"")</f>
        <v>0.98040000000000005</v>
      </c>
      <c r="AH183" s="167">
        <f>IFERROR(_xlfn.XLOOKUP($D183,'Modelling New'!$D:$D,'Modelling New'!AF:AF),"")</f>
        <v>0.98</v>
      </c>
      <c r="AN183" s="144"/>
      <c r="AO183" s="141"/>
      <c r="AP183" s="141"/>
      <c r="AQ183" s="141"/>
      <c r="AR183" s="133">
        <f>'Basic Data'!$B$98/1000</f>
        <v>8.0208999999999993</v>
      </c>
    </row>
    <row r="184" spans="1:44" x14ac:dyDescent="0.3">
      <c r="A184" s="132">
        <f t="shared" si="15"/>
        <v>45927</v>
      </c>
      <c r="B184" s="133">
        <f>YEAR(Table13[[#This Row],[Date]])+IF(MONTH(Table13[[#This Row],[Date]])&gt;=4,1,0)</f>
        <v>2026</v>
      </c>
      <c r="C184" s="134">
        <f>YEAR(Table13[[#This Row],[Date]])</f>
        <v>2025</v>
      </c>
      <c r="D184" s="135">
        <f>Table13[[#This Row],[Date]]-DAY(Table13[[#This Row],[Date]])+1</f>
        <v>45901</v>
      </c>
      <c r="E184" s="134">
        <f t="shared" si="12"/>
        <v>30</v>
      </c>
      <c r="F184" s="136" t="str">
        <f>IFERROR(_xlfn.XLOOKUP($A184,'Raw Data'!$G:$G,'Raw Data'!$AM:$AM),"")</f>
        <v/>
      </c>
      <c r="G184" s="137" t="str">
        <f>IFERROR(_xlfn.XLOOKUP($A184,'Raw Data'!$G:$G,'Raw Data'!$AB:$AB),"")</f>
        <v/>
      </c>
      <c r="H184" s="137"/>
      <c r="I184" s="137" t="str">
        <f>IFERROR(_xlfn.XLOOKUP($A184,'Raw Data'!$G:$G,'Raw Data'!$AC:$AC),"")</f>
        <v/>
      </c>
      <c r="J184" s="137"/>
      <c r="K184" s="137" t="str">
        <f>IFERROR(_xlfn.XLOOKUP($A184,'Raw Data'!$G:$G,'Raw Data'!AD:AD),"")</f>
        <v/>
      </c>
      <c r="L184" s="137" t="str">
        <f>IFERROR(_xlfn.XLOOKUP($A184,'Raw Data'!$G:$G,'Raw Data'!AE:AE),"")</f>
        <v/>
      </c>
      <c r="M184" s="137" t="str">
        <f>IFERROR(_xlfn.XLOOKUP($A184,'Raw Data'!$G:$G,'Raw Data'!AF:AF),"")</f>
        <v/>
      </c>
      <c r="N184" s="137" t="str">
        <f>IFERROR(_xlfn.XLOOKUP($A184,'Raw Data'!$G:$G,'Raw Data'!AG:AG),"")</f>
        <v/>
      </c>
      <c r="O184" s="138" t="str">
        <f>IFERROR(1-SUMIF('Plant BD'!$H:$H,$A184,'Plant BD'!$AE:$AE)/($AA184+SUMIF('Plant BD'!$H:$H,$A184,'Plant BD'!$AE:$AE)),"")</f>
        <v/>
      </c>
      <c r="P184" s="138"/>
      <c r="Q184" s="139"/>
      <c r="R184" s="138" t="str">
        <f>IFERROR(1-SUMIF('Grid BD'!$H:$H,$A184,'Grid BD'!$AD:$AD)/($AA184+SUMIF('Grid BD'!$H:$H,$A184,'Grid BD'!$AD:$AD)),"")</f>
        <v/>
      </c>
      <c r="T184" s="139"/>
      <c r="U184" s="140" t="str">
        <f t="shared" si="13"/>
        <v/>
      </c>
      <c r="V184" s="140"/>
      <c r="W184" s="141" t="str">
        <f t="shared" si="14"/>
        <v/>
      </c>
      <c r="X184" s="133" t="str">
        <f>IFERROR(_xlfn.XLOOKUP($A184,'Raw Data'!$G:$G,'Raw Data'!AI:AI),"")</f>
        <v/>
      </c>
      <c r="Y184" s="133" t="str">
        <f>IFERROR(_xlfn.XLOOKUP($A184,'Raw Data'!$G:$G,'Raw Data'!AJ:AJ),"")</f>
        <v/>
      </c>
      <c r="Z184" s="133" t="str">
        <f>IFERROR(_xlfn.XLOOKUP($A184,'Raw Data'!$G:$G,'Raw Data'!AK:AK),"")</f>
        <v/>
      </c>
      <c r="AA184" s="133" t="str">
        <f>IFERROR(_xlfn.XLOOKUP($A184,'Raw Data'!$G:$G,'Raw Data'!AL:AL),"")</f>
        <v/>
      </c>
      <c r="AB184" s="133" t="str">
        <f>IFERROR(_xlfn.XLOOKUP($A184,'Raw Data'!$G:$G,'Raw Data'!H:H),"")</f>
        <v/>
      </c>
      <c r="AC184" s="142">
        <f>IFERROR(_xlfn.XLOOKUP($D184,'Modelling New'!$D:$D,'Modelling New'!P:P),"")</f>
        <v>4.8466666666666667</v>
      </c>
      <c r="AD184" s="133">
        <f>IFERROR(_xlfn.XLOOKUP($D184,'Modelling New'!$D:$D,'Modelling New'!$T:$T)*1000,"")</f>
        <v>27099.030800071054</v>
      </c>
      <c r="AE184" s="143">
        <f>IFERROR(_xlfn.XLOOKUP($D184,'Modelling New'!$D:$D,'Modelling New'!O:O),"")</f>
        <v>0.69708783670793795</v>
      </c>
      <c r="AF184" s="145">
        <f>IFERROR(_xlfn.XLOOKUP($D184,'Modelling New'!$D:$D,'Modelling New'!W:W),"")</f>
        <v>0.14077301591296412</v>
      </c>
      <c r="AG184" s="145">
        <f>IFERROR(_xlfn.XLOOKUP($D184,'Modelling New'!$D:$D,'Modelling New'!AE:AE),"")</f>
        <v>0.98040000000000005</v>
      </c>
      <c r="AH184" s="167">
        <f>IFERROR(_xlfn.XLOOKUP($D184,'Modelling New'!$D:$D,'Modelling New'!AF:AF),"")</f>
        <v>0.98</v>
      </c>
      <c r="AN184" s="144"/>
      <c r="AO184" s="141"/>
      <c r="AP184" s="141"/>
      <c r="AQ184" s="141"/>
      <c r="AR184" s="133">
        <f>'Basic Data'!$B$98/1000</f>
        <v>8.0208999999999993</v>
      </c>
    </row>
    <row r="185" spans="1:44" x14ac:dyDescent="0.3">
      <c r="A185" s="132">
        <f t="shared" si="15"/>
        <v>45928</v>
      </c>
      <c r="B185" s="133">
        <f>YEAR(Table13[[#This Row],[Date]])+IF(MONTH(Table13[[#This Row],[Date]])&gt;=4,1,0)</f>
        <v>2026</v>
      </c>
      <c r="C185" s="134">
        <f>YEAR(Table13[[#This Row],[Date]])</f>
        <v>2025</v>
      </c>
      <c r="D185" s="135">
        <f>Table13[[#This Row],[Date]]-DAY(Table13[[#This Row],[Date]])+1</f>
        <v>45901</v>
      </c>
      <c r="E185" s="134">
        <f t="shared" si="12"/>
        <v>30</v>
      </c>
      <c r="F185" s="136" t="str">
        <f>IFERROR(_xlfn.XLOOKUP($A185,'Raw Data'!$G:$G,'Raw Data'!$AM:$AM),"")</f>
        <v/>
      </c>
      <c r="G185" s="137" t="str">
        <f>IFERROR(_xlfn.XLOOKUP($A185,'Raw Data'!$G:$G,'Raw Data'!$AB:$AB),"")</f>
        <v/>
      </c>
      <c r="H185" s="137"/>
      <c r="I185" s="137" t="str">
        <f>IFERROR(_xlfn.XLOOKUP($A185,'Raw Data'!$G:$G,'Raw Data'!$AC:$AC),"")</f>
        <v/>
      </c>
      <c r="J185" s="137"/>
      <c r="K185" s="137" t="str">
        <f>IFERROR(_xlfn.XLOOKUP($A185,'Raw Data'!$G:$G,'Raw Data'!AD:AD),"")</f>
        <v/>
      </c>
      <c r="L185" s="137" t="str">
        <f>IFERROR(_xlfn.XLOOKUP($A185,'Raw Data'!$G:$G,'Raw Data'!AE:AE),"")</f>
        <v/>
      </c>
      <c r="M185" s="137" t="str">
        <f>IFERROR(_xlfn.XLOOKUP($A185,'Raw Data'!$G:$G,'Raw Data'!AF:AF),"")</f>
        <v/>
      </c>
      <c r="N185" s="137" t="str">
        <f>IFERROR(_xlfn.XLOOKUP($A185,'Raw Data'!$G:$G,'Raw Data'!AG:AG),"")</f>
        <v/>
      </c>
      <c r="O185" s="138" t="str">
        <f>IFERROR(1-SUMIF('Plant BD'!$H:$H,$A185,'Plant BD'!$AE:$AE)/($AA185+SUMIF('Plant BD'!$H:$H,$A185,'Plant BD'!$AE:$AE)),"")</f>
        <v/>
      </c>
      <c r="P185" s="138"/>
      <c r="Q185" s="139"/>
      <c r="R185" s="138" t="str">
        <f>IFERROR(1-SUMIF('Grid BD'!$H:$H,$A185,'Grid BD'!$AD:$AD)/($AA185+SUMIF('Grid BD'!$H:$H,$A185,'Grid BD'!$AD:$AD)),"")</f>
        <v/>
      </c>
      <c r="T185" s="139"/>
      <c r="U185" s="140" t="str">
        <f t="shared" si="13"/>
        <v/>
      </c>
      <c r="V185" s="140"/>
      <c r="W185" s="141" t="str">
        <f t="shared" si="14"/>
        <v/>
      </c>
      <c r="X185" s="133" t="str">
        <f>IFERROR(_xlfn.XLOOKUP($A185,'Raw Data'!$G:$G,'Raw Data'!AI:AI),"")</f>
        <v/>
      </c>
      <c r="Y185" s="133" t="str">
        <f>IFERROR(_xlfn.XLOOKUP($A185,'Raw Data'!$G:$G,'Raw Data'!AJ:AJ),"")</f>
        <v/>
      </c>
      <c r="Z185" s="133" t="str">
        <f>IFERROR(_xlfn.XLOOKUP($A185,'Raw Data'!$G:$G,'Raw Data'!AK:AK),"")</f>
        <v/>
      </c>
      <c r="AA185" s="133" t="str">
        <f>IFERROR(_xlfn.XLOOKUP($A185,'Raw Data'!$G:$G,'Raw Data'!AL:AL),"")</f>
        <v/>
      </c>
      <c r="AB185" s="133" t="str">
        <f>IFERROR(_xlfn.XLOOKUP($A185,'Raw Data'!$G:$G,'Raw Data'!H:H),"")</f>
        <v/>
      </c>
      <c r="AC185" s="142">
        <f>IFERROR(_xlfn.XLOOKUP($D185,'Modelling New'!$D:$D,'Modelling New'!P:P),"")</f>
        <v>4.8466666666666667</v>
      </c>
      <c r="AD185" s="133">
        <f>IFERROR(_xlfn.XLOOKUP($D185,'Modelling New'!$D:$D,'Modelling New'!$T:$T)*1000,"")</f>
        <v>27099.030800071054</v>
      </c>
      <c r="AE185" s="143">
        <f>IFERROR(_xlfn.XLOOKUP($D185,'Modelling New'!$D:$D,'Modelling New'!O:O),"")</f>
        <v>0.69708783670793795</v>
      </c>
      <c r="AF185" s="145">
        <f>IFERROR(_xlfn.XLOOKUP($D185,'Modelling New'!$D:$D,'Modelling New'!W:W),"")</f>
        <v>0.14077301591296412</v>
      </c>
      <c r="AG185" s="145">
        <f>IFERROR(_xlfn.XLOOKUP($D185,'Modelling New'!$D:$D,'Modelling New'!AE:AE),"")</f>
        <v>0.98040000000000005</v>
      </c>
      <c r="AH185" s="167">
        <f>IFERROR(_xlfn.XLOOKUP($D185,'Modelling New'!$D:$D,'Modelling New'!AF:AF),"")</f>
        <v>0.98</v>
      </c>
      <c r="AN185" s="144"/>
      <c r="AO185" s="141"/>
      <c r="AP185" s="141"/>
      <c r="AQ185" s="141"/>
      <c r="AR185" s="133">
        <f>'Basic Data'!$B$98/1000</f>
        <v>8.0208999999999993</v>
      </c>
    </row>
    <row r="186" spans="1:44" x14ac:dyDescent="0.3">
      <c r="A186" s="132">
        <f t="shared" si="15"/>
        <v>45929</v>
      </c>
      <c r="B186" s="133">
        <f>YEAR(Table13[[#This Row],[Date]])+IF(MONTH(Table13[[#This Row],[Date]])&gt;=4,1,0)</f>
        <v>2026</v>
      </c>
      <c r="C186" s="134">
        <f>YEAR(Table13[[#This Row],[Date]])</f>
        <v>2025</v>
      </c>
      <c r="D186" s="135">
        <f>Table13[[#This Row],[Date]]-DAY(Table13[[#This Row],[Date]])+1</f>
        <v>45901</v>
      </c>
      <c r="E186" s="134">
        <f t="shared" si="12"/>
        <v>30</v>
      </c>
      <c r="F186" s="136" t="str">
        <f>IFERROR(_xlfn.XLOOKUP($A186,'Raw Data'!$G:$G,'Raw Data'!$AM:$AM),"")</f>
        <v/>
      </c>
      <c r="G186" s="137" t="str">
        <f>IFERROR(_xlfn.XLOOKUP($A186,'Raw Data'!$G:$G,'Raw Data'!$AB:$AB),"")</f>
        <v/>
      </c>
      <c r="H186" s="137"/>
      <c r="I186" s="137" t="str">
        <f>IFERROR(_xlfn.XLOOKUP($A186,'Raw Data'!$G:$G,'Raw Data'!$AC:$AC),"")</f>
        <v/>
      </c>
      <c r="J186" s="137"/>
      <c r="K186" s="137" t="str">
        <f>IFERROR(_xlfn.XLOOKUP($A186,'Raw Data'!$G:$G,'Raw Data'!AD:AD),"")</f>
        <v/>
      </c>
      <c r="L186" s="137" t="str">
        <f>IFERROR(_xlfn.XLOOKUP($A186,'Raw Data'!$G:$G,'Raw Data'!AE:AE),"")</f>
        <v/>
      </c>
      <c r="M186" s="137" t="str">
        <f>IFERROR(_xlfn.XLOOKUP($A186,'Raw Data'!$G:$G,'Raw Data'!AF:AF),"")</f>
        <v/>
      </c>
      <c r="N186" s="137" t="str">
        <f>IFERROR(_xlfn.XLOOKUP($A186,'Raw Data'!$G:$G,'Raw Data'!AG:AG),"")</f>
        <v/>
      </c>
      <c r="O186" s="138" t="str">
        <f>IFERROR(1-SUMIF('Plant BD'!$H:$H,$A186,'Plant BD'!$AE:$AE)/($AA186+SUMIF('Plant BD'!$H:$H,$A186,'Plant BD'!$AE:$AE)),"")</f>
        <v/>
      </c>
      <c r="P186" s="138"/>
      <c r="Q186" s="139"/>
      <c r="R186" s="138" t="str">
        <f>IFERROR(1-SUMIF('Grid BD'!$H:$H,$A186,'Grid BD'!$AD:$AD)/($AA186+SUMIF('Grid BD'!$H:$H,$A186,'Grid BD'!$AD:$AD)),"")</f>
        <v/>
      </c>
      <c r="T186" s="139"/>
      <c r="U186" s="140" t="str">
        <f t="shared" si="13"/>
        <v/>
      </c>
      <c r="V186" s="140"/>
      <c r="W186" s="141" t="str">
        <f t="shared" si="14"/>
        <v/>
      </c>
      <c r="X186" s="133" t="str">
        <f>IFERROR(_xlfn.XLOOKUP($A186,'Raw Data'!$G:$G,'Raw Data'!AI:AI),"")</f>
        <v/>
      </c>
      <c r="Y186" s="133" t="str">
        <f>IFERROR(_xlfn.XLOOKUP($A186,'Raw Data'!$G:$G,'Raw Data'!AJ:AJ),"")</f>
        <v/>
      </c>
      <c r="Z186" s="133" t="str">
        <f>IFERROR(_xlfn.XLOOKUP($A186,'Raw Data'!$G:$G,'Raw Data'!AK:AK),"")</f>
        <v/>
      </c>
      <c r="AA186" s="133" t="str">
        <f>IFERROR(_xlfn.XLOOKUP($A186,'Raw Data'!$G:$G,'Raw Data'!AL:AL),"")</f>
        <v/>
      </c>
      <c r="AB186" s="133" t="str">
        <f>IFERROR(_xlfn.XLOOKUP($A186,'Raw Data'!$G:$G,'Raw Data'!H:H),"")</f>
        <v/>
      </c>
      <c r="AC186" s="142">
        <f>IFERROR(_xlfn.XLOOKUP($D186,'Modelling New'!$D:$D,'Modelling New'!P:P),"")</f>
        <v>4.8466666666666667</v>
      </c>
      <c r="AD186" s="133">
        <f>IFERROR(_xlfn.XLOOKUP($D186,'Modelling New'!$D:$D,'Modelling New'!$T:$T)*1000,"")</f>
        <v>27099.030800071054</v>
      </c>
      <c r="AE186" s="143">
        <f>IFERROR(_xlfn.XLOOKUP($D186,'Modelling New'!$D:$D,'Modelling New'!O:O),"")</f>
        <v>0.69708783670793795</v>
      </c>
      <c r="AF186" s="145">
        <f>IFERROR(_xlfn.XLOOKUP($D186,'Modelling New'!$D:$D,'Modelling New'!W:W),"")</f>
        <v>0.14077301591296412</v>
      </c>
      <c r="AG186" s="145">
        <f>IFERROR(_xlfn.XLOOKUP($D186,'Modelling New'!$D:$D,'Modelling New'!AE:AE),"")</f>
        <v>0.98040000000000005</v>
      </c>
      <c r="AH186" s="167">
        <f>IFERROR(_xlfn.XLOOKUP($D186,'Modelling New'!$D:$D,'Modelling New'!AF:AF),"")</f>
        <v>0.98</v>
      </c>
      <c r="AN186" s="144"/>
      <c r="AO186" s="141"/>
      <c r="AP186" s="141"/>
      <c r="AQ186" s="141"/>
      <c r="AR186" s="133">
        <f>'Basic Data'!$B$98/1000</f>
        <v>8.0208999999999993</v>
      </c>
    </row>
    <row r="187" spans="1:44" x14ac:dyDescent="0.3">
      <c r="A187" s="132">
        <f t="shared" si="15"/>
        <v>45930</v>
      </c>
      <c r="B187" s="133">
        <f>YEAR(Table13[[#This Row],[Date]])+IF(MONTH(Table13[[#This Row],[Date]])&gt;=4,1,0)</f>
        <v>2026</v>
      </c>
      <c r="C187" s="134">
        <f>YEAR(Table13[[#This Row],[Date]])</f>
        <v>2025</v>
      </c>
      <c r="D187" s="135">
        <f>Table13[[#This Row],[Date]]-DAY(Table13[[#This Row],[Date]])+1</f>
        <v>45901</v>
      </c>
      <c r="E187" s="134">
        <f t="shared" si="12"/>
        <v>30</v>
      </c>
      <c r="F187" s="136" t="str">
        <f>IFERROR(_xlfn.XLOOKUP($A187,'Raw Data'!$G:$G,'Raw Data'!$AM:$AM),"")</f>
        <v/>
      </c>
      <c r="G187" s="137" t="str">
        <f>IFERROR(_xlfn.XLOOKUP($A187,'Raw Data'!$G:$G,'Raw Data'!$AB:$AB),"")</f>
        <v/>
      </c>
      <c r="H187" s="137"/>
      <c r="I187" s="137" t="str">
        <f>IFERROR(_xlfn.XLOOKUP($A187,'Raw Data'!$G:$G,'Raw Data'!$AC:$AC),"")</f>
        <v/>
      </c>
      <c r="J187" s="137"/>
      <c r="K187" s="137" t="str">
        <f>IFERROR(_xlfn.XLOOKUP($A187,'Raw Data'!$G:$G,'Raw Data'!AD:AD),"")</f>
        <v/>
      </c>
      <c r="L187" s="137" t="str">
        <f>IFERROR(_xlfn.XLOOKUP($A187,'Raw Data'!$G:$G,'Raw Data'!AE:AE),"")</f>
        <v/>
      </c>
      <c r="M187" s="137" t="str">
        <f>IFERROR(_xlfn.XLOOKUP($A187,'Raw Data'!$G:$G,'Raw Data'!AF:AF),"")</f>
        <v/>
      </c>
      <c r="N187" s="137" t="str">
        <f>IFERROR(_xlfn.XLOOKUP($A187,'Raw Data'!$G:$G,'Raw Data'!AG:AG),"")</f>
        <v/>
      </c>
      <c r="O187" s="138" t="str">
        <f>IFERROR(1-SUMIF('Plant BD'!$H:$H,$A187,'Plant BD'!$AE:$AE)/($AA187+SUMIF('Plant BD'!$H:$H,$A187,'Plant BD'!$AE:$AE)),"")</f>
        <v/>
      </c>
      <c r="P187" s="138"/>
      <c r="Q187" s="139"/>
      <c r="R187" s="138" t="str">
        <f>IFERROR(1-SUMIF('Grid BD'!$H:$H,$A187,'Grid BD'!$AD:$AD)/($AA187+SUMIF('Grid BD'!$H:$H,$A187,'Grid BD'!$AD:$AD)),"")</f>
        <v/>
      </c>
      <c r="T187" s="139"/>
      <c r="U187" s="140" t="str">
        <f t="shared" si="13"/>
        <v/>
      </c>
      <c r="V187" s="140"/>
      <c r="W187" s="141" t="str">
        <f t="shared" si="14"/>
        <v/>
      </c>
      <c r="X187" s="133" t="str">
        <f>IFERROR(_xlfn.XLOOKUP($A187,'Raw Data'!$G:$G,'Raw Data'!AI:AI),"")</f>
        <v/>
      </c>
      <c r="Y187" s="133" t="str">
        <f>IFERROR(_xlfn.XLOOKUP($A187,'Raw Data'!$G:$G,'Raw Data'!AJ:AJ),"")</f>
        <v/>
      </c>
      <c r="Z187" s="133" t="str">
        <f>IFERROR(_xlfn.XLOOKUP($A187,'Raw Data'!$G:$G,'Raw Data'!AK:AK),"")</f>
        <v/>
      </c>
      <c r="AA187" s="133" t="str">
        <f>IFERROR(_xlfn.XLOOKUP($A187,'Raw Data'!$G:$G,'Raw Data'!AL:AL),"")</f>
        <v/>
      </c>
      <c r="AB187" s="133" t="str">
        <f>IFERROR(_xlfn.XLOOKUP($A187,'Raw Data'!$G:$G,'Raw Data'!H:H),"")</f>
        <v/>
      </c>
      <c r="AC187" s="142">
        <f>IFERROR(_xlfn.XLOOKUP($D187,'Modelling New'!$D:$D,'Modelling New'!P:P),"")</f>
        <v>4.8466666666666667</v>
      </c>
      <c r="AD187" s="133">
        <f>IFERROR(_xlfn.XLOOKUP($D187,'Modelling New'!$D:$D,'Modelling New'!$T:$T)*1000,"")</f>
        <v>27099.030800071054</v>
      </c>
      <c r="AE187" s="143">
        <f>IFERROR(_xlfn.XLOOKUP($D187,'Modelling New'!$D:$D,'Modelling New'!O:O),"")</f>
        <v>0.69708783670793795</v>
      </c>
      <c r="AF187" s="145">
        <f>IFERROR(_xlfn.XLOOKUP($D187,'Modelling New'!$D:$D,'Modelling New'!W:W),"")</f>
        <v>0.14077301591296412</v>
      </c>
      <c r="AG187" s="145">
        <f>IFERROR(_xlfn.XLOOKUP($D187,'Modelling New'!$D:$D,'Modelling New'!AE:AE),"")</f>
        <v>0.98040000000000005</v>
      </c>
      <c r="AH187" s="167">
        <f>IFERROR(_xlfn.XLOOKUP($D187,'Modelling New'!$D:$D,'Modelling New'!AF:AF),"")</f>
        <v>0.98</v>
      </c>
      <c r="AN187" s="144"/>
      <c r="AO187" s="141"/>
      <c r="AP187" s="141"/>
      <c r="AQ187" s="141"/>
      <c r="AR187" s="133">
        <f>'Basic Data'!$B$98/1000</f>
        <v>8.0208999999999993</v>
      </c>
    </row>
    <row r="188" spans="1:44" x14ac:dyDescent="0.3">
      <c r="A188" s="132">
        <f t="shared" si="15"/>
        <v>45931</v>
      </c>
      <c r="B188" s="133">
        <f>YEAR(Table13[[#This Row],[Date]])+IF(MONTH(Table13[[#This Row],[Date]])&gt;=4,1,0)</f>
        <v>2026</v>
      </c>
      <c r="C188" s="134">
        <f>YEAR(Table13[[#This Row],[Date]])</f>
        <v>2025</v>
      </c>
      <c r="D188" s="135">
        <f>Table13[[#This Row],[Date]]-DAY(Table13[[#This Row],[Date]])+1</f>
        <v>45931</v>
      </c>
      <c r="E188" s="134">
        <f t="shared" si="12"/>
        <v>31</v>
      </c>
      <c r="F188" s="136" t="str">
        <f>IFERROR(_xlfn.XLOOKUP($A188,'Raw Data'!$G:$G,'Raw Data'!$AM:$AM),"")</f>
        <v/>
      </c>
      <c r="G188" s="137" t="str">
        <f>IFERROR(_xlfn.XLOOKUP($A188,'Raw Data'!$G:$G,'Raw Data'!$AB:$AB),"")</f>
        <v/>
      </c>
      <c r="H188" s="137"/>
      <c r="I188" s="137" t="str">
        <f>IFERROR(_xlfn.XLOOKUP($A188,'Raw Data'!$G:$G,'Raw Data'!$AC:$AC),"")</f>
        <v/>
      </c>
      <c r="J188" s="137"/>
      <c r="K188" s="137" t="str">
        <f>IFERROR(_xlfn.XLOOKUP($A188,'Raw Data'!$G:$G,'Raw Data'!AD:AD),"")</f>
        <v/>
      </c>
      <c r="L188" s="137" t="str">
        <f>IFERROR(_xlfn.XLOOKUP($A188,'Raw Data'!$G:$G,'Raw Data'!AE:AE),"")</f>
        <v/>
      </c>
      <c r="M188" s="137" t="str">
        <f>IFERROR(_xlfn.XLOOKUP($A188,'Raw Data'!$G:$G,'Raw Data'!AF:AF),"")</f>
        <v/>
      </c>
      <c r="N188" s="137" t="str">
        <f>IFERROR(_xlfn.XLOOKUP($A188,'Raw Data'!$G:$G,'Raw Data'!AG:AG),"")</f>
        <v/>
      </c>
      <c r="O188" s="138" t="str">
        <f>IFERROR(1-SUMIF('Plant BD'!$H:$H,$A188,'Plant BD'!$AE:$AE)/($AA188+SUMIF('Plant BD'!$H:$H,$A188,'Plant BD'!$AE:$AE)),"")</f>
        <v/>
      </c>
      <c r="P188" s="138"/>
      <c r="Q188" s="139"/>
      <c r="R188" s="138" t="str">
        <f>IFERROR(1-SUMIF('Grid BD'!$H:$H,$A188,'Grid BD'!$AD:$AD)/($AA188+SUMIF('Grid BD'!$H:$H,$A188,'Grid BD'!$AD:$AD)),"")</f>
        <v/>
      </c>
      <c r="T188" s="139"/>
      <c r="U188" s="140" t="str">
        <f t="shared" si="13"/>
        <v/>
      </c>
      <c r="V188" s="140"/>
      <c r="W188" s="141" t="str">
        <f t="shared" si="14"/>
        <v/>
      </c>
      <c r="X188" s="133" t="str">
        <f>IFERROR(_xlfn.XLOOKUP($A188,'Raw Data'!$G:$G,'Raw Data'!AI:AI),"")</f>
        <v/>
      </c>
      <c r="Y188" s="133" t="str">
        <f>IFERROR(_xlfn.XLOOKUP($A188,'Raw Data'!$G:$G,'Raw Data'!AJ:AJ),"")</f>
        <v/>
      </c>
      <c r="Z188" s="133" t="str">
        <f>IFERROR(_xlfn.XLOOKUP($A188,'Raw Data'!$G:$G,'Raw Data'!AK:AK),"")</f>
        <v/>
      </c>
      <c r="AA188" s="133" t="str">
        <f>IFERROR(_xlfn.XLOOKUP($A188,'Raw Data'!$G:$G,'Raw Data'!AL:AL),"")</f>
        <v/>
      </c>
      <c r="AB188" s="133" t="str">
        <f>IFERROR(_xlfn.XLOOKUP($A188,'Raw Data'!$G:$G,'Raw Data'!H:H),"")</f>
        <v/>
      </c>
      <c r="AC188" s="142">
        <f>IFERROR(_xlfn.XLOOKUP($D188,'Modelling New'!$D:$D,'Modelling New'!P:P),"")</f>
        <v>5.1225806451612907</v>
      </c>
      <c r="AD188" s="133">
        <f>IFERROR(_xlfn.XLOOKUP($D188,'Modelling New'!$D:$D,'Modelling New'!$T:$T)*1000,"")</f>
        <v>29797.679316907321</v>
      </c>
      <c r="AE188" s="143">
        <f>IFERROR(_xlfn.XLOOKUP($D188,'Modelling New'!$D:$D,'Modelling New'!O:O),"")</f>
        <v>0.72522127474099773</v>
      </c>
      <c r="AF188" s="145">
        <f>IFERROR(_xlfn.XLOOKUP($D188,'Modelling New'!$D:$D,'Modelling New'!W:W),"")</f>
        <v>0.1547918527269764</v>
      </c>
      <c r="AG188" s="145">
        <f>IFERROR(_xlfn.XLOOKUP($D188,'Modelling New'!$D:$D,'Modelling New'!AE:AE),"")</f>
        <v>0.98040000000000005</v>
      </c>
      <c r="AH188" s="167">
        <f>IFERROR(_xlfn.XLOOKUP($D188,'Modelling New'!$D:$D,'Modelling New'!AF:AF),"")</f>
        <v>0.98</v>
      </c>
      <c r="AN188" s="144"/>
      <c r="AO188" s="141"/>
      <c r="AP188" s="141"/>
      <c r="AQ188" s="141"/>
      <c r="AR188" s="133">
        <f>'Basic Data'!$B$98/1000</f>
        <v>8.0208999999999993</v>
      </c>
    </row>
    <row r="189" spans="1:44" x14ac:dyDescent="0.3">
      <c r="A189" s="132">
        <f t="shared" si="15"/>
        <v>45932</v>
      </c>
      <c r="B189" s="133">
        <f>YEAR(Table13[[#This Row],[Date]])+IF(MONTH(Table13[[#This Row],[Date]])&gt;=4,1,0)</f>
        <v>2026</v>
      </c>
      <c r="C189" s="134">
        <f>YEAR(Table13[[#This Row],[Date]])</f>
        <v>2025</v>
      </c>
      <c r="D189" s="135">
        <f>Table13[[#This Row],[Date]]-DAY(Table13[[#This Row],[Date]])+1</f>
        <v>45931</v>
      </c>
      <c r="E189" s="134">
        <f t="shared" si="12"/>
        <v>31</v>
      </c>
      <c r="F189" s="136" t="str">
        <f>IFERROR(_xlfn.XLOOKUP($A189,'Raw Data'!$G:$G,'Raw Data'!$AM:$AM),"")</f>
        <v/>
      </c>
      <c r="G189" s="137" t="str">
        <f>IFERROR(_xlfn.XLOOKUP($A189,'Raw Data'!$G:$G,'Raw Data'!$AB:$AB),"")</f>
        <v/>
      </c>
      <c r="H189" s="137"/>
      <c r="I189" s="137" t="str">
        <f>IFERROR(_xlfn.XLOOKUP($A189,'Raw Data'!$G:$G,'Raw Data'!$AC:$AC),"")</f>
        <v/>
      </c>
      <c r="J189" s="137"/>
      <c r="K189" s="137" t="str">
        <f>IFERROR(_xlfn.XLOOKUP($A189,'Raw Data'!$G:$G,'Raw Data'!AD:AD),"")</f>
        <v/>
      </c>
      <c r="L189" s="137" t="str">
        <f>IFERROR(_xlfn.XLOOKUP($A189,'Raw Data'!$G:$G,'Raw Data'!AE:AE),"")</f>
        <v/>
      </c>
      <c r="M189" s="137" t="str">
        <f>IFERROR(_xlfn.XLOOKUP($A189,'Raw Data'!$G:$G,'Raw Data'!AF:AF),"")</f>
        <v/>
      </c>
      <c r="N189" s="137" t="str">
        <f>IFERROR(_xlfn.XLOOKUP($A189,'Raw Data'!$G:$G,'Raw Data'!AG:AG),"")</f>
        <v/>
      </c>
      <c r="O189" s="138" t="str">
        <f>IFERROR(1-SUMIF('Plant BD'!$H:$H,$A189,'Plant BD'!$AE:$AE)/($AA189+SUMIF('Plant BD'!$H:$H,$A189,'Plant BD'!$AE:$AE)),"")</f>
        <v/>
      </c>
      <c r="P189" s="138"/>
      <c r="Q189" s="139"/>
      <c r="R189" s="138" t="str">
        <f>IFERROR(1-SUMIF('Grid BD'!$H:$H,$A189,'Grid BD'!$AD:$AD)/($AA189+SUMIF('Grid BD'!$H:$H,$A189,'Grid BD'!$AD:$AD)),"")</f>
        <v/>
      </c>
      <c r="T189" s="139"/>
      <c r="U189" s="140" t="str">
        <f t="shared" si="13"/>
        <v/>
      </c>
      <c r="V189" s="140"/>
      <c r="W189" s="141" t="str">
        <f t="shared" si="14"/>
        <v/>
      </c>
      <c r="X189" s="133" t="str">
        <f>IFERROR(_xlfn.XLOOKUP($A189,'Raw Data'!$G:$G,'Raw Data'!AI:AI),"")</f>
        <v/>
      </c>
      <c r="Y189" s="133" t="str">
        <f>IFERROR(_xlfn.XLOOKUP($A189,'Raw Data'!$G:$G,'Raw Data'!AJ:AJ),"")</f>
        <v/>
      </c>
      <c r="Z189" s="133" t="str">
        <f>IFERROR(_xlfn.XLOOKUP($A189,'Raw Data'!$G:$G,'Raw Data'!AK:AK),"")</f>
        <v/>
      </c>
      <c r="AA189" s="133" t="str">
        <f>IFERROR(_xlfn.XLOOKUP($A189,'Raw Data'!$G:$G,'Raw Data'!AL:AL),"")</f>
        <v/>
      </c>
      <c r="AB189" s="133" t="str">
        <f>IFERROR(_xlfn.XLOOKUP($A189,'Raw Data'!$G:$G,'Raw Data'!H:H),"")</f>
        <v/>
      </c>
      <c r="AC189" s="142">
        <f>IFERROR(_xlfn.XLOOKUP($D189,'Modelling New'!$D:$D,'Modelling New'!P:P),"")</f>
        <v>5.1225806451612907</v>
      </c>
      <c r="AD189" s="133">
        <f>IFERROR(_xlfn.XLOOKUP($D189,'Modelling New'!$D:$D,'Modelling New'!$T:$T)*1000,"")</f>
        <v>29797.679316907321</v>
      </c>
      <c r="AE189" s="143">
        <f>IFERROR(_xlfn.XLOOKUP($D189,'Modelling New'!$D:$D,'Modelling New'!O:O),"")</f>
        <v>0.72522127474099773</v>
      </c>
      <c r="AF189" s="145">
        <f>IFERROR(_xlfn.XLOOKUP($D189,'Modelling New'!$D:$D,'Modelling New'!W:W),"")</f>
        <v>0.1547918527269764</v>
      </c>
      <c r="AG189" s="145">
        <f>IFERROR(_xlfn.XLOOKUP($D189,'Modelling New'!$D:$D,'Modelling New'!AE:AE),"")</f>
        <v>0.98040000000000005</v>
      </c>
      <c r="AH189" s="167">
        <f>IFERROR(_xlfn.XLOOKUP($D189,'Modelling New'!$D:$D,'Modelling New'!AF:AF),"")</f>
        <v>0.98</v>
      </c>
      <c r="AN189" s="144"/>
      <c r="AO189" s="141"/>
      <c r="AP189" s="141"/>
      <c r="AQ189" s="141"/>
      <c r="AR189" s="133">
        <f>'Basic Data'!$B$98/1000</f>
        <v>8.0208999999999993</v>
      </c>
    </row>
    <row r="190" spans="1:44" x14ac:dyDescent="0.3">
      <c r="A190" s="132">
        <f t="shared" si="15"/>
        <v>45933</v>
      </c>
      <c r="B190" s="133">
        <f>YEAR(Table13[[#This Row],[Date]])+IF(MONTH(Table13[[#This Row],[Date]])&gt;=4,1,0)</f>
        <v>2026</v>
      </c>
      <c r="C190" s="134">
        <f>YEAR(Table13[[#This Row],[Date]])</f>
        <v>2025</v>
      </c>
      <c r="D190" s="135">
        <f>Table13[[#This Row],[Date]]-DAY(Table13[[#This Row],[Date]])+1</f>
        <v>45931</v>
      </c>
      <c r="E190" s="134">
        <f t="shared" si="12"/>
        <v>31</v>
      </c>
      <c r="F190" s="136" t="str">
        <f>IFERROR(_xlfn.XLOOKUP($A190,'Raw Data'!$G:$G,'Raw Data'!$AM:$AM),"")</f>
        <v/>
      </c>
      <c r="G190" s="137" t="str">
        <f>IFERROR(_xlfn.XLOOKUP($A190,'Raw Data'!$G:$G,'Raw Data'!$AB:$AB),"")</f>
        <v/>
      </c>
      <c r="H190" s="137"/>
      <c r="I190" s="137" t="str">
        <f>IFERROR(_xlfn.XLOOKUP($A190,'Raw Data'!$G:$G,'Raw Data'!$AC:$AC),"")</f>
        <v/>
      </c>
      <c r="J190" s="137"/>
      <c r="K190" s="137" t="str">
        <f>IFERROR(_xlfn.XLOOKUP($A190,'Raw Data'!$G:$G,'Raw Data'!AD:AD),"")</f>
        <v/>
      </c>
      <c r="L190" s="137" t="str">
        <f>IFERROR(_xlfn.XLOOKUP($A190,'Raw Data'!$G:$G,'Raw Data'!AE:AE),"")</f>
        <v/>
      </c>
      <c r="M190" s="137" t="str">
        <f>IFERROR(_xlfn.XLOOKUP($A190,'Raw Data'!$G:$G,'Raw Data'!AF:AF),"")</f>
        <v/>
      </c>
      <c r="N190" s="137" t="str">
        <f>IFERROR(_xlfn.XLOOKUP($A190,'Raw Data'!$G:$G,'Raw Data'!AG:AG),"")</f>
        <v/>
      </c>
      <c r="O190" s="138" t="str">
        <f>IFERROR(1-SUMIF('Plant BD'!$H:$H,$A190,'Plant BD'!$AE:$AE)/($AA190+SUMIF('Plant BD'!$H:$H,$A190,'Plant BD'!$AE:$AE)),"")</f>
        <v/>
      </c>
      <c r="P190" s="138"/>
      <c r="Q190" s="139"/>
      <c r="R190" s="138" t="str">
        <f>IFERROR(1-SUMIF('Grid BD'!$H:$H,$A190,'Grid BD'!$AD:$AD)/($AA190+SUMIF('Grid BD'!$H:$H,$A190,'Grid BD'!$AD:$AD)),"")</f>
        <v/>
      </c>
      <c r="T190" s="139"/>
      <c r="U190" s="140" t="str">
        <f t="shared" si="13"/>
        <v/>
      </c>
      <c r="V190" s="140"/>
      <c r="W190" s="141" t="str">
        <f t="shared" si="14"/>
        <v/>
      </c>
      <c r="X190" s="133" t="str">
        <f>IFERROR(_xlfn.XLOOKUP($A190,'Raw Data'!$G:$G,'Raw Data'!AI:AI),"")</f>
        <v/>
      </c>
      <c r="Y190" s="133" t="str">
        <f>IFERROR(_xlfn.XLOOKUP($A190,'Raw Data'!$G:$G,'Raw Data'!AJ:AJ),"")</f>
        <v/>
      </c>
      <c r="Z190" s="133" t="str">
        <f>IFERROR(_xlfn.XLOOKUP($A190,'Raw Data'!$G:$G,'Raw Data'!AK:AK),"")</f>
        <v/>
      </c>
      <c r="AA190" s="133" t="str">
        <f>IFERROR(_xlfn.XLOOKUP($A190,'Raw Data'!$G:$G,'Raw Data'!AL:AL),"")</f>
        <v/>
      </c>
      <c r="AB190" s="133" t="str">
        <f>IFERROR(_xlfn.XLOOKUP($A190,'Raw Data'!$G:$G,'Raw Data'!H:H),"")</f>
        <v/>
      </c>
      <c r="AC190" s="142">
        <f>IFERROR(_xlfn.XLOOKUP($D190,'Modelling New'!$D:$D,'Modelling New'!P:P),"")</f>
        <v>5.1225806451612907</v>
      </c>
      <c r="AD190" s="133">
        <f>IFERROR(_xlfn.XLOOKUP($D190,'Modelling New'!$D:$D,'Modelling New'!$T:$T)*1000,"")</f>
        <v>29797.679316907321</v>
      </c>
      <c r="AE190" s="143">
        <f>IFERROR(_xlfn.XLOOKUP($D190,'Modelling New'!$D:$D,'Modelling New'!O:O),"")</f>
        <v>0.72522127474099773</v>
      </c>
      <c r="AF190" s="145">
        <f>IFERROR(_xlfn.XLOOKUP($D190,'Modelling New'!$D:$D,'Modelling New'!W:W),"")</f>
        <v>0.1547918527269764</v>
      </c>
      <c r="AG190" s="145">
        <f>IFERROR(_xlfn.XLOOKUP($D190,'Modelling New'!$D:$D,'Modelling New'!AE:AE),"")</f>
        <v>0.98040000000000005</v>
      </c>
      <c r="AH190" s="167">
        <f>IFERROR(_xlfn.XLOOKUP($D190,'Modelling New'!$D:$D,'Modelling New'!AF:AF),"")</f>
        <v>0.98</v>
      </c>
      <c r="AN190" s="144"/>
      <c r="AO190" s="141"/>
      <c r="AP190" s="141"/>
      <c r="AQ190" s="141"/>
      <c r="AR190" s="133">
        <f>'Basic Data'!$B$98/1000</f>
        <v>8.0208999999999993</v>
      </c>
    </row>
    <row r="191" spans="1:44" x14ac:dyDescent="0.3">
      <c r="A191" s="132">
        <f t="shared" si="15"/>
        <v>45934</v>
      </c>
      <c r="B191" s="133">
        <f>YEAR(Table13[[#This Row],[Date]])+IF(MONTH(Table13[[#This Row],[Date]])&gt;=4,1,0)</f>
        <v>2026</v>
      </c>
      <c r="C191" s="134">
        <f>YEAR(Table13[[#This Row],[Date]])</f>
        <v>2025</v>
      </c>
      <c r="D191" s="135">
        <f>Table13[[#This Row],[Date]]-DAY(Table13[[#This Row],[Date]])+1</f>
        <v>45931</v>
      </c>
      <c r="E191" s="134">
        <f t="shared" si="12"/>
        <v>31</v>
      </c>
      <c r="F191" s="136" t="str">
        <f>IFERROR(_xlfn.XLOOKUP($A191,'Raw Data'!$G:$G,'Raw Data'!$AM:$AM),"")</f>
        <v/>
      </c>
      <c r="G191" s="137" t="str">
        <f>IFERROR(_xlfn.XLOOKUP($A191,'Raw Data'!$G:$G,'Raw Data'!$AB:$AB),"")</f>
        <v/>
      </c>
      <c r="H191" s="137"/>
      <c r="I191" s="137" t="str">
        <f>IFERROR(_xlfn.XLOOKUP($A191,'Raw Data'!$G:$G,'Raw Data'!$AC:$AC),"")</f>
        <v/>
      </c>
      <c r="J191" s="137"/>
      <c r="K191" s="137" t="str">
        <f>IFERROR(_xlfn.XLOOKUP($A191,'Raw Data'!$G:$G,'Raw Data'!AD:AD),"")</f>
        <v/>
      </c>
      <c r="L191" s="137" t="str">
        <f>IFERROR(_xlfn.XLOOKUP($A191,'Raw Data'!$G:$G,'Raw Data'!AE:AE),"")</f>
        <v/>
      </c>
      <c r="M191" s="137" t="str">
        <f>IFERROR(_xlfn.XLOOKUP($A191,'Raw Data'!$G:$G,'Raw Data'!AF:AF),"")</f>
        <v/>
      </c>
      <c r="N191" s="137" t="str">
        <f>IFERROR(_xlfn.XLOOKUP($A191,'Raw Data'!$G:$G,'Raw Data'!AG:AG),"")</f>
        <v/>
      </c>
      <c r="O191" s="138" t="str">
        <f>IFERROR(1-SUMIF('Plant BD'!$H:$H,$A191,'Plant BD'!$AE:$AE)/($AA191+SUMIF('Plant BD'!$H:$H,$A191,'Plant BD'!$AE:$AE)),"")</f>
        <v/>
      </c>
      <c r="P191" s="138"/>
      <c r="Q191" s="139"/>
      <c r="R191" s="138" t="str">
        <f>IFERROR(1-SUMIF('Grid BD'!$H:$H,$A191,'Grid BD'!$AD:$AD)/($AA191+SUMIF('Grid BD'!$H:$H,$A191,'Grid BD'!$AD:$AD)),"")</f>
        <v/>
      </c>
      <c r="T191" s="139"/>
      <c r="U191" s="140" t="str">
        <f t="shared" si="13"/>
        <v/>
      </c>
      <c r="V191" s="140"/>
      <c r="W191" s="141" t="str">
        <f t="shared" si="14"/>
        <v/>
      </c>
      <c r="X191" s="133" t="str">
        <f>IFERROR(_xlfn.XLOOKUP($A191,'Raw Data'!$G:$G,'Raw Data'!AI:AI),"")</f>
        <v/>
      </c>
      <c r="Y191" s="133" t="str">
        <f>IFERROR(_xlfn.XLOOKUP($A191,'Raw Data'!$G:$G,'Raw Data'!AJ:AJ),"")</f>
        <v/>
      </c>
      <c r="Z191" s="133" t="str">
        <f>IFERROR(_xlfn.XLOOKUP($A191,'Raw Data'!$G:$G,'Raw Data'!AK:AK),"")</f>
        <v/>
      </c>
      <c r="AA191" s="133" t="str">
        <f>IFERROR(_xlfn.XLOOKUP($A191,'Raw Data'!$G:$G,'Raw Data'!AL:AL),"")</f>
        <v/>
      </c>
      <c r="AB191" s="133" t="str">
        <f>IFERROR(_xlfn.XLOOKUP($A191,'Raw Data'!$G:$G,'Raw Data'!H:H),"")</f>
        <v/>
      </c>
      <c r="AC191" s="142">
        <f>IFERROR(_xlfn.XLOOKUP($D191,'Modelling New'!$D:$D,'Modelling New'!P:P),"")</f>
        <v>5.1225806451612907</v>
      </c>
      <c r="AD191" s="133">
        <f>IFERROR(_xlfn.XLOOKUP($D191,'Modelling New'!$D:$D,'Modelling New'!$T:$T)*1000,"")</f>
        <v>29797.679316907321</v>
      </c>
      <c r="AE191" s="143">
        <f>IFERROR(_xlfn.XLOOKUP($D191,'Modelling New'!$D:$D,'Modelling New'!O:O),"")</f>
        <v>0.72522127474099773</v>
      </c>
      <c r="AF191" s="145">
        <f>IFERROR(_xlfn.XLOOKUP($D191,'Modelling New'!$D:$D,'Modelling New'!W:W),"")</f>
        <v>0.1547918527269764</v>
      </c>
      <c r="AG191" s="145">
        <f>IFERROR(_xlfn.XLOOKUP($D191,'Modelling New'!$D:$D,'Modelling New'!AE:AE),"")</f>
        <v>0.98040000000000005</v>
      </c>
      <c r="AH191" s="167">
        <f>IFERROR(_xlfn.XLOOKUP($D191,'Modelling New'!$D:$D,'Modelling New'!AF:AF),"")</f>
        <v>0.98</v>
      </c>
      <c r="AN191" s="144"/>
      <c r="AO191" s="141"/>
      <c r="AP191" s="141"/>
      <c r="AQ191" s="141"/>
      <c r="AR191" s="133">
        <f>'Basic Data'!$B$98/1000</f>
        <v>8.0208999999999993</v>
      </c>
    </row>
    <row r="192" spans="1:44" x14ac:dyDescent="0.3">
      <c r="A192" s="132">
        <f t="shared" si="15"/>
        <v>45935</v>
      </c>
      <c r="B192" s="133">
        <f>YEAR(Table13[[#This Row],[Date]])+IF(MONTH(Table13[[#This Row],[Date]])&gt;=4,1,0)</f>
        <v>2026</v>
      </c>
      <c r="C192" s="134">
        <f>YEAR(Table13[[#This Row],[Date]])</f>
        <v>2025</v>
      </c>
      <c r="D192" s="135">
        <f>Table13[[#This Row],[Date]]-DAY(Table13[[#This Row],[Date]])+1</f>
        <v>45931</v>
      </c>
      <c r="E192" s="134">
        <f t="shared" si="12"/>
        <v>31</v>
      </c>
      <c r="F192" s="136" t="str">
        <f>IFERROR(_xlfn.XLOOKUP($A192,'Raw Data'!$G:$G,'Raw Data'!$AM:$AM),"")</f>
        <v/>
      </c>
      <c r="G192" s="137" t="str">
        <f>IFERROR(_xlfn.XLOOKUP($A192,'Raw Data'!$G:$G,'Raw Data'!$AB:$AB),"")</f>
        <v/>
      </c>
      <c r="H192" s="137"/>
      <c r="I192" s="137" t="str">
        <f>IFERROR(_xlfn.XLOOKUP($A192,'Raw Data'!$G:$G,'Raw Data'!$AC:$AC),"")</f>
        <v/>
      </c>
      <c r="J192" s="137"/>
      <c r="K192" s="137" t="str">
        <f>IFERROR(_xlfn.XLOOKUP($A192,'Raw Data'!$G:$G,'Raw Data'!AD:AD),"")</f>
        <v/>
      </c>
      <c r="L192" s="137" t="str">
        <f>IFERROR(_xlfn.XLOOKUP($A192,'Raw Data'!$G:$G,'Raw Data'!AE:AE),"")</f>
        <v/>
      </c>
      <c r="M192" s="137" t="str">
        <f>IFERROR(_xlfn.XLOOKUP($A192,'Raw Data'!$G:$G,'Raw Data'!AF:AF),"")</f>
        <v/>
      </c>
      <c r="N192" s="137" t="str">
        <f>IFERROR(_xlfn.XLOOKUP($A192,'Raw Data'!$G:$G,'Raw Data'!AG:AG),"")</f>
        <v/>
      </c>
      <c r="O192" s="138" t="str">
        <f>IFERROR(1-SUMIF('Plant BD'!$H:$H,$A192,'Plant BD'!$AE:$AE)/($AA192+SUMIF('Plant BD'!$H:$H,$A192,'Plant BD'!$AE:$AE)),"")</f>
        <v/>
      </c>
      <c r="P192" s="138"/>
      <c r="Q192" s="139"/>
      <c r="R192" s="138" t="str">
        <f>IFERROR(1-SUMIF('Grid BD'!$H:$H,$A192,'Grid BD'!$AD:$AD)/($AA192+SUMIF('Grid BD'!$H:$H,$A192,'Grid BD'!$AD:$AD)),"")</f>
        <v/>
      </c>
      <c r="T192" s="139"/>
      <c r="U192" s="140" t="str">
        <f t="shared" si="13"/>
        <v/>
      </c>
      <c r="V192" s="140"/>
      <c r="W192" s="141" t="str">
        <f t="shared" si="14"/>
        <v/>
      </c>
      <c r="X192" s="133" t="str">
        <f>IFERROR(_xlfn.XLOOKUP($A192,'Raw Data'!$G:$G,'Raw Data'!AI:AI),"")</f>
        <v/>
      </c>
      <c r="Y192" s="133" t="str">
        <f>IFERROR(_xlfn.XLOOKUP($A192,'Raw Data'!$G:$G,'Raw Data'!AJ:AJ),"")</f>
        <v/>
      </c>
      <c r="Z192" s="133" t="str">
        <f>IFERROR(_xlfn.XLOOKUP($A192,'Raw Data'!$G:$G,'Raw Data'!AK:AK),"")</f>
        <v/>
      </c>
      <c r="AA192" s="133" t="str">
        <f>IFERROR(_xlfn.XLOOKUP($A192,'Raw Data'!$G:$G,'Raw Data'!AL:AL),"")</f>
        <v/>
      </c>
      <c r="AB192" s="133" t="str">
        <f>IFERROR(_xlfn.XLOOKUP($A192,'Raw Data'!$G:$G,'Raw Data'!H:H),"")</f>
        <v/>
      </c>
      <c r="AC192" s="142">
        <f>IFERROR(_xlfn.XLOOKUP($D192,'Modelling New'!$D:$D,'Modelling New'!P:P),"")</f>
        <v>5.1225806451612907</v>
      </c>
      <c r="AD192" s="133">
        <f>IFERROR(_xlfn.XLOOKUP($D192,'Modelling New'!$D:$D,'Modelling New'!$T:$T)*1000,"")</f>
        <v>29797.679316907321</v>
      </c>
      <c r="AE192" s="143">
        <f>IFERROR(_xlfn.XLOOKUP($D192,'Modelling New'!$D:$D,'Modelling New'!O:O),"")</f>
        <v>0.72522127474099773</v>
      </c>
      <c r="AF192" s="145">
        <f>IFERROR(_xlfn.XLOOKUP($D192,'Modelling New'!$D:$D,'Modelling New'!W:W),"")</f>
        <v>0.1547918527269764</v>
      </c>
      <c r="AG192" s="145">
        <f>IFERROR(_xlfn.XLOOKUP($D192,'Modelling New'!$D:$D,'Modelling New'!AE:AE),"")</f>
        <v>0.98040000000000005</v>
      </c>
      <c r="AH192" s="167">
        <f>IFERROR(_xlfn.XLOOKUP($D192,'Modelling New'!$D:$D,'Modelling New'!AF:AF),"")</f>
        <v>0.98</v>
      </c>
      <c r="AN192" s="144"/>
      <c r="AO192" s="141"/>
      <c r="AP192" s="141"/>
      <c r="AQ192" s="141"/>
      <c r="AR192" s="133">
        <f>'Basic Data'!$B$98/1000</f>
        <v>8.0208999999999993</v>
      </c>
    </row>
    <row r="193" spans="1:44" x14ac:dyDescent="0.3">
      <c r="A193" s="132">
        <f t="shared" si="15"/>
        <v>45936</v>
      </c>
      <c r="B193" s="133">
        <f>YEAR(Table13[[#This Row],[Date]])+IF(MONTH(Table13[[#This Row],[Date]])&gt;=4,1,0)</f>
        <v>2026</v>
      </c>
      <c r="C193" s="134">
        <f>YEAR(Table13[[#This Row],[Date]])</f>
        <v>2025</v>
      </c>
      <c r="D193" s="135">
        <f>Table13[[#This Row],[Date]]-DAY(Table13[[#This Row],[Date]])+1</f>
        <v>45931</v>
      </c>
      <c r="E193" s="134">
        <f t="shared" si="12"/>
        <v>31</v>
      </c>
      <c r="F193" s="136" t="str">
        <f>IFERROR(_xlfn.XLOOKUP($A193,'Raw Data'!$G:$G,'Raw Data'!$AM:$AM),"")</f>
        <v/>
      </c>
      <c r="G193" s="137" t="str">
        <f>IFERROR(_xlfn.XLOOKUP($A193,'Raw Data'!$G:$G,'Raw Data'!$AB:$AB),"")</f>
        <v/>
      </c>
      <c r="H193" s="137"/>
      <c r="I193" s="137" t="str">
        <f>IFERROR(_xlfn.XLOOKUP($A193,'Raw Data'!$G:$G,'Raw Data'!$AC:$AC),"")</f>
        <v/>
      </c>
      <c r="J193" s="137"/>
      <c r="K193" s="137" t="str">
        <f>IFERROR(_xlfn.XLOOKUP($A193,'Raw Data'!$G:$G,'Raw Data'!AD:AD),"")</f>
        <v/>
      </c>
      <c r="L193" s="137" t="str">
        <f>IFERROR(_xlfn.XLOOKUP($A193,'Raw Data'!$G:$G,'Raw Data'!AE:AE),"")</f>
        <v/>
      </c>
      <c r="M193" s="137" t="str">
        <f>IFERROR(_xlfn.XLOOKUP($A193,'Raw Data'!$G:$G,'Raw Data'!AF:AF),"")</f>
        <v/>
      </c>
      <c r="N193" s="137" t="str">
        <f>IFERROR(_xlfn.XLOOKUP($A193,'Raw Data'!$G:$G,'Raw Data'!AG:AG),"")</f>
        <v/>
      </c>
      <c r="O193" s="138" t="str">
        <f>IFERROR(1-SUMIF('Plant BD'!$H:$H,$A193,'Plant BD'!$AE:$AE)/($AA193+SUMIF('Plant BD'!$H:$H,$A193,'Plant BD'!$AE:$AE)),"")</f>
        <v/>
      </c>
      <c r="P193" s="138"/>
      <c r="Q193" s="139"/>
      <c r="R193" s="138" t="str">
        <f>IFERROR(1-SUMIF('Grid BD'!$H:$H,$A193,'Grid BD'!$AD:$AD)/($AA193+SUMIF('Grid BD'!$H:$H,$A193,'Grid BD'!$AD:$AD)),"")</f>
        <v/>
      </c>
      <c r="T193" s="139"/>
      <c r="U193" s="140" t="str">
        <f t="shared" si="13"/>
        <v/>
      </c>
      <c r="V193" s="140"/>
      <c r="W193" s="141" t="str">
        <f t="shared" si="14"/>
        <v/>
      </c>
      <c r="X193" s="133" t="str">
        <f>IFERROR(_xlfn.XLOOKUP($A193,'Raw Data'!$G:$G,'Raw Data'!AI:AI),"")</f>
        <v/>
      </c>
      <c r="Y193" s="133" t="str">
        <f>IFERROR(_xlfn.XLOOKUP($A193,'Raw Data'!$G:$G,'Raw Data'!AJ:AJ),"")</f>
        <v/>
      </c>
      <c r="Z193" s="133" t="str">
        <f>IFERROR(_xlfn.XLOOKUP($A193,'Raw Data'!$G:$G,'Raw Data'!AK:AK),"")</f>
        <v/>
      </c>
      <c r="AA193" s="133" t="str">
        <f>IFERROR(_xlfn.XLOOKUP($A193,'Raw Data'!$G:$G,'Raw Data'!AL:AL),"")</f>
        <v/>
      </c>
      <c r="AB193" s="133" t="str">
        <f>IFERROR(_xlfn.XLOOKUP($A193,'Raw Data'!$G:$G,'Raw Data'!H:H),"")</f>
        <v/>
      </c>
      <c r="AC193" s="142">
        <f>IFERROR(_xlfn.XLOOKUP($D193,'Modelling New'!$D:$D,'Modelling New'!P:P),"")</f>
        <v>5.1225806451612907</v>
      </c>
      <c r="AD193" s="133">
        <f>IFERROR(_xlfn.XLOOKUP($D193,'Modelling New'!$D:$D,'Modelling New'!$T:$T)*1000,"")</f>
        <v>29797.679316907321</v>
      </c>
      <c r="AE193" s="143">
        <f>IFERROR(_xlfn.XLOOKUP($D193,'Modelling New'!$D:$D,'Modelling New'!O:O),"")</f>
        <v>0.72522127474099773</v>
      </c>
      <c r="AF193" s="145">
        <f>IFERROR(_xlfn.XLOOKUP($D193,'Modelling New'!$D:$D,'Modelling New'!W:W),"")</f>
        <v>0.1547918527269764</v>
      </c>
      <c r="AG193" s="145">
        <f>IFERROR(_xlfn.XLOOKUP($D193,'Modelling New'!$D:$D,'Modelling New'!AE:AE),"")</f>
        <v>0.98040000000000005</v>
      </c>
      <c r="AH193" s="167">
        <f>IFERROR(_xlfn.XLOOKUP($D193,'Modelling New'!$D:$D,'Modelling New'!AF:AF),"")</f>
        <v>0.98</v>
      </c>
      <c r="AN193" s="144"/>
      <c r="AO193" s="141"/>
      <c r="AP193" s="141"/>
      <c r="AQ193" s="141"/>
      <c r="AR193" s="133">
        <f>'Basic Data'!$B$98/1000</f>
        <v>8.0208999999999993</v>
      </c>
    </row>
    <row r="194" spans="1:44" x14ac:dyDescent="0.3">
      <c r="A194" s="132">
        <f t="shared" si="15"/>
        <v>45937</v>
      </c>
      <c r="B194" s="133">
        <f>YEAR(Table13[[#This Row],[Date]])+IF(MONTH(Table13[[#This Row],[Date]])&gt;=4,1,0)</f>
        <v>2026</v>
      </c>
      <c r="C194" s="134">
        <f>YEAR(Table13[[#This Row],[Date]])</f>
        <v>2025</v>
      </c>
      <c r="D194" s="135">
        <f>Table13[[#This Row],[Date]]-DAY(Table13[[#This Row],[Date]])+1</f>
        <v>45931</v>
      </c>
      <c r="E194" s="134">
        <f t="shared" si="12"/>
        <v>31</v>
      </c>
      <c r="F194" s="136" t="str">
        <f>IFERROR(_xlfn.XLOOKUP($A194,'Raw Data'!$G:$G,'Raw Data'!$AM:$AM),"")</f>
        <v/>
      </c>
      <c r="G194" s="137" t="str">
        <f>IFERROR(_xlfn.XLOOKUP($A194,'Raw Data'!$G:$G,'Raw Data'!$AB:$AB),"")</f>
        <v/>
      </c>
      <c r="H194" s="137"/>
      <c r="I194" s="137" t="str">
        <f>IFERROR(_xlfn.XLOOKUP($A194,'Raw Data'!$G:$G,'Raw Data'!$AC:$AC),"")</f>
        <v/>
      </c>
      <c r="J194" s="137"/>
      <c r="K194" s="137" t="str">
        <f>IFERROR(_xlfn.XLOOKUP($A194,'Raw Data'!$G:$G,'Raw Data'!AD:AD),"")</f>
        <v/>
      </c>
      <c r="L194" s="137" t="str">
        <f>IFERROR(_xlfn.XLOOKUP($A194,'Raw Data'!$G:$G,'Raw Data'!AE:AE),"")</f>
        <v/>
      </c>
      <c r="M194" s="137" t="str">
        <f>IFERROR(_xlfn.XLOOKUP($A194,'Raw Data'!$G:$G,'Raw Data'!AF:AF),"")</f>
        <v/>
      </c>
      <c r="N194" s="137" t="str">
        <f>IFERROR(_xlfn.XLOOKUP($A194,'Raw Data'!$G:$G,'Raw Data'!AG:AG),"")</f>
        <v/>
      </c>
      <c r="O194" s="138" t="str">
        <f>IFERROR(1-SUMIF('Plant BD'!$H:$H,$A194,'Plant BD'!$AE:$AE)/($AA194+SUMIF('Plant BD'!$H:$H,$A194,'Plant BD'!$AE:$AE)),"")</f>
        <v/>
      </c>
      <c r="P194" s="138"/>
      <c r="Q194" s="139"/>
      <c r="R194" s="138" t="str">
        <f>IFERROR(1-SUMIF('Grid BD'!$H:$H,$A194,'Grid BD'!$AD:$AD)/($AA194+SUMIF('Grid BD'!$H:$H,$A194,'Grid BD'!$AD:$AD)),"")</f>
        <v/>
      </c>
      <c r="T194" s="139"/>
      <c r="U194" s="140" t="str">
        <f t="shared" si="13"/>
        <v/>
      </c>
      <c r="V194" s="140"/>
      <c r="W194" s="141" t="str">
        <f t="shared" si="14"/>
        <v/>
      </c>
      <c r="X194" s="133" t="str">
        <f>IFERROR(_xlfn.XLOOKUP($A194,'Raw Data'!$G:$G,'Raw Data'!AI:AI),"")</f>
        <v/>
      </c>
      <c r="Y194" s="133" t="str">
        <f>IFERROR(_xlfn.XLOOKUP($A194,'Raw Data'!$G:$G,'Raw Data'!AJ:AJ),"")</f>
        <v/>
      </c>
      <c r="Z194" s="133" t="str">
        <f>IFERROR(_xlfn.XLOOKUP($A194,'Raw Data'!$G:$G,'Raw Data'!AK:AK),"")</f>
        <v/>
      </c>
      <c r="AA194" s="133" t="str">
        <f>IFERROR(_xlfn.XLOOKUP($A194,'Raw Data'!$G:$G,'Raw Data'!AL:AL),"")</f>
        <v/>
      </c>
      <c r="AB194" s="133" t="str">
        <f>IFERROR(_xlfn.XLOOKUP($A194,'Raw Data'!$G:$G,'Raw Data'!H:H),"")</f>
        <v/>
      </c>
      <c r="AC194" s="142">
        <f>IFERROR(_xlfn.XLOOKUP($D194,'Modelling New'!$D:$D,'Modelling New'!P:P),"")</f>
        <v>5.1225806451612907</v>
      </c>
      <c r="AD194" s="133">
        <f>IFERROR(_xlfn.XLOOKUP($D194,'Modelling New'!$D:$D,'Modelling New'!$T:$T)*1000,"")</f>
        <v>29797.679316907321</v>
      </c>
      <c r="AE194" s="143">
        <f>IFERROR(_xlfn.XLOOKUP($D194,'Modelling New'!$D:$D,'Modelling New'!O:O),"")</f>
        <v>0.72522127474099773</v>
      </c>
      <c r="AF194" s="145">
        <f>IFERROR(_xlfn.XLOOKUP($D194,'Modelling New'!$D:$D,'Modelling New'!W:W),"")</f>
        <v>0.1547918527269764</v>
      </c>
      <c r="AG194" s="145">
        <f>IFERROR(_xlfn.XLOOKUP($D194,'Modelling New'!$D:$D,'Modelling New'!AE:AE),"")</f>
        <v>0.98040000000000005</v>
      </c>
      <c r="AH194" s="167">
        <f>IFERROR(_xlfn.XLOOKUP($D194,'Modelling New'!$D:$D,'Modelling New'!AF:AF),"")</f>
        <v>0.98</v>
      </c>
      <c r="AN194" s="144"/>
      <c r="AO194" s="141"/>
      <c r="AP194" s="141"/>
      <c r="AQ194" s="141"/>
      <c r="AR194" s="133">
        <f>'Basic Data'!$B$98/1000</f>
        <v>8.0208999999999993</v>
      </c>
    </row>
    <row r="195" spans="1:44" x14ac:dyDescent="0.3">
      <c r="A195" s="132">
        <f t="shared" si="15"/>
        <v>45938</v>
      </c>
      <c r="B195" s="133">
        <f>YEAR(Table13[[#This Row],[Date]])+IF(MONTH(Table13[[#This Row],[Date]])&gt;=4,1,0)</f>
        <v>2026</v>
      </c>
      <c r="C195" s="134">
        <f>YEAR(Table13[[#This Row],[Date]])</f>
        <v>2025</v>
      </c>
      <c r="D195" s="135">
        <f>Table13[[#This Row],[Date]]-DAY(Table13[[#This Row],[Date]])+1</f>
        <v>45931</v>
      </c>
      <c r="E195" s="134">
        <f t="shared" si="12"/>
        <v>31</v>
      </c>
      <c r="F195" s="136" t="str">
        <f>IFERROR(_xlfn.XLOOKUP($A195,'Raw Data'!$G:$G,'Raw Data'!$AM:$AM),"")</f>
        <v/>
      </c>
      <c r="G195" s="137" t="str">
        <f>IFERROR(_xlfn.XLOOKUP($A195,'Raw Data'!$G:$G,'Raw Data'!$AB:$AB),"")</f>
        <v/>
      </c>
      <c r="H195" s="137"/>
      <c r="I195" s="137" t="str">
        <f>IFERROR(_xlfn.XLOOKUP($A195,'Raw Data'!$G:$G,'Raw Data'!$AC:$AC),"")</f>
        <v/>
      </c>
      <c r="J195" s="137"/>
      <c r="K195" s="137" t="str">
        <f>IFERROR(_xlfn.XLOOKUP($A195,'Raw Data'!$G:$G,'Raw Data'!AD:AD),"")</f>
        <v/>
      </c>
      <c r="L195" s="137" t="str">
        <f>IFERROR(_xlfn.XLOOKUP($A195,'Raw Data'!$G:$G,'Raw Data'!AE:AE),"")</f>
        <v/>
      </c>
      <c r="M195" s="137" t="str">
        <f>IFERROR(_xlfn.XLOOKUP($A195,'Raw Data'!$G:$G,'Raw Data'!AF:AF),"")</f>
        <v/>
      </c>
      <c r="N195" s="137" t="str">
        <f>IFERROR(_xlfn.XLOOKUP($A195,'Raw Data'!$G:$G,'Raw Data'!AG:AG),"")</f>
        <v/>
      </c>
      <c r="O195" s="138" t="str">
        <f>IFERROR(1-SUMIF('Plant BD'!$H:$H,$A195,'Plant BD'!$AE:$AE)/($AA195+SUMIF('Plant BD'!$H:$H,$A195,'Plant BD'!$AE:$AE)),"")</f>
        <v/>
      </c>
      <c r="P195" s="138"/>
      <c r="Q195" s="139"/>
      <c r="R195" s="138" t="str">
        <f>IFERROR(1-SUMIF('Grid BD'!$H:$H,$A195,'Grid BD'!$AD:$AD)/($AA195+SUMIF('Grid BD'!$H:$H,$A195,'Grid BD'!$AD:$AD)),"")</f>
        <v/>
      </c>
      <c r="T195" s="139"/>
      <c r="U195" s="140" t="str">
        <f t="shared" si="13"/>
        <v/>
      </c>
      <c r="V195" s="140"/>
      <c r="W195" s="141" t="str">
        <f t="shared" si="14"/>
        <v/>
      </c>
      <c r="X195" s="133" t="str">
        <f>IFERROR(_xlfn.XLOOKUP($A195,'Raw Data'!$G:$G,'Raw Data'!AI:AI),"")</f>
        <v/>
      </c>
      <c r="Y195" s="133" t="str">
        <f>IFERROR(_xlfn.XLOOKUP($A195,'Raw Data'!$G:$G,'Raw Data'!AJ:AJ),"")</f>
        <v/>
      </c>
      <c r="Z195" s="133" t="str">
        <f>IFERROR(_xlfn.XLOOKUP($A195,'Raw Data'!$G:$G,'Raw Data'!AK:AK),"")</f>
        <v/>
      </c>
      <c r="AA195" s="133" t="str">
        <f>IFERROR(_xlfn.XLOOKUP($A195,'Raw Data'!$G:$G,'Raw Data'!AL:AL),"")</f>
        <v/>
      </c>
      <c r="AB195" s="133" t="str">
        <f>IFERROR(_xlfn.XLOOKUP($A195,'Raw Data'!$G:$G,'Raw Data'!H:H),"")</f>
        <v/>
      </c>
      <c r="AC195" s="142">
        <f>IFERROR(_xlfn.XLOOKUP($D195,'Modelling New'!$D:$D,'Modelling New'!P:P),"")</f>
        <v>5.1225806451612907</v>
      </c>
      <c r="AD195" s="133">
        <f>IFERROR(_xlfn.XLOOKUP($D195,'Modelling New'!$D:$D,'Modelling New'!$T:$T)*1000,"")</f>
        <v>29797.679316907321</v>
      </c>
      <c r="AE195" s="143">
        <f>IFERROR(_xlfn.XLOOKUP($D195,'Modelling New'!$D:$D,'Modelling New'!O:O),"")</f>
        <v>0.72522127474099773</v>
      </c>
      <c r="AF195" s="145">
        <f>IFERROR(_xlfn.XLOOKUP($D195,'Modelling New'!$D:$D,'Modelling New'!W:W),"")</f>
        <v>0.1547918527269764</v>
      </c>
      <c r="AG195" s="145">
        <f>IFERROR(_xlfn.XLOOKUP($D195,'Modelling New'!$D:$D,'Modelling New'!AE:AE),"")</f>
        <v>0.98040000000000005</v>
      </c>
      <c r="AH195" s="167">
        <f>IFERROR(_xlfn.XLOOKUP($D195,'Modelling New'!$D:$D,'Modelling New'!AF:AF),"")</f>
        <v>0.98</v>
      </c>
      <c r="AN195" s="144"/>
      <c r="AO195" s="141"/>
      <c r="AP195" s="141"/>
      <c r="AQ195" s="141"/>
      <c r="AR195" s="133">
        <f>'Basic Data'!$B$98/1000</f>
        <v>8.0208999999999993</v>
      </c>
    </row>
    <row r="196" spans="1:44" x14ac:dyDescent="0.3">
      <c r="A196" s="132">
        <f t="shared" si="15"/>
        <v>45939</v>
      </c>
      <c r="B196" s="133">
        <f>YEAR(Table13[[#This Row],[Date]])+IF(MONTH(Table13[[#This Row],[Date]])&gt;=4,1,0)</f>
        <v>2026</v>
      </c>
      <c r="C196" s="134">
        <f>YEAR(Table13[[#This Row],[Date]])</f>
        <v>2025</v>
      </c>
      <c r="D196" s="135">
        <f>Table13[[#This Row],[Date]]-DAY(Table13[[#This Row],[Date]])+1</f>
        <v>45931</v>
      </c>
      <c r="E196" s="134">
        <f t="shared" si="12"/>
        <v>31</v>
      </c>
      <c r="F196" s="136" t="str">
        <f>IFERROR(_xlfn.XLOOKUP($A196,'Raw Data'!$G:$G,'Raw Data'!$AM:$AM),"")</f>
        <v/>
      </c>
      <c r="G196" s="137" t="str">
        <f>IFERROR(_xlfn.XLOOKUP($A196,'Raw Data'!$G:$G,'Raw Data'!$AB:$AB),"")</f>
        <v/>
      </c>
      <c r="H196" s="137"/>
      <c r="I196" s="137" t="str">
        <f>IFERROR(_xlfn.XLOOKUP($A196,'Raw Data'!$G:$G,'Raw Data'!$AC:$AC),"")</f>
        <v/>
      </c>
      <c r="J196" s="137"/>
      <c r="K196" s="137" t="str">
        <f>IFERROR(_xlfn.XLOOKUP($A196,'Raw Data'!$G:$G,'Raw Data'!AD:AD),"")</f>
        <v/>
      </c>
      <c r="L196" s="137" t="str">
        <f>IFERROR(_xlfn.XLOOKUP($A196,'Raw Data'!$G:$G,'Raw Data'!AE:AE),"")</f>
        <v/>
      </c>
      <c r="M196" s="137" t="str">
        <f>IFERROR(_xlfn.XLOOKUP($A196,'Raw Data'!$G:$G,'Raw Data'!AF:AF),"")</f>
        <v/>
      </c>
      <c r="N196" s="137" t="str">
        <f>IFERROR(_xlfn.XLOOKUP($A196,'Raw Data'!$G:$G,'Raw Data'!AG:AG),"")</f>
        <v/>
      </c>
      <c r="O196" s="138" t="str">
        <f>IFERROR(1-SUMIF('Plant BD'!$H:$H,$A196,'Plant BD'!$AE:$AE)/($AA196+SUMIF('Plant BD'!$H:$H,$A196,'Plant BD'!$AE:$AE)),"")</f>
        <v/>
      </c>
      <c r="P196" s="138"/>
      <c r="Q196" s="139"/>
      <c r="R196" s="138" t="str">
        <f>IFERROR(1-SUMIF('Grid BD'!$H:$H,$A196,'Grid BD'!$AD:$AD)/($AA196+SUMIF('Grid BD'!$H:$H,$A196,'Grid BD'!$AD:$AD)),"")</f>
        <v/>
      </c>
      <c r="T196" s="139"/>
      <c r="U196" s="140" t="str">
        <f t="shared" si="13"/>
        <v/>
      </c>
      <c r="V196" s="140"/>
      <c r="W196" s="141" t="str">
        <f t="shared" si="14"/>
        <v/>
      </c>
      <c r="X196" s="133" t="str">
        <f>IFERROR(_xlfn.XLOOKUP($A196,'Raw Data'!$G:$G,'Raw Data'!AI:AI),"")</f>
        <v/>
      </c>
      <c r="Y196" s="133" t="str">
        <f>IFERROR(_xlfn.XLOOKUP($A196,'Raw Data'!$G:$G,'Raw Data'!AJ:AJ),"")</f>
        <v/>
      </c>
      <c r="Z196" s="133" t="str">
        <f>IFERROR(_xlfn.XLOOKUP($A196,'Raw Data'!$G:$G,'Raw Data'!AK:AK),"")</f>
        <v/>
      </c>
      <c r="AA196" s="133" t="str">
        <f>IFERROR(_xlfn.XLOOKUP($A196,'Raw Data'!$G:$G,'Raw Data'!AL:AL),"")</f>
        <v/>
      </c>
      <c r="AB196" s="133" t="str">
        <f>IFERROR(_xlfn.XLOOKUP($A196,'Raw Data'!$G:$G,'Raw Data'!H:H),"")</f>
        <v/>
      </c>
      <c r="AC196" s="142">
        <f>IFERROR(_xlfn.XLOOKUP($D196,'Modelling New'!$D:$D,'Modelling New'!P:P),"")</f>
        <v>5.1225806451612907</v>
      </c>
      <c r="AD196" s="133">
        <f>IFERROR(_xlfn.XLOOKUP($D196,'Modelling New'!$D:$D,'Modelling New'!$T:$T)*1000,"")</f>
        <v>29797.679316907321</v>
      </c>
      <c r="AE196" s="143">
        <f>IFERROR(_xlfn.XLOOKUP($D196,'Modelling New'!$D:$D,'Modelling New'!O:O),"")</f>
        <v>0.72522127474099773</v>
      </c>
      <c r="AF196" s="145">
        <f>IFERROR(_xlfn.XLOOKUP($D196,'Modelling New'!$D:$D,'Modelling New'!W:W),"")</f>
        <v>0.1547918527269764</v>
      </c>
      <c r="AG196" s="145">
        <f>IFERROR(_xlfn.XLOOKUP($D196,'Modelling New'!$D:$D,'Modelling New'!AE:AE),"")</f>
        <v>0.98040000000000005</v>
      </c>
      <c r="AH196" s="167">
        <f>IFERROR(_xlfn.XLOOKUP($D196,'Modelling New'!$D:$D,'Modelling New'!AF:AF),"")</f>
        <v>0.98</v>
      </c>
      <c r="AN196" s="144"/>
      <c r="AO196" s="141"/>
      <c r="AP196" s="141"/>
      <c r="AQ196" s="141"/>
      <c r="AR196" s="133">
        <f>'Basic Data'!$B$98/1000</f>
        <v>8.0208999999999993</v>
      </c>
    </row>
    <row r="197" spans="1:44" x14ac:dyDescent="0.3">
      <c r="A197" s="132">
        <f t="shared" si="15"/>
        <v>45940</v>
      </c>
      <c r="B197" s="133">
        <f>YEAR(Table13[[#This Row],[Date]])+IF(MONTH(Table13[[#This Row],[Date]])&gt;=4,1,0)</f>
        <v>2026</v>
      </c>
      <c r="C197" s="134">
        <f>YEAR(Table13[[#This Row],[Date]])</f>
        <v>2025</v>
      </c>
      <c r="D197" s="135">
        <f>Table13[[#This Row],[Date]]-DAY(Table13[[#This Row],[Date]])+1</f>
        <v>45931</v>
      </c>
      <c r="E197" s="134">
        <f t="shared" si="12"/>
        <v>31</v>
      </c>
      <c r="F197" s="136" t="str">
        <f>IFERROR(_xlfn.XLOOKUP($A197,'Raw Data'!$G:$G,'Raw Data'!$AM:$AM),"")</f>
        <v/>
      </c>
      <c r="G197" s="137" t="str">
        <f>IFERROR(_xlfn.XLOOKUP($A197,'Raw Data'!$G:$G,'Raw Data'!$AB:$AB),"")</f>
        <v/>
      </c>
      <c r="H197" s="137"/>
      <c r="I197" s="137" t="str">
        <f>IFERROR(_xlfn.XLOOKUP($A197,'Raw Data'!$G:$G,'Raw Data'!$AC:$AC),"")</f>
        <v/>
      </c>
      <c r="J197" s="137"/>
      <c r="K197" s="137" t="str">
        <f>IFERROR(_xlfn.XLOOKUP($A197,'Raw Data'!$G:$G,'Raw Data'!AD:AD),"")</f>
        <v/>
      </c>
      <c r="L197" s="137" t="str">
        <f>IFERROR(_xlfn.XLOOKUP($A197,'Raw Data'!$G:$G,'Raw Data'!AE:AE),"")</f>
        <v/>
      </c>
      <c r="M197" s="137" t="str">
        <f>IFERROR(_xlfn.XLOOKUP($A197,'Raw Data'!$G:$G,'Raw Data'!AF:AF),"")</f>
        <v/>
      </c>
      <c r="N197" s="137" t="str">
        <f>IFERROR(_xlfn.XLOOKUP($A197,'Raw Data'!$G:$G,'Raw Data'!AG:AG),"")</f>
        <v/>
      </c>
      <c r="O197" s="138" t="str">
        <f>IFERROR(1-SUMIF('Plant BD'!$H:$H,$A197,'Plant BD'!$AE:$AE)/($AA197+SUMIF('Plant BD'!$H:$H,$A197,'Plant BD'!$AE:$AE)),"")</f>
        <v/>
      </c>
      <c r="P197" s="138"/>
      <c r="Q197" s="139"/>
      <c r="R197" s="138" t="str">
        <f>IFERROR(1-SUMIF('Grid BD'!$H:$H,$A197,'Grid BD'!$AD:$AD)/($AA197+SUMIF('Grid BD'!$H:$H,$A197,'Grid BD'!$AD:$AD)),"")</f>
        <v/>
      </c>
      <c r="T197" s="139"/>
      <c r="U197" s="140" t="str">
        <f t="shared" si="13"/>
        <v/>
      </c>
      <c r="V197" s="140"/>
      <c r="W197" s="141" t="str">
        <f t="shared" si="14"/>
        <v/>
      </c>
      <c r="X197" s="133" t="str">
        <f>IFERROR(_xlfn.XLOOKUP($A197,'Raw Data'!$G:$G,'Raw Data'!AI:AI),"")</f>
        <v/>
      </c>
      <c r="Y197" s="133" t="str">
        <f>IFERROR(_xlfn.XLOOKUP($A197,'Raw Data'!$G:$G,'Raw Data'!AJ:AJ),"")</f>
        <v/>
      </c>
      <c r="Z197" s="133" t="str">
        <f>IFERROR(_xlfn.XLOOKUP($A197,'Raw Data'!$G:$G,'Raw Data'!AK:AK),"")</f>
        <v/>
      </c>
      <c r="AA197" s="133" t="str">
        <f>IFERROR(_xlfn.XLOOKUP($A197,'Raw Data'!$G:$G,'Raw Data'!AL:AL),"")</f>
        <v/>
      </c>
      <c r="AB197" s="133" t="str">
        <f>IFERROR(_xlfn.XLOOKUP($A197,'Raw Data'!$G:$G,'Raw Data'!H:H),"")</f>
        <v/>
      </c>
      <c r="AC197" s="142">
        <f>IFERROR(_xlfn.XLOOKUP($D197,'Modelling New'!$D:$D,'Modelling New'!P:P),"")</f>
        <v>5.1225806451612907</v>
      </c>
      <c r="AD197" s="133">
        <f>IFERROR(_xlfn.XLOOKUP($D197,'Modelling New'!$D:$D,'Modelling New'!$T:$T)*1000,"")</f>
        <v>29797.679316907321</v>
      </c>
      <c r="AE197" s="143">
        <f>IFERROR(_xlfn.XLOOKUP($D197,'Modelling New'!$D:$D,'Modelling New'!O:O),"")</f>
        <v>0.72522127474099773</v>
      </c>
      <c r="AF197" s="145">
        <f>IFERROR(_xlfn.XLOOKUP($D197,'Modelling New'!$D:$D,'Modelling New'!W:W),"")</f>
        <v>0.1547918527269764</v>
      </c>
      <c r="AG197" s="145">
        <f>IFERROR(_xlfn.XLOOKUP($D197,'Modelling New'!$D:$D,'Modelling New'!AE:AE),"")</f>
        <v>0.98040000000000005</v>
      </c>
      <c r="AH197" s="167">
        <f>IFERROR(_xlfn.XLOOKUP($D197,'Modelling New'!$D:$D,'Modelling New'!AF:AF),"")</f>
        <v>0.98</v>
      </c>
      <c r="AN197" s="144"/>
      <c r="AO197" s="141"/>
      <c r="AP197" s="141"/>
      <c r="AQ197" s="141"/>
      <c r="AR197" s="133">
        <f>'Basic Data'!$B$98/1000</f>
        <v>8.0208999999999993</v>
      </c>
    </row>
    <row r="198" spans="1:44" x14ac:dyDescent="0.3">
      <c r="A198" s="132">
        <f t="shared" si="15"/>
        <v>45941</v>
      </c>
      <c r="B198" s="133">
        <f>YEAR(Table13[[#This Row],[Date]])+IF(MONTH(Table13[[#This Row],[Date]])&gt;=4,1,0)</f>
        <v>2026</v>
      </c>
      <c r="C198" s="134">
        <f>YEAR(Table13[[#This Row],[Date]])</f>
        <v>2025</v>
      </c>
      <c r="D198" s="135">
        <f>Table13[[#This Row],[Date]]-DAY(Table13[[#This Row],[Date]])+1</f>
        <v>45931</v>
      </c>
      <c r="E198" s="134">
        <f t="shared" si="12"/>
        <v>31</v>
      </c>
      <c r="F198" s="136" t="str">
        <f>IFERROR(_xlfn.XLOOKUP($A198,'Raw Data'!$G:$G,'Raw Data'!$AM:$AM),"")</f>
        <v/>
      </c>
      <c r="G198" s="137" t="str">
        <f>IFERROR(_xlfn.XLOOKUP($A198,'Raw Data'!$G:$G,'Raw Data'!$AB:$AB),"")</f>
        <v/>
      </c>
      <c r="H198" s="137"/>
      <c r="I198" s="137" t="str">
        <f>IFERROR(_xlfn.XLOOKUP($A198,'Raw Data'!$G:$G,'Raw Data'!$AC:$AC),"")</f>
        <v/>
      </c>
      <c r="J198" s="137"/>
      <c r="K198" s="137" t="str">
        <f>IFERROR(_xlfn.XLOOKUP($A198,'Raw Data'!$G:$G,'Raw Data'!AD:AD),"")</f>
        <v/>
      </c>
      <c r="L198" s="137" t="str">
        <f>IFERROR(_xlfn.XLOOKUP($A198,'Raw Data'!$G:$G,'Raw Data'!AE:AE),"")</f>
        <v/>
      </c>
      <c r="M198" s="137" t="str">
        <f>IFERROR(_xlfn.XLOOKUP($A198,'Raw Data'!$G:$G,'Raw Data'!AF:AF),"")</f>
        <v/>
      </c>
      <c r="N198" s="137" t="str">
        <f>IFERROR(_xlfn.XLOOKUP($A198,'Raw Data'!$G:$G,'Raw Data'!AG:AG),"")</f>
        <v/>
      </c>
      <c r="O198" s="138" t="str">
        <f>IFERROR(1-SUMIF('Plant BD'!$H:$H,$A198,'Plant BD'!$AE:$AE)/($AA198+SUMIF('Plant BD'!$H:$H,$A198,'Plant BD'!$AE:$AE)),"")</f>
        <v/>
      </c>
      <c r="P198" s="138"/>
      <c r="Q198" s="139"/>
      <c r="R198" s="138" t="str">
        <f>IFERROR(1-SUMIF('Grid BD'!$H:$H,$A198,'Grid BD'!$AD:$AD)/($AA198+SUMIF('Grid BD'!$H:$H,$A198,'Grid BD'!$AD:$AD)),"")</f>
        <v/>
      </c>
      <c r="T198" s="139"/>
      <c r="U198" s="140" t="str">
        <f t="shared" si="13"/>
        <v/>
      </c>
      <c r="V198" s="140"/>
      <c r="W198" s="141" t="str">
        <f t="shared" si="14"/>
        <v/>
      </c>
      <c r="X198" s="133" t="str">
        <f>IFERROR(_xlfn.XLOOKUP($A198,'Raw Data'!$G:$G,'Raw Data'!AI:AI),"")</f>
        <v/>
      </c>
      <c r="Y198" s="133" t="str">
        <f>IFERROR(_xlfn.XLOOKUP($A198,'Raw Data'!$G:$G,'Raw Data'!AJ:AJ),"")</f>
        <v/>
      </c>
      <c r="Z198" s="133" t="str">
        <f>IFERROR(_xlfn.XLOOKUP($A198,'Raw Data'!$G:$G,'Raw Data'!AK:AK),"")</f>
        <v/>
      </c>
      <c r="AA198" s="133" t="str">
        <f>IFERROR(_xlfn.XLOOKUP($A198,'Raw Data'!$G:$G,'Raw Data'!AL:AL),"")</f>
        <v/>
      </c>
      <c r="AB198" s="133" t="str">
        <f>IFERROR(_xlfn.XLOOKUP($A198,'Raw Data'!$G:$G,'Raw Data'!H:H),"")</f>
        <v/>
      </c>
      <c r="AC198" s="142">
        <f>IFERROR(_xlfn.XLOOKUP($D198,'Modelling New'!$D:$D,'Modelling New'!P:P),"")</f>
        <v>5.1225806451612907</v>
      </c>
      <c r="AD198" s="133">
        <f>IFERROR(_xlfn.XLOOKUP($D198,'Modelling New'!$D:$D,'Modelling New'!$T:$T)*1000,"")</f>
        <v>29797.679316907321</v>
      </c>
      <c r="AE198" s="143">
        <f>IFERROR(_xlfn.XLOOKUP($D198,'Modelling New'!$D:$D,'Modelling New'!O:O),"")</f>
        <v>0.72522127474099773</v>
      </c>
      <c r="AF198" s="145">
        <f>IFERROR(_xlfn.XLOOKUP($D198,'Modelling New'!$D:$D,'Modelling New'!W:W),"")</f>
        <v>0.1547918527269764</v>
      </c>
      <c r="AG198" s="145">
        <f>IFERROR(_xlfn.XLOOKUP($D198,'Modelling New'!$D:$D,'Modelling New'!AE:AE),"")</f>
        <v>0.98040000000000005</v>
      </c>
      <c r="AH198" s="167">
        <f>IFERROR(_xlfn.XLOOKUP($D198,'Modelling New'!$D:$D,'Modelling New'!AF:AF),"")</f>
        <v>0.98</v>
      </c>
      <c r="AN198" s="144"/>
      <c r="AO198" s="141"/>
      <c r="AP198" s="141"/>
      <c r="AQ198" s="141"/>
      <c r="AR198" s="133">
        <f>'Basic Data'!$B$98/1000</f>
        <v>8.0208999999999993</v>
      </c>
    </row>
    <row r="199" spans="1:44" x14ac:dyDescent="0.3">
      <c r="A199" s="132">
        <f t="shared" si="15"/>
        <v>45942</v>
      </c>
      <c r="B199" s="133">
        <f>YEAR(Table13[[#This Row],[Date]])+IF(MONTH(Table13[[#This Row],[Date]])&gt;=4,1,0)</f>
        <v>2026</v>
      </c>
      <c r="C199" s="134">
        <f>YEAR(Table13[[#This Row],[Date]])</f>
        <v>2025</v>
      </c>
      <c r="D199" s="135">
        <f>Table13[[#This Row],[Date]]-DAY(Table13[[#This Row],[Date]])+1</f>
        <v>45931</v>
      </c>
      <c r="E199" s="134">
        <f t="shared" si="12"/>
        <v>31</v>
      </c>
      <c r="F199" s="136" t="str">
        <f>IFERROR(_xlfn.XLOOKUP($A199,'Raw Data'!$G:$G,'Raw Data'!$AM:$AM),"")</f>
        <v/>
      </c>
      <c r="G199" s="137" t="str">
        <f>IFERROR(_xlfn.XLOOKUP($A199,'Raw Data'!$G:$G,'Raw Data'!$AB:$AB),"")</f>
        <v/>
      </c>
      <c r="H199" s="137"/>
      <c r="I199" s="137" t="str">
        <f>IFERROR(_xlfn.XLOOKUP($A199,'Raw Data'!$G:$G,'Raw Data'!$AC:$AC),"")</f>
        <v/>
      </c>
      <c r="J199" s="137"/>
      <c r="K199" s="137" t="str">
        <f>IFERROR(_xlfn.XLOOKUP($A199,'Raw Data'!$G:$G,'Raw Data'!AD:AD),"")</f>
        <v/>
      </c>
      <c r="L199" s="137" t="str">
        <f>IFERROR(_xlfn.XLOOKUP($A199,'Raw Data'!$G:$G,'Raw Data'!AE:AE),"")</f>
        <v/>
      </c>
      <c r="M199" s="137" t="str">
        <f>IFERROR(_xlfn.XLOOKUP($A199,'Raw Data'!$G:$G,'Raw Data'!AF:AF),"")</f>
        <v/>
      </c>
      <c r="N199" s="137" t="str">
        <f>IFERROR(_xlfn.XLOOKUP($A199,'Raw Data'!$G:$G,'Raw Data'!AG:AG),"")</f>
        <v/>
      </c>
      <c r="O199" s="138" t="str">
        <f>IFERROR(1-SUMIF('Plant BD'!$H:$H,$A199,'Plant BD'!$AE:$AE)/($AA199+SUMIF('Plant BD'!$H:$H,$A199,'Plant BD'!$AE:$AE)),"")</f>
        <v/>
      </c>
      <c r="P199" s="138"/>
      <c r="Q199" s="139"/>
      <c r="R199" s="138" t="str">
        <f>IFERROR(1-SUMIF('Grid BD'!$H:$H,$A199,'Grid BD'!$AD:$AD)/($AA199+SUMIF('Grid BD'!$H:$H,$A199,'Grid BD'!$AD:$AD)),"")</f>
        <v/>
      </c>
      <c r="T199" s="139"/>
      <c r="U199" s="140" t="str">
        <f t="shared" si="13"/>
        <v/>
      </c>
      <c r="V199" s="140"/>
      <c r="W199" s="141" t="str">
        <f t="shared" si="14"/>
        <v/>
      </c>
      <c r="X199" s="133" t="str">
        <f>IFERROR(_xlfn.XLOOKUP($A199,'Raw Data'!$G:$G,'Raw Data'!AI:AI),"")</f>
        <v/>
      </c>
      <c r="Y199" s="133" t="str">
        <f>IFERROR(_xlfn.XLOOKUP($A199,'Raw Data'!$G:$G,'Raw Data'!AJ:AJ),"")</f>
        <v/>
      </c>
      <c r="Z199" s="133" t="str">
        <f>IFERROR(_xlfn.XLOOKUP($A199,'Raw Data'!$G:$G,'Raw Data'!AK:AK),"")</f>
        <v/>
      </c>
      <c r="AA199" s="133" t="str">
        <f>IFERROR(_xlfn.XLOOKUP($A199,'Raw Data'!$G:$G,'Raw Data'!AL:AL),"")</f>
        <v/>
      </c>
      <c r="AB199" s="133" t="str">
        <f>IFERROR(_xlfn.XLOOKUP($A199,'Raw Data'!$G:$G,'Raw Data'!H:H),"")</f>
        <v/>
      </c>
      <c r="AC199" s="142">
        <f>IFERROR(_xlfn.XLOOKUP($D199,'Modelling New'!$D:$D,'Modelling New'!P:P),"")</f>
        <v>5.1225806451612907</v>
      </c>
      <c r="AD199" s="133">
        <f>IFERROR(_xlfn.XLOOKUP($D199,'Modelling New'!$D:$D,'Modelling New'!$T:$T)*1000,"")</f>
        <v>29797.679316907321</v>
      </c>
      <c r="AE199" s="143">
        <f>IFERROR(_xlfn.XLOOKUP($D199,'Modelling New'!$D:$D,'Modelling New'!O:O),"")</f>
        <v>0.72522127474099773</v>
      </c>
      <c r="AF199" s="145">
        <f>IFERROR(_xlfn.XLOOKUP($D199,'Modelling New'!$D:$D,'Modelling New'!W:W),"")</f>
        <v>0.1547918527269764</v>
      </c>
      <c r="AG199" s="145">
        <f>IFERROR(_xlfn.XLOOKUP($D199,'Modelling New'!$D:$D,'Modelling New'!AE:AE),"")</f>
        <v>0.98040000000000005</v>
      </c>
      <c r="AH199" s="167">
        <f>IFERROR(_xlfn.XLOOKUP($D199,'Modelling New'!$D:$D,'Modelling New'!AF:AF),"")</f>
        <v>0.98</v>
      </c>
      <c r="AN199" s="144"/>
      <c r="AO199" s="141"/>
      <c r="AP199" s="141"/>
      <c r="AQ199" s="141"/>
      <c r="AR199" s="133">
        <f>'Basic Data'!$B$98/1000</f>
        <v>8.0208999999999993</v>
      </c>
    </row>
    <row r="200" spans="1:44" x14ac:dyDescent="0.3">
      <c r="A200" s="132">
        <f t="shared" si="15"/>
        <v>45943</v>
      </c>
      <c r="B200" s="133">
        <f>YEAR(Table13[[#This Row],[Date]])+IF(MONTH(Table13[[#This Row],[Date]])&gt;=4,1,0)</f>
        <v>2026</v>
      </c>
      <c r="C200" s="134">
        <f>YEAR(Table13[[#This Row],[Date]])</f>
        <v>2025</v>
      </c>
      <c r="D200" s="135">
        <f>Table13[[#This Row],[Date]]-DAY(Table13[[#This Row],[Date]])+1</f>
        <v>45931</v>
      </c>
      <c r="E200" s="134">
        <f t="shared" si="12"/>
        <v>31</v>
      </c>
      <c r="F200" s="136" t="str">
        <f>IFERROR(_xlfn.XLOOKUP($A200,'Raw Data'!$G:$G,'Raw Data'!$AM:$AM),"")</f>
        <v/>
      </c>
      <c r="G200" s="137" t="str">
        <f>IFERROR(_xlfn.XLOOKUP($A200,'Raw Data'!$G:$G,'Raw Data'!$AB:$AB),"")</f>
        <v/>
      </c>
      <c r="H200" s="137"/>
      <c r="I200" s="137" t="str">
        <f>IFERROR(_xlfn.XLOOKUP($A200,'Raw Data'!$G:$G,'Raw Data'!$AC:$AC),"")</f>
        <v/>
      </c>
      <c r="J200" s="137"/>
      <c r="K200" s="137" t="str">
        <f>IFERROR(_xlfn.XLOOKUP($A200,'Raw Data'!$G:$G,'Raw Data'!AD:AD),"")</f>
        <v/>
      </c>
      <c r="L200" s="137" t="str">
        <f>IFERROR(_xlfn.XLOOKUP($A200,'Raw Data'!$G:$G,'Raw Data'!AE:AE),"")</f>
        <v/>
      </c>
      <c r="M200" s="137" t="str">
        <f>IFERROR(_xlfn.XLOOKUP($A200,'Raw Data'!$G:$G,'Raw Data'!AF:AF),"")</f>
        <v/>
      </c>
      <c r="N200" s="137" t="str">
        <f>IFERROR(_xlfn.XLOOKUP($A200,'Raw Data'!$G:$G,'Raw Data'!AG:AG),"")</f>
        <v/>
      </c>
      <c r="O200" s="138" t="str">
        <f>IFERROR(1-SUMIF('Plant BD'!$H:$H,$A200,'Plant BD'!$AE:$AE)/($AA200+SUMIF('Plant BD'!$H:$H,$A200,'Plant BD'!$AE:$AE)),"")</f>
        <v/>
      </c>
      <c r="P200" s="138"/>
      <c r="Q200" s="139"/>
      <c r="R200" s="138" t="str">
        <f>IFERROR(1-SUMIF('Grid BD'!$H:$H,$A200,'Grid BD'!$AD:$AD)/($AA200+SUMIF('Grid BD'!$H:$H,$A200,'Grid BD'!$AD:$AD)),"")</f>
        <v/>
      </c>
      <c r="T200" s="139"/>
      <c r="U200" s="140" t="str">
        <f t="shared" si="13"/>
        <v/>
      </c>
      <c r="V200" s="140"/>
      <c r="W200" s="141" t="str">
        <f t="shared" si="14"/>
        <v/>
      </c>
      <c r="X200" s="133" t="str">
        <f>IFERROR(_xlfn.XLOOKUP($A200,'Raw Data'!$G:$G,'Raw Data'!AI:AI),"")</f>
        <v/>
      </c>
      <c r="Y200" s="133" t="str">
        <f>IFERROR(_xlfn.XLOOKUP($A200,'Raw Data'!$G:$G,'Raw Data'!AJ:AJ),"")</f>
        <v/>
      </c>
      <c r="Z200" s="133" t="str">
        <f>IFERROR(_xlfn.XLOOKUP($A200,'Raw Data'!$G:$G,'Raw Data'!AK:AK),"")</f>
        <v/>
      </c>
      <c r="AA200" s="133" t="str">
        <f>IFERROR(_xlfn.XLOOKUP($A200,'Raw Data'!$G:$G,'Raw Data'!AL:AL),"")</f>
        <v/>
      </c>
      <c r="AB200" s="133" t="str">
        <f>IFERROR(_xlfn.XLOOKUP($A200,'Raw Data'!$G:$G,'Raw Data'!H:H),"")</f>
        <v/>
      </c>
      <c r="AC200" s="142">
        <f>IFERROR(_xlfn.XLOOKUP($D200,'Modelling New'!$D:$D,'Modelling New'!P:P),"")</f>
        <v>5.1225806451612907</v>
      </c>
      <c r="AD200" s="133">
        <f>IFERROR(_xlfn.XLOOKUP($D200,'Modelling New'!$D:$D,'Modelling New'!$T:$T)*1000,"")</f>
        <v>29797.679316907321</v>
      </c>
      <c r="AE200" s="143">
        <f>IFERROR(_xlfn.XLOOKUP($D200,'Modelling New'!$D:$D,'Modelling New'!O:O),"")</f>
        <v>0.72522127474099773</v>
      </c>
      <c r="AF200" s="145">
        <f>IFERROR(_xlfn.XLOOKUP($D200,'Modelling New'!$D:$D,'Modelling New'!W:W),"")</f>
        <v>0.1547918527269764</v>
      </c>
      <c r="AG200" s="145">
        <f>IFERROR(_xlfn.XLOOKUP($D200,'Modelling New'!$D:$D,'Modelling New'!AE:AE),"")</f>
        <v>0.98040000000000005</v>
      </c>
      <c r="AH200" s="167">
        <f>IFERROR(_xlfn.XLOOKUP($D200,'Modelling New'!$D:$D,'Modelling New'!AF:AF),"")</f>
        <v>0.98</v>
      </c>
      <c r="AN200" s="144"/>
      <c r="AO200" s="141"/>
      <c r="AP200" s="141"/>
      <c r="AQ200" s="141"/>
      <c r="AR200" s="133">
        <f>'Basic Data'!$B$98/1000</f>
        <v>8.0208999999999993</v>
      </c>
    </row>
    <row r="201" spans="1:44" x14ac:dyDescent="0.3">
      <c r="A201" s="132">
        <f t="shared" si="15"/>
        <v>45944</v>
      </c>
      <c r="B201" s="133">
        <f>YEAR(Table13[[#This Row],[Date]])+IF(MONTH(Table13[[#This Row],[Date]])&gt;=4,1,0)</f>
        <v>2026</v>
      </c>
      <c r="C201" s="134">
        <f>YEAR(Table13[[#This Row],[Date]])</f>
        <v>2025</v>
      </c>
      <c r="D201" s="135">
        <f>Table13[[#This Row],[Date]]-DAY(Table13[[#This Row],[Date]])+1</f>
        <v>45931</v>
      </c>
      <c r="E201" s="134">
        <f t="shared" si="12"/>
        <v>31</v>
      </c>
      <c r="F201" s="136" t="str">
        <f>IFERROR(_xlfn.XLOOKUP($A201,'Raw Data'!$G:$G,'Raw Data'!$AM:$AM),"")</f>
        <v/>
      </c>
      <c r="G201" s="137" t="str">
        <f>IFERROR(_xlfn.XLOOKUP($A201,'Raw Data'!$G:$G,'Raw Data'!$AB:$AB),"")</f>
        <v/>
      </c>
      <c r="H201" s="137"/>
      <c r="I201" s="137" t="str">
        <f>IFERROR(_xlfn.XLOOKUP($A201,'Raw Data'!$G:$G,'Raw Data'!$AC:$AC),"")</f>
        <v/>
      </c>
      <c r="J201" s="137"/>
      <c r="K201" s="137" t="str">
        <f>IFERROR(_xlfn.XLOOKUP($A201,'Raw Data'!$G:$G,'Raw Data'!AD:AD),"")</f>
        <v/>
      </c>
      <c r="L201" s="137" t="str">
        <f>IFERROR(_xlfn.XLOOKUP($A201,'Raw Data'!$G:$G,'Raw Data'!AE:AE),"")</f>
        <v/>
      </c>
      <c r="M201" s="137" t="str">
        <f>IFERROR(_xlfn.XLOOKUP($A201,'Raw Data'!$G:$G,'Raw Data'!AF:AF),"")</f>
        <v/>
      </c>
      <c r="N201" s="137" t="str">
        <f>IFERROR(_xlfn.XLOOKUP($A201,'Raw Data'!$G:$G,'Raw Data'!AG:AG),"")</f>
        <v/>
      </c>
      <c r="O201" s="138" t="str">
        <f>IFERROR(1-SUMIF('Plant BD'!$H:$H,$A201,'Plant BD'!$AE:$AE)/($AA201+SUMIF('Plant BD'!$H:$H,$A201,'Plant BD'!$AE:$AE)),"")</f>
        <v/>
      </c>
      <c r="P201" s="138"/>
      <c r="Q201" s="139"/>
      <c r="R201" s="138" t="str">
        <f>IFERROR(1-SUMIF('Grid BD'!$H:$H,$A201,'Grid BD'!$AD:$AD)/($AA201+SUMIF('Grid BD'!$H:$H,$A201,'Grid BD'!$AD:$AD)),"")</f>
        <v/>
      </c>
      <c r="T201" s="139"/>
      <c r="U201" s="140" t="str">
        <f t="shared" si="13"/>
        <v/>
      </c>
      <c r="V201" s="140"/>
      <c r="W201" s="141" t="str">
        <f t="shared" si="14"/>
        <v/>
      </c>
      <c r="X201" s="133" t="str">
        <f>IFERROR(_xlfn.XLOOKUP($A201,'Raw Data'!$G:$G,'Raw Data'!AI:AI),"")</f>
        <v/>
      </c>
      <c r="Y201" s="133" t="str">
        <f>IFERROR(_xlfn.XLOOKUP($A201,'Raw Data'!$G:$G,'Raw Data'!AJ:AJ),"")</f>
        <v/>
      </c>
      <c r="Z201" s="133" t="str">
        <f>IFERROR(_xlfn.XLOOKUP($A201,'Raw Data'!$G:$G,'Raw Data'!AK:AK),"")</f>
        <v/>
      </c>
      <c r="AA201" s="133" t="str">
        <f>IFERROR(_xlfn.XLOOKUP($A201,'Raw Data'!$G:$G,'Raw Data'!AL:AL),"")</f>
        <v/>
      </c>
      <c r="AB201" s="133" t="str">
        <f>IFERROR(_xlfn.XLOOKUP($A201,'Raw Data'!$G:$G,'Raw Data'!H:H),"")</f>
        <v/>
      </c>
      <c r="AC201" s="142">
        <f>IFERROR(_xlfn.XLOOKUP($D201,'Modelling New'!$D:$D,'Modelling New'!P:P),"")</f>
        <v>5.1225806451612907</v>
      </c>
      <c r="AD201" s="133">
        <f>IFERROR(_xlfn.XLOOKUP($D201,'Modelling New'!$D:$D,'Modelling New'!$T:$T)*1000,"")</f>
        <v>29797.679316907321</v>
      </c>
      <c r="AE201" s="143">
        <f>IFERROR(_xlfn.XLOOKUP($D201,'Modelling New'!$D:$D,'Modelling New'!O:O),"")</f>
        <v>0.72522127474099773</v>
      </c>
      <c r="AF201" s="145">
        <f>IFERROR(_xlfn.XLOOKUP($D201,'Modelling New'!$D:$D,'Modelling New'!W:W),"")</f>
        <v>0.1547918527269764</v>
      </c>
      <c r="AG201" s="145">
        <f>IFERROR(_xlfn.XLOOKUP($D201,'Modelling New'!$D:$D,'Modelling New'!AE:AE),"")</f>
        <v>0.98040000000000005</v>
      </c>
      <c r="AH201" s="167">
        <f>IFERROR(_xlfn.XLOOKUP($D201,'Modelling New'!$D:$D,'Modelling New'!AF:AF),"")</f>
        <v>0.98</v>
      </c>
      <c r="AN201" s="144"/>
      <c r="AO201" s="141"/>
      <c r="AP201" s="141"/>
      <c r="AQ201" s="141"/>
      <c r="AR201" s="133">
        <f>'Basic Data'!$B$98/1000</f>
        <v>8.0208999999999993</v>
      </c>
    </row>
    <row r="202" spans="1:44" x14ac:dyDescent="0.3">
      <c r="A202" s="132">
        <f t="shared" si="15"/>
        <v>45945</v>
      </c>
      <c r="B202" s="133">
        <f>YEAR(Table13[[#This Row],[Date]])+IF(MONTH(Table13[[#This Row],[Date]])&gt;=4,1,0)</f>
        <v>2026</v>
      </c>
      <c r="C202" s="134">
        <f>YEAR(Table13[[#This Row],[Date]])</f>
        <v>2025</v>
      </c>
      <c r="D202" s="135">
        <f>Table13[[#This Row],[Date]]-DAY(Table13[[#This Row],[Date]])+1</f>
        <v>45931</v>
      </c>
      <c r="E202" s="134">
        <f t="shared" si="12"/>
        <v>31</v>
      </c>
      <c r="F202" s="136" t="str">
        <f>IFERROR(_xlfn.XLOOKUP($A202,'Raw Data'!$G:$G,'Raw Data'!$AM:$AM),"")</f>
        <v/>
      </c>
      <c r="G202" s="137" t="str">
        <f>IFERROR(_xlfn.XLOOKUP($A202,'Raw Data'!$G:$G,'Raw Data'!$AB:$AB),"")</f>
        <v/>
      </c>
      <c r="H202" s="137"/>
      <c r="I202" s="137" t="str">
        <f>IFERROR(_xlfn.XLOOKUP($A202,'Raw Data'!$G:$G,'Raw Data'!$AC:$AC),"")</f>
        <v/>
      </c>
      <c r="J202" s="137"/>
      <c r="K202" s="137" t="str">
        <f>IFERROR(_xlfn.XLOOKUP($A202,'Raw Data'!$G:$G,'Raw Data'!AD:AD),"")</f>
        <v/>
      </c>
      <c r="L202" s="137" t="str">
        <f>IFERROR(_xlfn.XLOOKUP($A202,'Raw Data'!$G:$G,'Raw Data'!AE:AE),"")</f>
        <v/>
      </c>
      <c r="M202" s="137" t="str">
        <f>IFERROR(_xlfn.XLOOKUP($A202,'Raw Data'!$G:$G,'Raw Data'!AF:AF),"")</f>
        <v/>
      </c>
      <c r="N202" s="137" t="str">
        <f>IFERROR(_xlfn.XLOOKUP($A202,'Raw Data'!$G:$G,'Raw Data'!AG:AG),"")</f>
        <v/>
      </c>
      <c r="O202" s="138" t="str">
        <f>IFERROR(1-SUMIF('Plant BD'!$H:$H,$A202,'Plant BD'!$AE:$AE)/($AA202+SUMIF('Plant BD'!$H:$H,$A202,'Plant BD'!$AE:$AE)),"")</f>
        <v/>
      </c>
      <c r="P202" s="138"/>
      <c r="Q202" s="139"/>
      <c r="R202" s="138" t="str">
        <f>IFERROR(1-SUMIF('Grid BD'!$H:$H,$A202,'Grid BD'!$AD:$AD)/($AA202+SUMIF('Grid BD'!$H:$H,$A202,'Grid BD'!$AD:$AD)),"")</f>
        <v/>
      </c>
      <c r="T202" s="139"/>
      <c r="U202" s="140" t="str">
        <f t="shared" si="13"/>
        <v/>
      </c>
      <c r="V202" s="140"/>
      <c r="W202" s="141" t="str">
        <f t="shared" si="14"/>
        <v/>
      </c>
      <c r="X202" s="133" t="str">
        <f>IFERROR(_xlfn.XLOOKUP($A202,'Raw Data'!$G:$G,'Raw Data'!AI:AI),"")</f>
        <v/>
      </c>
      <c r="Y202" s="133" t="str">
        <f>IFERROR(_xlfn.XLOOKUP($A202,'Raw Data'!$G:$G,'Raw Data'!AJ:AJ),"")</f>
        <v/>
      </c>
      <c r="Z202" s="133" t="str">
        <f>IFERROR(_xlfn.XLOOKUP($A202,'Raw Data'!$G:$G,'Raw Data'!AK:AK),"")</f>
        <v/>
      </c>
      <c r="AA202" s="133" t="str">
        <f>IFERROR(_xlfn.XLOOKUP($A202,'Raw Data'!$G:$G,'Raw Data'!AL:AL),"")</f>
        <v/>
      </c>
      <c r="AB202" s="133" t="str">
        <f>IFERROR(_xlfn.XLOOKUP($A202,'Raw Data'!$G:$G,'Raw Data'!H:H),"")</f>
        <v/>
      </c>
      <c r="AC202" s="142">
        <f>IFERROR(_xlfn.XLOOKUP($D202,'Modelling New'!$D:$D,'Modelling New'!P:P),"")</f>
        <v>5.1225806451612907</v>
      </c>
      <c r="AD202" s="133">
        <f>IFERROR(_xlfn.XLOOKUP($D202,'Modelling New'!$D:$D,'Modelling New'!$T:$T)*1000,"")</f>
        <v>29797.679316907321</v>
      </c>
      <c r="AE202" s="143">
        <f>IFERROR(_xlfn.XLOOKUP($D202,'Modelling New'!$D:$D,'Modelling New'!O:O),"")</f>
        <v>0.72522127474099773</v>
      </c>
      <c r="AF202" s="145">
        <f>IFERROR(_xlfn.XLOOKUP($D202,'Modelling New'!$D:$D,'Modelling New'!W:W),"")</f>
        <v>0.1547918527269764</v>
      </c>
      <c r="AG202" s="145">
        <f>IFERROR(_xlfn.XLOOKUP($D202,'Modelling New'!$D:$D,'Modelling New'!AE:AE),"")</f>
        <v>0.98040000000000005</v>
      </c>
      <c r="AH202" s="167">
        <f>IFERROR(_xlfn.XLOOKUP($D202,'Modelling New'!$D:$D,'Modelling New'!AF:AF),"")</f>
        <v>0.98</v>
      </c>
      <c r="AN202" s="144"/>
      <c r="AO202" s="141"/>
      <c r="AP202" s="141"/>
      <c r="AQ202" s="141"/>
      <c r="AR202" s="133">
        <f>'Basic Data'!$B$98/1000</f>
        <v>8.0208999999999993</v>
      </c>
    </row>
    <row r="203" spans="1:44" x14ac:dyDescent="0.3">
      <c r="A203" s="132">
        <f t="shared" si="15"/>
        <v>45946</v>
      </c>
      <c r="B203" s="133">
        <f>YEAR(Table13[[#This Row],[Date]])+IF(MONTH(Table13[[#This Row],[Date]])&gt;=4,1,0)</f>
        <v>2026</v>
      </c>
      <c r="C203" s="134">
        <f>YEAR(Table13[[#This Row],[Date]])</f>
        <v>2025</v>
      </c>
      <c r="D203" s="135">
        <f>Table13[[#This Row],[Date]]-DAY(Table13[[#This Row],[Date]])+1</f>
        <v>45931</v>
      </c>
      <c r="E203" s="134">
        <f t="shared" si="12"/>
        <v>31</v>
      </c>
      <c r="F203" s="136" t="str">
        <f>IFERROR(_xlfn.XLOOKUP($A203,'Raw Data'!$G:$G,'Raw Data'!$AM:$AM),"")</f>
        <v/>
      </c>
      <c r="G203" s="137" t="str">
        <f>IFERROR(_xlfn.XLOOKUP($A203,'Raw Data'!$G:$G,'Raw Data'!$AB:$AB),"")</f>
        <v/>
      </c>
      <c r="H203" s="137"/>
      <c r="I203" s="137" t="str">
        <f>IFERROR(_xlfn.XLOOKUP($A203,'Raw Data'!$G:$G,'Raw Data'!$AC:$AC),"")</f>
        <v/>
      </c>
      <c r="J203" s="137"/>
      <c r="K203" s="137" t="str">
        <f>IFERROR(_xlfn.XLOOKUP($A203,'Raw Data'!$G:$G,'Raw Data'!AD:AD),"")</f>
        <v/>
      </c>
      <c r="L203" s="137" t="str">
        <f>IFERROR(_xlfn.XLOOKUP($A203,'Raw Data'!$G:$G,'Raw Data'!AE:AE),"")</f>
        <v/>
      </c>
      <c r="M203" s="137" t="str">
        <f>IFERROR(_xlfn.XLOOKUP($A203,'Raw Data'!$G:$G,'Raw Data'!AF:AF),"")</f>
        <v/>
      </c>
      <c r="N203" s="137" t="str">
        <f>IFERROR(_xlfn.XLOOKUP($A203,'Raw Data'!$G:$G,'Raw Data'!AG:AG),"")</f>
        <v/>
      </c>
      <c r="O203" s="138" t="str">
        <f>IFERROR(1-SUMIF('Plant BD'!$H:$H,$A203,'Plant BD'!$AE:$AE)/($AA203+SUMIF('Plant BD'!$H:$H,$A203,'Plant BD'!$AE:$AE)),"")</f>
        <v/>
      </c>
      <c r="P203" s="138"/>
      <c r="Q203" s="139"/>
      <c r="R203" s="138" t="str">
        <f>IFERROR(1-SUMIF('Grid BD'!$H:$H,$A203,'Grid BD'!$AD:$AD)/($AA203+SUMIF('Grid BD'!$H:$H,$A203,'Grid BD'!$AD:$AD)),"")</f>
        <v/>
      </c>
      <c r="T203" s="139"/>
      <c r="U203" s="140" t="str">
        <f t="shared" si="13"/>
        <v/>
      </c>
      <c r="V203" s="140"/>
      <c r="W203" s="141" t="str">
        <f t="shared" si="14"/>
        <v/>
      </c>
      <c r="X203" s="133" t="str">
        <f>IFERROR(_xlfn.XLOOKUP($A203,'Raw Data'!$G:$G,'Raw Data'!AI:AI),"")</f>
        <v/>
      </c>
      <c r="Y203" s="133" t="str">
        <f>IFERROR(_xlfn.XLOOKUP($A203,'Raw Data'!$G:$G,'Raw Data'!AJ:AJ),"")</f>
        <v/>
      </c>
      <c r="Z203" s="133" t="str">
        <f>IFERROR(_xlfn.XLOOKUP($A203,'Raw Data'!$G:$G,'Raw Data'!AK:AK),"")</f>
        <v/>
      </c>
      <c r="AA203" s="133" t="str">
        <f>IFERROR(_xlfn.XLOOKUP($A203,'Raw Data'!$G:$G,'Raw Data'!AL:AL),"")</f>
        <v/>
      </c>
      <c r="AB203" s="133" t="str">
        <f>IFERROR(_xlfn.XLOOKUP($A203,'Raw Data'!$G:$G,'Raw Data'!H:H),"")</f>
        <v/>
      </c>
      <c r="AC203" s="142">
        <f>IFERROR(_xlfn.XLOOKUP($D203,'Modelling New'!$D:$D,'Modelling New'!P:P),"")</f>
        <v>5.1225806451612907</v>
      </c>
      <c r="AD203" s="133">
        <f>IFERROR(_xlfn.XLOOKUP($D203,'Modelling New'!$D:$D,'Modelling New'!$T:$T)*1000,"")</f>
        <v>29797.679316907321</v>
      </c>
      <c r="AE203" s="143">
        <f>IFERROR(_xlfn.XLOOKUP($D203,'Modelling New'!$D:$D,'Modelling New'!O:O),"")</f>
        <v>0.72522127474099773</v>
      </c>
      <c r="AF203" s="145">
        <f>IFERROR(_xlfn.XLOOKUP($D203,'Modelling New'!$D:$D,'Modelling New'!W:W),"")</f>
        <v>0.1547918527269764</v>
      </c>
      <c r="AG203" s="145">
        <f>IFERROR(_xlfn.XLOOKUP($D203,'Modelling New'!$D:$D,'Modelling New'!AE:AE),"")</f>
        <v>0.98040000000000005</v>
      </c>
      <c r="AH203" s="167">
        <f>IFERROR(_xlfn.XLOOKUP($D203,'Modelling New'!$D:$D,'Modelling New'!AF:AF),"")</f>
        <v>0.98</v>
      </c>
      <c r="AN203" s="144"/>
      <c r="AO203" s="141"/>
      <c r="AP203" s="141"/>
      <c r="AQ203" s="141"/>
      <c r="AR203" s="133">
        <f>'Basic Data'!$B$98/1000</f>
        <v>8.0208999999999993</v>
      </c>
    </row>
    <row r="204" spans="1:44" x14ac:dyDescent="0.3">
      <c r="A204" s="132">
        <f t="shared" si="15"/>
        <v>45947</v>
      </c>
      <c r="B204" s="133">
        <f>YEAR(Table13[[#This Row],[Date]])+IF(MONTH(Table13[[#This Row],[Date]])&gt;=4,1,0)</f>
        <v>2026</v>
      </c>
      <c r="C204" s="134">
        <f>YEAR(Table13[[#This Row],[Date]])</f>
        <v>2025</v>
      </c>
      <c r="D204" s="135">
        <f>Table13[[#This Row],[Date]]-DAY(Table13[[#This Row],[Date]])+1</f>
        <v>45931</v>
      </c>
      <c r="E204" s="134">
        <f t="shared" si="12"/>
        <v>31</v>
      </c>
      <c r="F204" s="136" t="str">
        <f>IFERROR(_xlfn.XLOOKUP($A204,'Raw Data'!$G:$G,'Raw Data'!$AM:$AM),"")</f>
        <v/>
      </c>
      <c r="G204" s="137" t="str">
        <f>IFERROR(_xlfn.XLOOKUP($A204,'Raw Data'!$G:$G,'Raw Data'!$AB:$AB),"")</f>
        <v/>
      </c>
      <c r="H204" s="137"/>
      <c r="I204" s="137" t="str">
        <f>IFERROR(_xlfn.XLOOKUP($A204,'Raw Data'!$G:$G,'Raw Data'!$AC:$AC),"")</f>
        <v/>
      </c>
      <c r="J204" s="137"/>
      <c r="K204" s="137" t="str">
        <f>IFERROR(_xlfn.XLOOKUP($A204,'Raw Data'!$G:$G,'Raw Data'!AD:AD),"")</f>
        <v/>
      </c>
      <c r="L204" s="137" t="str">
        <f>IFERROR(_xlfn.XLOOKUP($A204,'Raw Data'!$G:$G,'Raw Data'!AE:AE),"")</f>
        <v/>
      </c>
      <c r="M204" s="137" t="str">
        <f>IFERROR(_xlfn.XLOOKUP($A204,'Raw Data'!$G:$G,'Raw Data'!AF:AF),"")</f>
        <v/>
      </c>
      <c r="N204" s="137" t="str">
        <f>IFERROR(_xlfn.XLOOKUP($A204,'Raw Data'!$G:$G,'Raw Data'!AG:AG),"")</f>
        <v/>
      </c>
      <c r="O204" s="138" t="str">
        <f>IFERROR(1-SUMIF('Plant BD'!$H:$H,$A204,'Plant BD'!$AE:$AE)/($AA204+SUMIF('Plant BD'!$H:$H,$A204,'Plant BD'!$AE:$AE)),"")</f>
        <v/>
      </c>
      <c r="P204" s="138"/>
      <c r="Q204" s="139"/>
      <c r="R204" s="138" t="str">
        <f>IFERROR(1-SUMIF('Grid BD'!$H:$H,$A204,'Grid BD'!$AD:$AD)/($AA204+SUMIF('Grid BD'!$H:$H,$A204,'Grid BD'!$AD:$AD)),"")</f>
        <v/>
      </c>
      <c r="T204" s="139"/>
      <c r="U204" s="140" t="str">
        <f t="shared" si="13"/>
        <v/>
      </c>
      <c r="V204" s="140"/>
      <c r="W204" s="141" t="str">
        <f t="shared" si="14"/>
        <v/>
      </c>
      <c r="X204" s="133" t="str">
        <f>IFERROR(_xlfn.XLOOKUP($A204,'Raw Data'!$G:$G,'Raw Data'!AI:AI),"")</f>
        <v/>
      </c>
      <c r="Y204" s="133" t="str">
        <f>IFERROR(_xlfn.XLOOKUP($A204,'Raw Data'!$G:$G,'Raw Data'!AJ:AJ),"")</f>
        <v/>
      </c>
      <c r="Z204" s="133" t="str">
        <f>IFERROR(_xlfn.XLOOKUP($A204,'Raw Data'!$G:$G,'Raw Data'!AK:AK),"")</f>
        <v/>
      </c>
      <c r="AA204" s="133" t="str">
        <f>IFERROR(_xlfn.XLOOKUP($A204,'Raw Data'!$G:$G,'Raw Data'!AL:AL),"")</f>
        <v/>
      </c>
      <c r="AB204" s="133" t="str">
        <f>IFERROR(_xlfn.XLOOKUP($A204,'Raw Data'!$G:$G,'Raw Data'!H:H),"")</f>
        <v/>
      </c>
      <c r="AC204" s="142">
        <f>IFERROR(_xlfn.XLOOKUP($D204,'Modelling New'!$D:$D,'Modelling New'!P:P),"")</f>
        <v>5.1225806451612907</v>
      </c>
      <c r="AD204" s="133">
        <f>IFERROR(_xlfn.XLOOKUP($D204,'Modelling New'!$D:$D,'Modelling New'!$T:$T)*1000,"")</f>
        <v>29797.679316907321</v>
      </c>
      <c r="AE204" s="143">
        <f>IFERROR(_xlfn.XLOOKUP($D204,'Modelling New'!$D:$D,'Modelling New'!O:O),"")</f>
        <v>0.72522127474099773</v>
      </c>
      <c r="AF204" s="145">
        <f>IFERROR(_xlfn.XLOOKUP($D204,'Modelling New'!$D:$D,'Modelling New'!W:W),"")</f>
        <v>0.1547918527269764</v>
      </c>
      <c r="AG204" s="145">
        <f>IFERROR(_xlfn.XLOOKUP($D204,'Modelling New'!$D:$D,'Modelling New'!AE:AE),"")</f>
        <v>0.98040000000000005</v>
      </c>
      <c r="AH204" s="167">
        <f>IFERROR(_xlfn.XLOOKUP($D204,'Modelling New'!$D:$D,'Modelling New'!AF:AF),"")</f>
        <v>0.98</v>
      </c>
      <c r="AN204" s="144"/>
      <c r="AO204" s="141"/>
      <c r="AP204" s="141"/>
      <c r="AQ204" s="141"/>
      <c r="AR204" s="133">
        <f>'Basic Data'!$B$98/1000</f>
        <v>8.0208999999999993</v>
      </c>
    </row>
    <row r="205" spans="1:44" x14ac:dyDescent="0.3">
      <c r="A205" s="132">
        <f t="shared" si="15"/>
        <v>45948</v>
      </c>
      <c r="B205" s="133">
        <f>YEAR(Table13[[#This Row],[Date]])+IF(MONTH(Table13[[#This Row],[Date]])&gt;=4,1,0)</f>
        <v>2026</v>
      </c>
      <c r="C205" s="134">
        <f>YEAR(Table13[[#This Row],[Date]])</f>
        <v>2025</v>
      </c>
      <c r="D205" s="135">
        <f>Table13[[#This Row],[Date]]-DAY(Table13[[#This Row],[Date]])+1</f>
        <v>45931</v>
      </c>
      <c r="E205" s="134">
        <f t="shared" si="12"/>
        <v>31</v>
      </c>
      <c r="F205" s="136" t="str">
        <f>IFERROR(_xlfn.XLOOKUP($A205,'Raw Data'!$G:$G,'Raw Data'!$AM:$AM),"")</f>
        <v/>
      </c>
      <c r="G205" s="137" t="str">
        <f>IFERROR(_xlfn.XLOOKUP($A205,'Raw Data'!$G:$G,'Raw Data'!$AB:$AB),"")</f>
        <v/>
      </c>
      <c r="H205" s="137"/>
      <c r="I205" s="137" t="str">
        <f>IFERROR(_xlfn.XLOOKUP($A205,'Raw Data'!$G:$G,'Raw Data'!$AC:$AC),"")</f>
        <v/>
      </c>
      <c r="J205" s="137"/>
      <c r="K205" s="137" t="str">
        <f>IFERROR(_xlfn.XLOOKUP($A205,'Raw Data'!$G:$G,'Raw Data'!AD:AD),"")</f>
        <v/>
      </c>
      <c r="L205" s="137" t="str">
        <f>IFERROR(_xlfn.XLOOKUP($A205,'Raw Data'!$G:$G,'Raw Data'!AE:AE),"")</f>
        <v/>
      </c>
      <c r="M205" s="137" t="str">
        <f>IFERROR(_xlfn.XLOOKUP($A205,'Raw Data'!$G:$G,'Raw Data'!AF:AF),"")</f>
        <v/>
      </c>
      <c r="N205" s="137" t="str">
        <f>IFERROR(_xlfn.XLOOKUP($A205,'Raw Data'!$G:$G,'Raw Data'!AG:AG),"")</f>
        <v/>
      </c>
      <c r="O205" s="138" t="str">
        <f>IFERROR(1-SUMIF('Plant BD'!$H:$H,$A205,'Plant BD'!$AE:$AE)/($AA205+SUMIF('Plant BD'!$H:$H,$A205,'Plant BD'!$AE:$AE)),"")</f>
        <v/>
      </c>
      <c r="P205" s="138"/>
      <c r="Q205" s="139"/>
      <c r="R205" s="138" t="str">
        <f>IFERROR(1-SUMIF('Grid BD'!$H:$H,$A205,'Grid BD'!$AD:$AD)/($AA205+SUMIF('Grid BD'!$H:$H,$A205,'Grid BD'!$AD:$AD)),"")</f>
        <v/>
      </c>
      <c r="T205" s="139"/>
      <c r="U205" s="140" t="str">
        <f t="shared" si="13"/>
        <v/>
      </c>
      <c r="V205" s="140"/>
      <c r="W205" s="141" t="str">
        <f t="shared" si="14"/>
        <v/>
      </c>
      <c r="X205" s="133" t="str">
        <f>IFERROR(_xlfn.XLOOKUP($A205,'Raw Data'!$G:$G,'Raw Data'!AI:AI),"")</f>
        <v/>
      </c>
      <c r="Y205" s="133" t="str">
        <f>IFERROR(_xlfn.XLOOKUP($A205,'Raw Data'!$G:$G,'Raw Data'!AJ:AJ),"")</f>
        <v/>
      </c>
      <c r="Z205" s="133" t="str">
        <f>IFERROR(_xlfn.XLOOKUP($A205,'Raw Data'!$G:$G,'Raw Data'!AK:AK),"")</f>
        <v/>
      </c>
      <c r="AA205" s="133" t="str">
        <f>IFERROR(_xlfn.XLOOKUP($A205,'Raw Data'!$G:$G,'Raw Data'!AL:AL),"")</f>
        <v/>
      </c>
      <c r="AB205" s="133" t="str">
        <f>IFERROR(_xlfn.XLOOKUP($A205,'Raw Data'!$G:$G,'Raw Data'!H:H),"")</f>
        <v/>
      </c>
      <c r="AC205" s="142">
        <f>IFERROR(_xlfn.XLOOKUP($D205,'Modelling New'!$D:$D,'Modelling New'!P:P),"")</f>
        <v>5.1225806451612907</v>
      </c>
      <c r="AD205" s="133">
        <f>IFERROR(_xlfn.XLOOKUP($D205,'Modelling New'!$D:$D,'Modelling New'!$T:$T)*1000,"")</f>
        <v>29797.679316907321</v>
      </c>
      <c r="AE205" s="143">
        <f>IFERROR(_xlfn.XLOOKUP($D205,'Modelling New'!$D:$D,'Modelling New'!O:O),"")</f>
        <v>0.72522127474099773</v>
      </c>
      <c r="AF205" s="145">
        <f>IFERROR(_xlfn.XLOOKUP($D205,'Modelling New'!$D:$D,'Modelling New'!W:W),"")</f>
        <v>0.1547918527269764</v>
      </c>
      <c r="AG205" s="145">
        <f>IFERROR(_xlfn.XLOOKUP($D205,'Modelling New'!$D:$D,'Modelling New'!AE:AE),"")</f>
        <v>0.98040000000000005</v>
      </c>
      <c r="AH205" s="167">
        <f>IFERROR(_xlfn.XLOOKUP($D205,'Modelling New'!$D:$D,'Modelling New'!AF:AF),"")</f>
        <v>0.98</v>
      </c>
      <c r="AN205" s="144"/>
      <c r="AO205" s="141"/>
      <c r="AP205" s="141"/>
      <c r="AQ205" s="141"/>
      <c r="AR205" s="133">
        <f>'Basic Data'!$B$98/1000</f>
        <v>8.0208999999999993</v>
      </c>
    </row>
    <row r="206" spans="1:44" x14ac:dyDescent="0.3">
      <c r="A206" s="132">
        <f t="shared" si="15"/>
        <v>45949</v>
      </c>
      <c r="B206" s="133">
        <f>YEAR(Table13[[#This Row],[Date]])+IF(MONTH(Table13[[#This Row],[Date]])&gt;=4,1,0)</f>
        <v>2026</v>
      </c>
      <c r="C206" s="134">
        <f>YEAR(Table13[[#This Row],[Date]])</f>
        <v>2025</v>
      </c>
      <c r="D206" s="135">
        <f>Table13[[#This Row],[Date]]-DAY(Table13[[#This Row],[Date]])+1</f>
        <v>45931</v>
      </c>
      <c r="E206" s="134">
        <f t="shared" si="12"/>
        <v>31</v>
      </c>
      <c r="F206" s="136" t="str">
        <f>IFERROR(_xlfn.XLOOKUP($A206,'Raw Data'!$G:$G,'Raw Data'!$AM:$AM),"")</f>
        <v/>
      </c>
      <c r="G206" s="137" t="str">
        <f>IFERROR(_xlfn.XLOOKUP($A206,'Raw Data'!$G:$G,'Raw Data'!$AB:$AB),"")</f>
        <v/>
      </c>
      <c r="H206" s="137"/>
      <c r="I206" s="137" t="str">
        <f>IFERROR(_xlfn.XLOOKUP($A206,'Raw Data'!$G:$G,'Raw Data'!$AC:$AC),"")</f>
        <v/>
      </c>
      <c r="J206" s="137"/>
      <c r="K206" s="137" t="str">
        <f>IFERROR(_xlfn.XLOOKUP($A206,'Raw Data'!$G:$G,'Raw Data'!AD:AD),"")</f>
        <v/>
      </c>
      <c r="L206" s="137" t="str">
        <f>IFERROR(_xlfn.XLOOKUP($A206,'Raw Data'!$G:$G,'Raw Data'!AE:AE),"")</f>
        <v/>
      </c>
      <c r="M206" s="137" t="str">
        <f>IFERROR(_xlfn.XLOOKUP($A206,'Raw Data'!$G:$G,'Raw Data'!AF:AF),"")</f>
        <v/>
      </c>
      <c r="N206" s="137" t="str">
        <f>IFERROR(_xlfn.XLOOKUP($A206,'Raw Data'!$G:$G,'Raw Data'!AG:AG),"")</f>
        <v/>
      </c>
      <c r="O206" s="138" t="str">
        <f>IFERROR(1-SUMIF('Plant BD'!$H:$H,$A206,'Plant BD'!$AE:$AE)/($AA206+SUMIF('Plant BD'!$H:$H,$A206,'Plant BD'!$AE:$AE)),"")</f>
        <v/>
      </c>
      <c r="P206" s="138"/>
      <c r="Q206" s="139"/>
      <c r="R206" s="138" t="str">
        <f>IFERROR(1-SUMIF('Grid BD'!$H:$H,$A206,'Grid BD'!$AD:$AD)/($AA206+SUMIF('Grid BD'!$H:$H,$A206,'Grid BD'!$AD:$AD)),"")</f>
        <v/>
      </c>
      <c r="T206" s="139"/>
      <c r="U206" s="140" t="str">
        <f t="shared" si="13"/>
        <v/>
      </c>
      <c r="V206" s="140"/>
      <c r="W206" s="141" t="str">
        <f t="shared" si="14"/>
        <v/>
      </c>
      <c r="X206" s="133" t="str">
        <f>IFERROR(_xlfn.XLOOKUP($A206,'Raw Data'!$G:$G,'Raw Data'!AI:AI),"")</f>
        <v/>
      </c>
      <c r="Y206" s="133" t="str">
        <f>IFERROR(_xlfn.XLOOKUP($A206,'Raw Data'!$G:$G,'Raw Data'!AJ:AJ),"")</f>
        <v/>
      </c>
      <c r="Z206" s="133" t="str">
        <f>IFERROR(_xlfn.XLOOKUP($A206,'Raw Data'!$G:$G,'Raw Data'!AK:AK),"")</f>
        <v/>
      </c>
      <c r="AA206" s="133" t="str">
        <f>IFERROR(_xlfn.XLOOKUP($A206,'Raw Data'!$G:$G,'Raw Data'!AL:AL),"")</f>
        <v/>
      </c>
      <c r="AB206" s="133" t="str">
        <f>IFERROR(_xlfn.XLOOKUP($A206,'Raw Data'!$G:$G,'Raw Data'!H:H),"")</f>
        <v/>
      </c>
      <c r="AC206" s="142">
        <f>IFERROR(_xlfn.XLOOKUP($D206,'Modelling New'!$D:$D,'Modelling New'!P:P),"")</f>
        <v>5.1225806451612907</v>
      </c>
      <c r="AD206" s="133">
        <f>IFERROR(_xlfn.XLOOKUP($D206,'Modelling New'!$D:$D,'Modelling New'!$T:$T)*1000,"")</f>
        <v>29797.679316907321</v>
      </c>
      <c r="AE206" s="143">
        <f>IFERROR(_xlfn.XLOOKUP($D206,'Modelling New'!$D:$D,'Modelling New'!O:O),"")</f>
        <v>0.72522127474099773</v>
      </c>
      <c r="AF206" s="145">
        <f>IFERROR(_xlfn.XLOOKUP($D206,'Modelling New'!$D:$D,'Modelling New'!W:W),"")</f>
        <v>0.1547918527269764</v>
      </c>
      <c r="AG206" s="145">
        <f>IFERROR(_xlfn.XLOOKUP($D206,'Modelling New'!$D:$D,'Modelling New'!AE:AE),"")</f>
        <v>0.98040000000000005</v>
      </c>
      <c r="AH206" s="167">
        <f>IFERROR(_xlfn.XLOOKUP($D206,'Modelling New'!$D:$D,'Modelling New'!AF:AF),"")</f>
        <v>0.98</v>
      </c>
      <c r="AN206" s="144"/>
      <c r="AO206" s="141"/>
      <c r="AP206" s="141"/>
      <c r="AQ206" s="141"/>
      <c r="AR206" s="133">
        <f>'Basic Data'!$B$98/1000</f>
        <v>8.0208999999999993</v>
      </c>
    </row>
    <row r="207" spans="1:44" x14ac:dyDescent="0.3">
      <c r="A207" s="132">
        <f t="shared" si="15"/>
        <v>45950</v>
      </c>
      <c r="B207" s="133">
        <f>YEAR(Table13[[#This Row],[Date]])+IF(MONTH(Table13[[#This Row],[Date]])&gt;=4,1,0)</f>
        <v>2026</v>
      </c>
      <c r="C207" s="134">
        <f>YEAR(Table13[[#This Row],[Date]])</f>
        <v>2025</v>
      </c>
      <c r="D207" s="135">
        <f>Table13[[#This Row],[Date]]-DAY(Table13[[#This Row],[Date]])+1</f>
        <v>45931</v>
      </c>
      <c r="E207" s="134">
        <f t="shared" si="12"/>
        <v>31</v>
      </c>
      <c r="F207" s="136" t="str">
        <f>IFERROR(_xlfn.XLOOKUP($A207,'Raw Data'!$G:$G,'Raw Data'!$AM:$AM),"")</f>
        <v/>
      </c>
      <c r="G207" s="137" t="str">
        <f>IFERROR(_xlfn.XLOOKUP($A207,'Raw Data'!$G:$G,'Raw Data'!$AB:$AB),"")</f>
        <v/>
      </c>
      <c r="H207" s="137"/>
      <c r="I207" s="137" t="str">
        <f>IFERROR(_xlfn.XLOOKUP($A207,'Raw Data'!$G:$G,'Raw Data'!$AC:$AC),"")</f>
        <v/>
      </c>
      <c r="J207" s="137"/>
      <c r="K207" s="137" t="str">
        <f>IFERROR(_xlfn.XLOOKUP($A207,'Raw Data'!$G:$G,'Raw Data'!AD:AD),"")</f>
        <v/>
      </c>
      <c r="L207" s="137" t="str">
        <f>IFERROR(_xlfn.XLOOKUP($A207,'Raw Data'!$G:$G,'Raw Data'!AE:AE),"")</f>
        <v/>
      </c>
      <c r="M207" s="137" t="str">
        <f>IFERROR(_xlfn.XLOOKUP($A207,'Raw Data'!$G:$G,'Raw Data'!AF:AF),"")</f>
        <v/>
      </c>
      <c r="N207" s="137" t="str">
        <f>IFERROR(_xlfn.XLOOKUP($A207,'Raw Data'!$G:$G,'Raw Data'!AG:AG),"")</f>
        <v/>
      </c>
      <c r="O207" s="138" t="str">
        <f>IFERROR(1-SUMIF('Plant BD'!$H:$H,$A207,'Plant BD'!$AE:$AE)/($AA207+SUMIF('Plant BD'!$H:$H,$A207,'Plant BD'!$AE:$AE)),"")</f>
        <v/>
      </c>
      <c r="P207" s="138"/>
      <c r="Q207" s="139"/>
      <c r="R207" s="138" t="str">
        <f>IFERROR(1-SUMIF('Grid BD'!$H:$H,$A207,'Grid BD'!$AD:$AD)/($AA207+SUMIF('Grid BD'!$H:$H,$A207,'Grid BD'!$AD:$AD)),"")</f>
        <v/>
      </c>
      <c r="T207" s="139"/>
      <c r="U207" s="140" t="str">
        <f t="shared" si="13"/>
        <v/>
      </c>
      <c r="V207" s="140"/>
      <c r="W207" s="141" t="str">
        <f t="shared" si="14"/>
        <v/>
      </c>
      <c r="X207" s="133" t="str">
        <f>IFERROR(_xlfn.XLOOKUP($A207,'Raw Data'!$G:$G,'Raw Data'!AI:AI),"")</f>
        <v/>
      </c>
      <c r="Y207" s="133" t="str">
        <f>IFERROR(_xlfn.XLOOKUP($A207,'Raw Data'!$G:$G,'Raw Data'!AJ:AJ),"")</f>
        <v/>
      </c>
      <c r="Z207" s="133" t="str">
        <f>IFERROR(_xlfn.XLOOKUP($A207,'Raw Data'!$G:$G,'Raw Data'!AK:AK),"")</f>
        <v/>
      </c>
      <c r="AA207" s="133" t="str">
        <f>IFERROR(_xlfn.XLOOKUP($A207,'Raw Data'!$G:$G,'Raw Data'!AL:AL),"")</f>
        <v/>
      </c>
      <c r="AB207" s="133" t="str">
        <f>IFERROR(_xlfn.XLOOKUP($A207,'Raw Data'!$G:$G,'Raw Data'!H:H),"")</f>
        <v/>
      </c>
      <c r="AC207" s="142">
        <f>IFERROR(_xlfn.XLOOKUP($D207,'Modelling New'!$D:$D,'Modelling New'!P:P),"")</f>
        <v>5.1225806451612907</v>
      </c>
      <c r="AD207" s="133">
        <f>IFERROR(_xlfn.XLOOKUP($D207,'Modelling New'!$D:$D,'Modelling New'!$T:$T)*1000,"")</f>
        <v>29797.679316907321</v>
      </c>
      <c r="AE207" s="143">
        <f>IFERROR(_xlfn.XLOOKUP($D207,'Modelling New'!$D:$D,'Modelling New'!O:O),"")</f>
        <v>0.72522127474099773</v>
      </c>
      <c r="AF207" s="145">
        <f>IFERROR(_xlfn.XLOOKUP($D207,'Modelling New'!$D:$D,'Modelling New'!W:W),"")</f>
        <v>0.1547918527269764</v>
      </c>
      <c r="AG207" s="145">
        <f>IFERROR(_xlfn.XLOOKUP($D207,'Modelling New'!$D:$D,'Modelling New'!AE:AE),"")</f>
        <v>0.98040000000000005</v>
      </c>
      <c r="AH207" s="167">
        <f>IFERROR(_xlfn.XLOOKUP($D207,'Modelling New'!$D:$D,'Modelling New'!AF:AF),"")</f>
        <v>0.98</v>
      </c>
      <c r="AN207" s="144"/>
      <c r="AO207" s="141"/>
      <c r="AP207" s="141"/>
      <c r="AQ207" s="141"/>
      <c r="AR207" s="133">
        <f>'Basic Data'!$B$98/1000</f>
        <v>8.0208999999999993</v>
      </c>
    </row>
    <row r="208" spans="1:44" x14ac:dyDescent="0.3">
      <c r="A208" s="132">
        <f t="shared" si="15"/>
        <v>45951</v>
      </c>
      <c r="B208" s="133">
        <f>YEAR(Table13[[#This Row],[Date]])+IF(MONTH(Table13[[#This Row],[Date]])&gt;=4,1,0)</f>
        <v>2026</v>
      </c>
      <c r="C208" s="134">
        <f>YEAR(Table13[[#This Row],[Date]])</f>
        <v>2025</v>
      </c>
      <c r="D208" s="135">
        <f>Table13[[#This Row],[Date]]-DAY(Table13[[#This Row],[Date]])+1</f>
        <v>45931</v>
      </c>
      <c r="E208" s="134">
        <f t="shared" si="12"/>
        <v>31</v>
      </c>
      <c r="F208" s="136" t="str">
        <f>IFERROR(_xlfn.XLOOKUP($A208,'Raw Data'!$G:$G,'Raw Data'!$AM:$AM),"")</f>
        <v/>
      </c>
      <c r="G208" s="137" t="str">
        <f>IFERROR(_xlfn.XLOOKUP($A208,'Raw Data'!$G:$G,'Raw Data'!$AB:$AB),"")</f>
        <v/>
      </c>
      <c r="H208" s="137"/>
      <c r="I208" s="137" t="str">
        <f>IFERROR(_xlfn.XLOOKUP($A208,'Raw Data'!$G:$G,'Raw Data'!$AC:$AC),"")</f>
        <v/>
      </c>
      <c r="J208" s="137"/>
      <c r="K208" s="137" t="str">
        <f>IFERROR(_xlfn.XLOOKUP($A208,'Raw Data'!$G:$G,'Raw Data'!AD:AD),"")</f>
        <v/>
      </c>
      <c r="L208" s="137" t="str">
        <f>IFERROR(_xlfn.XLOOKUP($A208,'Raw Data'!$G:$G,'Raw Data'!AE:AE),"")</f>
        <v/>
      </c>
      <c r="M208" s="137" t="str">
        <f>IFERROR(_xlfn.XLOOKUP($A208,'Raw Data'!$G:$G,'Raw Data'!AF:AF),"")</f>
        <v/>
      </c>
      <c r="N208" s="137" t="str">
        <f>IFERROR(_xlfn.XLOOKUP($A208,'Raw Data'!$G:$G,'Raw Data'!AG:AG),"")</f>
        <v/>
      </c>
      <c r="O208" s="138" t="str">
        <f>IFERROR(1-SUMIF('Plant BD'!$H:$H,$A208,'Plant BD'!$AE:$AE)/($AA208+SUMIF('Plant BD'!$H:$H,$A208,'Plant BD'!$AE:$AE)),"")</f>
        <v/>
      </c>
      <c r="P208" s="138"/>
      <c r="Q208" s="139"/>
      <c r="R208" s="138" t="str">
        <f>IFERROR(1-SUMIF('Grid BD'!$H:$H,$A208,'Grid BD'!$AD:$AD)/($AA208+SUMIF('Grid BD'!$H:$H,$A208,'Grid BD'!$AD:$AD)),"")</f>
        <v/>
      </c>
      <c r="T208" s="139"/>
      <c r="U208" s="140" t="str">
        <f t="shared" si="13"/>
        <v/>
      </c>
      <c r="V208" s="140"/>
      <c r="W208" s="141" t="str">
        <f t="shared" si="14"/>
        <v/>
      </c>
      <c r="X208" s="133" t="str">
        <f>IFERROR(_xlfn.XLOOKUP($A208,'Raw Data'!$G:$G,'Raw Data'!AI:AI),"")</f>
        <v/>
      </c>
      <c r="Y208" s="133" t="str">
        <f>IFERROR(_xlfn.XLOOKUP($A208,'Raw Data'!$G:$G,'Raw Data'!AJ:AJ),"")</f>
        <v/>
      </c>
      <c r="Z208" s="133" t="str">
        <f>IFERROR(_xlfn.XLOOKUP($A208,'Raw Data'!$G:$G,'Raw Data'!AK:AK),"")</f>
        <v/>
      </c>
      <c r="AA208" s="133" t="str">
        <f>IFERROR(_xlfn.XLOOKUP($A208,'Raw Data'!$G:$G,'Raw Data'!AL:AL),"")</f>
        <v/>
      </c>
      <c r="AB208" s="133" t="str">
        <f>IFERROR(_xlfn.XLOOKUP($A208,'Raw Data'!$G:$G,'Raw Data'!H:H),"")</f>
        <v/>
      </c>
      <c r="AC208" s="142">
        <f>IFERROR(_xlfn.XLOOKUP($D208,'Modelling New'!$D:$D,'Modelling New'!P:P),"")</f>
        <v>5.1225806451612907</v>
      </c>
      <c r="AD208" s="133">
        <f>IFERROR(_xlfn.XLOOKUP($D208,'Modelling New'!$D:$D,'Modelling New'!$T:$T)*1000,"")</f>
        <v>29797.679316907321</v>
      </c>
      <c r="AE208" s="143">
        <f>IFERROR(_xlfn.XLOOKUP($D208,'Modelling New'!$D:$D,'Modelling New'!O:O),"")</f>
        <v>0.72522127474099773</v>
      </c>
      <c r="AF208" s="145">
        <f>IFERROR(_xlfn.XLOOKUP($D208,'Modelling New'!$D:$D,'Modelling New'!W:W),"")</f>
        <v>0.1547918527269764</v>
      </c>
      <c r="AG208" s="145">
        <f>IFERROR(_xlfn.XLOOKUP($D208,'Modelling New'!$D:$D,'Modelling New'!AE:AE),"")</f>
        <v>0.98040000000000005</v>
      </c>
      <c r="AH208" s="167">
        <f>IFERROR(_xlfn.XLOOKUP($D208,'Modelling New'!$D:$D,'Modelling New'!AF:AF),"")</f>
        <v>0.98</v>
      </c>
      <c r="AN208" s="144"/>
      <c r="AO208" s="141"/>
      <c r="AP208" s="141"/>
      <c r="AQ208" s="141"/>
      <c r="AR208" s="133">
        <f>'Basic Data'!$B$98/1000</f>
        <v>8.0208999999999993</v>
      </c>
    </row>
    <row r="209" spans="1:44" x14ac:dyDescent="0.3">
      <c r="A209" s="132">
        <f t="shared" si="15"/>
        <v>45952</v>
      </c>
      <c r="B209" s="133">
        <f>YEAR(Table13[[#This Row],[Date]])+IF(MONTH(Table13[[#This Row],[Date]])&gt;=4,1,0)</f>
        <v>2026</v>
      </c>
      <c r="C209" s="134">
        <f>YEAR(Table13[[#This Row],[Date]])</f>
        <v>2025</v>
      </c>
      <c r="D209" s="135">
        <f>Table13[[#This Row],[Date]]-DAY(Table13[[#This Row],[Date]])+1</f>
        <v>45931</v>
      </c>
      <c r="E209" s="134">
        <f t="shared" si="12"/>
        <v>31</v>
      </c>
      <c r="F209" s="136" t="str">
        <f>IFERROR(_xlfn.XLOOKUP($A209,'Raw Data'!$G:$G,'Raw Data'!$AM:$AM),"")</f>
        <v/>
      </c>
      <c r="G209" s="137" t="str">
        <f>IFERROR(_xlfn.XLOOKUP($A209,'Raw Data'!$G:$G,'Raw Data'!$AB:$AB),"")</f>
        <v/>
      </c>
      <c r="H209" s="137"/>
      <c r="I209" s="137" t="str">
        <f>IFERROR(_xlfn.XLOOKUP($A209,'Raw Data'!$G:$G,'Raw Data'!$AC:$AC),"")</f>
        <v/>
      </c>
      <c r="J209" s="137"/>
      <c r="K209" s="137" t="str">
        <f>IFERROR(_xlfn.XLOOKUP($A209,'Raw Data'!$G:$G,'Raw Data'!AD:AD),"")</f>
        <v/>
      </c>
      <c r="L209" s="137" t="str">
        <f>IFERROR(_xlfn.XLOOKUP($A209,'Raw Data'!$G:$G,'Raw Data'!AE:AE),"")</f>
        <v/>
      </c>
      <c r="M209" s="137" t="str">
        <f>IFERROR(_xlfn.XLOOKUP($A209,'Raw Data'!$G:$G,'Raw Data'!AF:AF),"")</f>
        <v/>
      </c>
      <c r="N209" s="137" t="str">
        <f>IFERROR(_xlfn.XLOOKUP($A209,'Raw Data'!$G:$G,'Raw Data'!AG:AG),"")</f>
        <v/>
      </c>
      <c r="O209" s="138" t="str">
        <f>IFERROR(1-SUMIF('Plant BD'!$H:$H,$A209,'Plant BD'!$AE:$AE)/($AA209+SUMIF('Plant BD'!$H:$H,$A209,'Plant BD'!$AE:$AE)),"")</f>
        <v/>
      </c>
      <c r="P209" s="138"/>
      <c r="Q209" s="139"/>
      <c r="R209" s="138" t="str">
        <f>IFERROR(1-SUMIF('Grid BD'!$H:$H,$A209,'Grid BD'!$AD:$AD)/($AA209+SUMIF('Grid BD'!$H:$H,$A209,'Grid BD'!$AD:$AD)),"")</f>
        <v/>
      </c>
      <c r="T209" s="139"/>
      <c r="U209" s="140" t="str">
        <f t="shared" si="13"/>
        <v/>
      </c>
      <c r="V209" s="140"/>
      <c r="W209" s="141" t="str">
        <f t="shared" si="14"/>
        <v/>
      </c>
      <c r="X209" s="133" t="str">
        <f>IFERROR(_xlfn.XLOOKUP($A209,'Raw Data'!$G:$G,'Raw Data'!AI:AI),"")</f>
        <v/>
      </c>
      <c r="Y209" s="133" t="str">
        <f>IFERROR(_xlfn.XLOOKUP($A209,'Raw Data'!$G:$G,'Raw Data'!AJ:AJ),"")</f>
        <v/>
      </c>
      <c r="Z209" s="133" t="str">
        <f>IFERROR(_xlfn.XLOOKUP($A209,'Raw Data'!$G:$G,'Raw Data'!AK:AK),"")</f>
        <v/>
      </c>
      <c r="AA209" s="133" t="str">
        <f>IFERROR(_xlfn.XLOOKUP($A209,'Raw Data'!$G:$G,'Raw Data'!AL:AL),"")</f>
        <v/>
      </c>
      <c r="AB209" s="133" t="str">
        <f>IFERROR(_xlfn.XLOOKUP($A209,'Raw Data'!$G:$G,'Raw Data'!H:H),"")</f>
        <v/>
      </c>
      <c r="AC209" s="142">
        <f>IFERROR(_xlfn.XLOOKUP($D209,'Modelling New'!$D:$D,'Modelling New'!P:P),"")</f>
        <v>5.1225806451612907</v>
      </c>
      <c r="AD209" s="133">
        <f>IFERROR(_xlfn.XLOOKUP($D209,'Modelling New'!$D:$D,'Modelling New'!$T:$T)*1000,"")</f>
        <v>29797.679316907321</v>
      </c>
      <c r="AE209" s="143">
        <f>IFERROR(_xlfn.XLOOKUP($D209,'Modelling New'!$D:$D,'Modelling New'!O:O),"")</f>
        <v>0.72522127474099773</v>
      </c>
      <c r="AF209" s="145">
        <f>IFERROR(_xlfn.XLOOKUP($D209,'Modelling New'!$D:$D,'Modelling New'!W:W),"")</f>
        <v>0.1547918527269764</v>
      </c>
      <c r="AG209" s="145">
        <f>IFERROR(_xlfn.XLOOKUP($D209,'Modelling New'!$D:$D,'Modelling New'!AE:AE),"")</f>
        <v>0.98040000000000005</v>
      </c>
      <c r="AH209" s="167">
        <f>IFERROR(_xlfn.XLOOKUP($D209,'Modelling New'!$D:$D,'Modelling New'!AF:AF),"")</f>
        <v>0.98</v>
      </c>
      <c r="AN209" s="144"/>
      <c r="AO209" s="141"/>
      <c r="AP209" s="141"/>
      <c r="AQ209" s="141"/>
      <c r="AR209" s="133">
        <f>'Basic Data'!$B$98/1000</f>
        <v>8.0208999999999993</v>
      </c>
    </row>
    <row r="210" spans="1:44" x14ac:dyDescent="0.3">
      <c r="A210" s="132">
        <f t="shared" si="15"/>
        <v>45953</v>
      </c>
      <c r="B210" s="133">
        <f>YEAR(Table13[[#This Row],[Date]])+IF(MONTH(Table13[[#This Row],[Date]])&gt;=4,1,0)</f>
        <v>2026</v>
      </c>
      <c r="C210" s="134">
        <f>YEAR(Table13[[#This Row],[Date]])</f>
        <v>2025</v>
      </c>
      <c r="D210" s="135">
        <f>Table13[[#This Row],[Date]]-DAY(Table13[[#This Row],[Date]])+1</f>
        <v>45931</v>
      </c>
      <c r="E210" s="134">
        <f t="shared" si="12"/>
        <v>31</v>
      </c>
      <c r="F210" s="136" t="str">
        <f>IFERROR(_xlfn.XLOOKUP($A210,'Raw Data'!$G:$G,'Raw Data'!$AM:$AM),"")</f>
        <v/>
      </c>
      <c r="G210" s="137" t="str">
        <f>IFERROR(_xlfn.XLOOKUP($A210,'Raw Data'!$G:$G,'Raw Data'!$AB:$AB),"")</f>
        <v/>
      </c>
      <c r="H210" s="137"/>
      <c r="I210" s="137" t="str">
        <f>IFERROR(_xlfn.XLOOKUP($A210,'Raw Data'!$G:$G,'Raw Data'!$AC:$AC),"")</f>
        <v/>
      </c>
      <c r="J210" s="137"/>
      <c r="K210" s="137" t="str">
        <f>IFERROR(_xlfn.XLOOKUP($A210,'Raw Data'!$G:$G,'Raw Data'!AD:AD),"")</f>
        <v/>
      </c>
      <c r="L210" s="137" t="str">
        <f>IFERROR(_xlfn.XLOOKUP($A210,'Raw Data'!$G:$G,'Raw Data'!AE:AE),"")</f>
        <v/>
      </c>
      <c r="M210" s="137" t="str">
        <f>IFERROR(_xlfn.XLOOKUP($A210,'Raw Data'!$G:$G,'Raw Data'!AF:AF),"")</f>
        <v/>
      </c>
      <c r="N210" s="137" t="str">
        <f>IFERROR(_xlfn.XLOOKUP($A210,'Raw Data'!$G:$G,'Raw Data'!AG:AG),"")</f>
        <v/>
      </c>
      <c r="O210" s="138" t="str">
        <f>IFERROR(1-SUMIF('Plant BD'!$H:$H,$A210,'Plant BD'!$AE:$AE)/($AA210+SUMIF('Plant BD'!$H:$H,$A210,'Plant BD'!$AE:$AE)),"")</f>
        <v/>
      </c>
      <c r="P210" s="138"/>
      <c r="Q210" s="139"/>
      <c r="R210" s="138" t="str">
        <f>IFERROR(1-SUMIF('Grid BD'!$H:$H,$A210,'Grid BD'!$AD:$AD)/($AA210+SUMIF('Grid BD'!$H:$H,$A210,'Grid BD'!$AD:$AD)),"")</f>
        <v/>
      </c>
      <c r="T210" s="139"/>
      <c r="U210" s="140" t="str">
        <f t="shared" si="13"/>
        <v/>
      </c>
      <c r="V210" s="140"/>
      <c r="W210" s="141" t="str">
        <f t="shared" si="14"/>
        <v/>
      </c>
      <c r="X210" s="133" t="str">
        <f>IFERROR(_xlfn.XLOOKUP($A210,'Raw Data'!$G:$G,'Raw Data'!AI:AI),"")</f>
        <v/>
      </c>
      <c r="Y210" s="133" t="str">
        <f>IFERROR(_xlfn.XLOOKUP($A210,'Raw Data'!$G:$G,'Raw Data'!AJ:AJ),"")</f>
        <v/>
      </c>
      <c r="Z210" s="133" t="str">
        <f>IFERROR(_xlfn.XLOOKUP($A210,'Raw Data'!$G:$G,'Raw Data'!AK:AK),"")</f>
        <v/>
      </c>
      <c r="AA210" s="133" t="str">
        <f>IFERROR(_xlfn.XLOOKUP($A210,'Raw Data'!$G:$G,'Raw Data'!AL:AL),"")</f>
        <v/>
      </c>
      <c r="AB210" s="133" t="str">
        <f>IFERROR(_xlfn.XLOOKUP($A210,'Raw Data'!$G:$G,'Raw Data'!H:H),"")</f>
        <v/>
      </c>
      <c r="AC210" s="142">
        <f>IFERROR(_xlfn.XLOOKUP($D210,'Modelling New'!$D:$D,'Modelling New'!P:P),"")</f>
        <v>5.1225806451612907</v>
      </c>
      <c r="AD210" s="133">
        <f>IFERROR(_xlfn.XLOOKUP($D210,'Modelling New'!$D:$D,'Modelling New'!$T:$T)*1000,"")</f>
        <v>29797.679316907321</v>
      </c>
      <c r="AE210" s="143">
        <f>IFERROR(_xlfn.XLOOKUP($D210,'Modelling New'!$D:$D,'Modelling New'!O:O),"")</f>
        <v>0.72522127474099773</v>
      </c>
      <c r="AF210" s="145">
        <f>IFERROR(_xlfn.XLOOKUP($D210,'Modelling New'!$D:$D,'Modelling New'!W:W),"")</f>
        <v>0.1547918527269764</v>
      </c>
      <c r="AG210" s="145">
        <f>IFERROR(_xlfn.XLOOKUP($D210,'Modelling New'!$D:$D,'Modelling New'!AE:AE),"")</f>
        <v>0.98040000000000005</v>
      </c>
      <c r="AH210" s="167">
        <f>IFERROR(_xlfn.XLOOKUP($D210,'Modelling New'!$D:$D,'Modelling New'!AF:AF),"")</f>
        <v>0.98</v>
      </c>
      <c r="AN210" s="144"/>
      <c r="AO210" s="141"/>
      <c r="AP210" s="141"/>
      <c r="AQ210" s="141"/>
      <c r="AR210" s="133">
        <f>'Basic Data'!$B$98/1000</f>
        <v>8.0208999999999993</v>
      </c>
    </row>
    <row r="211" spans="1:44" x14ac:dyDescent="0.3">
      <c r="A211" s="132">
        <f t="shared" si="15"/>
        <v>45954</v>
      </c>
      <c r="B211" s="133">
        <f>YEAR(Table13[[#This Row],[Date]])+IF(MONTH(Table13[[#This Row],[Date]])&gt;=4,1,0)</f>
        <v>2026</v>
      </c>
      <c r="C211" s="134">
        <f>YEAR(Table13[[#This Row],[Date]])</f>
        <v>2025</v>
      </c>
      <c r="D211" s="135">
        <f>Table13[[#This Row],[Date]]-DAY(Table13[[#This Row],[Date]])+1</f>
        <v>45931</v>
      </c>
      <c r="E211" s="134">
        <f t="shared" si="12"/>
        <v>31</v>
      </c>
      <c r="F211" s="136" t="str">
        <f>IFERROR(_xlfn.XLOOKUP($A211,'Raw Data'!$G:$G,'Raw Data'!$AM:$AM),"")</f>
        <v/>
      </c>
      <c r="G211" s="137" t="str">
        <f>IFERROR(_xlfn.XLOOKUP($A211,'Raw Data'!$G:$G,'Raw Data'!$AB:$AB),"")</f>
        <v/>
      </c>
      <c r="H211" s="137"/>
      <c r="I211" s="137" t="str">
        <f>IFERROR(_xlfn.XLOOKUP($A211,'Raw Data'!$G:$G,'Raw Data'!$AC:$AC),"")</f>
        <v/>
      </c>
      <c r="J211" s="137"/>
      <c r="K211" s="137" t="str">
        <f>IFERROR(_xlfn.XLOOKUP($A211,'Raw Data'!$G:$G,'Raw Data'!AD:AD),"")</f>
        <v/>
      </c>
      <c r="L211" s="137" t="str">
        <f>IFERROR(_xlfn.XLOOKUP($A211,'Raw Data'!$G:$G,'Raw Data'!AE:AE),"")</f>
        <v/>
      </c>
      <c r="M211" s="137" t="str">
        <f>IFERROR(_xlfn.XLOOKUP($A211,'Raw Data'!$G:$G,'Raw Data'!AF:AF),"")</f>
        <v/>
      </c>
      <c r="N211" s="137" t="str">
        <f>IFERROR(_xlfn.XLOOKUP($A211,'Raw Data'!$G:$G,'Raw Data'!AG:AG),"")</f>
        <v/>
      </c>
      <c r="O211" s="138" t="str">
        <f>IFERROR(1-SUMIF('Plant BD'!$H:$H,$A211,'Plant BD'!$AE:$AE)/($AA211+SUMIF('Plant BD'!$H:$H,$A211,'Plant BD'!$AE:$AE)),"")</f>
        <v/>
      </c>
      <c r="P211" s="138"/>
      <c r="Q211" s="139"/>
      <c r="R211" s="138" t="str">
        <f>IFERROR(1-SUMIF('Grid BD'!$H:$H,$A211,'Grid BD'!$AD:$AD)/($AA211+SUMIF('Grid BD'!$H:$H,$A211,'Grid BD'!$AD:$AD)),"")</f>
        <v/>
      </c>
      <c r="T211" s="139"/>
      <c r="U211" s="140" t="str">
        <f t="shared" si="13"/>
        <v/>
      </c>
      <c r="V211" s="140"/>
      <c r="W211" s="141" t="str">
        <f t="shared" si="14"/>
        <v/>
      </c>
      <c r="X211" s="133" t="str">
        <f>IFERROR(_xlfn.XLOOKUP($A211,'Raw Data'!$G:$G,'Raw Data'!AI:AI),"")</f>
        <v/>
      </c>
      <c r="Y211" s="133" t="str">
        <f>IFERROR(_xlfn.XLOOKUP($A211,'Raw Data'!$G:$G,'Raw Data'!AJ:AJ),"")</f>
        <v/>
      </c>
      <c r="Z211" s="133" t="str">
        <f>IFERROR(_xlfn.XLOOKUP($A211,'Raw Data'!$G:$G,'Raw Data'!AK:AK),"")</f>
        <v/>
      </c>
      <c r="AA211" s="133" t="str">
        <f>IFERROR(_xlfn.XLOOKUP($A211,'Raw Data'!$G:$G,'Raw Data'!AL:AL),"")</f>
        <v/>
      </c>
      <c r="AB211" s="133" t="str">
        <f>IFERROR(_xlfn.XLOOKUP($A211,'Raw Data'!$G:$G,'Raw Data'!H:H),"")</f>
        <v/>
      </c>
      <c r="AC211" s="142">
        <f>IFERROR(_xlfn.XLOOKUP($D211,'Modelling New'!$D:$D,'Modelling New'!P:P),"")</f>
        <v>5.1225806451612907</v>
      </c>
      <c r="AD211" s="133">
        <f>IFERROR(_xlfn.XLOOKUP($D211,'Modelling New'!$D:$D,'Modelling New'!$T:$T)*1000,"")</f>
        <v>29797.679316907321</v>
      </c>
      <c r="AE211" s="143">
        <f>IFERROR(_xlfn.XLOOKUP($D211,'Modelling New'!$D:$D,'Modelling New'!O:O),"")</f>
        <v>0.72522127474099773</v>
      </c>
      <c r="AF211" s="145">
        <f>IFERROR(_xlfn.XLOOKUP($D211,'Modelling New'!$D:$D,'Modelling New'!W:W),"")</f>
        <v>0.1547918527269764</v>
      </c>
      <c r="AG211" s="145">
        <f>IFERROR(_xlfn.XLOOKUP($D211,'Modelling New'!$D:$D,'Modelling New'!AE:AE),"")</f>
        <v>0.98040000000000005</v>
      </c>
      <c r="AH211" s="167">
        <f>IFERROR(_xlfn.XLOOKUP($D211,'Modelling New'!$D:$D,'Modelling New'!AF:AF),"")</f>
        <v>0.98</v>
      </c>
      <c r="AN211" s="144"/>
      <c r="AO211" s="141"/>
      <c r="AP211" s="141"/>
      <c r="AQ211" s="141"/>
      <c r="AR211" s="133">
        <f>'Basic Data'!$B$98/1000</f>
        <v>8.0208999999999993</v>
      </c>
    </row>
    <row r="212" spans="1:44" x14ac:dyDescent="0.3">
      <c r="A212" s="132">
        <f t="shared" si="15"/>
        <v>45955</v>
      </c>
      <c r="B212" s="133">
        <f>YEAR(Table13[[#This Row],[Date]])+IF(MONTH(Table13[[#This Row],[Date]])&gt;=4,1,0)</f>
        <v>2026</v>
      </c>
      <c r="C212" s="134">
        <f>YEAR(Table13[[#This Row],[Date]])</f>
        <v>2025</v>
      </c>
      <c r="D212" s="135">
        <f>Table13[[#This Row],[Date]]-DAY(Table13[[#This Row],[Date]])+1</f>
        <v>45931</v>
      </c>
      <c r="E212" s="134">
        <f t="shared" si="12"/>
        <v>31</v>
      </c>
      <c r="F212" s="136" t="str">
        <f>IFERROR(_xlfn.XLOOKUP($A212,'Raw Data'!$G:$G,'Raw Data'!$AM:$AM),"")</f>
        <v/>
      </c>
      <c r="G212" s="137" t="str">
        <f>IFERROR(_xlfn.XLOOKUP($A212,'Raw Data'!$G:$G,'Raw Data'!$AB:$AB),"")</f>
        <v/>
      </c>
      <c r="H212" s="137"/>
      <c r="I212" s="137" t="str">
        <f>IFERROR(_xlfn.XLOOKUP($A212,'Raw Data'!$G:$G,'Raw Data'!$AC:$AC),"")</f>
        <v/>
      </c>
      <c r="J212" s="137"/>
      <c r="K212" s="137" t="str">
        <f>IFERROR(_xlfn.XLOOKUP($A212,'Raw Data'!$G:$G,'Raw Data'!AD:AD),"")</f>
        <v/>
      </c>
      <c r="L212" s="137" t="str">
        <f>IFERROR(_xlfn.XLOOKUP($A212,'Raw Data'!$G:$G,'Raw Data'!AE:AE),"")</f>
        <v/>
      </c>
      <c r="M212" s="137" t="str">
        <f>IFERROR(_xlfn.XLOOKUP($A212,'Raw Data'!$G:$G,'Raw Data'!AF:AF),"")</f>
        <v/>
      </c>
      <c r="N212" s="137" t="str">
        <f>IFERROR(_xlfn.XLOOKUP($A212,'Raw Data'!$G:$G,'Raw Data'!AG:AG),"")</f>
        <v/>
      </c>
      <c r="O212" s="138" t="str">
        <f>IFERROR(1-SUMIF('Plant BD'!$H:$H,$A212,'Plant BD'!$AE:$AE)/($AA212+SUMIF('Plant BD'!$H:$H,$A212,'Plant BD'!$AE:$AE)),"")</f>
        <v/>
      </c>
      <c r="P212" s="138"/>
      <c r="Q212" s="139"/>
      <c r="R212" s="138" t="str">
        <f>IFERROR(1-SUMIF('Grid BD'!$H:$H,$A212,'Grid BD'!$AD:$AD)/($AA212+SUMIF('Grid BD'!$H:$H,$A212,'Grid BD'!$AD:$AD)),"")</f>
        <v/>
      </c>
      <c r="T212" s="139"/>
      <c r="U212" s="140" t="str">
        <f t="shared" si="13"/>
        <v/>
      </c>
      <c r="V212" s="140"/>
      <c r="W212" s="141" t="str">
        <f t="shared" si="14"/>
        <v/>
      </c>
      <c r="X212" s="133" t="str">
        <f>IFERROR(_xlfn.XLOOKUP($A212,'Raw Data'!$G:$G,'Raw Data'!AI:AI),"")</f>
        <v/>
      </c>
      <c r="Y212" s="133" t="str">
        <f>IFERROR(_xlfn.XLOOKUP($A212,'Raw Data'!$G:$G,'Raw Data'!AJ:AJ),"")</f>
        <v/>
      </c>
      <c r="Z212" s="133" t="str">
        <f>IFERROR(_xlfn.XLOOKUP($A212,'Raw Data'!$G:$G,'Raw Data'!AK:AK),"")</f>
        <v/>
      </c>
      <c r="AA212" s="133" t="str">
        <f>IFERROR(_xlfn.XLOOKUP($A212,'Raw Data'!$G:$G,'Raw Data'!AL:AL),"")</f>
        <v/>
      </c>
      <c r="AB212" s="133" t="str">
        <f>IFERROR(_xlfn.XLOOKUP($A212,'Raw Data'!$G:$G,'Raw Data'!H:H),"")</f>
        <v/>
      </c>
      <c r="AC212" s="142">
        <f>IFERROR(_xlfn.XLOOKUP($D212,'Modelling New'!$D:$D,'Modelling New'!P:P),"")</f>
        <v>5.1225806451612907</v>
      </c>
      <c r="AD212" s="133">
        <f>IFERROR(_xlfn.XLOOKUP($D212,'Modelling New'!$D:$D,'Modelling New'!$T:$T)*1000,"")</f>
        <v>29797.679316907321</v>
      </c>
      <c r="AE212" s="143">
        <f>IFERROR(_xlfn.XLOOKUP($D212,'Modelling New'!$D:$D,'Modelling New'!O:O),"")</f>
        <v>0.72522127474099773</v>
      </c>
      <c r="AF212" s="145">
        <f>IFERROR(_xlfn.XLOOKUP($D212,'Modelling New'!$D:$D,'Modelling New'!W:W),"")</f>
        <v>0.1547918527269764</v>
      </c>
      <c r="AG212" s="145">
        <f>IFERROR(_xlfn.XLOOKUP($D212,'Modelling New'!$D:$D,'Modelling New'!AE:AE),"")</f>
        <v>0.98040000000000005</v>
      </c>
      <c r="AH212" s="167">
        <f>IFERROR(_xlfn.XLOOKUP($D212,'Modelling New'!$D:$D,'Modelling New'!AF:AF),"")</f>
        <v>0.98</v>
      </c>
      <c r="AN212" s="144"/>
      <c r="AO212" s="141"/>
      <c r="AP212" s="141"/>
      <c r="AQ212" s="141"/>
      <c r="AR212" s="133">
        <f>'Basic Data'!$B$98/1000</f>
        <v>8.0208999999999993</v>
      </c>
    </row>
    <row r="213" spans="1:44" x14ac:dyDescent="0.3">
      <c r="A213" s="132">
        <f t="shared" si="15"/>
        <v>45956</v>
      </c>
      <c r="B213" s="133">
        <f>YEAR(Table13[[#This Row],[Date]])+IF(MONTH(Table13[[#This Row],[Date]])&gt;=4,1,0)</f>
        <v>2026</v>
      </c>
      <c r="C213" s="134">
        <f>YEAR(Table13[[#This Row],[Date]])</f>
        <v>2025</v>
      </c>
      <c r="D213" s="135">
        <f>Table13[[#This Row],[Date]]-DAY(Table13[[#This Row],[Date]])+1</f>
        <v>45931</v>
      </c>
      <c r="E213" s="134">
        <f t="shared" si="12"/>
        <v>31</v>
      </c>
      <c r="F213" s="136" t="str">
        <f>IFERROR(_xlfn.XLOOKUP($A213,'Raw Data'!$G:$G,'Raw Data'!$AM:$AM),"")</f>
        <v/>
      </c>
      <c r="G213" s="137" t="str">
        <f>IFERROR(_xlfn.XLOOKUP($A213,'Raw Data'!$G:$G,'Raw Data'!$AB:$AB),"")</f>
        <v/>
      </c>
      <c r="H213" s="137"/>
      <c r="I213" s="137" t="str">
        <f>IFERROR(_xlfn.XLOOKUP($A213,'Raw Data'!$G:$G,'Raw Data'!$AC:$AC),"")</f>
        <v/>
      </c>
      <c r="J213" s="137"/>
      <c r="K213" s="137" t="str">
        <f>IFERROR(_xlfn.XLOOKUP($A213,'Raw Data'!$G:$G,'Raw Data'!AD:AD),"")</f>
        <v/>
      </c>
      <c r="L213" s="137" t="str">
        <f>IFERROR(_xlfn.XLOOKUP($A213,'Raw Data'!$G:$G,'Raw Data'!AE:AE),"")</f>
        <v/>
      </c>
      <c r="M213" s="137" t="str">
        <f>IFERROR(_xlfn.XLOOKUP($A213,'Raw Data'!$G:$G,'Raw Data'!AF:AF),"")</f>
        <v/>
      </c>
      <c r="N213" s="137" t="str">
        <f>IFERROR(_xlfn.XLOOKUP($A213,'Raw Data'!$G:$G,'Raw Data'!AG:AG),"")</f>
        <v/>
      </c>
      <c r="O213" s="138" t="str">
        <f>IFERROR(1-SUMIF('Plant BD'!$H:$H,$A213,'Plant BD'!$AE:$AE)/($AA213+SUMIF('Plant BD'!$H:$H,$A213,'Plant BD'!$AE:$AE)),"")</f>
        <v/>
      </c>
      <c r="P213" s="138"/>
      <c r="Q213" s="139"/>
      <c r="R213" s="138" t="str">
        <f>IFERROR(1-SUMIF('Grid BD'!$H:$H,$A213,'Grid BD'!$AD:$AD)/($AA213+SUMIF('Grid BD'!$H:$H,$A213,'Grid BD'!$AD:$AD)),"")</f>
        <v/>
      </c>
      <c r="T213" s="139"/>
      <c r="U213" s="140" t="str">
        <f t="shared" si="13"/>
        <v/>
      </c>
      <c r="V213" s="140"/>
      <c r="W213" s="141" t="str">
        <f t="shared" si="14"/>
        <v/>
      </c>
      <c r="X213" s="133" t="str">
        <f>IFERROR(_xlfn.XLOOKUP($A213,'Raw Data'!$G:$G,'Raw Data'!AI:AI),"")</f>
        <v/>
      </c>
      <c r="Y213" s="133" t="str">
        <f>IFERROR(_xlfn.XLOOKUP($A213,'Raw Data'!$G:$G,'Raw Data'!AJ:AJ),"")</f>
        <v/>
      </c>
      <c r="Z213" s="133" t="str">
        <f>IFERROR(_xlfn.XLOOKUP($A213,'Raw Data'!$G:$G,'Raw Data'!AK:AK),"")</f>
        <v/>
      </c>
      <c r="AA213" s="133" t="str">
        <f>IFERROR(_xlfn.XLOOKUP($A213,'Raw Data'!$G:$G,'Raw Data'!AL:AL),"")</f>
        <v/>
      </c>
      <c r="AB213" s="133" t="str">
        <f>IFERROR(_xlfn.XLOOKUP($A213,'Raw Data'!$G:$G,'Raw Data'!H:H),"")</f>
        <v/>
      </c>
      <c r="AC213" s="142">
        <f>IFERROR(_xlfn.XLOOKUP($D213,'Modelling New'!$D:$D,'Modelling New'!P:P),"")</f>
        <v>5.1225806451612907</v>
      </c>
      <c r="AD213" s="133">
        <f>IFERROR(_xlfn.XLOOKUP($D213,'Modelling New'!$D:$D,'Modelling New'!$T:$T)*1000,"")</f>
        <v>29797.679316907321</v>
      </c>
      <c r="AE213" s="143">
        <f>IFERROR(_xlfn.XLOOKUP($D213,'Modelling New'!$D:$D,'Modelling New'!O:O),"")</f>
        <v>0.72522127474099773</v>
      </c>
      <c r="AF213" s="145">
        <f>IFERROR(_xlfn.XLOOKUP($D213,'Modelling New'!$D:$D,'Modelling New'!W:W),"")</f>
        <v>0.1547918527269764</v>
      </c>
      <c r="AG213" s="145">
        <f>IFERROR(_xlfn.XLOOKUP($D213,'Modelling New'!$D:$D,'Modelling New'!AE:AE),"")</f>
        <v>0.98040000000000005</v>
      </c>
      <c r="AH213" s="167">
        <f>IFERROR(_xlfn.XLOOKUP($D213,'Modelling New'!$D:$D,'Modelling New'!AF:AF),"")</f>
        <v>0.98</v>
      </c>
      <c r="AN213" s="144"/>
      <c r="AO213" s="141"/>
      <c r="AP213" s="141"/>
      <c r="AQ213" s="141"/>
      <c r="AR213" s="133">
        <f>'Basic Data'!$B$98/1000</f>
        <v>8.0208999999999993</v>
      </c>
    </row>
    <row r="214" spans="1:44" x14ac:dyDescent="0.3">
      <c r="A214" s="132">
        <f t="shared" si="15"/>
        <v>45957</v>
      </c>
      <c r="B214" s="133">
        <f>YEAR(Table13[[#This Row],[Date]])+IF(MONTH(Table13[[#This Row],[Date]])&gt;=4,1,0)</f>
        <v>2026</v>
      </c>
      <c r="C214" s="134">
        <f>YEAR(Table13[[#This Row],[Date]])</f>
        <v>2025</v>
      </c>
      <c r="D214" s="135">
        <f>Table13[[#This Row],[Date]]-DAY(Table13[[#This Row],[Date]])+1</f>
        <v>45931</v>
      </c>
      <c r="E214" s="134">
        <f t="shared" si="12"/>
        <v>31</v>
      </c>
      <c r="F214" s="136" t="str">
        <f>IFERROR(_xlfn.XLOOKUP($A214,'Raw Data'!$G:$G,'Raw Data'!$AM:$AM),"")</f>
        <v/>
      </c>
      <c r="G214" s="137" t="str">
        <f>IFERROR(_xlfn.XLOOKUP($A214,'Raw Data'!$G:$G,'Raw Data'!$AB:$AB),"")</f>
        <v/>
      </c>
      <c r="H214" s="137"/>
      <c r="I214" s="137" t="str">
        <f>IFERROR(_xlfn.XLOOKUP($A214,'Raw Data'!$G:$G,'Raw Data'!$AC:$AC),"")</f>
        <v/>
      </c>
      <c r="J214" s="137"/>
      <c r="K214" s="137" t="str">
        <f>IFERROR(_xlfn.XLOOKUP($A214,'Raw Data'!$G:$G,'Raw Data'!AD:AD),"")</f>
        <v/>
      </c>
      <c r="L214" s="137" t="str">
        <f>IFERROR(_xlfn.XLOOKUP($A214,'Raw Data'!$G:$G,'Raw Data'!AE:AE),"")</f>
        <v/>
      </c>
      <c r="M214" s="137" t="str">
        <f>IFERROR(_xlfn.XLOOKUP($A214,'Raw Data'!$G:$G,'Raw Data'!AF:AF),"")</f>
        <v/>
      </c>
      <c r="N214" s="137" t="str">
        <f>IFERROR(_xlfn.XLOOKUP($A214,'Raw Data'!$G:$G,'Raw Data'!AG:AG),"")</f>
        <v/>
      </c>
      <c r="O214" s="138" t="str">
        <f>IFERROR(1-SUMIF('Plant BD'!$H:$H,$A214,'Plant BD'!$AE:$AE)/($AA214+SUMIF('Plant BD'!$H:$H,$A214,'Plant BD'!$AE:$AE)),"")</f>
        <v/>
      </c>
      <c r="P214" s="138"/>
      <c r="Q214" s="139"/>
      <c r="R214" s="138" t="str">
        <f>IFERROR(1-SUMIF('Grid BD'!$H:$H,$A214,'Grid BD'!$AD:$AD)/($AA214+SUMIF('Grid BD'!$H:$H,$A214,'Grid BD'!$AD:$AD)),"")</f>
        <v/>
      </c>
      <c r="T214" s="139"/>
      <c r="U214" s="140" t="str">
        <f t="shared" si="13"/>
        <v/>
      </c>
      <c r="V214" s="140"/>
      <c r="W214" s="141" t="str">
        <f t="shared" si="14"/>
        <v/>
      </c>
      <c r="X214" s="133" t="str">
        <f>IFERROR(_xlfn.XLOOKUP($A214,'Raw Data'!$G:$G,'Raw Data'!AI:AI),"")</f>
        <v/>
      </c>
      <c r="Y214" s="133" t="str">
        <f>IFERROR(_xlfn.XLOOKUP($A214,'Raw Data'!$G:$G,'Raw Data'!AJ:AJ),"")</f>
        <v/>
      </c>
      <c r="Z214" s="133" t="str">
        <f>IFERROR(_xlfn.XLOOKUP($A214,'Raw Data'!$G:$G,'Raw Data'!AK:AK),"")</f>
        <v/>
      </c>
      <c r="AA214" s="133" t="str">
        <f>IFERROR(_xlfn.XLOOKUP($A214,'Raw Data'!$G:$G,'Raw Data'!AL:AL),"")</f>
        <v/>
      </c>
      <c r="AB214" s="133" t="str">
        <f>IFERROR(_xlfn.XLOOKUP($A214,'Raw Data'!$G:$G,'Raw Data'!H:H),"")</f>
        <v/>
      </c>
      <c r="AC214" s="142">
        <f>IFERROR(_xlfn.XLOOKUP($D214,'Modelling New'!$D:$D,'Modelling New'!P:P),"")</f>
        <v>5.1225806451612907</v>
      </c>
      <c r="AD214" s="133">
        <f>IFERROR(_xlfn.XLOOKUP($D214,'Modelling New'!$D:$D,'Modelling New'!$T:$T)*1000,"")</f>
        <v>29797.679316907321</v>
      </c>
      <c r="AE214" s="143">
        <f>IFERROR(_xlfn.XLOOKUP($D214,'Modelling New'!$D:$D,'Modelling New'!O:O),"")</f>
        <v>0.72522127474099773</v>
      </c>
      <c r="AF214" s="145">
        <f>IFERROR(_xlfn.XLOOKUP($D214,'Modelling New'!$D:$D,'Modelling New'!W:W),"")</f>
        <v>0.1547918527269764</v>
      </c>
      <c r="AG214" s="145">
        <f>IFERROR(_xlfn.XLOOKUP($D214,'Modelling New'!$D:$D,'Modelling New'!AE:AE),"")</f>
        <v>0.98040000000000005</v>
      </c>
      <c r="AH214" s="167">
        <f>IFERROR(_xlfn.XLOOKUP($D214,'Modelling New'!$D:$D,'Modelling New'!AF:AF),"")</f>
        <v>0.98</v>
      </c>
      <c r="AN214" s="144"/>
      <c r="AO214" s="141"/>
      <c r="AP214" s="141"/>
      <c r="AQ214" s="141"/>
      <c r="AR214" s="133">
        <f>'Basic Data'!$B$98/1000</f>
        <v>8.0208999999999993</v>
      </c>
    </row>
    <row r="215" spans="1:44" x14ac:dyDescent="0.3">
      <c r="A215" s="132">
        <f t="shared" si="15"/>
        <v>45958</v>
      </c>
      <c r="B215" s="133">
        <f>YEAR(Table13[[#This Row],[Date]])+IF(MONTH(Table13[[#This Row],[Date]])&gt;=4,1,0)</f>
        <v>2026</v>
      </c>
      <c r="C215" s="134">
        <f>YEAR(Table13[[#This Row],[Date]])</f>
        <v>2025</v>
      </c>
      <c r="D215" s="135">
        <f>Table13[[#This Row],[Date]]-DAY(Table13[[#This Row],[Date]])+1</f>
        <v>45931</v>
      </c>
      <c r="E215" s="134">
        <f t="shared" si="12"/>
        <v>31</v>
      </c>
      <c r="F215" s="136" t="str">
        <f>IFERROR(_xlfn.XLOOKUP($A215,'Raw Data'!$G:$G,'Raw Data'!$AM:$AM),"")</f>
        <v/>
      </c>
      <c r="G215" s="137" t="str">
        <f>IFERROR(_xlfn.XLOOKUP($A215,'Raw Data'!$G:$G,'Raw Data'!$AB:$AB),"")</f>
        <v/>
      </c>
      <c r="H215" s="137"/>
      <c r="I215" s="137" t="str">
        <f>IFERROR(_xlfn.XLOOKUP($A215,'Raw Data'!$G:$G,'Raw Data'!$AC:$AC),"")</f>
        <v/>
      </c>
      <c r="J215" s="137"/>
      <c r="K215" s="137" t="str">
        <f>IFERROR(_xlfn.XLOOKUP($A215,'Raw Data'!$G:$G,'Raw Data'!AD:AD),"")</f>
        <v/>
      </c>
      <c r="L215" s="137" t="str">
        <f>IFERROR(_xlfn.XLOOKUP($A215,'Raw Data'!$G:$G,'Raw Data'!AE:AE),"")</f>
        <v/>
      </c>
      <c r="M215" s="137" t="str">
        <f>IFERROR(_xlfn.XLOOKUP($A215,'Raw Data'!$G:$G,'Raw Data'!AF:AF),"")</f>
        <v/>
      </c>
      <c r="N215" s="137" t="str">
        <f>IFERROR(_xlfn.XLOOKUP($A215,'Raw Data'!$G:$G,'Raw Data'!AG:AG),"")</f>
        <v/>
      </c>
      <c r="O215" s="138" t="str">
        <f>IFERROR(1-SUMIF('Plant BD'!$H:$H,$A215,'Plant BD'!$AE:$AE)/($AA215+SUMIF('Plant BD'!$H:$H,$A215,'Plant BD'!$AE:$AE)),"")</f>
        <v/>
      </c>
      <c r="P215" s="138"/>
      <c r="Q215" s="139"/>
      <c r="R215" s="138" t="str">
        <f>IFERROR(1-SUMIF('Grid BD'!$H:$H,$A215,'Grid BD'!$AD:$AD)/($AA215+SUMIF('Grid BD'!$H:$H,$A215,'Grid BD'!$AD:$AD)),"")</f>
        <v/>
      </c>
      <c r="T215" s="139"/>
      <c r="U215" s="140" t="str">
        <f t="shared" si="13"/>
        <v/>
      </c>
      <c r="V215" s="140"/>
      <c r="W215" s="141" t="str">
        <f t="shared" si="14"/>
        <v/>
      </c>
      <c r="X215" s="133" t="str">
        <f>IFERROR(_xlfn.XLOOKUP($A215,'Raw Data'!$G:$G,'Raw Data'!AI:AI),"")</f>
        <v/>
      </c>
      <c r="Y215" s="133" t="str">
        <f>IFERROR(_xlfn.XLOOKUP($A215,'Raw Data'!$G:$G,'Raw Data'!AJ:AJ),"")</f>
        <v/>
      </c>
      <c r="Z215" s="133" t="str">
        <f>IFERROR(_xlfn.XLOOKUP($A215,'Raw Data'!$G:$G,'Raw Data'!AK:AK),"")</f>
        <v/>
      </c>
      <c r="AA215" s="133" t="str">
        <f>IFERROR(_xlfn.XLOOKUP($A215,'Raw Data'!$G:$G,'Raw Data'!AL:AL),"")</f>
        <v/>
      </c>
      <c r="AB215" s="133" t="str">
        <f>IFERROR(_xlfn.XLOOKUP($A215,'Raw Data'!$G:$G,'Raw Data'!H:H),"")</f>
        <v/>
      </c>
      <c r="AC215" s="142">
        <f>IFERROR(_xlfn.XLOOKUP($D215,'Modelling New'!$D:$D,'Modelling New'!P:P),"")</f>
        <v>5.1225806451612907</v>
      </c>
      <c r="AD215" s="133">
        <f>IFERROR(_xlfn.XLOOKUP($D215,'Modelling New'!$D:$D,'Modelling New'!$T:$T)*1000,"")</f>
        <v>29797.679316907321</v>
      </c>
      <c r="AE215" s="143">
        <f>IFERROR(_xlfn.XLOOKUP($D215,'Modelling New'!$D:$D,'Modelling New'!O:O),"")</f>
        <v>0.72522127474099773</v>
      </c>
      <c r="AF215" s="145">
        <f>IFERROR(_xlfn.XLOOKUP($D215,'Modelling New'!$D:$D,'Modelling New'!W:W),"")</f>
        <v>0.1547918527269764</v>
      </c>
      <c r="AG215" s="145">
        <f>IFERROR(_xlfn.XLOOKUP($D215,'Modelling New'!$D:$D,'Modelling New'!AE:AE),"")</f>
        <v>0.98040000000000005</v>
      </c>
      <c r="AH215" s="167">
        <f>IFERROR(_xlfn.XLOOKUP($D215,'Modelling New'!$D:$D,'Modelling New'!AF:AF),"")</f>
        <v>0.98</v>
      </c>
      <c r="AN215" s="144"/>
      <c r="AO215" s="141"/>
      <c r="AP215" s="141"/>
      <c r="AQ215" s="141"/>
      <c r="AR215" s="133">
        <f>'Basic Data'!$B$98/1000</f>
        <v>8.0208999999999993</v>
      </c>
    </row>
    <row r="216" spans="1:44" x14ac:dyDescent="0.3">
      <c r="A216" s="132">
        <f t="shared" si="15"/>
        <v>45959</v>
      </c>
      <c r="B216" s="133">
        <f>YEAR(Table13[[#This Row],[Date]])+IF(MONTH(Table13[[#This Row],[Date]])&gt;=4,1,0)</f>
        <v>2026</v>
      </c>
      <c r="C216" s="134">
        <f>YEAR(Table13[[#This Row],[Date]])</f>
        <v>2025</v>
      </c>
      <c r="D216" s="135">
        <f>Table13[[#This Row],[Date]]-DAY(Table13[[#This Row],[Date]])+1</f>
        <v>45931</v>
      </c>
      <c r="E216" s="134">
        <f t="shared" si="12"/>
        <v>31</v>
      </c>
      <c r="F216" s="136" t="str">
        <f>IFERROR(_xlfn.XLOOKUP($A216,'Raw Data'!$G:$G,'Raw Data'!$AM:$AM),"")</f>
        <v/>
      </c>
      <c r="G216" s="137" t="str">
        <f>IFERROR(_xlfn.XLOOKUP($A216,'Raw Data'!$G:$G,'Raw Data'!$AB:$AB),"")</f>
        <v/>
      </c>
      <c r="H216" s="137"/>
      <c r="I216" s="137" t="str">
        <f>IFERROR(_xlfn.XLOOKUP($A216,'Raw Data'!$G:$G,'Raw Data'!$AC:$AC),"")</f>
        <v/>
      </c>
      <c r="J216" s="137"/>
      <c r="K216" s="137" t="str">
        <f>IFERROR(_xlfn.XLOOKUP($A216,'Raw Data'!$G:$G,'Raw Data'!AD:AD),"")</f>
        <v/>
      </c>
      <c r="L216" s="137" t="str">
        <f>IFERROR(_xlfn.XLOOKUP($A216,'Raw Data'!$G:$G,'Raw Data'!AE:AE),"")</f>
        <v/>
      </c>
      <c r="M216" s="137" t="str">
        <f>IFERROR(_xlfn.XLOOKUP($A216,'Raw Data'!$G:$G,'Raw Data'!AF:AF),"")</f>
        <v/>
      </c>
      <c r="N216" s="137" t="str">
        <f>IFERROR(_xlfn.XLOOKUP($A216,'Raw Data'!$G:$G,'Raw Data'!AG:AG),"")</f>
        <v/>
      </c>
      <c r="O216" s="138" t="str">
        <f>IFERROR(1-SUMIF('Plant BD'!$H:$H,$A216,'Plant BD'!$AE:$AE)/($AA216+SUMIF('Plant BD'!$H:$H,$A216,'Plant BD'!$AE:$AE)),"")</f>
        <v/>
      </c>
      <c r="P216" s="138"/>
      <c r="Q216" s="139"/>
      <c r="R216" s="138" t="str">
        <f>IFERROR(1-SUMIF('Grid BD'!$H:$H,$A216,'Grid BD'!$AD:$AD)/($AA216+SUMIF('Grid BD'!$H:$H,$A216,'Grid BD'!$AD:$AD)),"")</f>
        <v/>
      </c>
      <c r="T216" s="139"/>
      <c r="U216" s="140" t="str">
        <f t="shared" si="13"/>
        <v/>
      </c>
      <c r="V216" s="140"/>
      <c r="W216" s="141" t="str">
        <f t="shared" si="14"/>
        <v/>
      </c>
      <c r="X216" s="133" t="str">
        <f>IFERROR(_xlfn.XLOOKUP($A216,'Raw Data'!$G:$G,'Raw Data'!AI:AI),"")</f>
        <v/>
      </c>
      <c r="Y216" s="133" t="str">
        <f>IFERROR(_xlfn.XLOOKUP($A216,'Raw Data'!$G:$G,'Raw Data'!AJ:AJ),"")</f>
        <v/>
      </c>
      <c r="Z216" s="133" t="str">
        <f>IFERROR(_xlfn.XLOOKUP($A216,'Raw Data'!$G:$G,'Raw Data'!AK:AK),"")</f>
        <v/>
      </c>
      <c r="AA216" s="133" t="str">
        <f>IFERROR(_xlfn.XLOOKUP($A216,'Raw Data'!$G:$G,'Raw Data'!AL:AL),"")</f>
        <v/>
      </c>
      <c r="AB216" s="133" t="str">
        <f>IFERROR(_xlfn.XLOOKUP($A216,'Raw Data'!$G:$G,'Raw Data'!H:H),"")</f>
        <v/>
      </c>
      <c r="AC216" s="142">
        <f>IFERROR(_xlfn.XLOOKUP($D216,'Modelling New'!$D:$D,'Modelling New'!P:P),"")</f>
        <v>5.1225806451612907</v>
      </c>
      <c r="AD216" s="133">
        <f>IFERROR(_xlfn.XLOOKUP($D216,'Modelling New'!$D:$D,'Modelling New'!$T:$T)*1000,"")</f>
        <v>29797.679316907321</v>
      </c>
      <c r="AE216" s="143">
        <f>IFERROR(_xlfn.XLOOKUP($D216,'Modelling New'!$D:$D,'Modelling New'!O:O),"")</f>
        <v>0.72522127474099773</v>
      </c>
      <c r="AF216" s="145">
        <f>IFERROR(_xlfn.XLOOKUP($D216,'Modelling New'!$D:$D,'Modelling New'!W:W),"")</f>
        <v>0.1547918527269764</v>
      </c>
      <c r="AG216" s="145">
        <f>IFERROR(_xlfn.XLOOKUP($D216,'Modelling New'!$D:$D,'Modelling New'!AE:AE),"")</f>
        <v>0.98040000000000005</v>
      </c>
      <c r="AH216" s="167">
        <f>IFERROR(_xlfn.XLOOKUP($D216,'Modelling New'!$D:$D,'Modelling New'!AF:AF),"")</f>
        <v>0.98</v>
      </c>
      <c r="AN216" s="144"/>
      <c r="AO216" s="141"/>
      <c r="AP216" s="141"/>
      <c r="AQ216" s="141"/>
      <c r="AR216" s="133">
        <f>'Basic Data'!$B$98/1000</f>
        <v>8.0208999999999993</v>
      </c>
    </row>
    <row r="217" spans="1:44" x14ac:dyDescent="0.3">
      <c r="A217" s="132">
        <f t="shared" si="15"/>
        <v>45960</v>
      </c>
      <c r="B217" s="133">
        <f>YEAR(Table13[[#This Row],[Date]])+IF(MONTH(Table13[[#This Row],[Date]])&gt;=4,1,0)</f>
        <v>2026</v>
      </c>
      <c r="C217" s="134">
        <f>YEAR(Table13[[#This Row],[Date]])</f>
        <v>2025</v>
      </c>
      <c r="D217" s="135">
        <f>Table13[[#This Row],[Date]]-DAY(Table13[[#This Row],[Date]])+1</f>
        <v>45931</v>
      </c>
      <c r="E217" s="134">
        <f t="shared" si="12"/>
        <v>31</v>
      </c>
      <c r="F217" s="136" t="str">
        <f>IFERROR(_xlfn.XLOOKUP($A217,'Raw Data'!$G:$G,'Raw Data'!$AM:$AM),"")</f>
        <v/>
      </c>
      <c r="G217" s="137" t="str">
        <f>IFERROR(_xlfn.XLOOKUP($A217,'Raw Data'!$G:$G,'Raw Data'!$AB:$AB),"")</f>
        <v/>
      </c>
      <c r="H217" s="137"/>
      <c r="I217" s="137" t="str">
        <f>IFERROR(_xlfn.XLOOKUP($A217,'Raw Data'!$G:$G,'Raw Data'!$AC:$AC),"")</f>
        <v/>
      </c>
      <c r="J217" s="137"/>
      <c r="K217" s="137" t="str">
        <f>IFERROR(_xlfn.XLOOKUP($A217,'Raw Data'!$G:$G,'Raw Data'!AD:AD),"")</f>
        <v/>
      </c>
      <c r="L217" s="137" t="str">
        <f>IFERROR(_xlfn.XLOOKUP($A217,'Raw Data'!$G:$G,'Raw Data'!AE:AE),"")</f>
        <v/>
      </c>
      <c r="M217" s="137" t="str">
        <f>IFERROR(_xlfn.XLOOKUP($A217,'Raw Data'!$G:$G,'Raw Data'!AF:AF),"")</f>
        <v/>
      </c>
      <c r="N217" s="137" t="str">
        <f>IFERROR(_xlfn.XLOOKUP($A217,'Raw Data'!$G:$G,'Raw Data'!AG:AG),"")</f>
        <v/>
      </c>
      <c r="O217" s="138" t="str">
        <f>IFERROR(1-SUMIF('Plant BD'!$H:$H,$A217,'Plant BD'!$AE:$AE)/($AA217+SUMIF('Plant BD'!$H:$H,$A217,'Plant BD'!$AE:$AE)),"")</f>
        <v/>
      </c>
      <c r="P217" s="138"/>
      <c r="Q217" s="139"/>
      <c r="R217" s="138" t="str">
        <f>IFERROR(1-SUMIF('Grid BD'!$H:$H,$A217,'Grid BD'!$AD:$AD)/($AA217+SUMIF('Grid BD'!$H:$H,$A217,'Grid BD'!$AD:$AD)),"")</f>
        <v/>
      </c>
      <c r="T217" s="139"/>
      <c r="U217" s="140" t="str">
        <f t="shared" si="13"/>
        <v/>
      </c>
      <c r="V217" s="140"/>
      <c r="W217" s="141" t="str">
        <f t="shared" si="14"/>
        <v/>
      </c>
      <c r="X217" s="133" t="str">
        <f>IFERROR(_xlfn.XLOOKUP($A217,'Raw Data'!$G:$G,'Raw Data'!AI:AI),"")</f>
        <v/>
      </c>
      <c r="Y217" s="133" t="str">
        <f>IFERROR(_xlfn.XLOOKUP($A217,'Raw Data'!$G:$G,'Raw Data'!AJ:AJ),"")</f>
        <v/>
      </c>
      <c r="Z217" s="133" t="str">
        <f>IFERROR(_xlfn.XLOOKUP($A217,'Raw Data'!$G:$G,'Raw Data'!AK:AK),"")</f>
        <v/>
      </c>
      <c r="AA217" s="133" t="str">
        <f>IFERROR(_xlfn.XLOOKUP($A217,'Raw Data'!$G:$G,'Raw Data'!AL:AL),"")</f>
        <v/>
      </c>
      <c r="AB217" s="133" t="str">
        <f>IFERROR(_xlfn.XLOOKUP($A217,'Raw Data'!$G:$G,'Raw Data'!H:H),"")</f>
        <v/>
      </c>
      <c r="AC217" s="142">
        <f>IFERROR(_xlfn.XLOOKUP($D217,'Modelling New'!$D:$D,'Modelling New'!P:P),"")</f>
        <v>5.1225806451612907</v>
      </c>
      <c r="AD217" s="133">
        <f>IFERROR(_xlfn.XLOOKUP($D217,'Modelling New'!$D:$D,'Modelling New'!$T:$T)*1000,"")</f>
        <v>29797.679316907321</v>
      </c>
      <c r="AE217" s="143">
        <f>IFERROR(_xlfn.XLOOKUP($D217,'Modelling New'!$D:$D,'Modelling New'!O:O),"")</f>
        <v>0.72522127474099773</v>
      </c>
      <c r="AF217" s="145">
        <f>IFERROR(_xlfn.XLOOKUP($D217,'Modelling New'!$D:$D,'Modelling New'!W:W),"")</f>
        <v>0.1547918527269764</v>
      </c>
      <c r="AG217" s="145">
        <f>IFERROR(_xlfn.XLOOKUP($D217,'Modelling New'!$D:$D,'Modelling New'!AE:AE),"")</f>
        <v>0.98040000000000005</v>
      </c>
      <c r="AH217" s="167">
        <f>IFERROR(_xlfn.XLOOKUP($D217,'Modelling New'!$D:$D,'Modelling New'!AF:AF),"")</f>
        <v>0.98</v>
      </c>
      <c r="AN217" s="144"/>
      <c r="AO217" s="141"/>
      <c r="AP217" s="141"/>
      <c r="AQ217" s="141"/>
      <c r="AR217" s="133">
        <f>'Basic Data'!$B$98/1000</f>
        <v>8.0208999999999993</v>
      </c>
    </row>
    <row r="218" spans="1:44" x14ac:dyDescent="0.3">
      <c r="A218" s="132">
        <f t="shared" si="15"/>
        <v>45961</v>
      </c>
      <c r="B218" s="133">
        <f>YEAR(Table13[[#This Row],[Date]])+IF(MONTH(Table13[[#This Row],[Date]])&gt;=4,1,0)</f>
        <v>2026</v>
      </c>
      <c r="C218" s="134">
        <f>YEAR(Table13[[#This Row],[Date]])</f>
        <v>2025</v>
      </c>
      <c r="D218" s="135">
        <f>Table13[[#This Row],[Date]]-DAY(Table13[[#This Row],[Date]])+1</f>
        <v>45931</v>
      </c>
      <c r="E218" s="134">
        <f t="shared" si="12"/>
        <v>31</v>
      </c>
      <c r="F218" s="136" t="str">
        <f>IFERROR(_xlfn.XLOOKUP($A218,'Raw Data'!$G:$G,'Raw Data'!$AM:$AM),"")</f>
        <v/>
      </c>
      <c r="G218" s="137" t="str">
        <f>IFERROR(_xlfn.XLOOKUP($A218,'Raw Data'!$G:$G,'Raw Data'!$AB:$AB),"")</f>
        <v/>
      </c>
      <c r="H218" s="137"/>
      <c r="I218" s="137" t="str">
        <f>IFERROR(_xlfn.XLOOKUP($A218,'Raw Data'!$G:$G,'Raw Data'!$AC:$AC),"")</f>
        <v/>
      </c>
      <c r="J218" s="137"/>
      <c r="K218" s="137" t="str">
        <f>IFERROR(_xlfn.XLOOKUP($A218,'Raw Data'!$G:$G,'Raw Data'!AD:AD),"")</f>
        <v/>
      </c>
      <c r="L218" s="137" t="str">
        <f>IFERROR(_xlfn.XLOOKUP($A218,'Raw Data'!$G:$G,'Raw Data'!AE:AE),"")</f>
        <v/>
      </c>
      <c r="M218" s="137" t="str">
        <f>IFERROR(_xlfn.XLOOKUP($A218,'Raw Data'!$G:$G,'Raw Data'!AF:AF),"")</f>
        <v/>
      </c>
      <c r="N218" s="137" t="str">
        <f>IFERROR(_xlfn.XLOOKUP($A218,'Raw Data'!$G:$G,'Raw Data'!AG:AG),"")</f>
        <v/>
      </c>
      <c r="O218" s="138" t="str">
        <f>IFERROR(1-SUMIF('Plant BD'!$H:$H,$A218,'Plant BD'!$AE:$AE)/($AA218+SUMIF('Plant BD'!$H:$H,$A218,'Plant BD'!$AE:$AE)),"")</f>
        <v/>
      </c>
      <c r="P218" s="138"/>
      <c r="Q218" s="139"/>
      <c r="R218" s="138" t="str">
        <f>IFERROR(1-SUMIF('Grid BD'!$H:$H,$A218,'Grid BD'!$AD:$AD)/($AA218+SUMIF('Grid BD'!$H:$H,$A218,'Grid BD'!$AD:$AD)),"")</f>
        <v/>
      </c>
      <c r="T218" s="139"/>
      <c r="U218" s="140" t="str">
        <f t="shared" si="13"/>
        <v/>
      </c>
      <c r="V218" s="140"/>
      <c r="W218" s="141" t="str">
        <f t="shared" si="14"/>
        <v/>
      </c>
      <c r="X218" s="133" t="str">
        <f>IFERROR(_xlfn.XLOOKUP($A218,'Raw Data'!$G:$G,'Raw Data'!AI:AI),"")</f>
        <v/>
      </c>
      <c r="Y218" s="133" t="str">
        <f>IFERROR(_xlfn.XLOOKUP($A218,'Raw Data'!$G:$G,'Raw Data'!AJ:AJ),"")</f>
        <v/>
      </c>
      <c r="Z218" s="133" t="str">
        <f>IFERROR(_xlfn.XLOOKUP($A218,'Raw Data'!$G:$G,'Raw Data'!AK:AK),"")</f>
        <v/>
      </c>
      <c r="AA218" s="133" t="str">
        <f>IFERROR(_xlfn.XLOOKUP($A218,'Raw Data'!$G:$G,'Raw Data'!AL:AL),"")</f>
        <v/>
      </c>
      <c r="AB218" s="133" t="str">
        <f>IFERROR(_xlfn.XLOOKUP($A218,'Raw Data'!$G:$G,'Raw Data'!H:H),"")</f>
        <v/>
      </c>
      <c r="AC218" s="142">
        <f>IFERROR(_xlfn.XLOOKUP($D218,'Modelling New'!$D:$D,'Modelling New'!P:P),"")</f>
        <v>5.1225806451612907</v>
      </c>
      <c r="AD218" s="133">
        <f>IFERROR(_xlfn.XLOOKUP($D218,'Modelling New'!$D:$D,'Modelling New'!$T:$T)*1000,"")</f>
        <v>29797.679316907321</v>
      </c>
      <c r="AE218" s="143">
        <f>IFERROR(_xlfn.XLOOKUP($D218,'Modelling New'!$D:$D,'Modelling New'!O:O),"")</f>
        <v>0.72522127474099773</v>
      </c>
      <c r="AF218" s="145">
        <f>IFERROR(_xlfn.XLOOKUP($D218,'Modelling New'!$D:$D,'Modelling New'!W:W),"")</f>
        <v>0.1547918527269764</v>
      </c>
      <c r="AG218" s="145">
        <f>IFERROR(_xlfn.XLOOKUP($D218,'Modelling New'!$D:$D,'Modelling New'!AE:AE),"")</f>
        <v>0.98040000000000005</v>
      </c>
      <c r="AH218" s="167">
        <f>IFERROR(_xlfn.XLOOKUP($D218,'Modelling New'!$D:$D,'Modelling New'!AF:AF),"")</f>
        <v>0.98</v>
      </c>
      <c r="AN218" s="144"/>
      <c r="AO218" s="141"/>
      <c r="AP218" s="141"/>
      <c r="AQ218" s="141"/>
      <c r="AR218" s="133">
        <f>'Basic Data'!$B$98/1000</f>
        <v>8.0208999999999993</v>
      </c>
    </row>
    <row r="219" spans="1:44" x14ac:dyDescent="0.3">
      <c r="A219" s="132">
        <f t="shared" si="15"/>
        <v>45962</v>
      </c>
      <c r="B219" s="133">
        <f>YEAR(Table13[[#This Row],[Date]])+IF(MONTH(Table13[[#This Row],[Date]])&gt;=4,1,0)</f>
        <v>2026</v>
      </c>
      <c r="C219" s="134">
        <f>YEAR(Table13[[#This Row],[Date]])</f>
        <v>2025</v>
      </c>
      <c r="D219" s="135">
        <f>Table13[[#This Row],[Date]]-DAY(Table13[[#This Row],[Date]])+1</f>
        <v>45962</v>
      </c>
      <c r="E219" s="134">
        <f t="shared" si="12"/>
        <v>30</v>
      </c>
      <c r="F219" s="136" t="str">
        <f>IFERROR(_xlfn.XLOOKUP($A219,'Raw Data'!$G:$G,'Raw Data'!$AM:$AM),"")</f>
        <v/>
      </c>
      <c r="G219" s="137" t="str">
        <f>IFERROR(_xlfn.XLOOKUP($A219,'Raw Data'!$G:$G,'Raw Data'!$AB:$AB),"")</f>
        <v/>
      </c>
      <c r="H219" s="137"/>
      <c r="I219" s="137" t="str">
        <f>IFERROR(_xlfn.XLOOKUP($A219,'Raw Data'!$G:$G,'Raw Data'!$AC:$AC),"")</f>
        <v/>
      </c>
      <c r="J219" s="137"/>
      <c r="K219" s="137" t="str">
        <f>IFERROR(_xlfn.XLOOKUP($A219,'Raw Data'!$G:$G,'Raw Data'!AD:AD),"")</f>
        <v/>
      </c>
      <c r="L219" s="137" t="str">
        <f>IFERROR(_xlfn.XLOOKUP($A219,'Raw Data'!$G:$G,'Raw Data'!AE:AE),"")</f>
        <v/>
      </c>
      <c r="M219" s="137" t="str">
        <f>IFERROR(_xlfn.XLOOKUP($A219,'Raw Data'!$G:$G,'Raw Data'!AF:AF),"")</f>
        <v/>
      </c>
      <c r="N219" s="137" t="str">
        <f>IFERROR(_xlfn.XLOOKUP($A219,'Raw Data'!$G:$G,'Raw Data'!AG:AG),"")</f>
        <v/>
      </c>
      <c r="O219" s="138" t="str">
        <f>IFERROR(1-SUMIF('Plant BD'!$H:$H,$A219,'Plant BD'!$AE:$AE)/($AA219+SUMIF('Plant BD'!$H:$H,$A219,'Plant BD'!$AE:$AE)),"")</f>
        <v/>
      </c>
      <c r="P219" s="138"/>
      <c r="Q219" s="139"/>
      <c r="R219" s="138" t="str">
        <f>IFERROR(1-SUMIF('Grid BD'!$H:$H,$A219,'Grid BD'!$AD:$AD)/($AA219+SUMIF('Grid BD'!$H:$H,$A219,'Grid BD'!$AD:$AD)),"")</f>
        <v/>
      </c>
      <c r="T219" s="139"/>
      <c r="U219" s="140" t="str">
        <f t="shared" si="13"/>
        <v/>
      </c>
      <c r="V219" s="140"/>
      <c r="W219" s="141" t="str">
        <f t="shared" si="14"/>
        <v/>
      </c>
      <c r="X219" s="133" t="str">
        <f>IFERROR(_xlfn.XLOOKUP($A219,'Raw Data'!$G:$G,'Raw Data'!AI:AI),"")</f>
        <v/>
      </c>
      <c r="Y219" s="133" t="str">
        <f>IFERROR(_xlfn.XLOOKUP($A219,'Raw Data'!$G:$G,'Raw Data'!AJ:AJ),"")</f>
        <v/>
      </c>
      <c r="Z219" s="133" t="str">
        <f>IFERROR(_xlfn.XLOOKUP($A219,'Raw Data'!$G:$G,'Raw Data'!AK:AK),"")</f>
        <v/>
      </c>
      <c r="AA219" s="133" t="str">
        <f>IFERROR(_xlfn.XLOOKUP($A219,'Raw Data'!$G:$G,'Raw Data'!AL:AL),"")</f>
        <v/>
      </c>
      <c r="AB219" s="133" t="str">
        <f>IFERROR(_xlfn.XLOOKUP($A219,'Raw Data'!$G:$G,'Raw Data'!H:H),"")</f>
        <v/>
      </c>
      <c r="AC219" s="142">
        <f>IFERROR(_xlfn.XLOOKUP($D219,'Modelling New'!$D:$D,'Modelling New'!P:P),"")</f>
        <v>5.4333333333333336</v>
      </c>
      <c r="AD219" s="133">
        <f>IFERROR(_xlfn.XLOOKUP($D219,'Modelling New'!$D:$D,'Modelling New'!$T:$T)*1000,"")</f>
        <v>30935.368854830132</v>
      </c>
      <c r="AE219" s="143">
        <f>IFERROR(_xlfn.XLOOKUP($D219,'Modelling New'!$D:$D,'Modelling New'!O:O),"")</f>
        <v>0.70984879123298372</v>
      </c>
      <c r="AF219" s="145">
        <f>IFERROR(_xlfn.XLOOKUP($D219,'Modelling New'!$D:$D,'Modelling New'!W:W),"")</f>
        <v>0.160701879126356</v>
      </c>
      <c r="AG219" s="145">
        <f>IFERROR(_xlfn.XLOOKUP($D219,'Modelling New'!$D:$D,'Modelling New'!AE:AE),"")</f>
        <v>0.98040000000000005</v>
      </c>
      <c r="AH219" s="167">
        <f>IFERROR(_xlfn.XLOOKUP($D219,'Modelling New'!$D:$D,'Modelling New'!AF:AF),"")</f>
        <v>0.98</v>
      </c>
      <c r="AN219" s="144"/>
      <c r="AO219" s="141"/>
      <c r="AP219" s="141"/>
      <c r="AQ219" s="141"/>
      <c r="AR219" s="133">
        <f>'Basic Data'!$B$98/1000</f>
        <v>8.0208999999999993</v>
      </c>
    </row>
    <row r="220" spans="1:44" x14ac:dyDescent="0.3">
      <c r="A220" s="132">
        <f t="shared" si="15"/>
        <v>45963</v>
      </c>
      <c r="B220" s="133">
        <f>YEAR(Table13[[#This Row],[Date]])+IF(MONTH(Table13[[#This Row],[Date]])&gt;=4,1,0)</f>
        <v>2026</v>
      </c>
      <c r="C220" s="134">
        <f>YEAR(Table13[[#This Row],[Date]])</f>
        <v>2025</v>
      </c>
      <c r="D220" s="135">
        <f>Table13[[#This Row],[Date]]-DAY(Table13[[#This Row],[Date]])+1</f>
        <v>45962</v>
      </c>
      <c r="E220" s="134">
        <f t="shared" si="12"/>
        <v>30</v>
      </c>
      <c r="F220" s="136" t="str">
        <f>IFERROR(_xlfn.XLOOKUP($A220,'Raw Data'!$G:$G,'Raw Data'!$AM:$AM),"")</f>
        <v/>
      </c>
      <c r="G220" s="137" t="str">
        <f>IFERROR(_xlfn.XLOOKUP($A220,'Raw Data'!$G:$G,'Raw Data'!$AB:$AB),"")</f>
        <v/>
      </c>
      <c r="H220" s="137"/>
      <c r="I220" s="137" t="str">
        <f>IFERROR(_xlfn.XLOOKUP($A220,'Raw Data'!$G:$G,'Raw Data'!$AC:$AC),"")</f>
        <v/>
      </c>
      <c r="J220" s="137"/>
      <c r="K220" s="137" t="str">
        <f>IFERROR(_xlfn.XLOOKUP($A220,'Raw Data'!$G:$G,'Raw Data'!AD:AD),"")</f>
        <v/>
      </c>
      <c r="L220" s="137" t="str">
        <f>IFERROR(_xlfn.XLOOKUP($A220,'Raw Data'!$G:$G,'Raw Data'!AE:AE),"")</f>
        <v/>
      </c>
      <c r="M220" s="137" t="str">
        <f>IFERROR(_xlfn.XLOOKUP($A220,'Raw Data'!$G:$G,'Raw Data'!AF:AF),"")</f>
        <v/>
      </c>
      <c r="N220" s="137" t="str">
        <f>IFERROR(_xlfn.XLOOKUP($A220,'Raw Data'!$G:$G,'Raw Data'!AG:AG),"")</f>
        <v/>
      </c>
      <c r="O220" s="138" t="str">
        <f>IFERROR(1-SUMIF('Plant BD'!$H:$H,$A220,'Plant BD'!$AE:$AE)/($AA220+SUMIF('Plant BD'!$H:$H,$A220,'Plant BD'!$AE:$AE)),"")</f>
        <v/>
      </c>
      <c r="P220" s="138"/>
      <c r="Q220" s="139"/>
      <c r="R220" s="138" t="str">
        <f>IFERROR(1-SUMIF('Grid BD'!$H:$H,$A220,'Grid BD'!$AD:$AD)/($AA220+SUMIF('Grid BD'!$H:$H,$A220,'Grid BD'!$AD:$AD)),"")</f>
        <v/>
      </c>
      <c r="T220" s="139"/>
      <c r="U220" s="140" t="str">
        <f t="shared" si="13"/>
        <v/>
      </c>
      <c r="V220" s="140"/>
      <c r="W220" s="141" t="str">
        <f t="shared" si="14"/>
        <v/>
      </c>
      <c r="X220" s="133" t="str">
        <f>IFERROR(_xlfn.XLOOKUP($A220,'Raw Data'!$G:$G,'Raw Data'!AI:AI),"")</f>
        <v/>
      </c>
      <c r="Y220" s="133" t="str">
        <f>IFERROR(_xlfn.XLOOKUP($A220,'Raw Data'!$G:$G,'Raw Data'!AJ:AJ),"")</f>
        <v/>
      </c>
      <c r="Z220" s="133" t="str">
        <f>IFERROR(_xlfn.XLOOKUP($A220,'Raw Data'!$G:$G,'Raw Data'!AK:AK),"")</f>
        <v/>
      </c>
      <c r="AA220" s="133" t="str">
        <f>IFERROR(_xlfn.XLOOKUP($A220,'Raw Data'!$G:$G,'Raw Data'!AL:AL),"")</f>
        <v/>
      </c>
      <c r="AB220" s="133" t="str">
        <f>IFERROR(_xlfn.XLOOKUP($A220,'Raw Data'!$G:$G,'Raw Data'!H:H),"")</f>
        <v/>
      </c>
      <c r="AC220" s="142">
        <f>IFERROR(_xlfn.XLOOKUP($D220,'Modelling New'!$D:$D,'Modelling New'!P:P),"")</f>
        <v>5.4333333333333336</v>
      </c>
      <c r="AD220" s="133">
        <f>IFERROR(_xlfn.XLOOKUP($D220,'Modelling New'!$D:$D,'Modelling New'!$T:$T)*1000,"")</f>
        <v>30935.368854830132</v>
      </c>
      <c r="AE220" s="143">
        <f>IFERROR(_xlfn.XLOOKUP($D220,'Modelling New'!$D:$D,'Modelling New'!O:O),"")</f>
        <v>0.70984879123298372</v>
      </c>
      <c r="AF220" s="145">
        <f>IFERROR(_xlfn.XLOOKUP($D220,'Modelling New'!$D:$D,'Modelling New'!W:W),"")</f>
        <v>0.160701879126356</v>
      </c>
      <c r="AG220" s="145">
        <f>IFERROR(_xlfn.XLOOKUP($D220,'Modelling New'!$D:$D,'Modelling New'!AE:AE),"")</f>
        <v>0.98040000000000005</v>
      </c>
      <c r="AH220" s="167">
        <f>IFERROR(_xlfn.XLOOKUP($D220,'Modelling New'!$D:$D,'Modelling New'!AF:AF),"")</f>
        <v>0.98</v>
      </c>
      <c r="AN220" s="144"/>
      <c r="AO220" s="141"/>
      <c r="AP220" s="141"/>
      <c r="AQ220" s="141"/>
      <c r="AR220" s="133">
        <f>'Basic Data'!$B$98/1000</f>
        <v>8.0208999999999993</v>
      </c>
    </row>
    <row r="221" spans="1:44" x14ac:dyDescent="0.3">
      <c r="A221" s="132">
        <f t="shared" si="15"/>
        <v>45964</v>
      </c>
      <c r="B221" s="133">
        <f>YEAR(Table13[[#This Row],[Date]])+IF(MONTH(Table13[[#This Row],[Date]])&gt;=4,1,0)</f>
        <v>2026</v>
      </c>
      <c r="C221" s="134">
        <f>YEAR(Table13[[#This Row],[Date]])</f>
        <v>2025</v>
      </c>
      <c r="D221" s="135">
        <f>Table13[[#This Row],[Date]]-DAY(Table13[[#This Row],[Date]])+1</f>
        <v>45962</v>
      </c>
      <c r="E221" s="134">
        <f t="shared" si="12"/>
        <v>30</v>
      </c>
      <c r="F221" s="136" t="str">
        <f>IFERROR(_xlfn.XLOOKUP($A221,'Raw Data'!$G:$G,'Raw Data'!$AM:$AM),"")</f>
        <v/>
      </c>
      <c r="G221" s="137" t="str">
        <f>IFERROR(_xlfn.XLOOKUP($A221,'Raw Data'!$G:$G,'Raw Data'!$AB:$AB),"")</f>
        <v/>
      </c>
      <c r="H221" s="137"/>
      <c r="I221" s="137" t="str">
        <f>IFERROR(_xlfn.XLOOKUP($A221,'Raw Data'!$G:$G,'Raw Data'!$AC:$AC),"")</f>
        <v/>
      </c>
      <c r="J221" s="137"/>
      <c r="K221" s="137" t="str">
        <f>IFERROR(_xlfn.XLOOKUP($A221,'Raw Data'!$G:$G,'Raw Data'!AD:AD),"")</f>
        <v/>
      </c>
      <c r="L221" s="137" t="str">
        <f>IFERROR(_xlfn.XLOOKUP($A221,'Raw Data'!$G:$G,'Raw Data'!AE:AE),"")</f>
        <v/>
      </c>
      <c r="M221" s="137" t="str">
        <f>IFERROR(_xlfn.XLOOKUP($A221,'Raw Data'!$G:$G,'Raw Data'!AF:AF),"")</f>
        <v/>
      </c>
      <c r="N221" s="137" t="str">
        <f>IFERROR(_xlfn.XLOOKUP($A221,'Raw Data'!$G:$G,'Raw Data'!AG:AG),"")</f>
        <v/>
      </c>
      <c r="O221" s="138" t="str">
        <f>IFERROR(1-SUMIF('Plant BD'!$H:$H,$A221,'Plant BD'!$AE:$AE)/($AA221+SUMIF('Plant BD'!$H:$H,$A221,'Plant BD'!$AE:$AE)),"")</f>
        <v/>
      </c>
      <c r="P221" s="138"/>
      <c r="Q221" s="139"/>
      <c r="R221" s="138" t="str">
        <f>IFERROR(1-SUMIF('Grid BD'!$H:$H,$A221,'Grid BD'!$AD:$AD)/($AA221+SUMIF('Grid BD'!$H:$H,$A221,'Grid BD'!$AD:$AD)),"")</f>
        <v/>
      </c>
      <c r="T221" s="139"/>
      <c r="U221" s="140" t="str">
        <f t="shared" si="13"/>
        <v/>
      </c>
      <c r="V221" s="140"/>
      <c r="W221" s="141" t="str">
        <f t="shared" si="14"/>
        <v/>
      </c>
      <c r="X221" s="133" t="str">
        <f>IFERROR(_xlfn.XLOOKUP($A221,'Raw Data'!$G:$G,'Raw Data'!AI:AI),"")</f>
        <v/>
      </c>
      <c r="Y221" s="133" t="str">
        <f>IFERROR(_xlfn.XLOOKUP($A221,'Raw Data'!$G:$G,'Raw Data'!AJ:AJ),"")</f>
        <v/>
      </c>
      <c r="Z221" s="133" t="str">
        <f>IFERROR(_xlfn.XLOOKUP($A221,'Raw Data'!$G:$G,'Raw Data'!AK:AK),"")</f>
        <v/>
      </c>
      <c r="AA221" s="133" t="str">
        <f>IFERROR(_xlfn.XLOOKUP($A221,'Raw Data'!$G:$G,'Raw Data'!AL:AL),"")</f>
        <v/>
      </c>
      <c r="AB221" s="133" t="str">
        <f>IFERROR(_xlfn.XLOOKUP($A221,'Raw Data'!$G:$G,'Raw Data'!H:H),"")</f>
        <v/>
      </c>
      <c r="AC221" s="142">
        <f>IFERROR(_xlfn.XLOOKUP($D221,'Modelling New'!$D:$D,'Modelling New'!P:P),"")</f>
        <v>5.4333333333333336</v>
      </c>
      <c r="AD221" s="133">
        <f>IFERROR(_xlfn.XLOOKUP($D221,'Modelling New'!$D:$D,'Modelling New'!$T:$T)*1000,"")</f>
        <v>30935.368854830132</v>
      </c>
      <c r="AE221" s="143">
        <f>IFERROR(_xlfn.XLOOKUP($D221,'Modelling New'!$D:$D,'Modelling New'!O:O),"")</f>
        <v>0.70984879123298372</v>
      </c>
      <c r="AF221" s="145">
        <f>IFERROR(_xlfn.XLOOKUP($D221,'Modelling New'!$D:$D,'Modelling New'!W:W),"")</f>
        <v>0.160701879126356</v>
      </c>
      <c r="AG221" s="145">
        <f>IFERROR(_xlfn.XLOOKUP($D221,'Modelling New'!$D:$D,'Modelling New'!AE:AE),"")</f>
        <v>0.98040000000000005</v>
      </c>
      <c r="AH221" s="167">
        <f>IFERROR(_xlfn.XLOOKUP($D221,'Modelling New'!$D:$D,'Modelling New'!AF:AF),"")</f>
        <v>0.98</v>
      </c>
      <c r="AN221" s="144"/>
      <c r="AO221" s="141"/>
      <c r="AP221" s="141"/>
      <c r="AQ221" s="141"/>
      <c r="AR221" s="133">
        <f>'Basic Data'!$B$98/1000</f>
        <v>8.0208999999999993</v>
      </c>
    </row>
    <row r="222" spans="1:44" x14ac:dyDescent="0.3">
      <c r="A222" s="132">
        <f t="shared" si="15"/>
        <v>45965</v>
      </c>
      <c r="B222" s="133">
        <f>YEAR(Table13[[#This Row],[Date]])+IF(MONTH(Table13[[#This Row],[Date]])&gt;=4,1,0)</f>
        <v>2026</v>
      </c>
      <c r="C222" s="134">
        <f>YEAR(Table13[[#This Row],[Date]])</f>
        <v>2025</v>
      </c>
      <c r="D222" s="135">
        <f>Table13[[#This Row],[Date]]-DAY(Table13[[#This Row],[Date]])+1</f>
        <v>45962</v>
      </c>
      <c r="E222" s="134">
        <f t="shared" si="12"/>
        <v>30</v>
      </c>
      <c r="F222" s="136" t="str">
        <f>IFERROR(_xlfn.XLOOKUP($A222,'Raw Data'!$G:$G,'Raw Data'!$AM:$AM),"")</f>
        <v/>
      </c>
      <c r="G222" s="137" t="str">
        <f>IFERROR(_xlfn.XLOOKUP($A222,'Raw Data'!$G:$G,'Raw Data'!$AB:$AB),"")</f>
        <v/>
      </c>
      <c r="H222" s="137"/>
      <c r="I222" s="137" t="str">
        <f>IFERROR(_xlfn.XLOOKUP($A222,'Raw Data'!$G:$G,'Raw Data'!$AC:$AC),"")</f>
        <v/>
      </c>
      <c r="J222" s="137"/>
      <c r="K222" s="137" t="str">
        <f>IFERROR(_xlfn.XLOOKUP($A222,'Raw Data'!$G:$G,'Raw Data'!AD:AD),"")</f>
        <v/>
      </c>
      <c r="L222" s="137" t="str">
        <f>IFERROR(_xlfn.XLOOKUP($A222,'Raw Data'!$G:$G,'Raw Data'!AE:AE),"")</f>
        <v/>
      </c>
      <c r="M222" s="137" t="str">
        <f>IFERROR(_xlfn.XLOOKUP($A222,'Raw Data'!$G:$G,'Raw Data'!AF:AF),"")</f>
        <v/>
      </c>
      <c r="N222" s="137" t="str">
        <f>IFERROR(_xlfn.XLOOKUP($A222,'Raw Data'!$G:$G,'Raw Data'!AG:AG),"")</f>
        <v/>
      </c>
      <c r="O222" s="138" t="str">
        <f>IFERROR(1-SUMIF('Plant BD'!$H:$H,$A222,'Plant BD'!$AE:$AE)/($AA222+SUMIF('Plant BD'!$H:$H,$A222,'Plant BD'!$AE:$AE)),"")</f>
        <v/>
      </c>
      <c r="P222" s="138"/>
      <c r="Q222" s="139"/>
      <c r="R222" s="138" t="str">
        <f>IFERROR(1-SUMIF('Grid BD'!$H:$H,$A222,'Grid BD'!$AD:$AD)/($AA222+SUMIF('Grid BD'!$H:$H,$A222,'Grid BD'!$AD:$AD)),"")</f>
        <v/>
      </c>
      <c r="T222" s="139"/>
      <c r="U222" s="140" t="str">
        <f t="shared" si="13"/>
        <v/>
      </c>
      <c r="V222" s="140"/>
      <c r="W222" s="141" t="str">
        <f t="shared" si="14"/>
        <v/>
      </c>
      <c r="X222" s="133" t="str">
        <f>IFERROR(_xlfn.XLOOKUP($A222,'Raw Data'!$G:$G,'Raw Data'!AI:AI),"")</f>
        <v/>
      </c>
      <c r="Y222" s="133" t="str">
        <f>IFERROR(_xlfn.XLOOKUP($A222,'Raw Data'!$G:$G,'Raw Data'!AJ:AJ),"")</f>
        <v/>
      </c>
      <c r="Z222" s="133" t="str">
        <f>IFERROR(_xlfn.XLOOKUP($A222,'Raw Data'!$G:$G,'Raw Data'!AK:AK),"")</f>
        <v/>
      </c>
      <c r="AA222" s="133" t="str">
        <f>IFERROR(_xlfn.XLOOKUP($A222,'Raw Data'!$G:$G,'Raw Data'!AL:AL),"")</f>
        <v/>
      </c>
      <c r="AB222" s="133" t="str">
        <f>IFERROR(_xlfn.XLOOKUP($A222,'Raw Data'!$G:$G,'Raw Data'!H:H),"")</f>
        <v/>
      </c>
      <c r="AC222" s="142">
        <f>IFERROR(_xlfn.XLOOKUP($D222,'Modelling New'!$D:$D,'Modelling New'!P:P),"")</f>
        <v>5.4333333333333336</v>
      </c>
      <c r="AD222" s="133">
        <f>IFERROR(_xlfn.XLOOKUP($D222,'Modelling New'!$D:$D,'Modelling New'!$T:$T)*1000,"")</f>
        <v>30935.368854830132</v>
      </c>
      <c r="AE222" s="143">
        <f>IFERROR(_xlfn.XLOOKUP($D222,'Modelling New'!$D:$D,'Modelling New'!O:O),"")</f>
        <v>0.70984879123298372</v>
      </c>
      <c r="AF222" s="145">
        <f>IFERROR(_xlfn.XLOOKUP($D222,'Modelling New'!$D:$D,'Modelling New'!W:W),"")</f>
        <v>0.160701879126356</v>
      </c>
      <c r="AG222" s="145">
        <f>IFERROR(_xlfn.XLOOKUP($D222,'Modelling New'!$D:$D,'Modelling New'!AE:AE),"")</f>
        <v>0.98040000000000005</v>
      </c>
      <c r="AH222" s="167">
        <f>IFERROR(_xlfn.XLOOKUP($D222,'Modelling New'!$D:$D,'Modelling New'!AF:AF),"")</f>
        <v>0.98</v>
      </c>
      <c r="AN222" s="144"/>
      <c r="AO222" s="141"/>
      <c r="AP222" s="141"/>
      <c r="AQ222" s="141"/>
      <c r="AR222" s="133">
        <f>'Basic Data'!$B$98/1000</f>
        <v>8.0208999999999993</v>
      </c>
    </row>
    <row r="223" spans="1:44" x14ac:dyDescent="0.3">
      <c r="A223" s="132">
        <f t="shared" si="15"/>
        <v>45966</v>
      </c>
      <c r="B223" s="133">
        <f>YEAR(Table13[[#This Row],[Date]])+IF(MONTH(Table13[[#This Row],[Date]])&gt;=4,1,0)</f>
        <v>2026</v>
      </c>
      <c r="C223" s="134">
        <f>YEAR(Table13[[#This Row],[Date]])</f>
        <v>2025</v>
      </c>
      <c r="D223" s="135">
        <f>Table13[[#This Row],[Date]]-DAY(Table13[[#This Row],[Date]])+1</f>
        <v>45962</v>
      </c>
      <c r="E223" s="134">
        <f t="shared" si="12"/>
        <v>30</v>
      </c>
      <c r="F223" s="136" t="str">
        <f>IFERROR(_xlfn.XLOOKUP($A223,'Raw Data'!$G:$G,'Raw Data'!$AM:$AM),"")</f>
        <v/>
      </c>
      <c r="G223" s="137" t="str">
        <f>IFERROR(_xlfn.XLOOKUP($A223,'Raw Data'!$G:$G,'Raw Data'!$AB:$AB),"")</f>
        <v/>
      </c>
      <c r="H223" s="137"/>
      <c r="I223" s="137" t="str">
        <f>IFERROR(_xlfn.XLOOKUP($A223,'Raw Data'!$G:$G,'Raw Data'!$AC:$AC),"")</f>
        <v/>
      </c>
      <c r="J223" s="137"/>
      <c r="K223" s="137" t="str">
        <f>IFERROR(_xlfn.XLOOKUP($A223,'Raw Data'!$G:$G,'Raw Data'!AD:AD),"")</f>
        <v/>
      </c>
      <c r="L223" s="137" t="str">
        <f>IFERROR(_xlfn.XLOOKUP($A223,'Raw Data'!$G:$G,'Raw Data'!AE:AE),"")</f>
        <v/>
      </c>
      <c r="M223" s="137" t="str">
        <f>IFERROR(_xlfn.XLOOKUP($A223,'Raw Data'!$G:$G,'Raw Data'!AF:AF),"")</f>
        <v/>
      </c>
      <c r="N223" s="137" t="str">
        <f>IFERROR(_xlfn.XLOOKUP($A223,'Raw Data'!$G:$G,'Raw Data'!AG:AG),"")</f>
        <v/>
      </c>
      <c r="O223" s="138" t="str">
        <f>IFERROR(1-SUMIF('Plant BD'!$H:$H,$A223,'Plant BD'!$AE:$AE)/($AA223+SUMIF('Plant BD'!$H:$H,$A223,'Plant BD'!$AE:$AE)),"")</f>
        <v/>
      </c>
      <c r="P223" s="138"/>
      <c r="Q223" s="139"/>
      <c r="R223" s="138" t="str">
        <f>IFERROR(1-SUMIF('Grid BD'!$H:$H,$A223,'Grid BD'!$AD:$AD)/($AA223+SUMIF('Grid BD'!$H:$H,$A223,'Grid BD'!$AD:$AD)),"")</f>
        <v/>
      </c>
      <c r="T223" s="139"/>
      <c r="U223" s="140" t="str">
        <f t="shared" si="13"/>
        <v/>
      </c>
      <c r="V223" s="140"/>
      <c r="W223" s="141" t="str">
        <f t="shared" si="14"/>
        <v/>
      </c>
      <c r="X223" s="133" t="str">
        <f>IFERROR(_xlfn.XLOOKUP($A223,'Raw Data'!$G:$G,'Raw Data'!AI:AI),"")</f>
        <v/>
      </c>
      <c r="Y223" s="133" t="str">
        <f>IFERROR(_xlfn.XLOOKUP($A223,'Raw Data'!$G:$G,'Raw Data'!AJ:AJ),"")</f>
        <v/>
      </c>
      <c r="Z223" s="133" t="str">
        <f>IFERROR(_xlfn.XLOOKUP($A223,'Raw Data'!$G:$G,'Raw Data'!AK:AK),"")</f>
        <v/>
      </c>
      <c r="AA223" s="133" t="str">
        <f>IFERROR(_xlfn.XLOOKUP($A223,'Raw Data'!$G:$G,'Raw Data'!AL:AL),"")</f>
        <v/>
      </c>
      <c r="AB223" s="133" t="str">
        <f>IFERROR(_xlfn.XLOOKUP($A223,'Raw Data'!$G:$G,'Raw Data'!H:H),"")</f>
        <v/>
      </c>
      <c r="AC223" s="142">
        <f>IFERROR(_xlfn.XLOOKUP($D223,'Modelling New'!$D:$D,'Modelling New'!P:P),"")</f>
        <v>5.4333333333333336</v>
      </c>
      <c r="AD223" s="133">
        <f>IFERROR(_xlfn.XLOOKUP($D223,'Modelling New'!$D:$D,'Modelling New'!$T:$T)*1000,"")</f>
        <v>30935.368854830132</v>
      </c>
      <c r="AE223" s="143">
        <f>IFERROR(_xlfn.XLOOKUP($D223,'Modelling New'!$D:$D,'Modelling New'!O:O),"")</f>
        <v>0.70984879123298372</v>
      </c>
      <c r="AF223" s="145">
        <f>IFERROR(_xlfn.XLOOKUP($D223,'Modelling New'!$D:$D,'Modelling New'!W:W),"")</f>
        <v>0.160701879126356</v>
      </c>
      <c r="AG223" s="145">
        <f>IFERROR(_xlfn.XLOOKUP($D223,'Modelling New'!$D:$D,'Modelling New'!AE:AE),"")</f>
        <v>0.98040000000000005</v>
      </c>
      <c r="AH223" s="167">
        <f>IFERROR(_xlfn.XLOOKUP($D223,'Modelling New'!$D:$D,'Modelling New'!AF:AF),"")</f>
        <v>0.98</v>
      </c>
      <c r="AN223" s="144"/>
      <c r="AO223" s="141"/>
      <c r="AP223" s="141"/>
      <c r="AQ223" s="141"/>
      <c r="AR223" s="133">
        <f>'Basic Data'!$B$98/1000</f>
        <v>8.0208999999999993</v>
      </c>
    </row>
    <row r="224" spans="1:44" x14ac:dyDescent="0.3">
      <c r="A224" s="132">
        <f t="shared" si="15"/>
        <v>45967</v>
      </c>
      <c r="B224" s="133">
        <f>YEAR(Table13[[#This Row],[Date]])+IF(MONTH(Table13[[#This Row],[Date]])&gt;=4,1,0)</f>
        <v>2026</v>
      </c>
      <c r="C224" s="134">
        <f>YEAR(Table13[[#This Row],[Date]])</f>
        <v>2025</v>
      </c>
      <c r="D224" s="135">
        <f>Table13[[#This Row],[Date]]-DAY(Table13[[#This Row],[Date]])+1</f>
        <v>45962</v>
      </c>
      <c r="E224" s="134">
        <f t="shared" si="12"/>
        <v>30</v>
      </c>
      <c r="F224" s="136" t="str">
        <f>IFERROR(_xlfn.XLOOKUP($A224,'Raw Data'!$G:$G,'Raw Data'!$AM:$AM),"")</f>
        <v/>
      </c>
      <c r="G224" s="137" t="str">
        <f>IFERROR(_xlfn.XLOOKUP($A224,'Raw Data'!$G:$G,'Raw Data'!$AB:$AB),"")</f>
        <v/>
      </c>
      <c r="H224" s="137"/>
      <c r="I224" s="137" t="str">
        <f>IFERROR(_xlfn.XLOOKUP($A224,'Raw Data'!$G:$G,'Raw Data'!$AC:$AC),"")</f>
        <v/>
      </c>
      <c r="J224" s="137"/>
      <c r="K224" s="137" t="str">
        <f>IFERROR(_xlfn.XLOOKUP($A224,'Raw Data'!$G:$G,'Raw Data'!AD:AD),"")</f>
        <v/>
      </c>
      <c r="L224" s="137" t="str">
        <f>IFERROR(_xlfn.XLOOKUP($A224,'Raw Data'!$G:$G,'Raw Data'!AE:AE),"")</f>
        <v/>
      </c>
      <c r="M224" s="137" t="str">
        <f>IFERROR(_xlfn.XLOOKUP($A224,'Raw Data'!$G:$G,'Raw Data'!AF:AF),"")</f>
        <v/>
      </c>
      <c r="N224" s="137" t="str">
        <f>IFERROR(_xlfn.XLOOKUP($A224,'Raw Data'!$G:$G,'Raw Data'!AG:AG),"")</f>
        <v/>
      </c>
      <c r="O224" s="138" t="str">
        <f>IFERROR(1-SUMIF('Plant BD'!$H:$H,$A224,'Plant BD'!$AE:$AE)/($AA224+SUMIF('Plant BD'!$H:$H,$A224,'Plant BD'!$AE:$AE)),"")</f>
        <v/>
      </c>
      <c r="P224" s="138"/>
      <c r="Q224" s="139"/>
      <c r="R224" s="138" t="str">
        <f>IFERROR(1-SUMIF('Grid BD'!$H:$H,$A224,'Grid BD'!$AD:$AD)/($AA224+SUMIF('Grid BD'!$H:$H,$A224,'Grid BD'!$AD:$AD)),"")</f>
        <v/>
      </c>
      <c r="T224" s="139"/>
      <c r="U224" s="140" t="str">
        <f t="shared" si="13"/>
        <v/>
      </c>
      <c r="V224" s="140"/>
      <c r="W224" s="141" t="str">
        <f t="shared" si="14"/>
        <v/>
      </c>
      <c r="X224" s="133" t="str">
        <f>IFERROR(_xlfn.XLOOKUP($A224,'Raw Data'!$G:$G,'Raw Data'!AI:AI),"")</f>
        <v/>
      </c>
      <c r="Y224" s="133" t="str">
        <f>IFERROR(_xlfn.XLOOKUP($A224,'Raw Data'!$G:$G,'Raw Data'!AJ:AJ),"")</f>
        <v/>
      </c>
      <c r="Z224" s="133" t="str">
        <f>IFERROR(_xlfn.XLOOKUP($A224,'Raw Data'!$G:$G,'Raw Data'!AK:AK),"")</f>
        <v/>
      </c>
      <c r="AA224" s="133" t="str">
        <f>IFERROR(_xlfn.XLOOKUP($A224,'Raw Data'!$G:$G,'Raw Data'!AL:AL),"")</f>
        <v/>
      </c>
      <c r="AB224" s="133" t="str">
        <f>IFERROR(_xlfn.XLOOKUP($A224,'Raw Data'!$G:$G,'Raw Data'!H:H),"")</f>
        <v/>
      </c>
      <c r="AC224" s="142">
        <f>IFERROR(_xlfn.XLOOKUP($D224,'Modelling New'!$D:$D,'Modelling New'!P:P),"")</f>
        <v>5.4333333333333336</v>
      </c>
      <c r="AD224" s="133">
        <f>IFERROR(_xlfn.XLOOKUP($D224,'Modelling New'!$D:$D,'Modelling New'!$T:$T)*1000,"")</f>
        <v>30935.368854830132</v>
      </c>
      <c r="AE224" s="143">
        <f>IFERROR(_xlfn.XLOOKUP($D224,'Modelling New'!$D:$D,'Modelling New'!O:O),"")</f>
        <v>0.70984879123298372</v>
      </c>
      <c r="AF224" s="145">
        <f>IFERROR(_xlfn.XLOOKUP($D224,'Modelling New'!$D:$D,'Modelling New'!W:W),"")</f>
        <v>0.160701879126356</v>
      </c>
      <c r="AG224" s="145">
        <f>IFERROR(_xlfn.XLOOKUP($D224,'Modelling New'!$D:$D,'Modelling New'!AE:AE),"")</f>
        <v>0.98040000000000005</v>
      </c>
      <c r="AH224" s="167">
        <f>IFERROR(_xlfn.XLOOKUP($D224,'Modelling New'!$D:$D,'Modelling New'!AF:AF),"")</f>
        <v>0.98</v>
      </c>
      <c r="AN224" s="144"/>
      <c r="AO224" s="141"/>
      <c r="AP224" s="141"/>
      <c r="AQ224" s="141"/>
      <c r="AR224" s="133">
        <f>'Basic Data'!$B$98/1000</f>
        <v>8.0208999999999993</v>
      </c>
    </row>
    <row r="225" spans="1:44" x14ac:dyDescent="0.3">
      <c r="A225" s="132">
        <f t="shared" si="15"/>
        <v>45968</v>
      </c>
      <c r="B225" s="133">
        <f>YEAR(Table13[[#This Row],[Date]])+IF(MONTH(Table13[[#This Row],[Date]])&gt;=4,1,0)</f>
        <v>2026</v>
      </c>
      <c r="C225" s="134">
        <f>YEAR(Table13[[#This Row],[Date]])</f>
        <v>2025</v>
      </c>
      <c r="D225" s="135">
        <f>Table13[[#This Row],[Date]]-DAY(Table13[[#This Row],[Date]])+1</f>
        <v>45962</v>
      </c>
      <c r="E225" s="134">
        <f t="shared" si="12"/>
        <v>30</v>
      </c>
      <c r="F225" s="136" t="str">
        <f>IFERROR(_xlfn.XLOOKUP($A225,'Raw Data'!$G:$G,'Raw Data'!$AM:$AM),"")</f>
        <v/>
      </c>
      <c r="G225" s="137" t="str">
        <f>IFERROR(_xlfn.XLOOKUP($A225,'Raw Data'!$G:$G,'Raw Data'!$AB:$AB),"")</f>
        <v/>
      </c>
      <c r="H225" s="137"/>
      <c r="I225" s="137" t="str">
        <f>IFERROR(_xlfn.XLOOKUP($A225,'Raw Data'!$G:$G,'Raw Data'!$AC:$AC),"")</f>
        <v/>
      </c>
      <c r="J225" s="137"/>
      <c r="K225" s="137" t="str">
        <f>IFERROR(_xlfn.XLOOKUP($A225,'Raw Data'!$G:$G,'Raw Data'!AD:AD),"")</f>
        <v/>
      </c>
      <c r="L225" s="137" t="str">
        <f>IFERROR(_xlfn.XLOOKUP($A225,'Raw Data'!$G:$G,'Raw Data'!AE:AE),"")</f>
        <v/>
      </c>
      <c r="M225" s="137" t="str">
        <f>IFERROR(_xlfn.XLOOKUP($A225,'Raw Data'!$G:$G,'Raw Data'!AF:AF),"")</f>
        <v/>
      </c>
      <c r="N225" s="137" t="str">
        <f>IFERROR(_xlfn.XLOOKUP($A225,'Raw Data'!$G:$G,'Raw Data'!AG:AG),"")</f>
        <v/>
      </c>
      <c r="O225" s="138" t="str">
        <f>IFERROR(1-SUMIF('Plant BD'!$H:$H,$A225,'Plant BD'!$AE:$AE)/($AA225+SUMIF('Plant BD'!$H:$H,$A225,'Plant BD'!$AE:$AE)),"")</f>
        <v/>
      </c>
      <c r="P225" s="138"/>
      <c r="Q225" s="139"/>
      <c r="R225" s="138" t="str">
        <f>IFERROR(1-SUMIF('Grid BD'!$H:$H,$A225,'Grid BD'!$AD:$AD)/($AA225+SUMIF('Grid BD'!$H:$H,$A225,'Grid BD'!$AD:$AD)),"")</f>
        <v/>
      </c>
      <c r="T225" s="139"/>
      <c r="U225" s="140" t="str">
        <f t="shared" si="13"/>
        <v/>
      </c>
      <c r="V225" s="140"/>
      <c r="W225" s="141" t="str">
        <f t="shared" si="14"/>
        <v/>
      </c>
      <c r="X225" s="133" t="str">
        <f>IFERROR(_xlfn.XLOOKUP($A225,'Raw Data'!$G:$G,'Raw Data'!AI:AI),"")</f>
        <v/>
      </c>
      <c r="Y225" s="133" t="str">
        <f>IFERROR(_xlfn.XLOOKUP($A225,'Raw Data'!$G:$G,'Raw Data'!AJ:AJ),"")</f>
        <v/>
      </c>
      <c r="Z225" s="133" t="str">
        <f>IFERROR(_xlfn.XLOOKUP($A225,'Raw Data'!$G:$G,'Raw Data'!AK:AK),"")</f>
        <v/>
      </c>
      <c r="AA225" s="133" t="str">
        <f>IFERROR(_xlfn.XLOOKUP($A225,'Raw Data'!$G:$G,'Raw Data'!AL:AL),"")</f>
        <v/>
      </c>
      <c r="AB225" s="133" t="str">
        <f>IFERROR(_xlfn.XLOOKUP($A225,'Raw Data'!$G:$G,'Raw Data'!H:H),"")</f>
        <v/>
      </c>
      <c r="AC225" s="142">
        <f>IFERROR(_xlfn.XLOOKUP($D225,'Modelling New'!$D:$D,'Modelling New'!P:P),"")</f>
        <v>5.4333333333333336</v>
      </c>
      <c r="AD225" s="133">
        <f>IFERROR(_xlfn.XLOOKUP($D225,'Modelling New'!$D:$D,'Modelling New'!$T:$T)*1000,"")</f>
        <v>30935.368854830132</v>
      </c>
      <c r="AE225" s="143">
        <f>IFERROR(_xlfn.XLOOKUP($D225,'Modelling New'!$D:$D,'Modelling New'!O:O),"")</f>
        <v>0.70984879123298372</v>
      </c>
      <c r="AF225" s="145">
        <f>IFERROR(_xlfn.XLOOKUP($D225,'Modelling New'!$D:$D,'Modelling New'!W:W),"")</f>
        <v>0.160701879126356</v>
      </c>
      <c r="AG225" s="145">
        <f>IFERROR(_xlfn.XLOOKUP($D225,'Modelling New'!$D:$D,'Modelling New'!AE:AE),"")</f>
        <v>0.98040000000000005</v>
      </c>
      <c r="AH225" s="167">
        <f>IFERROR(_xlfn.XLOOKUP($D225,'Modelling New'!$D:$D,'Modelling New'!AF:AF),"")</f>
        <v>0.98</v>
      </c>
      <c r="AN225" s="144"/>
      <c r="AO225" s="141"/>
      <c r="AP225" s="141"/>
      <c r="AQ225" s="141"/>
      <c r="AR225" s="133">
        <f>'Basic Data'!$B$98/1000</f>
        <v>8.0208999999999993</v>
      </c>
    </row>
    <row r="226" spans="1:44" x14ac:dyDescent="0.3">
      <c r="A226" s="132">
        <f t="shared" si="15"/>
        <v>45969</v>
      </c>
      <c r="B226" s="133">
        <f>YEAR(Table13[[#This Row],[Date]])+IF(MONTH(Table13[[#This Row],[Date]])&gt;=4,1,0)</f>
        <v>2026</v>
      </c>
      <c r="C226" s="134">
        <f>YEAR(Table13[[#This Row],[Date]])</f>
        <v>2025</v>
      </c>
      <c r="D226" s="135">
        <f>Table13[[#This Row],[Date]]-DAY(Table13[[#This Row],[Date]])+1</f>
        <v>45962</v>
      </c>
      <c r="E226" s="134">
        <f t="shared" si="12"/>
        <v>30</v>
      </c>
      <c r="F226" s="136" t="str">
        <f>IFERROR(_xlfn.XLOOKUP($A226,'Raw Data'!$G:$G,'Raw Data'!$AM:$AM),"")</f>
        <v/>
      </c>
      <c r="G226" s="137" t="str">
        <f>IFERROR(_xlfn.XLOOKUP($A226,'Raw Data'!$G:$G,'Raw Data'!$AB:$AB),"")</f>
        <v/>
      </c>
      <c r="H226" s="137"/>
      <c r="I226" s="137" t="str">
        <f>IFERROR(_xlfn.XLOOKUP($A226,'Raw Data'!$G:$G,'Raw Data'!$AC:$AC),"")</f>
        <v/>
      </c>
      <c r="J226" s="137"/>
      <c r="K226" s="137" t="str">
        <f>IFERROR(_xlfn.XLOOKUP($A226,'Raw Data'!$G:$G,'Raw Data'!AD:AD),"")</f>
        <v/>
      </c>
      <c r="L226" s="137" t="str">
        <f>IFERROR(_xlfn.XLOOKUP($A226,'Raw Data'!$G:$G,'Raw Data'!AE:AE),"")</f>
        <v/>
      </c>
      <c r="M226" s="137" t="str">
        <f>IFERROR(_xlfn.XLOOKUP($A226,'Raw Data'!$G:$G,'Raw Data'!AF:AF),"")</f>
        <v/>
      </c>
      <c r="N226" s="137" t="str">
        <f>IFERROR(_xlfn.XLOOKUP($A226,'Raw Data'!$G:$G,'Raw Data'!AG:AG),"")</f>
        <v/>
      </c>
      <c r="O226" s="138" t="str">
        <f>IFERROR(1-SUMIF('Plant BD'!$H:$H,$A226,'Plant BD'!$AE:$AE)/($AA226+SUMIF('Plant BD'!$H:$H,$A226,'Plant BD'!$AE:$AE)),"")</f>
        <v/>
      </c>
      <c r="P226" s="138"/>
      <c r="Q226" s="139"/>
      <c r="R226" s="138" t="str">
        <f>IFERROR(1-SUMIF('Grid BD'!$H:$H,$A226,'Grid BD'!$AD:$AD)/($AA226+SUMIF('Grid BD'!$H:$H,$A226,'Grid BD'!$AD:$AD)),"")</f>
        <v/>
      </c>
      <c r="T226" s="139"/>
      <c r="U226" s="140" t="str">
        <f t="shared" si="13"/>
        <v/>
      </c>
      <c r="V226" s="140"/>
      <c r="W226" s="141" t="str">
        <f t="shared" si="14"/>
        <v/>
      </c>
      <c r="X226" s="133" t="str">
        <f>IFERROR(_xlfn.XLOOKUP($A226,'Raw Data'!$G:$G,'Raw Data'!AI:AI),"")</f>
        <v/>
      </c>
      <c r="Y226" s="133" t="str">
        <f>IFERROR(_xlfn.XLOOKUP($A226,'Raw Data'!$G:$G,'Raw Data'!AJ:AJ),"")</f>
        <v/>
      </c>
      <c r="Z226" s="133" t="str">
        <f>IFERROR(_xlfn.XLOOKUP($A226,'Raw Data'!$G:$G,'Raw Data'!AK:AK),"")</f>
        <v/>
      </c>
      <c r="AA226" s="133" t="str">
        <f>IFERROR(_xlfn.XLOOKUP($A226,'Raw Data'!$G:$G,'Raw Data'!AL:AL),"")</f>
        <v/>
      </c>
      <c r="AB226" s="133" t="str">
        <f>IFERROR(_xlfn.XLOOKUP($A226,'Raw Data'!$G:$G,'Raw Data'!H:H),"")</f>
        <v/>
      </c>
      <c r="AC226" s="142">
        <f>IFERROR(_xlfn.XLOOKUP($D226,'Modelling New'!$D:$D,'Modelling New'!P:P),"")</f>
        <v>5.4333333333333336</v>
      </c>
      <c r="AD226" s="133">
        <f>IFERROR(_xlfn.XLOOKUP($D226,'Modelling New'!$D:$D,'Modelling New'!$T:$T)*1000,"")</f>
        <v>30935.368854830132</v>
      </c>
      <c r="AE226" s="143">
        <f>IFERROR(_xlfn.XLOOKUP($D226,'Modelling New'!$D:$D,'Modelling New'!O:O),"")</f>
        <v>0.70984879123298372</v>
      </c>
      <c r="AF226" s="145">
        <f>IFERROR(_xlfn.XLOOKUP($D226,'Modelling New'!$D:$D,'Modelling New'!W:W),"")</f>
        <v>0.160701879126356</v>
      </c>
      <c r="AG226" s="145">
        <f>IFERROR(_xlfn.XLOOKUP($D226,'Modelling New'!$D:$D,'Modelling New'!AE:AE),"")</f>
        <v>0.98040000000000005</v>
      </c>
      <c r="AH226" s="167">
        <f>IFERROR(_xlfn.XLOOKUP($D226,'Modelling New'!$D:$D,'Modelling New'!AF:AF),"")</f>
        <v>0.98</v>
      </c>
      <c r="AN226" s="144"/>
      <c r="AO226" s="141"/>
      <c r="AP226" s="141"/>
      <c r="AQ226" s="141"/>
      <c r="AR226" s="133">
        <f>'Basic Data'!$B$98/1000</f>
        <v>8.0208999999999993</v>
      </c>
    </row>
    <row r="227" spans="1:44" x14ac:dyDescent="0.3">
      <c r="A227" s="132">
        <f t="shared" si="15"/>
        <v>45970</v>
      </c>
      <c r="B227" s="133">
        <f>YEAR(Table13[[#This Row],[Date]])+IF(MONTH(Table13[[#This Row],[Date]])&gt;=4,1,0)</f>
        <v>2026</v>
      </c>
      <c r="C227" s="134">
        <f>YEAR(Table13[[#This Row],[Date]])</f>
        <v>2025</v>
      </c>
      <c r="D227" s="135">
        <f>Table13[[#This Row],[Date]]-DAY(Table13[[#This Row],[Date]])+1</f>
        <v>45962</v>
      </c>
      <c r="E227" s="134">
        <f t="shared" si="12"/>
        <v>30</v>
      </c>
      <c r="F227" s="136" t="str">
        <f>IFERROR(_xlfn.XLOOKUP($A227,'Raw Data'!$G:$G,'Raw Data'!$AM:$AM),"")</f>
        <v/>
      </c>
      <c r="G227" s="137" t="str">
        <f>IFERROR(_xlfn.XLOOKUP($A227,'Raw Data'!$G:$G,'Raw Data'!$AB:$AB),"")</f>
        <v/>
      </c>
      <c r="H227" s="137"/>
      <c r="I227" s="137" t="str">
        <f>IFERROR(_xlfn.XLOOKUP($A227,'Raw Data'!$G:$G,'Raw Data'!$AC:$AC),"")</f>
        <v/>
      </c>
      <c r="J227" s="137"/>
      <c r="K227" s="137" t="str">
        <f>IFERROR(_xlfn.XLOOKUP($A227,'Raw Data'!$G:$G,'Raw Data'!AD:AD),"")</f>
        <v/>
      </c>
      <c r="L227" s="137" t="str">
        <f>IFERROR(_xlfn.XLOOKUP($A227,'Raw Data'!$G:$G,'Raw Data'!AE:AE),"")</f>
        <v/>
      </c>
      <c r="M227" s="137" t="str">
        <f>IFERROR(_xlfn.XLOOKUP($A227,'Raw Data'!$G:$G,'Raw Data'!AF:AF),"")</f>
        <v/>
      </c>
      <c r="N227" s="137" t="str">
        <f>IFERROR(_xlfn.XLOOKUP($A227,'Raw Data'!$G:$G,'Raw Data'!AG:AG),"")</f>
        <v/>
      </c>
      <c r="O227" s="138" t="str">
        <f>IFERROR(1-SUMIF('Plant BD'!$H:$H,$A227,'Plant BD'!$AE:$AE)/($AA227+SUMIF('Plant BD'!$H:$H,$A227,'Plant BD'!$AE:$AE)),"")</f>
        <v/>
      </c>
      <c r="P227" s="138"/>
      <c r="Q227" s="139"/>
      <c r="R227" s="138" t="str">
        <f>IFERROR(1-SUMIF('Grid BD'!$H:$H,$A227,'Grid BD'!$AD:$AD)/($AA227+SUMIF('Grid BD'!$H:$H,$A227,'Grid BD'!$AD:$AD)),"")</f>
        <v/>
      </c>
      <c r="T227" s="139"/>
      <c r="U227" s="140" t="str">
        <f t="shared" si="13"/>
        <v/>
      </c>
      <c r="V227" s="140"/>
      <c r="W227" s="141" t="str">
        <f t="shared" si="14"/>
        <v/>
      </c>
      <c r="X227" s="133" t="str">
        <f>IFERROR(_xlfn.XLOOKUP($A227,'Raw Data'!$G:$G,'Raw Data'!AI:AI),"")</f>
        <v/>
      </c>
      <c r="Y227" s="133" t="str">
        <f>IFERROR(_xlfn.XLOOKUP($A227,'Raw Data'!$G:$G,'Raw Data'!AJ:AJ),"")</f>
        <v/>
      </c>
      <c r="Z227" s="133" t="str">
        <f>IFERROR(_xlfn.XLOOKUP($A227,'Raw Data'!$G:$G,'Raw Data'!AK:AK),"")</f>
        <v/>
      </c>
      <c r="AA227" s="133" t="str">
        <f>IFERROR(_xlfn.XLOOKUP($A227,'Raw Data'!$G:$G,'Raw Data'!AL:AL),"")</f>
        <v/>
      </c>
      <c r="AB227" s="133" t="str">
        <f>IFERROR(_xlfn.XLOOKUP($A227,'Raw Data'!$G:$G,'Raw Data'!H:H),"")</f>
        <v/>
      </c>
      <c r="AC227" s="142">
        <f>IFERROR(_xlfn.XLOOKUP($D227,'Modelling New'!$D:$D,'Modelling New'!P:P),"")</f>
        <v>5.4333333333333336</v>
      </c>
      <c r="AD227" s="133">
        <f>IFERROR(_xlfn.XLOOKUP($D227,'Modelling New'!$D:$D,'Modelling New'!$T:$T)*1000,"")</f>
        <v>30935.368854830132</v>
      </c>
      <c r="AE227" s="143">
        <f>IFERROR(_xlfn.XLOOKUP($D227,'Modelling New'!$D:$D,'Modelling New'!O:O),"")</f>
        <v>0.70984879123298372</v>
      </c>
      <c r="AF227" s="145">
        <f>IFERROR(_xlfn.XLOOKUP($D227,'Modelling New'!$D:$D,'Modelling New'!W:W),"")</f>
        <v>0.160701879126356</v>
      </c>
      <c r="AG227" s="145">
        <f>IFERROR(_xlfn.XLOOKUP($D227,'Modelling New'!$D:$D,'Modelling New'!AE:AE),"")</f>
        <v>0.98040000000000005</v>
      </c>
      <c r="AH227" s="167">
        <f>IFERROR(_xlfn.XLOOKUP($D227,'Modelling New'!$D:$D,'Modelling New'!AF:AF),"")</f>
        <v>0.98</v>
      </c>
      <c r="AN227" s="144"/>
      <c r="AO227" s="141"/>
      <c r="AP227" s="141"/>
      <c r="AQ227" s="141"/>
      <c r="AR227" s="133">
        <f>'Basic Data'!$B$98/1000</f>
        <v>8.0208999999999993</v>
      </c>
    </row>
    <row r="228" spans="1:44" x14ac:dyDescent="0.3">
      <c r="A228" s="132">
        <f t="shared" si="15"/>
        <v>45971</v>
      </c>
      <c r="B228" s="133">
        <f>YEAR(Table13[[#This Row],[Date]])+IF(MONTH(Table13[[#This Row],[Date]])&gt;=4,1,0)</f>
        <v>2026</v>
      </c>
      <c r="C228" s="134">
        <f>YEAR(Table13[[#This Row],[Date]])</f>
        <v>2025</v>
      </c>
      <c r="D228" s="135">
        <f>Table13[[#This Row],[Date]]-DAY(Table13[[#This Row],[Date]])+1</f>
        <v>45962</v>
      </c>
      <c r="E228" s="134">
        <f t="shared" si="12"/>
        <v>30</v>
      </c>
      <c r="F228" s="136" t="str">
        <f>IFERROR(_xlfn.XLOOKUP($A228,'Raw Data'!$G:$G,'Raw Data'!$AM:$AM),"")</f>
        <v/>
      </c>
      <c r="G228" s="137" t="str">
        <f>IFERROR(_xlfn.XLOOKUP($A228,'Raw Data'!$G:$G,'Raw Data'!$AB:$AB),"")</f>
        <v/>
      </c>
      <c r="H228" s="137"/>
      <c r="I228" s="137" t="str">
        <f>IFERROR(_xlfn.XLOOKUP($A228,'Raw Data'!$G:$G,'Raw Data'!$AC:$AC),"")</f>
        <v/>
      </c>
      <c r="J228" s="137"/>
      <c r="K228" s="137" t="str">
        <f>IFERROR(_xlfn.XLOOKUP($A228,'Raw Data'!$G:$G,'Raw Data'!AD:AD),"")</f>
        <v/>
      </c>
      <c r="L228" s="137" t="str">
        <f>IFERROR(_xlfn.XLOOKUP($A228,'Raw Data'!$G:$G,'Raw Data'!AE:AE),"")</f>
        <v/>
      </c>
      <c r="M228" s="137" t="str">
        <f>IFERROR(_xlfn.XLOOKUP($A228,'Raw Data'!$G:$G,'Raw Data'!AF:AF),"")</f>
        <v/>
      </c>
      <c r="N228" s="137" t="str">
        <f>IFERROR(_xlfn.XLOOKUP($A228,'Raw Data'!$G:$G,'Raw Data'!AG:AG),"")</f>
        <v/>
      </c>
      <c r="O228" s="138" t="str">
        <f>IFERROR(1-SUMIF('Plant BD'!$H:$H,$A228,'Plant BD'!$AE:$AE)/($AA228+SUMIF('Plant BD'!$H:$H,$A228,'Plant BD'!$AE:$AE)),"")</f>
        <v/>
      </c>
      <c r="P228" s="138"/>
      <c r="Q228" s="139"/>
      <c r="R228" s="138" t="str">
        <f>IFERROR(1-SUMIF('Grid BD'!$H:$H,$A228,'Grid BD'!$AD:$AD)/($AA228+SUMIF('Grid BD'!$H:$H,$A228,'Grid BD'!$AD:$AD)),"")</f>
        <v/>
      </c>
      <c r="T228" s="139"/>
      <c r="U228" s="140" t="str">
        <f t="shared" si="13"/>
        <v/>
      </c>
      <c r="V228" s="140"/>
      <c r="W228" s="141" t="str">
        <f t="shared" si="14"/>
        <v/>
      </c>
      <c r="X228" s="133" t="str">
        <f>IFERROR(_xlfn.XLOOKUP($A228,'Raw Data'!$G:$G,'Raw Data'!AI:AI),"")</f>
        <v/>
      </c>
      <c r="Y228" s="133" t="str">
        <f>IFERROR(_xlfn.XLOOKUP($A228,'Raw Data'!$G:$G,'Raw Data'!AJ:AJ),"")</f>
        <v/>
      </c>
      <c r="Z228" s="133" t="str">
        <f>IFERROR(_xlfn.XLOOKUP($A228,'Raw Data'!$G:$G,'Raw Data'!AK:AK),"")</f>
        <v/>
      </c>
      <c r="AA228" s="133" t="str">
        <f>IFERROR(_xlfn.XLOOKUP($A228,'Raw Data'!$G:$G,'Raw Data'!AL:AL),"")</f>
        <v/>
      </c>
      <c r="AB228" s="133" t="str">
        <f>IFERROR(_xlfn.XLOOKUP($A228,'Raw Data'!$G:$G,'Raw Data'!H:H),"")</f>
        <v/>
      </c>
      <c r="AC228" s="142">
        <f>IFERROR(_xlfn.XLOOKUP($D228,'Modelling New'!$D:$D,'Modelling New'!P:P),"")</f>
        <v>5.4333333333333336</v>
      </c>
      <c r="AD228" s="133">
        <f>IFERROR(_xlfn.XLOOKUP($D228,'Modelling New'!$D:$D,'Modelling New'!$T:$T)*1000,"")</f>
        <v>30935.368854830132</v>
      </c>
      <c r="AE228" s="143">
        <f>IFERROR(_xlfn.XLOOKUP($D228,'Modelling New'!$D:$D,'Modelling New'!O:O),"")</f>
        <v>0.70984879123298372</v>
      </c>
      <c r="AF228" s="145">
        <f>IFERROR(_xlfn.XLOOKUP($D228,'Modelling New'!$D:$D,'Modelling New'!W:W),"")</f>
        <v>0.160701879126356</v>
      </c>
      <c r="AG228" s="145">
        <f>IFERROR(_xlfn.XLOOKUP($D228,'Modelling New'!$D:$D,'Modelling New'!AE:AE),"")</f>
        <v>0.98040000000000005</v>
      </c>
      <c r="AH228" s="167">
        <f>IFERROR(_xlfn.XLOOKUP($D228,'Modelling New'!$D:$D,'Modelling New'!AF:AF),"")</f>
        <v>0.98</v>
      </c>
      <c r="AN228" s="144"/>
      <c r="AO228" s="141"/>
      <c r="AP228" s="141"/>
      <c r="AQ228" s="141"/>
      <c r="AR228" s="133">
        <f>'Basic Data'!$B$98/1000</f>
        <v>8.0208999999999993</v>
      </c>
    </row>
    <row r="229" spans="1:44" x14ac:dyDescent="0.3">
      <c r="A229" s="132">
        <f t="shared" si="15"/>
        <v>45972</v>
      </c>
      <c r="B229" s="133">
        <f>YEAR(Table13[[#This Row],[Date]])+IF(MONTH(Table13[[#This Row],[Date]])&gt;=4,1,0)</f>
        <v>2026</v>
      </c>
      <c r="C229" s="134">
        <f>YEAR(Table13[[#This Row],[Date]])</f>
        <v>2025</v>
      </c>
      <c r="D229" s="135">
        <f>Table13[[#This Row],[Date]]-DAY(Table13[[#This Row],[Date]])+1</f>
        <v>45962</v>
      </c>
      <c r="E229" s="134">
        <f t="shared" si="12"/>
        <v>30</v>
      </c>
      <c r="F229" s="136" t="str">
        <f>IFERROR(_xlfn.XLOOKUP($A229,'Raw Data'!$G:$G,'Raw Data'!$AM:$AM),"")</f>
        <v/>
      </c>
      <c r="G229" s="137" t="str">
        <f>IFERROR(_xlfn.XLOOKUP($A229,'Raw Data'!$G:$G,'Raw Data'!$AB:$AB),"")</f>
        <v/>
      </c>
      <c r="H229" s="137"/>
      <c r="I229" s="137" t="str">
        <f>IFERROR(_xlfn.XLOOKUP($A229,'Raw Data'!$G:$G,'Raw Data'!$AC:$AC),"")</f>
        <v/>
      </c>
      <c r="J229" s="137"/>
      <c r="K229" s="137" t="str">
        <f>IFERROR(_xlfn.XLOOKUP($A229,'Raw Data'!$G:$G,'Raw Data'!AD:AD),"")</f>
        <v/>
      </c>
      <c r="L229" s="137" t="str">
        <f>IFERROR(_xlfn.XLOOKUP($A229,'Raw Data'!$G:$G,'Raw Data'!AE:AE),"")</f>
        <v/>
      </c>
      <c r="M229" s="137" t="str">
        <f>IFERROR(_xlfn.XLOOKUP($A229,'Raw Data'!$G:$G,'Raw Data'!AF:AF),"")</f>
        <v/>
      </c>
      <c r="N229" s="137" t="str">
        <f>IFERROR(_xlfn.XLOOKUP($A229,'Raw Data'!$G:$G,'Raw Data'!AG:AG),"")</f>
        <v/>
      </c>
      <c r="O229" s="138" t="str">
        <f>IFERROR(1-SUMIF('Plant BD'!$H:$H,$A229,'Plant BD'!$AE:$AE)/($AA229+SUMIF('Plant BD'!$H:$H,$A229,'Plant BD'!$AE:$AE)),"")</f>
        <v/>
      </c>
      <c r="P229" s="138"/>
      <c r="Q229" s="139"/>
      <c r="R229" s="138" t="str">
        <f>IFERROR(1-SUMIF('Grid BD'!$H:$H,$A229,'Grid BD'!$AD:$AD)/($AA229+SUMIF('Grid BD'!$H:$H,$A229,'Grid BD'!$AD:$AD)),"")</f>
        <v/>
      </c>
      <c r="T229" s="139"/>
      <c r="U229" s="140" t="str">
        <f t="shared" si="13"/>
        <v/>
      </c>
      <c r="V229" s="140"/>
      <c r="W229" s="141" t="str">
        <f t="shared" si="14"/>
        <v/>
      </c>
      <c r="X229" s="133" t="str">
        <f>IFERROR(_xlfn.XLOOKUP($A229,'Raw Data'!$G:$G,'Raw Data'!AI:AI),"")</f>
        <v/>
      </c>
      <c r="Y229" s="133" t="str">
        <f>IFERROR(_xlfn.XLOOKUP($A229,'Raw Data'!$G:$G,'Raw Data'!AJ:AJ),"")</f>
        <v/>
      </c>
      <c r="Z229" s="133" t="str">
        <f>IFERROR(_xlfn.XLOOKUP($A229,'Raw Data'!$G:$G,'Raw Data'!AK:AK),"")</f>
        <v/>
      </c>
      <c r="AA229" s="133" t="str">
        <f>IFERROR(_xlfn.XLOOKUP($A229,'Raw Data'!$G:$G,'Raw Data'!AL:AL),"")</f>
        <v/>
      </c>
      <c r="AB229" s="133" t="str">
        <f>IFERROR(_xlfn.XLOOKUP($A229,'Raw Data'!$G:$G,'Raw Data'!H:H),"")</f>
        <v/>
      </c>
      <c r="AC229" s="142">
        <f>IFERROR(_xlfn.XLOOKUP($D229,'Modelling New'!$D:$D,'Modelling New'!P:P),"")</f>
        <v>5.4333333333333336</v>
      </c>
      <c r="AD229" s="133">
        <f>IFERROR(_xlfn.XLOOKUP($D229,'Modelling New'!$D:$D,'Modelling New'!$T:$T)*1000,"")</f>
        <v>30935.368854830132</v>
      </c>
      <c r="AE229" s="143">
        <f>IFERROR(_xlfn.XLOOKUP($D229,'Modelling New'!$D:$D,'Modelling New'!O:O),"")</f>
        <v>0.70984879123298372</v>
      </c>
      <c r="AF229" s="145">
        <f>IFERROR(_xlfn.XLOOKUP($D229,'Modelling New'!$D:$D,'Modelling New'!W:W),"")</f>
        <v>0.160701879126356</v>
      </c>
      <c r="AG229" s="145">
        <f>IFERROR(_xlfn.XLOOKUP($D229,'Modelling New'!$D:$D,'Modelling New'!AE:AE),"")</f>
        <v>0.98040000000000005</v>
      </c>
      <c r="AH229" s="167">
        <f>IFERROR(_xlfn.XLOOKUP($D229,'Modelling New'!$D:$D,'Modelling New'!AF:AF),"")</f>
        <v>0.98</v>
      </c>
      <c r="AN229" s="144"/>
      <c r="AO229" s="141"/>
      <c r="AP229" s="141"/>
      <c r="AQ229" s="141"/>
      <c r="AR229" s="133">
        <f>'Basic Data'!$B$98/1000</f>
        <v>8.0208999999999993</v>
      </c>
    </row>
    <row r="230" spans="1:44" x14ac:dyDescent="0.3">
      <c r="A230" s="132">
        <f t="shared" si="15"/>
        <v>45973</v>
      </c>
      <c r="B230" s="133">
        <f>YEAR(Table13[[#This Row],[Date]])+IF(MONTH(Table13[[#This Row],[Date]])&gt;=4,1,0)</f>
        <v>2026</v>
      </c>
      <c r="C230" s="134">
        <f>YEAR(Table13[[#This Row],[Date]])</f>
        <v>2025</v>
      </c>
      <c r="D230" s="135">
        <f>Table13[[#This Row],[Date]]-DAY(Table13[[#This Row],[Date]])+1</f>
        <v>45962</v>
      </c>
      <c r="E230" s="134">
        <f t="shared" si="12"/>
        <v>30</v>
      </c>
      <c r="F230" s="136" t="str">
        <f>IFERROR(_xlfn.XLOOKUP($A230,'Raw Data'!$G:$G,'Raw Data'!$AM:$AM),"")</f>
        <v/>
      </c>
      <c r="G230" s="137" t="str">
        <f>IFERROR(_xlfn.XLOOKUP($A230,'Raw Data'!$G:$G,'Raw Data'!$AB:$AB),"")</f>
        <v/>
      </c>
      <c r="H230" s="137"/>
      <c r="I230" s="137" t="str">
        <f>IFERROR(_xlfn.XLOOKUP($A230,'Raw Data'!$G:$G,'Raw Data'!$AC:$AC),"")</f>
        <v/>
      </c>
      <c r="J230" s="137"/>
      <c r="K230" s="137" t="str">
        <f>IFERROR(_xlfn.XLOOKUP($A230,'Raw Data'!$G:$G,'Raw Data'!AD:AD),"")</f>
        <v/>
      </c>
      <c r="L230" s="137" t="str">
        <f>IFERROR(_xlfn.XLOOKUP($A230,'Raw Data'!$G:$G,'Raw Data'!AE:AE),"")</f>
        <v/>
      </c>
      <c r="M230" s="137" t="str">
        <f>IFERROR(_xlfn.XLOOKUP($A230,'Raw Data'!$G:$G,'Raw Data'!AF:AF),"")</f>
        <v/>
      </c>
      <c r="N230" s="137" t="str">
        <f>IFERROR(_xlfn.XLOOKUP($A230,'Raw Data'!$G:$G,'Raw Data'!AG:AG),"")</f>
        <v/>
      </c>
      <c r="O230" s="138" t="str">
        <f>IFERROR(1-SUMIF('Plant BD'!$H:$H,$A230,'Plant BD'!$AE:$AE)/($AA230+SUMIF('Plant BD'!$H:$H,$A230,'Plant BD'!$AE:$AE)),"")</f>
        <v/>
      </c>
      <c r="P230" s="138"/>
      <c r="Q230" s="139"/>
      <c r="R230" s="138" t="str">
        <f>IFERROR(1-SUMIF('Grid BD'!$H:$H,$A230,'Grid BD'!$AD:$AD)/($AA230+SUMIF('Grid BD'!$H:$H,$A230,'Grid BD'!$AD:$AD)),"")</f>
        <v/>
      </c>
      <c r="T230" s="139"/>
      <c r="U230" s="140" t="str">
        <f t="shared" si="13"/>
        <v/>
      </c>
      <c r="V230" s="140"/>
      <c r="W230" s="141" t="str">
        <f t="shared" si="14"/>
        <v/>
      </c>
      <c r="X230" s="133" t="str">
        <f>IFERROR(_xlfn.XLOOKUP($A230,'Raw Data'!$G:$G,'Raw Data'!AI:AI),"")</f>
        <v/>
      </c>
      <c r="Y230" s="133" t="str">
        <f>IFERROR(_xlfn.XLOOKUP($A230,'Raw Data'!$G:$G,'Raw Data'!AJ:AJ),"")</f>
        <v/>
      </c>
      <c r="Z230" s="133" t="str">
        <f>IFERROR(_xlfn.XLOOKUP($A230,'Raw Data'!$G:$G,'Raw Data'!AK:AK),"")</f>
        <v/>
      </c>
      <c r="AA230" s="133" t="str">
        <f>IFERROR(_xlfn.XLOOKUP($A230,'Raw Data'!$G:$G,'Raw Data'!AL:AL),"")</f>
        <v/>
      </c>
      <c r="AB230" s="133" t="str">
        <f>IFERROR(_xlfn.XLOOKUP($A230,'Raw Data'!$G:$G,'Raw Data'!H:H),"")</f>
        <v/>
      </c>
      <c r="AC230" s="142">
        <f>IFERROR(_xlfn.XLOOKUP($D230,'Modelling New'!$D:$D,'Modelling New'!P:P),"")</f>
        <v>5.4333333333333336</v>
      </c>
      <c r="AD230" s="133">
        <f>IFERROR(_xlfn.XLOOKUP($D230,'Modelling New'!$D:$D,'Modelling New'!$T:$T)*1000,"")</f>
        <v>30935.368854830132</v>
      </c>
      <c r="AE230" s="143">
        <f>IFERROR(_xlfn.XLOOKUP($D230,'Modelling New'!$D:$D,'Modelling New'!O:O),"")</f>
        <v>0.70984879123298372</v>
      </c>
      <c r="AF230" s="145">
        <f>IFERROR(_xlfn.XLOOKUP($D230,'Modelling New'!$D:$D,'Modelling New'!W:W),"")</f>
        <v>0.160701879126356</v>
      </c>
      <c r="AG230" s="145">
        <f>IFERROR(_xlfn.XLOOKUP($D230,'Modelling New'!$D:$D,'Modelling New'!AE:AE),"")</f>
        <v>0.98040000000000005</v>
      </c>
      <c r="AH230" s="167">
        <f>IFERROR(_xlfn.XLOOKUP($D230,'Modelling New'!$D:$D,'Modelling New'!AF:AF),"")</f>
        <v>0.98</v>
      </c>
      <c r="AN230" s="144"/>
      <c r="AO230" s="141"/>
      <c r="AP230" s="141"/>
      <c r="AQ230" s="141"/>
      <c r="AR230" s="133">
        <f>'Basic Data'!$B$98/1000</f>
        <v>8.0208999999999993</v>
      </c>
    </row>
    <row r="231" spans="1:44" x14ac:dyDescent="0.3">
      <c r="A231" s="132">
        <f t="shared" si="15"/>
        <v>45974</v>
      </c>
      <c r="B231" s="133">
        <f>YEAR(Table13[[#This Row],[Date]])+IF(MONTH(Table13[[#This Row],[Date]])&gt;=4,1,0)</f>
        <v>2026</v>
      </c>
      <c r="C231" s="134">
        <f>YEAR(Table13[[#This Row],[Date]])</f>
        <v>2025</v>
      </c>
      <c r="D231" s="135">
        <f>Table13[[#This Row],[Date]]-DAY(Table13[[#This Row],[Date]])+1</f>
        <v>45962</v>
      </c>
      <c r="E231" s="134">
        <f t="shared" si="12"/>
        <v>30</v>
      </c>
      <c r="F231" s="136" t="str">
        <f>IFERROR(_xlfn.XLOOKUP($A231,'Raw Data'!$G:$G,'Raw Data'!$AM:$AM),"")</f>
        <v/>
      </c>
      <c r="G231" s="137" t="str">
        <f>IFERROR(_xlfn.XLOOKUP($A231,'Raw Data'!$G:$G,'Raw Data'!$AB:$AB),"")</f>
        <v/>
      </c>
      <c r="H231" s="137"/>
      <c r="I231" s="137" t="str">
        <f>IFERROR(_xlfn.XLOOKUP($A231,'Raw Data'!$G:$G,'Raw Data'!$AC:$AC),"")</f>
        <v/>
      </c>
      <c r="J231" s="137"/>
      <c r="K231" s="137" t="str">
        <f>IFERROR(_xlfn.XLOOKUP($A231,'Raw Data'!$G:$G,'Raw Data'!AD:AD),"")</f>
        <v/>
      </c>
      <c r="L231" s="137" t="str">
        <f>IFERROR(_xlfn.XLOOKUP($A231,'Raw Data'!$G:$G,'Raw Data'!AE:AE),"")</f>
        <v/>
      </c>
      <c r="M231" s="137" t="str">
        <f>IFERROR(_xlfn.XLOOKUP($A231,'Raw Data'!$G:$G,'Raw Data'!AF:AF),"")</f>
        <v/>
      </c>
      <c r="N231" s="137" t="str">
        <f>IFERROR(_xlfn.XLOOKUP($A231,'Raw Data'!$G:$G,'Raw Data'!AG:AG),"")</f>
        <v/>
      </c>
      <c r="O231" s="138" t="str">
        <f>IFERROR(1-SUMIF('Plant BD'!$H:$H,$A231,'Plant BD'!$AE:$AE)/($AA231+SUMIF('Plant BD'!$H:$H,$A231,'Plant BD'!$AE:$AE)),"")</f>
        <v/>
      </c>
      <c r="P231" s="138"/>
      <c r="Q231" s="139"/>
      <c r="R231" s="138" t="str">
        <f>IFERROR(1-SUMIF('Grid BD'!$H:$H,$A231,'Grid BD'!$AD:$AD)/($AA231+SUMIF('Grid BD'!$H:$H,$A231,'Grid BD'!$AD:$AD)),"")</f>
        <v/>
      </c>
      <c r="T231" s="139"/>
      <c r="U231" s="140" t="str">
        <f t="shared" si="13"/>
        <v/>
      </c>
      <c r="V231" s="140"/>
      <c r="W231" s="141" t="str">
        <f t="shared" si="14"/>
        <v/>
      </c>
      <c r="X231" s="133" t="str">
        <f>IFERROR(_xlfn.XLOOKUP($A231,'Raw Data'!$G:$G,'Raw Data'!AI:AI),"")</f>
        <v/>
      </c>
      <c r="Y231" s="133" t="str">
        <f>IFERROR(_xlfn.XLOOKUP($A231,'Raw Data'!$G:$G,'Raw Data'!AJ:AJ),"")</f>
        <v/>
      </c>
      <c r="Z231" s="133" t="str">
        <f>IFERROR(_xlfn.XLOOKUP($A231,'Raw Data'!$G:$G,'Raw Data'!AK:AK),"")</f>
        <v/>
      </c>
      <c r="AA231" s="133" t="str">
        <f>IFERROR(_xlfn.XLOOKUP($A231,'Raw Data'!$G:$G,'Raw Data'!AL:AL),"")</f>
        <v/>
      </c>
      <c r="AB231" s="133" t="str">
        <f>IFERROR(_xlfn.XLOOKUP($A231,'Raw Data'!$G:$G,'Raw Data'!H:H),"")</f>
        <v/>
      </c>
      <c r="AC231" s="142">
        <f>IFERROR(_xlfn.XLOOKUP($D231,'Modelling New'!$D:$D,'Modelling New'!P:P),"")</f>
        <v>5.4333333333333336</v>
      </c>
      <c r="AD231" s="133">
        <f>IFERROR(_xlfn.XLOOKUP($D231,'Modelling New'!$D:$D,'Modelling New'!$T:$T)*1000,"")</f>
        <v>30935.368854830132</v>
      </c>
      <c r="AE231" s="143">
        <f>IFERROR(_xlfn.XLOOKUP($D231,'Modelling New'!$D:$D,'Modelling New'!O:O),"")</f>
        <v>0.70984879123298372</v>
      </c>
      <c r="AF231" s="145">
        <f>IFERROR(_xlfn.XLOOKUP($D231,'Modelling New'!$D:$D,'Modelling New'!W:W),"")</f>
        <v>0.160701879126356</v>
      </c>
      <c r="AG231" s="145">
        <f>IFERROR(_xlfn.XLOOKUP($D231,'Modelling New'!$D:$D,'Modelling New'!AE:AE),"")</f>
        <v>0.98040000000000005</v>
      </c>
      <c r="AH231" s="167">
        <f>IFERROR(_xlfn.XLOOKUP($D231,'Modelling New'!$D:$D,'Modelling New'!AF:AF),"")</f>
        <v>0.98</v>
      </c>
      <c r="AN231" s="144"/>
      <c r="AO231" s="141"/>
      <c r="AP231" s="141"/>
      <c r="AQ231" s="141"/>
      <c r="AR231" s="133">
        <f>'Basic Data'!$B$98/1000</f>
        <v>8.0208999999999993</v>
      </c>
    </row>
    <row r="232" spans="1:44" x14ac:dyDescent="0.3">
      <c r="A232" s="132">
        <f t="shared" si="15"/>
        <v>45975</v>
      </c>
      <c r="B232" s="133">
        <f>YEAR(Table13[[#This Row],[Date]])+IF(MONTH(Table13[[#This Row],[Date]])&gt;=4,1,0)</f>
        <v>2026</v>
      </c>
      <c r="C232" s="134">
        <f>YEAR(Table13[[#This Row],[Date]])</f>
        <v>2025</v>
      </c>
      <c r="D232" s="135">
        <f>Table13[[#This Row],[Date]]-DAY(Table13[[#This Row],[Date]])+1</f>
        <v>45962</v>
      </c>
      <c r="E232" s="134">
        <f t="shared" si="12"/>
        <v>30</v>
      </c>
      <c r="F232" s="136" t="str">
        <f>IFERROR(_xlfn.XLOOKUP($A232,'Raw Data'!$G:$G,'Raw Data'!$AM:$AM),"")</f>
        <v/>
      </c>
      <c r="G232" s="137" t="str">
        <f>IFERROR(_xlfn.XLOOKUP($A232,'Raw Data'!$G:$G,'Raw Data'!$AB:$AB),"")</f>
        <v/>
      </c>
      <c r="H232" s="137"/>
      <c r="I232" s="137" t="str">
        <f>IFERROR(_xlfn.XLOOKUP($A232,'Raw Data'!$G:$G,'Raw Data'!$AC:$AC),"")</f>
        <v/>
      </c>
      <c r="J232" s="137"/>
      <c r="K232" s="137" t="str">
        <f>IFERROR(_xlfn.XLOOKUP($A232,'Raw Data'!$G:$G,'Raw Data'!AD:AD),"")</f>
        <v/>
      </c>
      <c r="L232" s="137" t="str">
        <f>IFERROR(_xlfn.XLOOKUP($A232,'Raw Data'!$G:$G,'Raw Data'!AE:AE),"")</f>
        <v/>
      </c>
      <c r="M232" s="137" t="str">
        <f>IFERROR(_xlfn.XLOOKUP($A232,'Raw Data'!$G:$G,'Raw Data'!AF:AF),"")</f>
        <v/>
      </c>
      <c r="N232" s="137" t="str">
        <f>IFERROR(_xlfn.XLOOKUP($A232,'Raw Data'!$G:$G,'Raw Data'!AG:AG),"")</f>
        <v/>
      </c>
      <c r="O232" s="138" t="str">
        <f>IFERROR(1-SUMIF('Plant BD'!$H:$H,$A232,'Plant BD'!$AE:$AE)/($AA232+SUMIF('Plant BD'!$H:$H,$A232,'Plant BD'!$AE:$AE)),"")</f>
        <v/>
      </c>
      <c r="P232" s="138"/>
      <c r="Q232" s="139"/>
      <c r="R232" s="138" t="str">
        <f>IFERROR(1-SUMIF('Grid BD'!$H:$H,$A232,'Grid BD'!$AD:$AD)/($AA232+SUMIF('Grid BD'!$H:$H,$A232,'Grid BD'!$AD:$AD)),"")</f>
        <v/>
      </c>
      <c r="T232" s="139"/>
      <c r="U232" s="140" t="str">
        <f t="shared" si="13"/>
        <v/>
      </c>
      <c r="V232" s="140"/>
      <c r="W232" s="141" t="str">
        <f t="shared" si="14"/>
        <v/>
      </c>
      <c r="X232" s="133" t="str">
        <f>IFERROR(_xlfn.XLOOKUP($A232,'Raw Data'!$G:$G,'Raw Data'!AI:AI),"")</f>
        <v/>
      </c>
      <c r="Y232" s="133" t="str">
        <f>IFERROR(_xlfn.XLOOKUP($A232,'Raw Data'!$G:$G,'Raw Data'!AJ:AJ),"")</f>
        <v/>
      </c>
      <c r="Z232" s="133" t="str">
        <f>IFERROR(_xlfn.XLOOKUP($A232,'Raw Data'!$G:$G,'Raw Data'!AK:AK),"")</f>
        <v/>
      </c>
      <c r="AA232" s="133" t="str">
        <f>IFERROR(_xlfn.XLOOKUP($A232,'Raw Data'!$G:$G,'Raw Data'!AL:AL),"")</f>
        <v/>
      </c>
      <c r="AB232" s="133" t="str">
        <f>IFERROR(_xlfn.XLOOKUP($A232,'Raw Data'!$G:$G,'Raw Data'!H:H),"")</f>
        <v/>
      </c>
      <c r="AC232" s="142">
        <f>IFERROR(_xlfn.XLOOKUP($D232,'Modelling New'!$D:$D,'Modelling New'!P:P),"")</f>
        <v>5.4333333333333336</v>
      </c>
      <c r="AD232" s="133">
        <f>IFERROR(_xlfn.XLOOKUP($D232,'Modelling New'!$D:$D,'Modelling New'!$T:$T)*1000,"")</f>
        <v>30935.368854830132</v>
      </c>
      <c r="AE232" s="143">
        <f>IFERROR(_xlfn.XLOOKUP($D232,'Modelling New'!$D:$D,'Modelling New'!O:O),"")</f>
        <v>0.70984879123298372</v>
      </c>
      <c r="AF232" s="145">
        <f>IFERROR(_xlfn.XLOOKUP($D232,'Modelling New'!$D:$D,'Modelling New'!W:W),"")</f>
        <v>0.160701879126356</v>
      </c>
      <c r="AG232" s="145">
        <f>IFERROR(_xlfn.XLOOKUP($D232,'Modelling New'!$D:$D,'Modelling New'!AE:AE),"")</f>
        <v>0.98040000000000005</v>
      </c>
      <c r="AH232" s="167">
        <f>IFERROR(_xlfn.XLOOKUP($D232,'Modelling New'!$D:$D,'Modelling New'!AF:AF),"")</f>
        <v>0.98</v>
      </c>
      <c r="AN232" s="144"/>
      <c r="AO232" s="141"/>
      <c r="AP232" s="141"/>
      <c r="AQ232" s="141"/>
      <c r="AR232" s="133">
        <f>'Basic Data'!$B$98/1000</f>
        <v>8.0208999999999993</v>
      </c>
    </row>
    <row r="233" spans="1:44" x14ac:dyDescent="0.3">
      <c r="A233" s="132">
        <f t="shared" si="15"/>
        <v>45976</v>
      </c>
      <c r="B233" s="133">
        <f>YEAR(Table13[[#This Row],[Date]])+IF(MONTH(Table13[[#This Row],[Date]])&gt;=4,1,0)</f>
        <v>2026</v>
      </c>
      <c r="C233" s="134">
        <f>YEAR(Table13[[#This Row],[Date]])</f>
        <v>2025</v>
      </c>
      <c r="D233" s="135">
        <f>Table13[[#This Row],[Date]]-DAY(Table13[[#This Row],[Date]])+1</f>
        <v>45962</v>
      </c>
      <c r="E233" s="134">
        <f t="shared" si="12"/>
        <v>30</v>
      </c>
      <c r="F233" s="136" t="str">
        <f>IFERROR(_xlfn.XLOOKUP($A233,'Raw Data'!$G:$G,'Raw Data'!$AM:$AM),"")</f>
        <v/>
      </c>
      <c r="G233" s="137" t="str">
        <f>IFERROR(_xlfn.XLOOKUP($A233,'Raw Data'!$G:$G,'Raw Data'!$AB:$AB),"")</f>
        <v/>
      </c>
      <c r="H233" s="137"/>
      <c r="I233" s="137" t="str">
        <f>IFERROR(_xlfn.XLOOKUP($A233,'Raw Data'!$G:$G,'Raw Data'!$AC:$AC),"")</f>
        <v/>
      </c>
      <c r="J233" s="137"/>
      <c r="K233" s="137" t="str">
        <f>IFERROR(_xlfn.XLOOKUP($A233,'Raw Data'!$G:$G,'Raw Data'!AD:AD),"")</f>
        <v/>
      </c>
      <c r="L233" s="137" t="str">
        <f>IFERROR(_xlfn.XLOOKUP($A233,'Raw Data'!$G:$G,'Raw Data'!AE:AE),"")</f>
        <v/>
      </c>
      <c r="M233" s="137" t="str">
        <f>IFERROR(_xlfn.XLOOKUP($A233,'Raw Data'!$G:$G,'Raw Data'!AF:AF),"")</f>
        <v/>
      </c>
      <c r="N233" s="137" t="str">
        <f>IFERROR(_xlfn.XLOOKUP($A233,'Raw Data'!$G:$G,'Raw Data'!AG:AG),"")</f>
        <v/>
      </c>
      <c r="O233" s="138" t="str">
        <f>IFERROR(1-SUMIF('Plant BD'!$H:$H,$A233,'Plant BD'!$AE:$AE)/($AA233+SUMIF('Plant BD'!$H:$H,$A233,'Plant BD'!$AE:$AE)),"")</f>
        <v/>
      </c>
      <c r="P233" s="138"/>
      <c r="Q233" s="139"/>
      <c r="R233" s="138" t="str">
        <f>IFERROR(1-SUMIF('Grid BD'!$H:$H,$A233,'Grid BD'!$AD:$AD)/($AA233+SUMIF('Grid BD'!$H:$H,$A233,'Grid BD'!$AD:$AD)),"")</f>
        <v/>
      </c>
      <c r="T233" s="139"/>
      <c r="U233" s="140" t="str">
        <f t="shared" si="13"/>
        <v/>
      </c>
      <c r="V233" s="140"/>
      <c r="W233" s="141" t="str">
        <f t="shared" si="14"/>
        <v/>
      </c>
      <c r="X233" s="133" t="str">
        <f>IFERROR(_xlfn.XLOOKUP($A233,'Raw Data'!$G:$G,'Raw Data'!AI:AI),"")</f>
        <v/>
      </c>
      <c r="Y233" s="133" t="str">
        <f>IFERROR(_xlfn.XLOOKUP($A233,'Raw Data'!$G:$G,'Raw Data'!AJ:AJ),"")</f>
        <v/>
      </c>
      <c r="Z233" s="133" t="str">
        <f>IFERROR(_xlfn.XLOOKUP($A233,'Raw Data'!$G:$G,'Raw Data'!AK:AK),"")</f>
        <v/>
      </c>
      <c r="AA233" s="133" t="str">
        <f>IFERROR(_xlfn.XLOOKUP($A233,'Raw Data'!$G:$G,'Raw Data'!AL:AL),"")</f>
        <v/>
      </c>
      <c r="AB233" s="133" t="str">
        <f>IFERROR(_xlfn.XLOOKUP($A233,'Raw Data'!$G:$G,'Raw Data'!H:H),"")</f>
        <v/>
      </c>
      <c r="AC233" s="142">
        <f>IFERROR(_xlfn.XLOOKUP($D233,'Modelling New'!$D:$D,'Modelling New'!P:P),"")</f>
        <v>5.4333333333333336</v>
      </c>
      <c r="AD233" s="133">
        <f>IFERROR(_xlfn.XLOOKUP($D233,'Modelling New'!$D:$D,'Modelling New'!$T:$T)*1000,"")</f>
        <v>30935.368854830132</v>
      </c>
      <c r="AE233" s="143">
        <f>IFERROR(_xlfn.XLOOKUP($D233,'Modelling New'!$D:$D,'Modelling New'!O:O),"")</f>
        <v>0.70984879123298372</v>
      </c>
      <c r="AF233" s="145">
        <f>IFERROR(_xlfn.XLOOKUP($D233,'Modelling New'!$D:$D,'Modelling New'!W:W),"")</f>
        <v>0.160701879126356</v>
      </c>
      <c r="AG233" s="145">
        <f>IFERROR(_xlfn.XLOOKUP($D233,'Modelling New'!$D:$D,'Modelling New'!AE:AE),"")</f>
        <v>0.98040000000000005</v>
      </c>
      <c r="AH233" s="167">
        <f>IFERROR(_xlfn.XLOOKUP($D233,'Modelling New'!$D:$D,'Modelling New'!AF:AF),"")</f>
        <v>0.98</v>
      </c>
      <c r="AN233" s="144"/>
      <c r="AO233" s="141"/>
      <c r="AP233" s="141"/>
      <c r="AQ233" s="141"/>
      <c r="AR233" s="133">
        <f>'Basic Data'!$B$98/1000</f>
        <v>8.0208999999999993</v>
      </c>
    </row>
    <row r="234" spans="1:44" x14ac:dyDescent="0.3">
      <c r="A234" s="132">
        <f t="shared" si="15"/>
        <v>45977</v>
      </c>
      <c r="B234" s="133">
        <f>YEAR(Table13[[#This Row],[Date]])+IF(MONTH(Table13[[#This Row],[Date]])&gt;=4,1,0)</f>
        <v>2026</v>
      </c>
      <c r="C234" s="134">
        <f>YEAR(Table13[[#This Row],[Date]])</f>
        <v>2025</v>
      </c>
      <c r="D234" s="135">
        <f>Table13[[#This Row],[Date]]-DAY(Table13[[#This Row],[Date]])+1</f>
        <v>45962</v>
      </c>
      <c r="E234" s="134">
        <f t="shared" si="12"/>
        <v>30</v>
      </c>
      <c r="F234" s="136" t="str">
        <f>IFERROR(_xlfn.XLOOKUP($A234,'Raw Data'!$G:$G,'Raw Data'!$AM:$AM),"")</f>
        <v/>
      </c>
      <c r="G234" s="137" t="str">
        <f>IFERROR(_xlfn.XLOOKUP($A234,'Raw Data'!$G:$G,'Raw Data'!$AB:$AB),"")</f>
        <v/>
      </c>
      <c r="H234" s="137"/>
      <c r="I234" s="137" t="str">
        <f>IFERROR(_xlfn.XLOOKUP($A234,'Raw Data'!$G:$G,'Raw Data'!$AC:$AC),"")</f>
        <v/>
      </c>
      <c r="J234" s="137"/>
      <c r="K234" s="137" t="str">
        <f>IFERROR(_xlfn.XLOOKUP($A234,'Raw Data'!$G:$G,'Raw Data'!AD:AD),"")</f>
        <v/>
      </c>
      <c r="L234" s="137" t="str">
        <f>IFERROR(_xlfn.XLOOKUP($A234,'Raw Data'!$G:$G,'Raw Data'!AE:AE),"")</f>
        <v/>
      </c>
      <c r="M234" s="137" t="str">
        <f>IFERROR(_xlfn.XLOOKUP($A234,'Raw Data'!$G:$G,'Raw Data'!AF:AF),"")</f>
        <v/>
      </c>
      <c r="N234" s="137" t="str">
        <f>IFERROR(_xlfn.XLOOKUP($A234,'Raw Data'!$G:$G,'Raw Data'!AG:AG),"")</f>
        <v/>
      </c>
      <c r="O234" s="138" t="str">
        <f>IFERROR(1-SUMIF('Plant BD'!$H:$H,$A234,'Plant BD'!$AE:$AE)/($AA234+SUMIF('Plant BD'!$H:$H,$A234,'Plant BD'!$AE:$AE)),"")</f>
        <v/>
      </c>
      <c r="P234" s="138"/>
      <c r="Q234" s="139"/>
      <c r="R234" s="138" t="str">
        <f>IFERROR(1-SUMIF('Grid BD'!$H:$H,$A234,'Grid BD'!$AD:$AD)/($AA234+SUMIF('Grid BD'!$H:$H,$A234,'Grid BD'!$AD:$AD)),"")</f>
        <v/>
      </c>
      <c r="T234" s="139"/>
      <c r="U234" s="140" t="str">
        <f t="shared" si="13"/>
        <v/>
      </c>
      <c r="V234" s="140"/>
      <c r="W234" s="141" t="str">
        <f t="shared" si="14"/>
        <v/>
      </c>
      <c r="X234" s="133" t="str">
        <f>IFERROR(_xlfn.XLOOKUP($A234,'Raw Data'!$G:$G,'Raw Data'!AI:AI),"")</f>
        <v/>
      </c>
      <c r="Y234" s="133" t="str">
        <f>IFERROR(_xlfn.XLOOKUP($A234,'Raw Data'!$G:$G,'Raw Data'!AJ:AJ),"")</f>
        <v/>
      </c>
      <c r="Z234" s="133" t="str">
        <f>IFERROR(_xlfn.XLOOKUP($A234,'Raw Data'!$G:$G,'Raw Data'!AK:AK),"")</f>
        <v/>
      </c>
      <c r="AA234" s="133" t="str">
        <f>IFERROR(_xlfn.XLOOKUP($A234,'Raw Data'!$G:$G,'Raw Data'!AL:AL),"")</f>
        <v/>
      </c>
      <c r="AB234" s="133" t="str">
        <f>IFERROR(_xlfn.XLOOKUP($A234,'Raw Data'!$G:$G,'Raw Data'!H:H),"")</f>
        <v/>
      </c>
      <c r="AC234" s="142">
        <f>IFERROR(_xlfn.XLOOKUP($D234,'Modelling New'!$D:$D,'Modelling New'!P:P),"")</f>
        <v>5.4333333333333336</v>
      </c>
      <c r="AD234" s="133">
        <f>IFERROR(_xlfn.XLOOKUP($D234,'Modelling New'!$D:$D,'Modelling New'!$T:$T)*1000,"")</f>
        <v>30935.368854830132</v>
      </c>
      <c r="AE234" s="143">
        <f>IFERROR(_xlfn.XLOOKUP($D234,'Modelling New'!$D:$D,'Modelling New'!O:O),"")</f>
        <v>0.70984879123298372</v>
      </c>
      <c r="AF234" s="145">
        <f>IFERROR(_xlfn.XLOOKUP($D234,'Modelling New'!$D:$D,'Modelling New'!W:W),"")</f>
        <v>0.160701879126356</v>
      </c>
      <c r="AG234" s="145">
        <f>IFERROR(_xlfn.XLOOKUP($D234,'Modelling New'!$D:$D,'Modelling New'!AE:AE),"")</f>
        <v>0.98040000000000005</v>
      </c>
      <c r="AH234" s="167">
        <f>IFERROR(_xlfn.XLOOKUP($D234,'Modelling New'!$D:$D,'Modelling New'!AF:AF),"")</f>
        <v>0.98</v>
      </c>
      <c r="AN234" s="144"/>
      <c r="AO234" s="141"/>
      <c r="AP234" s="141"/>
      <c r="AQ234" s="141"/>
      <c r="AR234" s="133">
        <f>'Basic Data'!$B$98/1000</f>
        <v>8.0208999999999993</v>
      </c>
    </row>
    <row r="235" spans="1:44" x14ac:dyDescent="0.3">
      <c r="A235" s="132">
        <f t="shared" si="15"/>
        <v>45978</v>
      </c>
      <c r="B235" s="133">
        <f>YEAR(Table13[[#This Row],[Date]])+IF(MONTH(Table13[[#This Row],[Date]])&gt;=4,1,0)</f>
        <v>2026</v>
      </c>
      <c r="C235" s="134">
        <f>YEAR(Table13[[#This Row],[Date]])</f>
        <v>2025</v>
      </c>
      <c r="D235" s="135">
        <f>Table13[[#This Row],[Date]]-DAY(Table13[[#This Row],[Date]])+1</f>
        <v>45962</v>
      </c>
      <c r="E235" s="134">
        <f t="shared" si="12"/>
        <v>30</v>
      </c>
      <c r="F235" s="136" t="str">
        <f>IFERROR(_xlfn.XLOOKUP($A235,'Raw Data'!$G:$G,'Raw Data'!$AM:$AM),"")</f>
        <v/>
      </c>
      <c r="G235" s="137" t="str">
        <f>IFERROR(_xlfn.XLOOKUP($A235,'Raw Data'!$G:$G,'Raw Data'!$AB:$AB),"")</f>
        <v/>
      </c>
      <c r="H235" s="137"/>
      <c r="I235" s="137" t="str">
        <f>IFERROR(_xlfn.XLOOKUP($A235,'Raw Data'!$G:$G,'Raw Data'!$AC:$AC),"")</f>
        <v/>
      </c>
      <c r="J235" s="137"/>
      <c r="K235" s="137" t="str">
        <f>IFERROR(_xlfn.XLOOKUP($A235,'Raw Data'!$G:$G,'Raw Data'!AD:AD),"")</f>
        <v/>
      </c>
      <c r="L235" s="137" t="str">
        <f>IFERROR(_xlfn.XLOOKUP($A235,'Raw Data'!$G:$G,'Raw Data'!AE:AE),"")</f>
        <v/>
      </c>
      <c r="M235" s="137" t="str">
        <f>IFERROR(_xlfn.XLOOKUP($A235,'Raw Data'!$G:$G,'Raw Data'!AF:AF),"")</f>
        <v/>
      </c>
      <c r="N235" s="137" t="str">
        <f>IFERROR(_xlfn.XLOOKUP($A235,'Raw Data'!$G:$G,'Raw Data'!AG:AG),"")</f>
        <v/>
      </c>
      <c r="O235" s="138" t="str">
        <f>IFERROR(1-SUMIF('Plant BD'!$H:$H,$A235,'Plant BD'!$AE:$AE)/($AA235+SUMIF('Plant BD'!$H:$H,$A235,'Plant BD'!$AE:$AE)),"")</f>
        <v/>
      </c>
      <c r="P235" s="138"/>
      <c r="Q235" s="139"/>
      <c r="R235" s="138" t="str">
        <f>IFERROR(1-SUMIF('Grid BD'!$H:$H,$A235,'Grid BD'!$AD:$AD)/($AA235+SUMIF('Grid BD'!$H:$H,$A235,'Grid BD'!$AD:$AD)),"")</f>
        <v/>
      </c>
      <c r="T235" s="139"/>
      <c r="U235" s="140" t="str">
        <f t="shared" si="13"/>
        <v/>
      </c>
      <c r="V235" s="140"/>
      <c r="W235" s="141" t="str">
        <f t="shared" si="14"/>
        <v/>
      </c>
      <c r="X235" s="133" t="str">
        <f>IFERROR(_xlfn.XLOOKUP($A235,'Raw Data'!$G:$G,'Raw Data'!AI:AI),"")</f>
        <v/>
      </c>
      <c r="Y235" s="133" t="str">
        <f>IFERROR(_xlfn.XLOOKUP($A235,'Raw Data'!$G:$G,'Raw Data'!AJ:AJ),"")</f>
        <v/>
      </c>
      <c r="Z235" s="133" t="str">
        <f>IFERROR(_xlfn.XLOOKUP($A235,'Raw Data'!$G:$G,'Raw Data'!AK:AK),"")</f>
        <v/>
      </c>
      <c r="AA235" s="133" t="str">
        <f>IFERROR(_xlfn.XLOOKUP($A235,'Raw Data'!$G:$G,'Raw Data'!AL:AL),"")</f>
        <v/>
      </c>
      <c r="AB235" s="133" t="str">
        <f>IFERROR(_xlfn.XLOOKUP($A235,'Raw Data'!$G:$G,'Raw Data'!H:H),"")</f>
        <v/>
      </c>
      <c r="AC235" s="142">
        <f>IFERROR(_xlfn.XLOOKUP($D235,'Modelling New'!$D:$D,'Modelling New'!P:P),"")</f>
        <v>5.4333333333333336</v>
      </c>
      <c r="AD235" s="133">
        <f>IFERROR(_xlfn.XLOOKUP($D235,'Modelling New'!$D:$D,'Modelling New'!$T:$T)*1000,"")</f>
        <v>30935.368854830132</v>
      </c>
      <c r="AE235" s="143">
        <f>IFERROR(_xlfn.XLOOKUP($D235,'Modelling New'!$D:$D,'Modelling New'!O:O),"")</f>
        <v>0.70984879123298372</v>
      </c>
      <c r="AF235" s="145">
        <f>IFERROR(_xlfn.XLOOKUP($D235,'Modelling New'!$D:$D,'Modelling New'!W:W),"")</f>
        <v>0.160701879126356</v>
      </c>
      <c r="AG235" s="145">
        <f>IFERROR(_xlfn.XLOOKUP($D235,'Modelling New'!$D:$D,'Modelling New'!AE:AE),"")</f>
        <v>0.98040000000000005</v>
      </c>
      <c r="AH235" s="167">
        <f>IFERROR(_xlfn.XLOOKUP($D235,'Modelling New'!$D:$D,'Modelling New'!AF:AF),"")</f>
        <v>0.98</v>
      </c>
      <c r="AN235" s="144"/>
      <c r="AO235" s="141"/>
      <c r="AP235" s="141"/>
      <c r="AQ235" s="141"/>
      <c r="AR235" s="133">
        <f>'Basic Data'!$B$98/1000</f>
        <v>8.0208999999999993</v>
      </c>
    </row>
    <row r="236" spans="1:44" x14ac:dyDescent="0.3">
      <c r="A236" s="132">
        <f t="shared" si="15"/>
        <v>45979</v>
      </c>
      <c r="B236" s="133">
        <f>YEAR(Table13[[#This Row],[Date]])+IF(MONTH(Table13[[#This Row],[Date]])&gt;=4,1,0)</f>
        <v>2026</v>
      </c>
      <c r="C236" s="134">
        <f>YEAR(Table13[[#This Row],[Date]])</f>
        <v>2025</v>
      </c>
      <c r="D236" s="135">
        <f>Table13[[#This Row],[Date]]-DAY(Table13[[#This Row],[Date]])+1</f>
        <v>45962</v>
      </c>
      <c r="E236" s="134">
        <f t="shared" si="12"/>
        <v>30</v>
      </c>
      <c r="F236" s="136" t="str">
        <f>IFERROR(_xlfn.XLOOKUP($A236,'Raw Data'!$G:$G,'Raw Data'!$AM:$AM),"")</f>
        <v/>
      </c>
      <c r="G236" s="137" t="str">
        <f>IFERROR(_xlfn.XLOOKUP($A236,'Raw Data'!$G:$G,'Raw Data'!$AB:$AB),"")</f>
        <v/>
      </c>
      <c r="H236" s="137"/>
      <c r="I236" s="137" t="str">
        <f>IFERROR(_xlfn.XLOOKUP($A236,'Raw Data'!$G:$G,'Raw Data'!$AC:$AC),"")</f>
        <v/>
      </c>
      <c r="J236" s="137"/>
      <c r="K236" s="137" t="str">
        <f>IFERROR(_xlfn.XLOOKUP($A236,'Raw Data'!$G:$G,'Raw Data'!AD:AD),"")</f>
        <v/>
      </c>
      <c r="L236" s="137" t="str">
        <f>IFERROR(_xlfn.XLOOKUP($A236,'Raw Data'!$G:$G,'Raw Data'!AE:AE),"")</f>
        <v/>
      </c>
      <c r="M236" s="137" t="str">
        <f>IFERROR(_xlfn.XLOOKUP($A236,'Raw Data'!$G:$G,'Raw Data'!AF:AF),"")</f>
        <v/>
      </c>
      <c r="N236" s="137" t="str">
        <f>IFERROR(_xlfn.XLOOKUP($A236,'Raw Data'!$G:$G,'Raw Data'!AG:AG),"")</f>
        <v/>
      </c>
      <c r="O236" s="138" t="str">
        <f>IFERROR(1-SUMIF('Plant BD'!$H:$H,$A236,'Plant BD'!$AE:$AE)/($AA236+SUMIF('Plant BD'!$H:$H,$A236,'Plant BD'!$AE:$AE)),"")</f>
        <v/>
      </c>
      <c r="P236" s="138"/>
      <c r="Q236" s="139"/>
      <c r="R236" s="138" t="str">
        <f>IFERROR(1-SUMIF('Grid BD'!$H:$H,$A236,'Grid BD'!$AD:$AD)/($AA236+SUMIF('Grid BD'!$H:$H,$A236,'Grid BD'!$AD:$AD)),"")</f>
        <v/>
      </c>
      <c r="T236" s="139"/>
      <c r="U236" s="140" t="str">
        <f t="shared" si="13"/>
        <v/>
      </c>
      <c r="V236" s="140"/>
      <c r="W236" s="141" t="str">
        <f t="shared" si="14"/>
        <v/>
      </c>
      <c r="X236" s="133" t="str">
        <f>IFERROR(_xlfn.XLOOKUP($A236,'Raw Data'!$G:$G,'Raw Data'!AI:AI),"")</f>
        <v/>
      </c>
      <c r="Y236" s="133" t="str">
        <f>IFERROR(_xlfn.XLOOKUP($A236,'Raw Data'!$G:$G,'Raw Data'!AJ:AJ),"")</f>
        <v/>
      </c>
      <c r="Z236" s="133" t="str">
        <f>IFERROR(_xlfn.XLOOKUP($A236,'Raw Data'!$G:$G,'Raw Data'!AK:AK),"")</f>
        <v/>
      </c>
      <c r="AA236" s="133" t="str">
        <f>IFERROR(_xlfn.XLOOKUP($A236,'Raw Data'!$G:$G,'Raw Data'!AL:AL),"")</f>
        <v/>
      </c>
      <c r="AB236" s="133" t="str">
        <f>IFERROR(_xlfn.XLOOKUP($A236,'Raw Data'!$G:$G,'Raw Data'!H:H),"")</f>
        <v/>
      </c>
      <c r="AC236" s="142">
        <f>IFERROR(_xlfn.XLOOKUP($D236,'Modelling New'!$D:$D,'Modelling New'!P:P),"")</f>
        <v>5.4333333333333336</v>
      </c>
      <c r="AD236" s="133">
        <f>IFERROR(_xlfn.XLOOKUP($D236,'Modelling New'!$D:$D,'Modelling New'!$T:$T)*1000,"")</f>
        <v>30935.368854830132</v>
      </c>
      <c r="AE236" s="143">
        <f>IFERROR(_xlfn.XLOOKUP($D236,'Modelling New'!$D:$D,'Modelling New'!O:O),"")</f>
        <v>0.70984879123298372</v>
      </c>
      <c r="AF236" s="145">
        <f>IFERROR(_xlfn.XLOOKUP($D236,'Modelling New'!$D:$D,'Modelling New'!W:W),"")</f>
        <v>0.160701879126356</v>
      </c>
      <c r="AG236" s="145">
        <f>IFERROR(_xlfn.XLOOKUP($D236,'Modelling New'!$D:$D,'Modelling New'!AE:AE),"")</f>
        <v>0.98040000000000005</v>
      </c>
      <c r="AH236" s="167">
        <f>IFERROR(_xlfn.XLOOKUP($D236,'Modelling New'!$D:$D,'Modelling New'!AF:AF),"")</f>
        <v>0.98</v>
      </c>
      <c r="AN236" s="144"/>
      <c r="AO236" s="141"/>
      <c r="AP236" s="141"/>
      <c r="AQ236" s="141"/>
      <c r="AR236" s="133">
        <f>'Basic Data'!$B$98/1000</f>
        <v>8.0208999999999993</v>
      </c>
    </row>
    <row r="237" spans="1:44" x14ac:dyDescent="0.3">
      <c r="A237" s="132">
        <f t="shared" si="15"/>
        <v>45980</v>
      </c>
      <c r="B237" s="133">
        <f>YEAR(Table13[[#This Row],[Date]])+IF(MONTH(Table13[[#This Row],[Date]])&gt;=4,1,0)</f>
        <v>2026</v>
      </c>
      <c r="C237" s="134">
        <f>YEAR(Table13[[#This Row],[Date]])</f>
        <v>2025</v>
      </c>
      <c r="D237" s="135">
        <f>Table13[[#This Row],[Date]]-DAY(Table13[[#This Row],[Date]])+1</f>
        <v>45962</v>
      </c>
      <c r="E237" s="134">
        <f t="shared" si="12"/>
        <v>30</v>
      </c>
      <c r="F237" s="136" t="str">
        <f>IFERROR(_xlfn.XLOOKUP($A237,'Raw Data'!$G:$G,'Raw Data'!$AM:$AM),"")</f>
        <v/>
      </c>
      <c r="G237" s="137" t="str">
        <f>IFERROR(_xlfn.XLOOKUP($A237,'Raw Data'!$G:$G,'Raw Data'!$AB:$AB),"")</f>
        <v/>
      </c>
      <c r="H237" s="137"/>
      <c r="I237" s="137" t="str">
        <f>IFERROR(_xlfn.XLOOKUP($A237,'Raw Data'!$G:$G,'Raw Data'!$AC:$AC),"")</f>
        <v/>
      </c>
      <c r="J237" s="137"/>
      <c r="K237" s="137" t="str">
        <f>IFERROR(_xlfn.XLOOKUP($A237,'Raw Data'!$G:$G,'Raw Data'!AD:AD),"")</f>
        <v/>
      </c>
      <c r="L237" s="137" t="str">
        <f>IFERROR(_xlfn.XLOOKUP($A237,'Raw Data'!$G:$G,'Raw Data'!AE:AE),"")</f>
        <v/>
      </c>
      <c r="M237" s="137" t="str">
        <f>IFERROR(_xlfn.XLOOKUP($A237,'Raw Data'!$G:$G,'Raw Data'!AF:AF),"")</f>
        <v/>
      </c>
      <c r="N237" s="137" t="str">
        <f>IFERROR(_xlfn.XLOOKUP($A237,'Raw Data'!$G:$G,'Raw Data'!AG:AG),"")</f>
        <v/>
      </c>
      <c r="O237" s="138" t="str">
        <f>IFERROR(1-SUMIF('Plant BD'!$H:$H,$A237,'Plant BD'!$AE:$AE)/($AA237+SUMIF('Plant BD'!$H:$H,$A237,'Plant BD'!$AE:$AE)),"")</f>
        <v/>
      </c>
      <c r="P237" s="138"/>
      <c r="Q237" s="139"/>
      <c r="R237" s="138" t="str">
        <f>IFERROR(1-SUMIF('Grid BD'!$H:$H,$A237,'Grid BD'!$AD:$AD)/($AA237+SUMIF('Grid BD'!$H:$H,$A237,'Grid BD'!$AD:$AD)),"")</f>
        <v/>
      </c>
      <c r="T237" s="139"/>
      <c r="U237" s="140" t="str">
        <f t="shared" si="13"/>
        <v/>
      </c>
      <c r="V237" s="140"/>
      <c r="W237" s="141" t="str">
        <f t="shared" si="14"/>
        <v/>
      </c>
      <c r="X237" s="133" t="str">
        <f>IFERROR(_xlfn.XLOOKUP($A237,'Raw Data'!$G:$G,'Raw Data'!AI:AI),"")</f>
        <v/>
      </c>
      <c r="Y237" s="133" t="str">
        <f>IFERROR(_xlfn.XLOOKUP($A237,'Raw Data'!$G:$G,'Raw Data'!AJ:AJ),"")</f>
        <v/>
      </c>
      <c r="Z237" s="133" t="str">
        <f>IFERROR(_xlfn.XLOOKUP($A237,'Raw Data'!$G:$G,'Raw Data'!AK:AK),"")</f>
        <v/>
      </c>
      <c r="AA237" s="133" t="str">
        <f>IFERROR(_xlfn.XLOOKUP($A237,'Raw Data'!$G:$G,'Raw Data'!AL:AL),"")</f>
        <v/>
      </c>
      <c r="AB237" s="133" t="str">
        <f>IFERROR(_xlfn.XLOOKUP($A237,'Raw Data'!$G:$G,'Raw Data'!H:H),"")</f>
        <v/>
      </c>
      <c r="AC237" s="142">
        <f>IFERROR(_xlfn.XLOOKUP($D237,'Modelling New'!$D:$D,'Modelling New'!P:P),"")</f>
        <v>5.4333333333333336</v>
      </c>
      <c r="AD237" s="133">
        <f>IFERROR(_xlfn.XLOOKUP($D237,'Modelling New'!$D:$D,'Modelling New'!$T:$T)*1000,"")</f>
        <v>30935.368854830132</v>
      </c>
      <c r="AE237" s="143">
        <f>IFERROR(_xlfn.XLOOKUP($D237,'Modelling New'!$D:$D,'Modelling New'!O:O),"")</f>
        <v>0.70984879123298372</v>
      </c>
      <c r="AF237" s="145">
        <f>IFERROR(_xlfn.XLOOKUP($D237,'Modelling New'!$D:$D,'Modelling New'!W:W),"")</f>
        <v>0.160701879126356</v>
      </c>
      <c r="AG237" s="145">
        <f>IFERROR(_xlfn.XLOOKUP($D237,'Modelling New'!$D:$D,'Modelling New'!AE:AE),"")</f>
        <v>0.98040000000000005</v>
      </c>
      <c r="AH237" s="167">
        <f>IFERROR(_xlfn.XLOOKUP($D237,'Modelling New'!$D:$D,'Modelling New'!AF:AF),"")</f>
        <v>0.98</v>
      </c>
      <c r="AN237" s="144"/>
      <c r="AO237" s="141"/>
      <c r="AP237" s="141"/>
      <c r="AQ237" s="141"/>
      <c r="AR237" s="133">
        <f>'Basic Data'!$B$98/1000</f>
        <v>8.0208999999999993</v>
      </c>
    </row>
    <row r="238" spans="1:44" x14ac:dyDescent="0.3">
      <c r="A238" s="132">
        <f t="shared" si="15"/>
        <v>45981</v>
      </c>
      <c r="B238" s="133">
        <f>YEAR(Table13[[#This Row],[Date]])+IF(MONTH(Table13[[#This Row],[Date]])&gt;=4,1,0)</f>
        <v>2026</v>
      </c>
      <c r="C238" s="134">
        <f>YEAR(Table13[[#This Row],[Date]])</f>
        <v>2025</v>
      </c>
      <c r="D238" s="135">
        <f>Table13[[#This Row],[Date]]-DAY(Table13[[#This Row],[Date]])+1</f>
        <v>45962</v>
      </c>
      <c r="E238" s="134">
        <f t="shared" si="12"/>
        <v>30</v>
      </c>
      <c r="F238" s="136" t="str">
        <f>IFERROR(_xlfn.XLOOKUP($A238,'Raw Data'!$G:$G,'Raw Data'!$AM:$AM),"")</f>
        <v/>
      </c>
      <c r="G238" s="137" t="str">
        <f>IFERROR(_xlfn.XLOOKUP($A238,'Raw Data'!$G:$G,'Raw Data'!$AB:$AB),"")</f>
        <v/>
      </c>
      <c r="H238" s="137"/>
      <c r="I238" s="137" t="str">
        <f>IFERROR(_xlfn.XLOOKUP($A238,'Raw Data'!$G:$G,'Raw Data'!$AC:$AC),"")</f>
        <v/>
      </c>
      <c r="J238" s="137"/>
      <c r="K238" s="137" t="str">
        <f>IFERROR(_xlfn.XLOOKUP($A238,'Raw Data'!$G:$G,'Raw Data'!AD:AD),"")</f>
        <v/>
      </c>
      <c r="L238" s="137" t="str">
        <f>IFERROR(_xlfn.XLOOKUP($A238,'Raw Data'!$G:$G,'Raw Data'!AE:AE),"")</f>
        <v/>
      </c>
      <c r="M238" s="137" t="str">
        <f>IFERROR(_xlfn.XLOOKUP($A238,'Raw Data'!$G:$G,'Raw Data'!AF:AF),"")</f>
        <v/>
      </c>
      <c r="N238" s="137" t="str">
        <f>IFERROR(_xlfn.XLOOKUP($A238,'Raw Data'!$G:$G,'Raw Data'!AG:AG),"")</f>
        <v/>
      </c>
      <c r="O238" s="138" t="str">
        <f>IFERROR(1-SUMIF('Plant BD'!$H:$H,$A238,'Plant BD'!$AE:$AE)/($AA238+SUMIF('Plant BD'!$H:$H,$A238,'Plant BD'!$AE:$AE)),"")</f>
        <v/>
      </c>
      <c r="P238" s="138"/>
      <c r="Q238" s="139"/>
      <c r="R238" s="138" t="str">
        <f>IFERROR(1-SUMIF('Grid BD'!$H:$H,$A238,'Grid BD'!$AD:$AD)/($AA238+SUMIF('Grid BD'!$H:$H,$A238,'Grid BD'!$AD:$AD)),"")</f>
        <v/>
      </c>
      <c r="T238" s="139"/>
      <c r="U238" s="140" t="str">
        <f t="shared" si="13"/>
        <v/>
      </c>
      <c r="V238" s="140"/>
      <c r="W238" s="141" t="str">
        <f t="shared" si="14"/>
        <v/>
      </c>
      <c r="X238" s="133" t="str">
        <f>IFERROR(_xlfn.XLOOKUP($A238,'Raw Data'!$G:$G,'Raw Data'!AI:AI),"")</f>
        <v/>
      </c>
      <c r="Y238" s="133" t="str">
        <f>IFERROR(_xlfn.XLOOKUP($A238,'Raw Data'!$G:$G,'Raw Data'!AJ:AJ),"")</f>
        <v/>
      </c>
      <c r="Z238" s="133" t="str">
        <f>IFERROR(_xlfn.XLOOKUP($A238,'Raw Data'!$G:$G,'Raw Data'!AK:AK),"")</f>
        <v/>
      </c>
      <c r="AA238" s="133" t="str">
        <f>IFERROR(_xlfn.XLOOKUP($A238,'Raw Data'!$G:$G,'Raw Data'!AL:AL),"")</f>
        <v/>
      </c>
      <c r="AB238" s="133" t="str">
        <f>IFERROR(_xlfn.XLOOKUP($A238,'Raw Data'!$G:$G,'Raw Data'!H:H),"")</f>
        <v/>
      </c>
      <c r="AC238" s="142">
        <f>IFERROR(_xlfn.XLOOKUP($D238,'Modelling New'!$D:$D,'Modelling New'!P:P),"")</f>
        <v>5.4333333333333336</v>
      </c>
      <c r="AD238" s="133">
        <f>IFERROR(_xlfn.XLOOKUP($D238,'Modelling New'!$D:$D,'Modelling New'!$T:$T)*1000,"")</f>
        <v>30935.368854830132</v>
      </c>
      <c r="AE238" s="143">
        <f>IFERROR(_xlfn.XLOOKUP($D238,'Modelling New'!$D:$D,'Modelling New'!O:O),"")</f>
        <v>0.70984879123298372</v>
      </c>
      <c r="AF238" s="145">
        <f>IFERROR(_xlfn.XLOOKUP($D238,'Modelling New'!$D:$D,'Modelling New'!W:W),"")</f>
        <v>0.160701879126356</v>
      </c>
      <c r="AG238" s="145">
        <f>IFERROR(_xlfn.XLOOKUP($D238,'Modelling New'!$D:$D,'Modelling New'!AE:AE),"")</f>
        <v>0.98040000000000005</v>
      </c>
      <c r="AH238" s="167">
        <f>IFERROR(_xlfn.XLOOKUP($D238,'Modelling New'!$D:$D,'Modelling New'!AF:AF),"")</f>
        <v>0.98</v>
      </c>
      <c r="AN238" s="144"/>
      <c r="AO238" s="141"/>
      <c r="AP238" s="141"/>
      <c r="AQ238" s="141"/>
      <c r="AR238" s="133">
        <f>'Basic Data'!$B$98/1000</f>
        <v>8.0208999999999993</v>
      </c>
    </row>
    <row r="239" spans="1:44" x14ac:dyDescent="0.3">
      <c r="A239" s="132">
        <f t="shared" si="15"/>
        <v>45982</v>
      </c>
      <c r="B239" s="133">
        <f>YEAR(Table13[[#This Row],[Date]])+IF(MONTH(Table13[[#This Row],[Date]])&gt;=4,1,0)</f>
        <v>2026</v>
      </c>
      <c r="C239" s="134">
        <f>YEAR(Table13[[#This Row],[Date]])</f>
        <v>2025</v>
      </c>
      <c r="D239" s="135">
        <f>Table13[[#This Row],[Date]]-DAY(Table13[[#This Row],[Date]])+1</f>
        <v>45962</v>
      </c>
      <c r="E239" s="134">
        <f t="shared" si="12"/>
        <v>30</v>
      </c>
      <c r="F239" s="136" t="str">
        <f>IFERROR(_xlfn.XLOOKUP($A239,'Raw Data'!$G:$G,'Raw Data'!$AM:$AM),"")</f>
        <v/>
      </c>
      <c r="G239" s="137" t="str">
        <f>IFERROR(_xlfn.XLOOKUP($A239,'Raw Data'!$G:$G,'Raw Data'!$AB:$AB),"")</f>
        <v/>
      </c>
      <c r="H239" s="137"/>
      <c r="I239" s="137" t="str">
        <f>IFERROR(_xlfn.XLOOKUP($A239,'Raw Data'!$G:$G,'Raw Data'!$AC:$AC),"")</f>
        <v/>
      </c>
      <c r="J239" s="137"/>
      <c r="K239" s="137" t="str">
        <f>IFERROR(_xlfn.XLOOKUP($A239,'Raw Data'!$G:$G,'Raw Data'!AD:AD),"")</f>
        <v/>
      </c>
      <c r="L239" s="137" t="str">
        <f>IFERROR(_xlfn.XLOOKUP($A239,'Raw Data'!$G:$G,'Raw Data'!AE:AE),"")</f>
        <v/>
      </c>
      <c r="M239" s="137" t="str">
        <f>IFERROR(_xlfn.XLOOKUP($A239,'Raw Data'!$G:$G,'Raw Data'!AF:AF),"")</f>
        <v/>
      </c>
      <c r="N239" s="137" t="str">
        <f>IFERROR(_xlfn.XLOOKUP($A239,'Raw Data'!$G:$G,'Raw Data'!AG:AG),"")</f>
        <v/>
      </c>
      <c r="O239" s="138" t="str">
        <f>IFERROR(1-SUMIF('Plant BD'!$H:$H,$A239,'Plant BD'!$AE:$AE)/($AA239+SUMIF('Plant BD'!$H:$H,$A239,'Plant BD'!$AE:$AE)),"")</f>
        <v/>
      </c>
      <c r="P239" s="138"/>
      <c r="Q239" s="139"/>
      <c r="R239" s="138" t="str">
        <f>IFERROR(1-SUMIF('Grid BD'!$H:$H,$A239,'Grid BD'!$AD:$AD)/($AA239+SUMIF('Grid BD'!$H:$H,$A239,'Grid BD'!$AD:$AD)),"")</f>
        <v/>
      </c>
      <c r="T239" s="139"/>
      <c r="U239" s="140" t="str">
        <f t="shared" si="13"/>
        <v/>
      </c>
      <c r="V239" s="140"/>
      <c r="W239" s="141" t="str">
        <f t="shared" si="14"/>
        <v/>
      </c>
      <c r="X239" s="133" t="str">
        <f>IFERROR(_xlfn.XLOOKUP($A239,'Raw Data'!$G:$G,'Raw Data'!AI:AI),"")</f>
        <v/>
      </c>
      <c r="Y239" s="133" t="str">
        <f>IFERROR(_xlfn.XLOOKUP($A239,'Raw Data'!$G:$G,'Raw Data'!AJ:AJ),"")</f>
        <v/>
      </c>
      <c r="Z239" s="133" t="str">
        <f>IFERROR(_xlfn.XLOOKUP($A239,'Raw Data'!$G:$G,'Raw Data'!AK:AK),"")</f>
        <v/>
      </c>
      <c r="AA239" s="133" t="str">
        <f>IFERROR(_xlfn.XLOOKUP($A239,'Raw Data'!$G:$G,'Raw Data'!AL:AL),"")</f>
        <v/>
      </c>
      <c r="AB239" s="133" t="str">
        <f>IFERROR(_xlfn.XLOOKUP($A239,'Raw Data'!$G:$G,'Raw Data'!H:H),"")</f>
        <v/>
      </c>
      <c r="AC239" s="142">
        <f>IFERROR(_xlfn.XLOOKUP($D239,'Modelling New'!$D:$D,'Modelling New'!P:P),"")</f>
        <v>5.4333333333333336</v>
      </c>
      <c r="AD239" s="133">
        <f>IFERROR(_xlfn.XLOOKUP($D239,'Modelling New'!$D:$D,'Modelling New'!$T:$T)*1000,"")</f>
        <v>30935.368854830132</v>
      </c>
      <c r="AE239" s="143">
        <f>IFERROR(_xlfn.XLOOKUP($D239,'Modelling New'!$D:$D,'Modelling New'!O:O),"")</f>
        <v>0.70984879123298372</v>
      </c>
      <c r="AF239" s="145">
        <f>IFERROR(_xlfn.XLOOKUP($D239,'Modelling New'!$D:$D,'Modelling New'!W:W),"")</f>
        <v>0.160701879126356</v>
      </c>
      <c r="AG239" s="145">
        <f>IFERROR(_xlfn.XLOOKUP($D239,'Modelling New'!$D:$D,'Modelling New'!AE:AE),"")</f>
        <v>0.98040000000000005</v>
      </c>
      <c r="AH239" s="167">
        <f>IFERROR(_xlfn.XLOOKUP($D239,'Modelling New'!$D:$D,'Modelling New'!AF:AF),"")</f>
        <v>0.98</v>
      </c>
      <c r="AN239" s="144"/>
      <c r="AO239" s="141"/>
      <c r="AP239" s="141"/>
      <c r="AQ239" s="141"/>
      <c r="AR239" s="133">
        <f>'Basic Data'!$B$98/1000</f>
        <v>8.0208999999999993</v>
      </c>
    </row>
    <row r="240" spans="1:44" x14ac:dyDescent="0.3">
      <c r="A240" s="132">
        <f t="shared" si="15"/>
        <v>45983</v>
      </c>
      <c r="B240" s="133">
        <f>YEAR(Table13[[#This Row],[Date]])+IF(MONTH(Table13[[#This Row],[Date]])&gt;=4,1,0)</f>
        <v>2026</v>
      </c>
      <c r="C240" s="134">
        <f>YEAR(Table13[[#This Row],[Date]])</f>
        <v>2025</v>
      </c>
      <c r="D240" s="135">
        <f>Table13[[#This Row],[Date]]-DAY(Table13[[#This Row],[Date]])+1</f>
        <v>45962</v>
      </c>
      <c r="E240" s="134">
        <f t="shared" si="12"/>
        <v>30</v>
      </c>
      <c r="F240" s="136" t="str">
        <f>IFERROR(_xlfn.XLOOKUP($A240,'Raw Data'!$G:$G,'Raw Data'!$AM:$AM),"")</f>
        <v/>
      </c>
      <c r="G240" s="137" t="str">
        <f>IFERROR(_xlfn.XLOOKUP($A240,'Raw Data'!$G:$G,'Raw Data'!$AB:$AB),"")</f>
        <v/>
      </c>
      <c r="H240" s="137"/>
      <c r="I240" s="137" t="str">
        <f>IFERROR(_xlfn.XLOOKUP($A240,'Raw Data'!$G:$G,'Raw Data'!$AC:$AC),"")</f>
        <v/>
      </c>
      <c r="J240" s="137"/>
      <c r="K240" s="137" t="str">
        <f>IFERROR(_xlfn.XLOOKUP($A240,'Raw Data'!$G:$G,'Raw Data'!AD:AD),"")</f>
        <v/>
      </c>
      <c r="L240" s="137" t="str">
        <f>IFERROR(_xlfn.XLOOKUP($A240,'Raw Data'!$G:$G,'Raw Data'!AE:AE),"")</f>
        <v/>
      </c>
      <c r="M240" s="137" t="str">
        <f>IFERROR(_xlfn.XLOOKUP($A240,'Raw Data'!$G:$G,'Raw Data'!AF:AF),"")</f>
        <v/>
      </c>
      <c r="N240" s="137" t="str">
        <f>IFERROR(_xlfn.XLOOKUP($A240,'Raw Data'!$G:$G,'Raw Data'!AG:AG),"")</f>
        <v/>
      </c>
      <c r="O240" s="138" t="str">
        <f>IFERROR(1-SUMIF('Plant BD'!$H:$H,$A240,'Plant BD'!$AE:$AE)/($AA240+SUMIF('Plant BD'!$H:$H,$A240,'Plant BD'!$AE:$AE)),"")</f>
        <v/>
      </c>
      <c r="P240" s="138"/>
      <c r="Q240" s="139"/>
      <c r="R240" s="138" t="str">
        <f>IFERROR(1-SUMIF('Grid BD'!$H:$H,$A240,'Grid BD'!$AD:$AD)/($AA240+SUMIF('Grid BD'!$H:$H,$A240,'Grid BD'!$AD:$AD)),"")</f>
        <v/>
      </c>
      <c r="T240" s="139"/>
      <c r="U240" s="140" t="str">
        <f t="shared" si="13"/>
        <v/>
      </c>
      <c r="V240" s="140"/>
      <c r="W240" s="141" t="str">
        <f t="shared" si="14"/>
        <v/>
      </c>
      <c r="X240" s="133" t="str">
        <f>IFERROR(_xlfn.XLOOKUP($A240,'Raw Data'!$G:$G,'Raw Data'!AI:AI),"")</f>
        <v/>
      </c>
      <c r="Y240" s="133" t="str">
        <f>IFERROR(_xlfn.XLOOKUP($A240,'Raw Data'!$G:$G,'Raw Data'!AJ:AJ),"")</f>
        <v/>
      </c>
      <c r="Z240" s="133" t="str">
        <f>IFERROR(_xlfn.XLOOKUP($A240,'Raw Data'!$G:$G,'Raw Data'!AK:AK),"")</f>
        <v/>
      </c>
      <c r="AA240" s="133" t="str">
        <f>IFERROR(_xlfn.XLOOKUP($A240,'Raw Data'!$G:$G,'Raw Data'!AL:AL),"")</f>
        <v/>
      </c>
      <c r="AB240" s="133" t="str">
        <f>IFERROR(_xlfn.XLOOKUP($A240,'Raw Data'!$G:$G,'Raw Data'!H:H),"")</f>
        <v/>
      </c>
      <c r="AC240" s="142">
        <f>IFERROR(_xlfn.XLOOKUP($D240,'Modelling New'!$D:$D,'Modelling New'!P:P),"")</f>
        <v>5.4333333333333336</v>
      </c>
      <c r="AD240" s="133">
        <f>IFERROR(_xlfn.XLOOKUP($D240,'Modelling New'!$D:$D,'Modelling New'!$T:$T)*1000,"")</f>
        <v>30935.368854830132</v>
      </c>
      <c r="AE240" s="143">
        <f>IFERROR(_xlfn.XLOOKUP($D240,'Modelling New'!$D:$D,'Modelling New'!O:O),"")</f>
        <v>0.70984879123298372</v>
      </c>
      <c r="AF240" s="145">
        <f>IFERROR(_xlfn.XLOOKUP($D240,'Modelling New'!$D:$D,'Modelling New'!W:W),"")</f>
        <v>0.160701879126356</v>
      </c>
      <c r="AG240" s="145">
        <f>IFERROR(_xlfn.XLOOKUP($D240,'Modelling New'!$D:$D,'Modelling New'!AE:AE),"")</f>
        <v>0.98040000000000005</v>
      </c>
      <c r="AH240" s="167">
        <f>IFERROR(_xlfn.XLOOKUP($D240,'Modelling New'!$D:$D,'Modelling New'!AF:AF),"")</f>
        <v>0.98</v>
      </c>
      <c r="AN240" s="144"/>
      <c r="AO240" s="141"/>
      <c r="AP240" s="141"/>
      <c r="AQ240" s="141"/>
      <c r="AR240" s="133">
        <f>'Basic Data'!$B$98/1000</f>
        <v>8.0208999999999993</v>
      </c>
    </row>
    <row r="241" spans="1:44" x14ac:dyDescent="0.3">
      <c r="A241" s="132">
        <f t="shared" si="15"/>
        <v>45984</v>
      </c>
      <c r="B241" s="133">
        <f>YEAR(Table13[[#This Row],[Date]])+IF(MONTH(Table13[[#This Row],[Date]])&gt;=4,1,0)</f>
        <v>2026</v>
      </c>
      <c r="C241" s="134">
        <f>YEAR(Table13[[#This Row],[Date]])</f>
        <v>2025</v>
      </c>
      <c r="D241" s="135">
        <f>Table13[[#This Row],[Date]]-DAY(Table13[[#This Row],[Date]])+1</f>
        <v>45962</v>
      </c>
      <c r="E241" s="134">
        <f t="shared" si="12"/>
        <v>30</v>
      </c>
      <c r="F241" s="136" t="str">
        <f>IFERROR(_xlfn.XLOOKUP($A241,'Raw Data'!$G:$G,'Raw Data'!$AM:$AM),"")</f>
        <v/>
      </c>
      <c r="G241" s="137" t="str">
        <f>IFERROR(_xlfn.XLOOKUP($A241,'Raw Data'!$G:$G,'Raw Data'!$AB:$AB),"")</f>
        <v/>
      </c>
      <c r="H241" s="137"/>
      <c r="I241" s="137" t="str">
        <f>IFERROR(_xlfn.XLOOKUP($A241,'Raw Data'!$G:$G,'Raw Data'!$AC:$AC),"")</f>
        <v/>
      </c>
      <c r="J241" s="137"/>
      <c r="K241" s="137" t="str">
        <f>IFERROR(_xlfn.XLOOKUP($A241,'Raw Data'!$G:$G,'Raw Data'!AD:AD),"")</f>
        <v/>
      </c>
      <c r="L241" s="137" t="str">
        <f>IFERROR(_xlfn.XLOOKUP($A241,'Raw Data'!$G:$G,'Raw Data'!AE:AE),"")</f>
        <v/>
      </c>
      <c r="M241" s="137" t="str">
        <f>IFERROR(_xlfn.XLOOKUP($A241,'Raw Data'!$G:$G,'Raw Data'!AF:AF),"")</f>
        <v/>
      </c>
      <c r="N241" s="137" t="str">
        <f>IFERROR(_xlfn.XLOOKUP($A241,'Raw Data'!$G:$G,'Raw Data'!AG:AG),"")</f>
        <v/>
      </c>
      <c r="O241" s="138" t="str">
        <f>IFERROR(1-SUMIF('Plant BD'!$H:$H,$A241,'Plant BD'!$AE:$AE)/($AA241+SUMIF('Plant BD'!$H:$H,$A241,'Plant BD'!$AE:$AE)),"")</f>
        <v/>
      </c>
      <c r="P241" s="138"/>
      <c r="Q241" s="139"/>
      <c r="R241" s="138" t="str">
        <f>IFERROR(1-SUMIF('Grid BD'!$H:$H,$A241,'Grid BD'!$AD:$AD)/($AA241+SUMIF('Grid BD'!$H:$H,$A241,'Grid BD'!$AD:$AD)),"")</f>
        <v/>
      </c>
      <c r="T241" s="139"/>
      <c r="U241" s="140" t="str">
        <f t="shared" si="13"/>
        <v/>
      </c>
      <c r="V241" s="140"/>
      <c r="W241" s="141" t="str">
        <f t="shared" si="14"/>
        <v/>
      </c>
      <c r="X241" s="133" t="str">
        <f>IFERROR(_xlfn.XLOOKUP($A241,'Raw Data'!$G:$G,'Raw Data'!AI:AI),"")</f>
        <v/>
      </c>
      <c r="Y241" s="133" t="str">
        <f>IFERROR(_xlfn.XLOOKUP($A241,'Raw Data'!$G:$G,'Raw Data'!AJ:AJ),"")</f>
        <v/>
      </c>
      <c r="Z241" s="133" t="str">
        <f>IFERROR(_xlfn.XLOOKUP($A241,'Raw Data'!$G:$G,'Raw Data'!AK:AK),"")</f>
        <v/>
      </c>
      <c r="AA241" s="133" t="str">
        <f>IFERROR(_xlfn.XLOOKUP($A241,'Raw Data'!$G:$G,'Raw Data'!AL:AL),"")</f>
        <v/>
      </c>
      <c r="AB241" s="133" t="str">
        <f>IFERROR(_xlfn.XLOOKUP($A241,'Raw Data'!$G:$G,'Raw Data'!H:H),"")</f>
        <v/>
      </c>
      <c r="AC241" s="142">
        <f>IFERROR(_xlfn.XLOOKUP($D241,'Modelling New'!$D:$D,'Modelling New'!P:P),"")</f>
        <v>5.4333333333333336</v>
      </c>
      <c r="AD241" s="133">
        <f>IFERROR(_xlfn.XLOOKUP($D241,'Modelling New'!$D:$D,'Modelling New'!$T:$T)*1000,"")</f>
        <v>30935.368854830132</v>
      </c>
      <c r="AE241" s="143">
        <f>IFERROR(_xlfn.XLOOKUP($D241,'Modelling New'!$D:$D,'Modelling New'!O:O),"")</f>
        <v>0.70984879123298372</v>
      </c>
      <c r="AF241" s="145">
        <f>IFERROR(_xlfn.XLOOKUP($D241,'Modelling New'!$D:$D,'Modelling New'!W:W),"")</f>
        <v>0.160701879126356</v>
      </c>
      <c r="AG241" s="145">
        <f>IFERROR(_xlfn.XLOOKUP($D241,'Modelling New'!$D:$D,'Modelling New'!AE:AE),"")</f>
        <v>0.98040000000000005</v>
      </c>
      <c r="AH241" s="167">
        <f>IFERROR(_xlfn.XLOOKUP($D241,'Modelling New'!$D:$D,'Modelling New'!AF:AF),"")</f>
        <v>0.98</v>
      </c>
      <c r="AN241" s="144"/>
      <c r="AO241" s="141"/>
      <c r="AP241" s="141"/>
      <c r="AQ241" s="141"/>
      <c r="AR241" s="133">
        <f>'Basic Data'!$B$98/1000</f>
        <v>8.0208999999999993</v>
      </c>
    </row>
    <row r="242" spans="1:44" x14ac:dyDescent="0.3">
      <c r="A242" s="132">
        <f t="shared" si="15"/>
        <v>45985</v>
      </c>
      <c r="B242" s="133">
        <f>YEAR(Table13[[#This Row],[Date]])+IF(MONTH(Table13[[#This Row],[Date]])&gt;=4,1,0)</f>
        <v>2026</v>
      </c>
      <c r="C242" s="134">
        <f>YEAR(Table13[[#This Row],[Date]])</f>
        <v>2025</v>
      </c>
      <c r="D242" s="135">
        <f>Table13[[#This Row],[Date]]-DAY(Table13[[#This Row],[Date]])+1</f>
        <v>45962</v>
      </c>
      <c r="E242" s="134">
        <f t="shared" si="12"/>
        <v>30</v>
      </c>
      <c r="F242" s="136" t="str">
        <f>IFERROR(_xlfn.XLOOKUP($A242,'Raw Data'!$G:$G,'Raw Data'!$AM:$AM),"")</f>
        <v/>
      </c>
      <c r="G242" s="137" t="str">
        <f>IFERROR(_xlfn.XLOOKUP($A242,'Raw Data'!$G:$G,'Raw Data'!$AB:$AB),"")</f>
        <v/>
      </c>
      <c r="H242" s="137"/>
      <c r="I242" s="137" t="str">
        <f>IFERROR(_xlfn.XLOOKUP($A242,'Raw Data'!$G:$G,'Raw Data'!$AC:$AC),"")</f>
        <v/>
      </c>
      <c r="J242" s="137"/>
      <c r="K242" s="137" t="str">
        <f>IFERROR(_xlfn.XLOOKUP($A242,'Raw Data'!$G:$G,'Raw Data'!AD:AD),"")</f>
        <v/>
      </c>
      <c r="L242" s="137" t="str">
        <f>IFERROR(_xlfn.XLOOKUP($A242,'Raw Data'!$G:$G,'Raw Data'!AE:AE),"")</f>
        <v/>
      </c>
      <c r="M242" s="137" t="str">
        <f>IFERROR(_xlfn.XLOOKUP($A242,'Raw Data'!$G:$G,'Raw Data'!AF:AF),"")</f>
        <v/>
      </c>
      <c r="N242" s="137" t="str">
        <f>IFERROR(_xlfn.XLOOKUP($A242,'Raw Data'!$G:$G,'Raw Data'!AG:AG),"")</f>
        <v/>
      </c>
      <c r="O242" s="138" t="str">
        <f>IFERROR(1-SUMIF('Plant BD'!$H:$H,$A242,'Plant BD'!$AE:$AE)/($AA242+SUMIF('Plant BD'!$H:$H,$A242,'Plant BD'!$AE:$AE)),"")</f>
        <v/>
      </c>
      <c r="P242" s="138"/>
      <c r="Q242" s="139"/>
      <c r="R242" s="138" t="str">
        <f>IFERROR(1-SUMIF('Grid BD'!$H:$H,$A242,'Grid BD'!$AD:$AD)/($AA242+SUMIF('Grid BD'!$H:$H,$A242,'Grid BD'!$AD:$AD)),"")</f>
        <v/>
      </c>
      <c r="T242" s="139"/>
      <c r="U242" s="140" t="str">
        <f t="shared" si="13"/>
        <v/>
      </c>
      <c r="V242" s="140"/>
      <c r="W242" s="141" t="str">
        <f t="shared" si="14"/>
        <v/>
      </c>
      <c r="X242" s="133" t="str">
        <f>IFERROR(_xlfn.XLOOKUP($A242,'Raw Data'!$G:$G,'Raw Data'!AI:AI),"")</f>
        <v/>
      </c>
      <c r="Y242" s="133" t="str">
        <f>IFERROR(_xlfn.XLOOKUP($A242,'Raw Data'!$G:$G,'Raw Data'!AJ:AJ),"")</f>
        <v/>
      </c>
      <c r="Z242" s="133" t="str">
        <f>IFERROR(_xlfn.XLOOKUP($A242,'Raw Data'!$G:$G,'Raw Data'!AK:AK),"")</f>
        <v/>
      </c>
      <c r="AA242" s="133" t="str">
        <f>IFERROR(_xlfn.XLOOKUP($A242,'Raw Data'!$G:$G,'Raw Data'!AL:AL),"")</f>
        <v/>
      </c>
      <c r="AB242" s="133" t="str">
        <f>IFERROR(_xlfn.XLOOKUP($A242,'Raw Data'!$G:$G,'Raw Data'!H:H),"")</f>
        <v/>
      </c>
      <c r="AC242" s="142">
        <f>IFERROR(_xlfn.XLOOKUP($D242,'Modelling New'!$D:$D,'Modelling New'!P:P),"")</f>
        <v>5.4333333333333336</v>
      </c>
      <c r="AD242" s="133">
        <f>IFERROR(_xlfn.XLOOKUP($D242,'Modelling New'!$D:$D,'Modelling New'!$T:$T)*1000,"")</f>
        <v>30935.368854830132</v>
      </c>
      <c r="AE242" s="143">
        <f>IFERROR(_xlfn.XLOOKUP($D242,'Modelling New'!$D:$D,'Modelling New'!O:O),"")</f>
        <v>0.70984879123298372</v>
      </c>
      <c r="AF242" s="145">
        <f>IFERROR(_xlfn.XLOOKUP($D242,'Modelling New'!$D:$D,'Modelling New'!W:W),"")</f>
        <v>0.160701879126356</v>
      </c>
      <c r="AG242" s="145">
        <f>IFERROR(_xlfn.XLOOKUP($D242,'Modelling New'!$D:$D,'Modelling New'!AE:AE),"")</f>
        <v>0.98040000000000005</v>
      </c>
      <c r="AH242" s="167">
        <f>IFERROR(_xlfn.XLOOKUP($D242,'Modelling New'!$D:$D,'Modelling New'!AF:AF),"")</f>
        <v>0.98</v>
      </c>
      <c r="AN242" s="144"/>
      <c r="AO242" s="141"/>
      <c r="AP242" s="141"/>
      <c r="AQ242" s="141"/>
      <c r="AR242" s="133">
        <f>'Basic Data'!$B$98/1000</f>
        <v>8.0208999999999993</v>
      </c>
    </row>
    <row r="243" spans="1:44" x14ac:dyDescent="0.3">
      <c r="A243" s="132">
        <f t="shared" si="15"/>
        <v>45986</v>
      </c>
      <c r="B243" s="133">
        <f>YEAR(Table13[[#This Row],[Date]])+IF(MONTH(Table13[[#This Row],[Date]])&gt;=4,1,0)</f>
        <v>2026</v>
      </c>
      <c r="C243" s="134">
        <f>YEAR(Table13[[#This Row],[Date]])</f>
        <v>2025</v>
      </c>
      <c r="D243" s="135">
        <f>Table13[[#This Row],[Date]]-DAY(Table13[[#This Row],[Date]])+1</f>
        <v>45962</v>
      </c>
      <c r="E243" s="134">
        <f t="shared" si="12"/>
        <v>30</v>
      </c>
      <c r="F243" s="136" t="str">
        <f>IFERROR(_xlfn.XLOOKUP($A243,'Raw Data'!$G:$G,'Raw Data'!$AM:$AM),"")</f>
        <v/>
      </c>
      <c r="G243" s="137" t="str">
        <f>IFERROR(_xlfn.XLOOKUP($A243,'Raw Data'!$G:$G,'Raw Data'!$AB:$AB),"")</f>
        <v/>
      </c>
      <c r="H243" s="137"/>
      <c r="I243" s="137" t="str">
        <f>IFERROR(_xlfn.XLOOKUP($A243,'Raw Data'!$G:$G,'Raw Data'!$AC:$AC),"")</f>
        <v/>
      </c>
      <c r="J243" s="137"/>
      <c r="K243" s="137" t="str">
        <f>IFERROR(_xlfn.XLOOKUP($A243,'Raw Data'!$G:$G,'Raw Data'!AD:AD),"")</f>
        <v/>
      </c>
      <c r="L243" s="137" t="str">
        <f>IFERROR(_xlfn.XLOOKUP($A243,'Raw Data'!$G:$G,'Raw Data'!AE:AE),"")</f>
        <v/>
      </c>
      <c r="M243" s="137" t="str">
        <f>IFERROR(_xlfn.XLOOKUP($A243,'Raw Data'!$G:$G,'Raw Data'!AF:AF),"")</f>
        <v/>
      </c>
      <c r="N243" s="137" t="str">
        <f>IFERROR(_xlfn.XLOOKUP($A243,'Raw Data'!$G:$G,'Raw Data'!AG:AG),"")</f>
        <v/>
      </c>
      <c r="O243" s="138" t="str">
        <f>IFERROR(1-SUMIF('Plant BD'!$H:$H,$A243,'Plant BD'!$AE:$AE)/($AA243+SUMIF('Plant BD'!$H:$H,$A243,'Plant BD'!$AE:$AE)),"")</f>
        <v/>
      </c>
      <c r="P243" s="138"/>
      <c r="Q243" s="139"/>
      <c r="R243" s="138" t="str">
        <f>IFERROR(1-SUMIF('Grid BD'!$H:$H,$A243,'Grid BD'!$AD:$AD)/($AA243+SUMIF('Grid BD'!$H:$H,$A243,'Grid BD'!$AD:$AD)),"")</f>
        <v/>
      </c>
      <c r="T243" s="139"/>
      <c r="U243" s="140" t="str">
        <f t="shared" si="13"/>
        <v/>
      </c>
      <c r="V243" s="140"/>
      <c r="W243" s="141" t="str">
        <f t="shared" si="14"/>
        <v/>
      </c>
      <c r="X243" s="133" t="str">
        <f>IFERROR(_xlfn.XLOOKUP($A243,'Raw Data'!$G:$G,'Raw Data'!AI:AI),"")</f>
        <v/>
      </c>
      <c r="Y243" s="133" t="str">
        <f>IFERROR(_xlfn.XLOOKUP($A243,'Raw Data'!$G:$G,'Raw Data'!AJ:AJ),"")</f>
        <v/>
      </c>
      <c r="Z243" s="133" t="str">
        <f>IFERROR(_xlfn.XLOOKUP($A243,'Raw Data'!$G:$G,'Raw Data'!AK:AK),"")</f>
        <v/>
      </c>
      <c r="AA243" s="133" t="str">
        <f>IFERROR(_xlfn.XLOOKUP($A243,'Raw Data'!$G:$G,'Raw Data'!AL:AL),"")</f>
        <v/>
      </c>
      <c r="AB243" s="133" t="str">
        <f>IFERROR(_xlfn.XLOOKUP($A243,'Raw Data'!$G:$G,'Raw Data'!H:H),"")</f>
        <v/>
      </c>
      <c r="AC243" s="142">
        <f>IFERROR(_xlfn.XLOOKUP($D243,'Modelling New'!$D:$D,'Modelling New'!P:P),"")</f>
        <v>5.4333333333333336</v>
      </c>
      <c r="AD243" s="133">
        <f>IFERROR(_xlfn.XLOOKUP($D243,'Modelling New'!$D:$D,'Modelling New'!$T:$T)*1000,"")</f>
        <v>30935.368854830132</v>
      </c>
      <c r="AE243" s="143">
        <f>IFERROR(_xlfn.XLOOKUP($D243,'Modelling New'!$D:$D,'Modelling New'!O:O),"")</f>
        <v>0.70984879123298372</v>
      </c>
      <c r="AF243" s="145">
        <f>IFERROR(_xlfn.XLOOKUP($D243,'Modelling New'!$D:$D,'Modelling New'!W:W),"")</f>
        <v>0.160701879126356</v>
      </c>
      <c r="AG243" s="145">
        <f>IFERROR(_xlfn.XLOOKUP($D243,'Modelling New'!$D:$D,'Modelling New'!AE:AE),"")</f>
        <v>0.98040000000000005</v>
      </c>
      <c r="AH243" s="167">
        <f>IFERROR(_xlfn.XLOOKUP($D243,'Modelling New'!$D:$D,'Modelling New'!AF:AF),"")</f>
        <v>0.98</v>
      </c>
      <c r="AN243" s="144"/>
      <c r="AO243" s="141"/>
      <c r="AP243" s="141"/>
      <c r="AQ243" s="141"/>
      <c r="AR243" s="133">
        <f>'Basic Data'!$B$98/1000</f>
        <v>8.0208999999999993</v>
      </c>
    </row>
    <row r="244" spans="1:44" x14ac:dyDescent="0.3">
      <c r="A244" s="132">
        <f t="shared" si="15"/>
        <v>45987</v>
      </c>
      <c r="B244" s="133">
        <f>YEAR(Table13[[#This Row],[Date]])+IF(MONTH(Table13[[#This Row],[Date]])&gt;=4,1,0)</f>
        <v>2026</v>
      </c>
      <c r="C244" s="134">
        <f>YEAR(Table13[[#This Row],[Date]])</f>
        <v>2025</v>
      </c>
      <c r="D244" s="135">
        <f>Table13[[#This Row],[Date]]-DAY(Table13[[#This Row],[Date]])+1</f>
        <v>45962</v>
      </c>
      <c r="E244" s="134">
        <f t="shared" si="12"/>
        <v>30</v>
      </c>
      <c r="F244" s="136" t="str">
        <f>IFERROR(_xlfn.XLOOKUP($A244,'Raw Data'!$G:$G,'Raw Data'!$AM:$AM),"")</f>
        <v/>
      </c>
      <c r="G244" s="137" t="str">
        <f>IFERROR(_xlfn.XLOOKUP($A244,'Raw Data'!$G:$G,'Raw Data'!$AB:$AB),"")</f>
        <v/>
      </c>
      <c r="H244" s="137"/>
      <c r="I244" s="137" t="str">
        <f>IFERROR(_xlfn.XLOOKUP($A244,'Raw Data'!$G:$G,'Raw Data'!$AC:$AC),"")</f>
        <v/>
      </c>
      <c r="J244" s="137"/>
      <c r="K244" s="137" t="str">
        <f>IFERROR(_xlfn.XLOOKUP($A244,'Raw Data'!$G:$G,'Raw Data'!AD:AD),"")</f>
        <v/>
      </c>
      <c r="L244" s="137" t="str">
        <f>IFERROR(_xlfn.XLOOKUP($A244,'Raw Data'!$G:$G,'Raw Data'!AE:AE),"")</f>
        <v/>
      </c>
      <c r="M244" s="137" t="str">
        <f>IFERROR(_xlfn.XLOOKUP($A244,'Raw Data'!$G:$G,'Raw Data'!AF:AF),"")</f>
        <v/>
      </c>
      <c r="N244" s="137" t="str">
        <f>IFERROR(_xlfn.XLOOKUP($A244,'Raw Data'!$G:$G,'Raw Data'!AG:AG),"")</f>
        <v/>
      </c>
      <c r="O244" s="138" t="str">
        <f>IFERROR(1-SUMIF('Plant BD'!$H:$H,$A244,'Plant BD'!$AE:$AE)/($AA244+SUMIF('Plant BD'!$H:$H,$A244,'Plant BD'!$AE:$AE)),"")</f>
        <v/>
      </c>
      <c r="P244" s="138"/>
      <c r="Q244" s="139"/>
      <c r="R244" s="138" t="str">
        <f>IFERROR(1-SUMIF('Grid BD'!$H:$H,$A244,'Grid BD'!$AD:$AD)/($AA244+SUMIF('Grid BD'!$H:$H,$A244,'Grid BD'!$AD:$AD)),"")</f>
        <v/>
      </c>
      <c r="T244" s="139"/>
      <c r="U244" s="140" t="str">
        <f t="shared" si="13"/>
        <v/>
      </c>
      <c r="V244" s="140"/>
      <c r="W244" s="141" t="str">
        <f t="shared" si="14"/>
        <v/>
      </c>
      <c r="X244" s="133" t="str">
        <f>IFERROR(_xlfn.XLOOKUP($A244,'Raw Data'!$G:$G,'Raw Data'!AI:AI),"")</f>
        <v/>
      </c>
      <c r="Y244" s="133" t="str">
        <f>IFERROR(_xlfn.XLOOKUP($A244,'Raw Data'!$G:$G,'Raw Data'!AJ:AJ),"")</f>
        <v/>
      </c>
      <c r="Z244" s="133" t="str">
        <f>IFERROR(_xlfn.XLOOKUP($A244,'Raw Data'!$G:$G,'Raw Data'!AK:AK),"")</f>
        <v/>
      </c>
      <c r="AA244" s="133" t="str">
        <f>IFERROR(_xlfn.XLOOKUP($A244,'Raw Data'!$G:$G,'Raw Data'!AL:AL),"")</f>
        <v/>
      </c>
      <c r="AB244" s="133" t="str">
        <f>IFERROR(_xlfn.XLOOKUP($A244,'Raw Data'!$G:$G,'Raw Data'!H:H),"")</f>
        <v/>
      </c>
      <c r="AC244" s="142">
        <f>IFERROR(_xlfn.XLOOKUP($D244,'Modelling New'!$D:$D,'Modelling New'!P:P),"")</f>
        <v>5.4333333333333336</v>
      </c>
      <c r="AD244" s="133">
        <f>IFERROR(_xlfn.XLOOKUP($D244,'Modelling New'!$D:$D,'Modelling New'!$T:$T)*1000,"")</f>
        <v>30935.368854830132</v>
      </c>
      <c r="AE244" s="143">
        <f>IFERROR(_xlfn.XLOOKUP($D244,'Modelling New'!$D:$D,'Modelling New'!O:O),"")</f>
        <v>0.70984879123298372</v>
      </c>
      <c r="AF244" s="145">
        <f>IFERROR(_xlfn.XLOOKUP($D244,'Modelling New'!$D:$D,'Modelling New'!W:W),"")</f>
        <v>0.160701879126356</v>
      </c>
      <c r="AG244" s="145">
        <f>IFERROR(_xlfn.XLOOKUP($D244,'Modelling New'!$D:$D,'Modelling New'!AE:AE),"")</f>
        <v>0.98040000000000005</v>
      </c>
      <c r="AH244" s="167">
        <f>IFERROR(_xlfn.XLOOKUP($D244,'Modelling New'!$D:$D,'Modelling New'!AF:AF),"")</f>
        <v>0.98</v>
      </c>
      <c r="AN244" s="144"/>
      <c r="AO244" s="141"/>
      <c r="AP244" s="141"/>
      <c r="AQ244" s="141"/>
      <c r="AR244" s="133">
        <f>'Basic Data'!$B$98/1000</f>
        <v>8.0208999999999993</v>
      </c>
    </row>
    <row r="245" spans="1:44" x14ac:dyDescent="0.3">
      <c r="A245" s="132">
        <f t="shared" si="15"/>
        <v>45988</v>
      </c>
      <c r="B245" s="133">
        <f>YEAR(Table13[[#This Row],[Date]])+IF(MONTH(Table13[[#This Row],[Date]])&gt;=4,1,0)</f>
        <v>2026</v>
      </c>
      <c r="C245" s="134">
        <f>YEAR(Table13[[#This Row],[Date]])</f>
        <v>2025</v>
      </c>
      <c r="D245" s="135">
        <f>Table13[[#This Row],[Date]]-DAY(Table13[[#This Row],[Date]])+1</f>
        <v>45962</v>
      </c>
      <c r="E245" s="134">
        <f t="shared" ref="E245:E308" si="16">DAY(EOMONTH(A245,0))</f>
        <v>30</v>
      </c>
      <c r="F245" s="136" t="str">
        <f>IFERROR(_xlfn.XLOOKUP($A245,'Raw Data'!$G:$G,'Raw Data'!$AM:$AM),"")</f>
        <v/>
      </c>
      <c r="G245" s="137" t="str">
        <f>IFERROR(_xlfn.XLOOKUP($A245,'Raw Data'!$G:$G,'Raw Data'!$AB:$AB),"")</f>
        <v/>
      </c>
      <c r="H245" s="137"/>
      <c r="I245" s="137" t="str">
        <f>IFERROR(_xlfn.XLOOKUP($A245,'Raw Data'!$G:$G,'Raw Data'!$AC:$AC),"")</f>
        <v/>
      </c>
      <c r="J245" s="137"/>
      <c r="K245" s="137" t="str">
        <f>IFERROR(_xlfn.XLOOKUP($A245,'Raw Data'!$G:$G,'Raw Data'!AD:AD),"")</f>
        <v/>
      </c>
      <c r="L245" s="137" t="str">
        <f>IFERROR(_xlfn.XLOOKUP($A245,'Raw Data'!$G:$G,'Raw Data'!AE:AE),"")</f>
        <v/>
      </c>
      <c r="M245" s="137" t="str">
        <f>IFERROR(_xlfn.XLOOKUP($A245,'Raw Data'!$G:$G,'Raw Data'!AF:AF),"")</f>
        <v/>
      </c>
      <c r="N245" s="137" t="str">
        <f>IFERROR(_xlfn.XLOOKUP($A245,'Raw Data'!$G:$G,'Raw Data'!AG:AG),"")</f>
        <v/>
      </c>
      <c r="O245" s="138" t="str">
        <f>IFERROR(1-SUMIF('Plant BD'!$H:$H,$A245,'Plant BD'!$AE:$AE)/($AA245+SUMIF('Plant BD'!$H:$H,$A245,'Plant BD'!$AE:$AE)),"")</f>
        <v/>
      </c>
      <c r="P245" s="138"/>
      <c r="Q245" s="139"/>
      <c r="R245" s="138" t="str">
        <f>IFERROR(1-SUMIF('Grid BD'!$H:$H,$A245,'Grid BD'!$AD:$AD)/($AA245+SUMIF('Grid BD'!$H:$H,$A245,'Grid BD'!$AD:$AD)),"")</f>
        <v/>
      </c>
      <c r="T245" s="139"/>
      <c r="U245" s="140" t="str">
        <f t="shared" ref="U245:U308" si="17">IFERROR(AA245/I245/AB245/1000,"")</f>
        <v/>
      </c>
      <c r="V245" s="140"/>
      <c r="W245" s="141" t="str">
        <f t="shared" ref="W245:W308" si="18">IFERROR(AA245/(24*AB245*1000),"")</f>
        <v/>
      </c>
      <c r="X245" s="133" t="str">
        <f>IFERROR(_xlfn.XLOOKUP($A245,'Raw Data'!$G:$G,'Raw Data'!AI:AI),"")</f>
        <v/>
      </c>
      <c r="Y245" s="133" t="str">
        <f>IFERROR(_xlfn.XLOOKUP($A245,'Raw Data'!$G:$G,'Raw Data'!AJ:AJ),"")</f>
        <v/>
      </c>
      <c r="Z245" s="133" t="str">
        <f>IFERROR(_xlfn.XLOOKUP($A245,'Raw Data'!$G:$G,'Raw Data'!AK:AK),"")</f>
        <v/>
      </c>
      <c r="AA245" s="133" t="str">
        <f>IFERROR(_xlfn.XLOOKUP($A245,'Raw Data'!$G:$G,'Raw Data'!AL:AL),"")</f>
        <v/>
      </c>
      <c r="AB245" s="133" t="str">
        <f>IFERROR(_xlfn.XLOOKUP($A245,'Raw Data'!$G:$G,'Raw Data'!H:H),"")</f>
        <v/>
      </c>
      <c r="AC245" s="142">
        <f>IFERROR(_xlfn.XLOOKUP($D245,'Modelling New'!$D:$D,'Modelling New'!P:P),"")</f>
        <v>5.4333333333333336</v>
      </c>
      <c r="AD245" s="133">
        <f>IFERROR(_xlfn.XLOOKUP($D245,'Modelling New'!$D:$D,'Modelling New'!$T:$T)*1000,"")</f>
        <v>30935.368854830132</v>
      </c>
      <c r="AE245" s="143">
        <f>IFERROR(_xlfn.XLOOKUP($D245,'Modelling New'!$D:$D,'Modelling New'!O:O),"")</f>
        <v>0.70984879123298372</v>
      </c>
      <c r="AF245" s="145">
        <f>IFERROR(_xlfn.XLOOKUP($D245,'Modelling New'!$D:$D,'Modelling New'!W:W),"")</f>
        <v>0.160701879126356</v>
      </c>
      <c r="AG245" s="145">
        <f>IFERROR(_xlfn.XLOOKUP($D245,'Modelling New'!$D:$D,'Modelling New'!AE:AE),"")</f>
        <v>0.98040000000000005</v>
      </c>
      <c r="AH245" s="167">
        <f>IFERROR(_xlfn.XLOOKUP($D245,'Modelling New'!$D:$D,'Modelling New'!AF:AF),"")</f>
        <v>0.98</v>
      </c>
      <c r="AN245" s="144"/>
      <c r="AO245" s="141"/>
      <c r="AP245" s="141"/>
      <c r="AQ245" s="141"/>
      <c r="AR245" s="133">
        <f>'Basic Data'!$B$98/1000</f>
        <v>8.0208999999999993</v>
      </c>
    </row>
    <row r="246" spans="1:44" x14ac:dyDescent="0.3">
      <c r="A246" s="132">
        <f t="shared" ref="A246:A309" si="19">A245+1</f>
        <v>45989</v>
      </c>
      <c r="B246" s="133">
        <f>YEAR(Table13[[#This Row],[Date]])+IF(MONTH(Table13[[#This Row],[Date]])&gt;=4,1,0)</f>
        <v>2026</v>
      </c>
      <c r="C246" s="134">
        <f>YEAR(Table13[[#This Row],[Date]])</f>
        <v>2025</v>
      </c>
      <c r="D246" s="135">
        <f>Table13[[#This Row],[Date]]-DAY(Table13[[#This Row],[Date]])+1</f>
        <v>45962</v>
      </c>
      <c r="E246" s="134">
        <f t="shared" si="16"/>
        <v>30</v>
      </c>
      <c r="F246" s="136" t="str">
        <f>IFERROR(_xlfn.XLOOKUP($A246,'Raw Data'!$G:$G,'Raw Data'!$AM:$AM),"")</f>
        <v/>
      </c>
      <c r="G246" s="137" t="str">
        <f>IFERROR(_xlfn.XLOOKUP($A246,'Raw Data'!$G:$G,'Raw Data'!$AB:$AB),"")</f>
        <v/>
      </c>
      <c r="H246" s="137"/>
      <c r="I246" s="137" t="str">
        <f>IFERROR(_xlfn.XLOOKUP($A246,'Raw Data'!$G:$G,'Raw Data'!$AC:$AC),"")</f>
        <v/>
      </c>
      <c r="J246" s="137"/>
      <c r="K246" s="137" t="str">
        <f>IFERROR(_xlfn.XLOOKUP($A246,'Raw Data'!$G:$G,'Raw Data'!AD:AD),"")</f>
        <v/>
      </c>
      <c r="L246" s="137" t="str">
        <f>IFERROR(_xlfn.XLOOKUP($A246,'Raw Data'!$G:$G,'Raw Data'!AE:AE),"")</f>
        <v/>
      </c>
      <c r="M246" s="137" t="str">
        <f>IFERROR(_xlfn.XLOOKUP($A246,'Raw Data'!$G:$G,'Raw Data'!AF:AF),"")</f>
        <v/>
      </c>
      <c r="N246" s="137" t="str">
        <f>IFERROR(_xlfn.XLOOKUP($A246,'Raw Data'!$G:$G,'Raw Data'!AG:AG),"")</f>
        <v/>
      </c>
      <c r="O246" s="138" t="str">
        <f>IFERROR(1-SUMIF('Plant BD'!$H:$H,$A246,'Plant BD'!$AE:$AE)/($AA246+SUMIF('Plant BD'!$H:$H,$A246,'Plant BD'!$AE:$AE)),"")</f>
        <v/>
      </c>
      <c r="P246" s="138"/>
      <c r="Q246" s="139"/>
      <c r="R246" s="138" t="str">
        <f>IFERROR(1-SUMIF('Grid BD'!$H:$H,$A246,'Grid BD'!$AD:$AD)/($AA246+SUMIF('Grid BD'!$H:$H,$A246,'Grid BD'!$AD:$AD)),"")</f>
        <v/>
      </c>
      <c r="T246" s="139"/>
      <c r="U246" s="140" t="str">
        <f t="shared" si="17"/>
        <v/>
      </c>
      <c r="V246" s="140"/>
      <c r="W246" s="141" t="str">
        <f t="shared" si="18"/>
        <v/>
      </c>
      <c r="X246" s="133" t="str">
        <f>IFERROR(_xlfn.XLOOKUP($A246,'Raw Data'!$G:$G,'Raw Data'!AI:AI),"")</f>
        <v/>
      </c>
      <c r="Y246" s="133" t="str">
        <f>IFERROR(_xlfn.XLOOKUP($A246,'Raw Data'!$G:$G,'Raw Data'!AJ:AJ),"")</f>
        <v/>
      </c>
      <c r="Z246" s="133" t="str">
        <f>IFERROR(_xlfn.XLOOKUP($A246,'Raw Data'!$G:$G,'Raw Data'!AK:AK),"")</f>
        <v/>
      </c>
      <c r="AA246" s="133" t="str">
        <f>IFERROR(_xlfn.XLOOKUP($A246,'Raw Data'!$G:$G,'Raw Data'!AL:AL),"")</f>
        <v/>
      </c>
      <c r="AB246" s="133" t="str">
        <f>IFERROR(_xlfn.XLOOKUP($A246,'Raw Data'!$G:$G,'Raw Data'!H:H),"")</f>
        <v/>
      </c>
      <c r="AC246" s="142">
        <f>IFERROR(_xlfn.XLOOKUP($D246,'Modelling New'!$D:$D,'Modelling New'!P:P),"")</f>
        <v>5.4333333333333336</v>
      </c>
      <c r="AD246" s="133">
        <f>IFERROR(_xlfn.XLOOKUP($D246,'Modelling New'!$D:$D,'Modelling New'!$T:$T)*1000,"")</f>
        <v>30935.368854830132</v>
      </c>
      <c r="AE246" s="143">
        <f>IFERROR(_xlfn.XLOOKUP($D246,'Modelling New'!$D:$D,'Modelling New'!O:O),"")</f>
        <v>0.70984879123298372</v>
      </c>
      <c r="AF246" s="145">
        <f>IFERROR(_xlfn.XLOOKUP($D246,'Modelling New'!$D:$D,'Modelling New'!W:W),"")</f>
        <v>0.160701879126356</v>
      </c>
      <c r="AG246" s="145">
        <f>IFERROR(_xlfn.XLOOKUP($D246,'Modelling New'!$D:$D,'Modelling New'!AE:AE),"")</f>
        <v>0.98040000000000005</v>
      </c>
      <c r="AH246" s="167">
        <f>IFERROR(_xlfn.XLOOKUP($D246,'Modelling New'!$D:$D,'Modelling New'!AF:AF),"")</f>
        <v>0.98</v>
      </c>
      <c r="AN246" s="144"/>
      <c r="AO246" s="141"/>
      <c r="AP246" s="141"/>
      <c r="AQ246" s="141"/>
      <c r="AR246" s="133">
        <f>'Basic Data'!$B$98/1000</f>
        <v>8.0208999999999993</v>
      </c>
    </row>
    <row r="247" spans="1:44" x14ac:dyDescent="0.3">
      <c r="A247" s="132">
        <f t="shared" si="19"/>
        <v>45990</v>
      </c>
      <c r="B247" s="133">
        <f>YEAR(Table13[[#This Row],[Date]])+IF(MONTH(Table13[[#This Row],[Date]])&gt;=4,1,0)</f>
        <v>2026</v>
      </c>
      <c r="C247" s="134">
        <f>YEAR(Table13[[#This Row],[Date]])</f>
        <v>2025</v>
      </c>
      <c r="D247" s="135">
        <f>Table13[[#This Row],[Date]]-DAY(Table13[[#This Row],[Date]])+1</f>
        <v>45962</v>
      </c>
      <c r="E247" s="134">
        <f t="shared" si="16"/>
        <v>30</v>
      </c>
      <c r="F247" s="136" t="str">
        <f>IFERROR(_xlfn.XLOOKUP($A247,'Raw Data'!$G:$G,'Raw Data'!$AM:$AM),"")</f>
        <v/>
      </c>
      <c r="G247" s="137" t="str">
        <f>IFERROR(_xlfn.XLOOKUP($A247,'Raw Data'!$G:$G,'Raw Data'!$AB:$AB),"")</f>
        <v/>
      </c>
      <c r="H247" s="137"/>
      <c r="I247" s="137" t="str">
        <f>IFERROR(_xlfn.XLOOKUP($A247,'Raw Data'!$G:$G,'Raw Data'!$AC:$AC),"")</f>
        <v/>
      </c>
      <c r="J247" s="137"/>
      <c r="K247" s="137" t="str">
        <f>IFERROR(_xlfn.XLOOKUP($A247,'Raw Data'!$G:$G,'Raw Data'!AD:AD),"")</f>
        <v/>
      </c>
      <c r="L247" s="137" t="str">
        <f>IFERROR(_xlfn.XLOOKUP($A247,'Raw Data'!$G:$G,'Raw Data'!AE:AE),"")</f>
        <v/>
      </c>
      <c r="M247" s="137" t="str">
        <f>IFERROR(_xlfn.XLOOKUP($A247,'Raw Data'!$G:$G,'Raw Data'!AF:AF),"")</f>
        <v/>
      </c>
      <c r="N247" s="137" t="str">
        <f>IFERROR(_xlfn.XLOOKUP($A247,'Raw Data'!$G:$G,'Raw Data'!AG:AG),"")</f>
        <v/>
      </c>
      <c r="O247" s="138" t="str">
        <f>IFERROR(1-SUMIF('Plant BD'!$H:$H,$A247,'Plant BD'!$AE:$AE)/($AA247+SUMIF('Plant BD'!$H:$H,$A247,'Plant BD'!$AE:$AE)),"")</f>
        <v/>
      </c>
      <c r="P247" s="138"/>
      <c r="Q247" s="139"/>
      <c r="R247" s="138" t="str">
        <f>IFERROR(1-SUMIF('Grid BD'!$H:$H,$A247,'Grid BD'!$AD:$AD)/($AA247+SUMIF('Grid BD'!$H:$H,$A247,'Grid BD'!$AD:$AD)),"")</f>
        <v/>
      </c>
      <c r="T247" s="139"/>
      <c r="U247" s="140" t="str">
        <f t="shared" si="17"/>
        <v/>
      </c>
      <c r="V247" s="140"/>
      <c r="W247" s="141" t="str">
        <f t="shared" si="18"/>
        <v/>
      </c>
      <c r="X247" s="133" t="str">
        <f>IFERROR(_xlfn.XLOOKUP($A247,'Raw Data'!$G:$G,'Raw Data'!AI:AI),"")</f>
        <v/>
      </c>
      <c r="Y247" s="133" t="str">
        <f>IFERROR(_xlfn.XLOOKUP($A247,'Raw Data'!$G:$G,'Raw Data'!AJ:AJ),"")</f>
        <v/>
      </c>
      <c r="Z247" s="133" t="str">
        <f>IFERROR(_xlfn.XLOOKUP($A247,'Raw Data'!$G:$G,'Raw Data'!AK:AK),"")</f>
        <v/>
      </c>
      <c r="AA247" s="133" t="str">
        <f>IFERROR(_xlfn.XLOOKUP($A247,'Raw Data'!$G:$G,'Raw Data'!AL:AL),"")</f>
        <v/>
      </c>
      <c r="AB247" s="133" t="str">
        <f>IFERROR(_xlfn.XLOOKUP($A247,'Raw Data'!$G:$G,'Raw Data'!H:H),"")</f>
        <v/>
      </c>
      <c r="AC247" s="142">
        <f>IFERROR(_xlfn.XLOOKUP($D247,'Modelling New'!$D:$D,'Modelling New'!P:P),"")</f>
        <v>5.4333333333333336</v>
      </c>
      <c r="AD247" s="133">
        <f>IFERROR(_xlfn.XLOOKUP($D247,'Modelling New'!$D:$D,'Modelling New'!$T:$T)*1000,"")</f>
        <v>30935.368854830132</v>
      </c>
      <c r="AE247" s="143">
        <f>IFERROR(_xlfn.XLOOKUP($D247,'Modelling New'!$D:$D,'Modelling New'!O:O),"")</f>
        <v>0.70984879123298372</v>
      </c>
      <c r="AF247" s="145">
        <f>IFERROR(_xlfn.XLOOKUP($D247,'Modelling New'!$D:$D,'Modelling New'!W:W),"")</f>
        <v>0.160701879126356</v>
      </c>
      <c r="AG247" s="145">
        <f>IFERROR(_xlfn.XLOOKUP($D247,'Modelling New'!$D:$D,'Modelling New'!AE:AE),"")</f>
        <v>0.98040000000000005</v>
      </c>
      <c r="AH247" s="167">
        <f>IFERROR(_xlfn.XLOOKUP($D247,'Modelling New'!$D:$D,'Modelling New'!AF:AF),"")</f>
        <v>0.98</v>
      </c>
      <c r="AN247" s="144"/>
      <c r="AO247" s="141"/>
      <c r="AP247" s="141"/>
      <c r="AQ247" s="141"/>
      <c r="AR247" s="133">
        <f>'Basic Data'!$B$98/1000</f>
        <v>8.0208999999999993</v>
      </c>
    </row>
    <row r="248" spans="1:44" x14ac:dyDescent="0.3">
      <c r="A248" s="132">
        <f t="shared" si="19"/>
        <v>45991</v>
      </c>
      <c r="B248" s="133">
        <f>YEAR(Table13[[#This Row],[Date]])+IF(MONTH(Table13[[#This Row],[Date]])&gt;=4,1,0)</f>
        <v>2026</v>
      </c>
      <c r="C248" s="134">
        <f>YEAR(Table13[[#This Row],[Date]])</f>
        <v>2025</v>
      </c>
      <c r="D248" s="135">
        <f>Table13[[#This Row],[Date]]-DAY(Table13[[#This Row],[Date]])+1</f>
        <v>45962</v>
      </c>
      <c r="E248" s="134">
        <f t="shared" si="16"/>
        <v>30</v>
      </c>
      <c r="F248" s="136" t="str">
        <f>IFERROR(_xlfn.XLOOKUP($A248,'Raw Data'!$G:$G,'Raw Data'!$AM:$AM),"")</f>
        <v/>
      </c>
      <c r="G248" s="137" t="str">
        <f>IFERROR(_xlfn.XLOOKUP($A248,'Raw Data'!$G:$G,'Raw Data'!$AB:$AB),"")</f>
        <v/>
      </c>
      <c r="H248" s="137"/>
      <c r="I248" s="137" t="str">
        <f>IFERROR(_xlfn.XLOOKUP($A248,'Raw Data'!$G:$G,'Raw Data'!$AC:$AC),"")</f>
        <v/>
      </c>
      <c r="J248" s="137"/>
      <c r="K248" s="137" t="str">
        <f>IFERROR(_xlfn.XLOOKUP($A248,'Raw Data'!$G:$G,'Raw Data'!AD:AD),"")</f>
        <v/>
      </c>
      <c r="L248" s="137" t="str">
        <f>IFERROR(_xlfn.XLOOKUP($A248,'Raw Data'!$G:$G,'Raw Data'!AE:AE),"")</f>
        <v/>
      </c>
      <c r="M248" s="137" t="str">
        <f>IFERROR(_xlfn.XLOOKUP($A248,'Raw Data'!$G:$G,'Raw Data'!AF:AF),"")</f>
        <v/>
      </c>
      <c r="N248" s="137" t="str">
        <f>IFERROR(_xlfn.XLOOKUP($A248,'Raw Data'!$G:$G,'Raw Data'!AG:AG),"")</f>
        <v/>
      </c>
      <c r="O248" s="138" t="str">
        <f>IFERROR(1-SUMIF('Plant BD'!$H:$H,$A248,'Plant BD'!$AE:$AE)/($AA248+SUMIF('Plant BD'!$H:$H,$A248,'Plant BD'!$AE:$AE)),"")</f>
        <v/>
      </c>
      <c r="P248" s="138"/>
      <c r="Q248" s="139"/>
      <c r="R248" s="138" t="str">
        <f>IFERROR(1-SUMIF('Grid BD'!$H:$H,$A248,'Grid BD'!$AD:$AD)/($AA248+SUMIF('Grid BD'!$H:$H,$A248,'Grid BD'!$AD:$AD)),"")</f>
        <v/>
      </c>
      <c r="T248" s="139"/>
      <c r="U248" s="140" t="str">
        <f t="shared" si="17"/>
        <v/>
      </c>
      <c r="V248" s="140"/>
      <c r="W248" s="141" t="str">
        <f t="shared" si="18"/>
        <v/>
      </c>
      <c r="X248" s="133" t="str">
        <f>IFERROR(_xlfn.XLOOKUP($A248,'Raw Data'!$G:$G,'Raw Data'!AI:AI),"")</f>
        <v/>
      </c>
      <c r="Y248" s="133" t="str">
        <f>IFERROR(_xlfn.XLOOKUP($A248,'Raw Data'!$G:$G,'Raw Data'!AJ:AJ),"")</f>
        <v/>
      </c>
      <c r="Z248" s="133" t="str">
        <f>IFERROR(_xlfn.XLOOKUP($A248,'Raw Data'!$G:$G,'Raw Data'!AK:AK),"")</f>
        <v/>
      </c>
      <c r="AA248" s="133" t="str">
        <f>IFERROR(_xlfn.XLOOKUP($A248,'Raw Data'!$G:$G,'Raw Data'!AL:AL),"")</f>
        <v/>
      </c>
      <c r="AB248" s="133" t="str">
        <f>IFERROR(_xlfn.XLOOKUP($A248,'Raw Data'!$G:$G,'Raw Data'!H:H),"")</f>
        <v/>
      </c>
      <c r="AC248" s="142">
        <f>IFERROR(_xlfn.XLOOKUP($D248,'Modelling New'!$D:$D,'Modelling New'!P:P),"")</f>
        <v>5.4333333333333336</v>
      </c>
      <c r="AD248" s="133">
        <f>IFERROR(_xlfn.XLOOKUP($D248,'Modelling New'!$D:$D,'Modelling New'!$T:$T)*1000,"")</f>
        <v>30935.368854830132</v>
      </c>
      <c r="AE248" s="143">
        <f>IFERROR(_xlfn.XLOOKUP($D248,'Modelling New'!$D:$D,'Modelling New'!O:O),"")</f>
        <v>0.70984879123298372</v>
      </c>
      <c r="AF248" s="145">
        <f>IFERROR(_xlfn.XLOOKUP($D248,'Modelling New'!$D:$D,'Modelling New'!W:W),"")</f>
        <v>0.160701879126356</v>
      </c>
      <c r="AG248" s="145">
        <f>IFERROR(_xlfn.XLOOKUP($D248,'Modelling New'!$D:$D,'Modelling New'!AE:AE),"")</f>
        <v>0.98040000000000005</v>
      </c>
      <c r="AH248" s="167">
        <f>IFERROR(_xlfn.XLOOKUP($D248,'Modelling New'!$D:$D,'Modelling New'!AF:AF),"")</f>
        <v>0.98</v>
      </c>
      <c r="AN248" s="144"/>
      <c r="AO248" s="141"/>
      <c r="AP248" s="141"/>
      <c r="AQ248" s="141"/>
      <c r="AR248" s="133">
        <f>'Basic Data'!$B$98/1000</f>
        <v>8.0208999999999993</v>
      </c>
    </row>
    <row r="249" spans="1:44" x14ac:dyDescent="0.3">
      <c r="A249" s="132">
        <f t="shared" si="19"/>
        <v>45992</v>
      </c>
      <c r="B249" s="133">
        <f>YEAR(Table13[[#This Row],[Date]])+IF(MONTH(Table13[[#This Row],[Date]])&gt;=4,1,0)</f>
        <v>2026</v>
      </c>
      <c r="C249" s="134">
        <f>YEAR(Table13[[#This Row],[Date]])</f>
        <v>2025</v>
      </c>
      <c r="D249" s="135">
        <f>Table13[[#This Row],[Date]]-DAY(Table13[[#This Row],[Date]])+1</f>
        <v>45992</v>
      </c>
      <c r="E249" s="134">
        <f t="shared" si="16"/>
        <v>31</v>
      </c>
      <c r="F249" s="136" t="str">
        <f>IFERROR(_xlfn.XLOOKUP($A249,'Raw Data'!$G:$G,'Raw Data'!$AM:$AM),"")</f>
        <v/>
      </c>
      <c r="G249" s="137" t="str">
        <f>IFERROR(_xlfn.XLOOKUP($A249,'Raw Data'!$G:$G,'Raw Data'!$AB:$AB),"")</f>
        <v/>
      </c>
      <c r="H249" s="137"/>
      <c r="I249" s="137" t="str">
        <f>IFERROR(_xlfn.XLOOKUP($A249,'Raw Data'!$G:$G,'Raw Data'!$AC:$AC),"")</f>
        <v/>
      </c>
      <c r="J249" s="137"/>
      <c r="K249" s="137" t="str">
        <f>IFERROR(_xlfn.XLOOKUP($A249,'Raw Data'!$G:$G,'Raw Data'!AD:AD),"")</f>
        <v/>
      </c>
      <c r="L249" s="137" t="str">
        <f>IFERROR(_xlfn.XLOOKUP($A249,'Raw Data'!$G:$G,'Raw Data'!AE:AE),"")</f>
        <v/>
      </c>
      <c r="M249" s="137" t="str">
        <f>IFERROR(_xlfn.XLOOKUP($A249,'Raw Data'!$G:$G,'Raw Data'!AF:AF),"")</f>
        <v/>
      </c>
      <c r="N249" s="137" t="str">
        <f>IFERROR(_xlfn.XLOOKUP($A249,'Raw Data'!$G:$G,'Raw Data'!AG:AG),"")</f>
        <v/>
      </c>
      <c r="O249" s="138" t="str">
        <f>IFERROR(1-SUMIF('Plant BD'!$H:$H,$A249,'Plant BD'!$AE:$AE)/($AA249+SUMIF('Plant BD'!$H:$H,$A249,'Plant BD'!$AE:$AE)),"")</f>
        <v/>
      </c>
      <c r="P249" s="138"/>
      <c r="Q249" s="139"/>
      <c r="R249" s="138" t="str">
        <f>IFERROR(1-SUMIF('Grid BD'!$H:$H,$A249,'Grid BD'!$AD:$AD)/($AA249+SUMIF('Grid BD'!$H:$H,$A249,'Grid BD'!$AD:$AD)),"")</f>
        <v/>
      </c>
      <c r="T249" s="139"/>
      <c r="U249" s="140" t="str">
        <f t="shared" si="17"/>
        <v/>
      </c>
      <c r="V249" s="140"/>
      <c r="W249" s="141" t="str">
        <f t="shared" si="18"/>
        <v/>
      </c>
      <c r="X249" s="133" t="str">
        <f>IFERROR(_xlfn.XLOOKUP($A249,'Raw Data'!$G:$G,'Raw Data'!AI:AI),"")</f>
        <v/>
      </c>
      <c r="Y249" s="133" t="str">
        <f>IFERROR(_xlfn.XLOOKUP($A249,'Raw Data'!$G:$G,'Raw Data'!AJ:AJ),"")</f>
        <v/>
      </c>
      <c r="Z249" s="133" t="str">
        <f>IFERROR(_xlfn.XLOOKUP($A249,'Raw Data'!$G:$G,'Raw Data'!AK:AK),"")</f>
        <v/>
      </c>
      <c r="AA249" s="133" t="str">
        <f>IFERROR(_xlfn.XLOOKUP($A249,'Raw Data'!$G:$G,'Raw Data'!AL:AL),"")</f>
        <v/>
      </c>
      <c r="AB249" s="133" t="str">
        <f>IFERROR(_xlfn.XLOOKUP($A249,'Raw Data'!$G:$G,'Raw Data'!H:H),"")</f>
        <v/>
      </c>
      <c r="AC249" s="142">
        <f>IFERROR(_xlfn.XLOOKUP($D249,'Modelling New'!$D:$D,'Modelling New'!P:P),"")</f>
        <v>5.2806451612903222</v>
      </c>
      <c r="AD249" s="133">
        <f>IFERROR(_xlfn.XLOOKUP($D249,'Modelling New'!$D:$D,'Modelling New'!$T:$T)*1000,"")</f>
        <v>31172.693339085006</v>
      </c>
      <c r="AE249" s="143">
        <f>IFERROR(_xlfn.XLOOKUP($D249,'Modelling New'!$D:$D,'Modelling New'!O:O),"")</f>
        <v>0.73597699552347362</v>
      </c>
      <c r="AF249" s="145">
        <f>IFERROR(_xlfn.XLOOKUP($D249,'Modelling New'!$D:$D,'Modelling New'!W:W),"")</f>
        <v>0.16193472334300082</v>
      </c>
      <c r="AG249" s="145">
        <f>IFERROR(_xlfn.XLOOKUP($D249,'Modelling New'!$D:$D,'Modelling New'!AE:AE),"")</f>
        <v>0.98040000000000005</v>
      </c>
      <c r="AH249" s="167">
        <f>IFERROR(_xlfn.XLOOKUP($D249,'Modelling New'!$D:$D,'Modelling New'!AF:AF),"")</f>
        <v>0.98</v>
      </c>
      <c r="AN249" s="144"/>
      <c r="AO249" s="141"/>
      <c r="AP249" s="141"/>
      <c r="AQ249" s="141"/>
      <c r="AR249" s="133">
        <f>'Basic Data'!$B$98/1000</f>
        <v>8.0208999999999993</v>
      </c>
    </row>
    <row r="250" spans="1:44" x14ac:dyDescent="0.3">
      <c r="A250" s="132">
        <f t="shared" si="19"/>
        <v>45993</v>
      </c>
      <c r="B250" s="133">
        <f>YEAR(Table13[[#This Row],[Date]])+IF(MONTH(Table13[[#This Row],[Date]])&gt;=4,1,0)</f>
        <v>2026</v>
      </c>
      <c r="C250" s="134">
        <f>YEAR(Table13[[#This Row],[Date]])</f>
        <v>2025</v>
      </c>
      <c r="D250" s="135">
        <f>Table13[[#This Row],[Date]]-DAY(Table13[[#This Row],[Date]])+1</f>
        <v>45992</v>
      </c>
      <c r="E250" s="134">
        <f t="shared" si="16"/>
        <v>31</v>
      </c>
      <c r="F250" s="136" t="str">
        <f>IFERROR(_xlfn.XLOOKUP($A250,'Raw Data'!$G:$G,'Raw Data'!$AM:$AM),"")</f>
        <v/>
      </c>
      <c r="G250" s="137" t="str">
        <f>IFERROR(_xlfn.XLOOKUP($A250,'Raw Data'!$G:$G,'Raw Data'!$AB:$AB),"")</f>
        <v/>
      </c>
      <c r="H250" s="137"/>
      <c r="I250" s="137" t="str">
        <f>IFERROR(_xlfn.XLOOKUP($A250,'Raw Data'!$G:$G,'Raw Data'!$AC:$AC),"")</f>
        <v/>
      </c>
      <c r="J250" s="137"/>
      <c r="K250" s="137" t="str">
        <f>IFERROR(_xlfn.XLOOKUP($A250,'Raw Data'!$G:$G,'Raw Data'!AD:AD),"")</f>
        <v/>
      </c>
      <c r="L250" s="137" t="str">
        <f>IFERROR(_xlfn.XLOOKUP($A250,'Raw Data'!$G:$G,'Raw Data'!AE:AE),"")</f>
        <v/>
      </c>
      <c r="M250" s="137" t="str">
        <f>IFERROR(_xlfn.XLOOKUP($A250,'Raw Data'!$G:$G,'Raw Data'!AF:AF),"")</f>
        <v/>
      </c>
      <c r="N250" s="137" t="str">
        <f>IFERROR(_xlfn.XLOOKUP($A250,'Raw Data'!$G:$G,'Raw Data'!AG:AG),"")</f>
        <v/>
      </c>
      <c r="O250" s="138" t="str">
        <f>IFERROR(1-SUMIF('Plant BD'!$H:$H,$A250,'Plant BD'!$AE:$AE)/($AA250+SUMIF('Plant BD'!$H:$H,$A250,'Plant BD'!$AE:$AE)),"")</f>
        <v/>
      </c>
      <c r="P250" s="138"/>
      <c r="Q250" s="139"/>
      <c r="R250" s="138" t="str">
        <f>IFERROR(1-SUMIF('Grid BD'!$H:$H,$A250,'Grid BD'!$AD:$AD)/($AA250+SUMIF('Grid BD'!$H:$H,$A250,'Grid BD'!$AD:$AD)),"")</f>
        <v/>
      </c>
      <c r="T250" s="139"/>
      <c r="U250" s="140" t="str">
        <f t="shared" si="17"/>
        <v/>
      </c>
      <c r="V250" s="140"/>
      <c r="W250" s="141" t="str">
        <f t="shared" si="18"/>
        <v/>
      </c>
      <c r="X250" s="133" t="str">
        <f>IFERROR(_xlfn.XLOOKUP($A250,'Raw Data'!$G:$G,'Raw Data'!AI:AI),"")</f>
        <v/>
      </c>
      <c r="Y250" s="133" t="str">
        <f>IFERROR(_xlfn.XLOOKUP($A250,'Raw Data'!$G:$G,'Raw Data'!AJ:AJ),"")</f>
        <v/>
      </c>
      <c r="Z250" s="133" t="str">
        <f>IFERROR(_xlfn.XLOOKUP($A250,'Raw Data'!$G:$G,'Raw Data'!AK:AK),"")</f>
        <v/>
      </c>
      <c r="AA250" s="133" t="str">
        <f>IFERROR(_xlfn.XLOOKUP($A250,'Raw Data'!$G:$G,'Raw Data'!AL:AL),"")</f>
        <v/>
      </c>
      <c r="AB250" s="133" t="str">
        <f>IFERROR(_xlfn.XLOOKUP($A250,'Raw Data'!$G:$G,'Raw Data'!H:H),"")</f>
        <v/>
      </c>
      <c r="AC250" s="142">
        <f>IFERROR(_xlfn.XLOOKUP($D250,'Modelling New'!$D:$D,'Modelling New'!P:P),"")</f>
        <v>5.2806451612903222</v>
      </c>
      <c r="AD250" s="133">
        <f>IFERROR(_xlfn.XLOOKUP($D250,'Modelling New'!$D:$D,'Modelling New'!$T:$T)*1000,"")</f>
        <v>31172.693339085006</v>
      </c>
      <c r="AE250" s="143">
        <f>IFERROR(_xlfn.XLOOKUP($D250,'Modelling New'!$D:$D,'Modelling New'!O:O),"")</f>
        <v>0.73597699552347362</v>
      </c>
      <c r="AF250" s="145">
        <f>IFERROR(_xlfn.XLOOKUP($D250,'Modelling New'!$D:$D,'Modelling New'!W:W),"")</f>
        <v>0.16193472334300082</v>
      </c>
      <c r="AG250" s="145">
        <f>IFERROR(_xlfn.XLOOKUP($D250,'Modelling New'!$D:$D,'Modelling New'!AE:AE),"")</f>
        <v>0.98040000000000005</v>
      </c>
      <c r="AH250" s="167">
        <f>IFERROR(_xlfn.XLOOKUP($D250,'Modelling New'!$D:$D,'Modelling New'!AF:AF),"")</f>
        <v>0.98</v>
      </c>
      <c r="AN250" s="144"/>
      <c r="AO250" s="141"/>
      <c r="AP250" s="141"/>
      <c r="AQ250" s="141"/>
      <c r="AR250" s="133">
        <f>'Basic Data'!$B$98/1000</f>
        <v>8.0208999999999993</v>
      </c>
    </row>
    <row r="251" spans="1:44" x14ac:dyDescent="0.3">
      <c r="A251" s="132">
        <f t="shared" si="19"/>
        <v>45994</v>
      </c>
      <c r="B251" s="133">
        <f>YEAR(Table13[[#This Row],[Date]])+IF(MONTH(Table13[[#This Row],[Date]])&gt;=4,1,0)</f>
        <v>2026</v>
      </c>
      <c r="C251" s="134">
        <f>YEAR(Table13[[#This Row],[Date]])</f>
        <v>2025</v>
      </c>
      <c r="D251" s="135">
        <f>Table13[[#This Row],[Date]]-DAY(Table13[[#This Row],[Date]])+1</f>
        <v>45992</v>
      </c>
      <c r="E251" s="134">
        <f t="shared" si="16"/>
        <v>31</v>
      </c>
      <c r="F251" s="136" t="str">
        <f>IFERROR(_xlfn.XLOOKUP($A251,'Raw Data'!$G:$G,'Raw Data'!$AM:$AM),"")</f>
        <v/>
      </c>
      <c r="G251" s="137" t="str">
        <f>IFERROR(_xlfn.XLOOKUP($A251,'Raw Data'!$G:$G,'Raw Data'!$AB:$AB),"")</f>
        <v/>
      </c>
      <c r="H251" s="137"/>
      <c r="I251" s="137" t="str">
        <f>IFERROR(_xlfn.XLOOKUP($A251,'Raw Data'!$G:$G,'Raw Data'!$AC:$AC),"")</f>
        <v/>
      </c>
      <c r="J251" s="137"/>
      <c r="K251" s="137" t="str">
        <f>IFERROR(_xlfn.XLOOKUP($A251,'Raw Data'!$G:$G,'Raw Data'!AD:AD),"")</f>
        <v/>
      </c>
      <c r="L251" s="137" t="str">
        <f>IFERROR(_xlfn.XLOOKUP($A251,'Raw Data'!$G:$G,'Raw Data'!AE:AE),"")</f>
        <v/>
      </c>
      <c r="M251" s="137" t="str">
        <f>IFERROR(_xlfn.XLOOKUP($A251,'Raw Data'!$G:$G,'Raw Data'!AF:AF),"")</f>
        <v/>
      </c>
      <c r="N251" s="137" t="str">
        <f>IFERROR(_xlfn.XLOOKUP($A251,'Raw Data'!$G:$G,'Raw Data'!AG:AG),"")</f>
        <v/>
      </c>
      <c r="O251" s="138" t="str">
        <f>IFERROR(1-SUMIF('Plant BD'!$H:$H,$A251,'Plant BD'!$AE:$AE)/($AA251+SUMIF('Plant BD'!$H:$H,$A251,'Plant BD'!$AE:$AE)),"")</f>
        <v/>
      </c>
      <c r="P251" s="138"/>
      <c r="Q251" s="139"/>
      <c r="R251" s="138" t="str">
        <f>IFERROR(1-SUMIF('Grid BD'!$H:$H,$A251,'Grid BD'!$AD:$AD)/($AA251+SUMIF('Grid BD'!$H:$H,$A251,'Grid BD'!$AD:$AD)),"")</f>
        <v/>
      </c>
      <c r="T251" s="139"/>
      <c r="U251" s="140" t="str">
        <f t="shared" si="17"/>
        <v/>
      </c>
      <c r="V251" s="140"/>
      <c r="W251" s="141" t="str">
        <f t="shared" si="18"/>
        <v/>
      </c>
      <c r="X251" s="133" t="str">
        <f>IFERROR(_xlfn.XLOOKUP($A251,'Raw Data'!$G:$G,'Raw Data'!AI:AI),"")</f>
        <v/>
      </c>
      <c r="Y251" s="133" t="str">
        <f>IFERROR(_xlfn.XLOOKUP($A251,'Raw Data'!$G:$G,'Raw Data'!AJ:AJ),"")</f>
        <v/>
      </c>
      <c r="Z251" s="133" t="str">
        <f>IFERROR(_xlfn.XLOOKUP($A251,'Raw Data'!$G:$G,'Raw Data'!AK:AK),"")</f>
        <v/>
      </c>
      <c r="AA251" s="133" t="str">
        <f>IFERROR(_xlfn.XLOOKUP($A251,'Raw Data'!$G:$G,'Raw Data'!AL:AL),"")</f>
        <v/>
      </c>
      <c r="AB251" s="133" t="str">
        <f>IFERROR(_xlfn.XLOOKUP($A251,'Raw Data'!$G:$G,'Raw Data'!H:H),"")</f>
        <v/>
      </c>
      <c r="AC251" s="142">
        <f>IFERROR(_xlfn.XLOOKUP($D251,'Modelling New'!$D:$D,'Modelling New'!P:P),"")</f>
        <v>5.2806451612903222</v>
      </c>
      <c r="AD251" s="133">
        <f>IFERROR(_xlfn.XLOOKUP($D251,'Modelling New'!$D:$D,'Modelling New'!$T:$T)*1000,"")</f>
        <v>31172.693339085006</v>
      </c>
      <c r="AE251" s="143">
        <f>IFERROR(_xlfn.XLOOKUP($D251,'Modelling New'!$D:$D,'Modelling New'!O:O),"")</f>
        <v>0.73597699552347362</v>
      </c>
      <c r="AF251" s="145">
        <f>IFERROR(_xlfn.XLOOKUP($D251,'Modelling New'!$D:$D,'Modelling New'!W:W),"")</f>
        <v>0.16193472334300082</v>
      </c>
      <c r="AG251" s="145">
        <f>IFERROR(_xlfn.XLOOKUP($D251,'Modelling New'!$D:$D,'Modelling New'!AE:AE),"")</f>
        <v>0.98040000000000005</v>
      </c>
      <c r="AH251" s="167">
        <f>IFERROR(_xlfn.XLOOKUP($D251,'Modelling New'!$D:$D,'Modelling New'!AF:AF),"")</f>
        <v>0.98</v>
      </c>
      <c r="AN251" s="144"/>
      <c r="AO251" s="141"/>
      <c r="AP251" s="141"/>
      <c r="AQ251" s="141"/>
      <c r="AR251" s="133">
        <f>'Basic Data'!$B$98/1000</f>
        <v>8.0208999999999993</v>
      </c>
    </row>
    <row r="252" spans="1:44" x14ac:dyDescent="0.3">
      <c r="A252" s="132">
        <f t="shared" si="19"/>
        <v>45995</v>
      </c>
      <c r="B252" s="133">
        <f>YEAR(Table13[[#This Row],[Date]])+IF(MONTH(Table13[[#This Row],[Date]])&gt;=4,1,0)</f>
        <v>2026</v>
      </c>
      <c r="C252" s="134">
        <f>YEAR(Table13[[#This Row],[Date]])</f>
        <v>2025</v>
      </c>
      <c r="D252" s="135">
        <f>Table13[[#This Row],[Date]]-DAY(Table13[[#This Row],[Date]])+1</f>
        <v>45992</v>
      </c>
      <c r="E252" s="134">
        <f t="shared" si="16"/>
        <v>31</v>
      </c>
      <c r="F252" s="136" t="str">
        <f>IFERROR(_xlfn.XLOOKUP($A252,'Raw Data'!$G:$G,'Raw Data'!$AM:$AM),"")</f>
        <v/>
      </c>
      <c r="G252" s="137" t="str">
        <f>IFERROR(_xlfn.XLOOKUP($A252,'Raw Data'!$G:$G,'Raw Data'!$AB:$AB),"")</f>
        <v/>
      </c>
      <c r="H252" s="137"/>
      <c r="I252" s="137" t="str">
        <f>IFERROR(_xlfn.XLOOKUP($A252,'Raw Data'!$G:$G,'Raw Data'!$AC:$AC),"")</f>
        <v/>
      </c>
      <c r="J252" s="137"/>
      <c r="K252" s="137" t="str">
        <f>IFERROR(_xlfn.XLOOKUP($A252,'Raw Data'!$G:$G,'Raw Data'!AD:AD),"")</f>
        <v/>
      </c>
      <c r="L252" s="137" t="str">
        <f>IFERROR(_xlfn.XLOOKUP($A252,'Raw Data'!$G:$G,'Raw Data'!AE:AE),"")</f>
        <v/>
      </c>
      <c r="M252" s="137" t="str">
        <f>IFERROR(_xlfn.XLOOKUP($A252,'Raw Data'!$G:$G,'Raw Data'!AF:AF),"")</f>
        <v/>
      </c>
      <c r="N252" s="137" t="str">
        <f>IFERROR(_xlfn.XLOOKUP($A252,'Raw Data'!$G:$G,'Raw Data'!AG:AG),"")</f>
        <v/>
      </c>
      <c r="O252" s="138" t="str">
        <f>IFERROR(1-SUMIF('Plant BD'!$H:$H,$A252,'Plant BD'!$AE:$AE)/($AA252+SUMIF('Plant BD'!$H:$H,$A252,'Plant BD'!$AE:$AE)),"")</f>
        <v/>
      </c>
      <c r="P252" s="138"/>
      <c r="Q252" s="139"/>
      <c r="R252" s="138" t="str">
        <f>IFERROR(1-SUMIF('Grid BD'!$H:$H,$A252,'Grid BD'!$AD:$AD)/($AA252+SUMIF('Grid BD'!$H:$H,$A252,'Grid BD'!$AD:$AD)),"")</f>
        <v/>
      </c>
      <c r="T252" s="139"/>
      <c r="U252" s="140" t="str">
        <f t="shared" si="17"/>
        <v/>
      </c>
      <c r="V252" s="140"/>
      <c r="W252" s="141" t="str">
        <f t="shared" si="18"/>
        <v/>
      </c>
      <c r="X252" s="133" t="str">
        <f>IFERROR(_xlfn.XLOOKUP($A252,'Raw Data'!$G:$G,'Raw Data'!AI:AI),"")</f>
        <v/>
      </c>
      <c r="Y252" s="133" t="str">
        <f>IFERROR(_xlfn.XLOOKUP($A252,'Raw Data'!$G:$G,'Raw Data'!AJ:AJ),"")</f>
        <v/>
      </c>
      <c r="Z252" s="133" t="str">
        <f>IFERROR(_xlfn.XLOOKUP($A252,'Raw Data'!$G:$G,'Raw Data'!AK:AK),"")</f>
        <v/>
      </c>
      <c r="AA252" s="133" t="str">
        <f>IFERROR(_xlfn.XLOOKUP($A252,'Raw Data'!$G:$G,'Raw Data'!AL:AL),"")</f>
        <v/>
      </c>
      <c r="AB252" s="133" t="str">
        <f>IFERROR(_xlfn.XLOOKUP($A252,'Raw Data'!$G:$G,'Raw Data'!H:H),"")</f>
        <v/>
      </c>
      <c r="AC252" s="142">
        <f>IFERROR(_xlfn.XLOOKUP($D252,'Modelling New'!$D:$D,'Modelling New'!P:P),"")</f>
        <v>5.2806451612903222</v>
      </c>
      <c r="AD252" s="133">
        <f>IFERROR(_xlfn.XLOOKUP($D252,'Modelling New'!$D:$D,'Modelling New'!$T:$T)*1000,"")</f>
        <v>31172.693339085006</v>
      </c>
      <c r="AE252" s="143">
        <f>IFERROR(_xlfn.XLOOKUP($D252,'Modelling New'!$D:$D,'Modelling New'!O:O),"")</f>
        <v>0.73597699552347362</v>
      </c>
      <c r="AF252" s="145">
        <f>IFERROR(_xlfn.XLOOKUP($D252,'Modelling New'!$D:$D,'Modelling New'!W:W),"")</f>
        <v>0.16193472334300082</v>
      </c>
      <c r="AG252" s="145">
        <f>IFERROR(_xlfn.XLOOKUP($D252,'Modelling New'!$D:$D,'Modelling New'!AE:AE),"")</f>
        <v>0.98040000000000005</v>
      </c>
      <c r="AH252" s="167">
        <f>IFERROR(_xlfn.XLOOKUP($D252,'Modelling New'!$D:$D,'Modelling New'!AF:AF),"")</f>
        <v>0.98</v>
      </c>
      <c r="AN252" s="144"/>
      <c r="AO252" s="141"/>
      <c r="AP252" s="141"/>
      <c r="AQ252" s="141"/>
      <c r="AR252" s="133">
        <f>'Basic Data'!$B$98/1000</f>
        <v>8.0208999999999993</v>
      </c>
    </row>
    <row r="253" spans="1:44" x14ac:dyDescent="0.3">
      <c r="A253" s="132">
        <f t="shared" si="19"/>
        <v>45996</v>
      </c>
      <c r="B253" s="133">
        <f>YEAR(Table13[[#This Row],[Date]])+IF(MONTH(Table13[[#This Row],[Date]])&gt;=4,1,0)</f>
        <v>2026</v>
      </c>
      <c r="C253" s="134">
        <f>YEAR(Table13[[#This Row],[Date]])</f>
        <v>2025</v>
      </c>
      <c r="D253" s="135">
        <f>Table13[[#This Row],[Date]]-DAY(Table13[[#This Row],[Date]])+1</f>
        <v>45992</v>
      </c>
      <c r="E253" s="134">
        <f t="shared" si="16"/>
        <v>31</v>
      </c>
      <c r="F253" s="136" t="str">
        <f>IFERROR(_xlfn.XLOOKUP($A253,'Raw Data'!$G:$G,'Raw Data'!$AM:$AM),"")</f>
        <v/>
      </c>
      <c r="G253" s="137" t="str">
        <f>IFERROR(_xlfn.XLOOKUP($A253,'Raw Data'!$G:$G,'Raw Data'!$AB:$AB),"")</f>
        <v/>
      </c>
      <c r="H253" s="137"/>
      <c r="I253" s="137" t="str">
        <f>IFERROR(_xlfn.XLOOKUP($A253,'Raw Data'!$G:$G,'Raw Data'!$AC:$AC),"")</f>
        <v/>
      </c>
      <c r="J253" s="137"/>
      <c r="K253" s="137" t="str">
        <f>IFERROR(_xlfn.XLOOKUP($A253,'Raw Data'!$G:$G,'Raw Data'!AD:AD),"")</f>
        <v/>
      </c>
      <c r="L253" s="137" t="str">
        <f>IFERROR(_xlfn.XLOOKUP($A253,'Raw Data'!$G:$G,'Raw Data'!AE:AE),"")</f>
        <v/>
      </c>
      <c r="M253" s="137" t="str">
        <f>IFERROR(_xlfn.XLOOKUP($A253,'Raw Data'!$G:$G,'Raw Data'!AF:AF),"")</f>
        <v/>
      </c>
      <c r="N253" s="137" t="str">
        <f>IFERROR(_xlfn.XLOOKUP($A253,'Raw Data'!$G:$G,'Raw Data'!AG:AG),"")</f>
        <v/>
      </c>
      <c r="O253" s="138" t="str">
        <f>IFERROR(1-SUMIF('Plant BD'!$H:$H,$A253,'Plant BD'!$AE:$AE)/($AA253+SUMIF('Plant BD'!$H:$H,$A253,'Plant BD'!$AE:$AE)),"")</f>
        <v/>
      </c>
      <c r="P253" s="138"/>
      <c r="Q253" s="139"/>
      <c r="R253" s="138" t="str">
        <f>IFERROR(1-SUMIF('Grid BD'!$H:$H,$A253,'Grid BD'!$AD:$AD)/($AA253+SUMIF('Grid BD'!$H:$H,$A253,'Grid BD'!$AD:$AD)),"")</f>
        <v/>
      </c>
      <c r="T253" s="139"/>
      <c r="U253" s="140" t="str">
        <f t="shared" si="17"/>
        <v/>
      </c>
      <c r="V253" s="140"/>
      <c r="W253" s="141" t="str">
        <f t="shared" si="18"/>
        <v/>
      </c>
      <c r="X253" s="133" t="str">
        <f>IFERROR(_xlfn.XLOOKUP($A253,'Raw Data'!$G:$G,'Raw Data'!AI:AI),"")</f>
        <v/>
      </c>
      <c r="Y253" s="133" t="str">
        <f>IFERROR(_xlfn.XLOOKUP($A253,'Raw Data'!$G:$G,'Raw Data'!AJ:AJ),"")</f>
        <v/>
      </c>
      <c r="Z253" s="133" t="str">
        <f>IFERROR(_xlfn.XLOOKUP($A253,'Raw Data'!$G:$G,'Raw Data'!AK:AK),"")</f>
        <v/>
      </c>
      <c r="AA253" s="133" t="str">
        <f>IFERROR(_xlfn.XLOOKUP($A253,'Raw Data'!$G:$G,'Raw Data'!AL:AL),"")</f>
        <v/>
      </c>
      <c r="AB253" s="133" t="str">
        <f>IFERROR(_xlfn.XLOOKUP($A253,'Raw Data'!$G:$G,'Raw Data'!H:H),"")</f>
        <v/>
      </c>
      <c r="AC253" s="142">
        <f>IFERROR(_xlfn.XLOOKUP($D253,'Modelling New'!$D:$D,'Modelling New'!P:P),"")</f>
        <v>5.2806451612903222</v>
      </c>
      <c r="AD253" s="133">
        <f>IFERROR(_xlfn.XLOOKUP($D253,'Modelling New'!$D:$D,'Modelling New'!$T:$T)*1000,"")</f>
        <v>31172.693339085006</v>
      </c>
      <c r="AE253" s="143">
        <f>IFERROR(_xlfn.XLOOKUP($D253,'Modelling New'!$D:$D,'Modelling New'!O:O),"")</f>
        <v>0.73597699552347362</v>
      </c>
      <c r="AF253" s="145">
        <f>IFERROR(_xlfn.XLOOKUP($D253,'Modelling New'!$D:$D,'Modelling New'!W:W),"")</f>
        <v>0.16193472334300082</v>
      </c>
      <c r="AG253" s="145">
        <f>IFERROR(_xlfn.XLOOKUP($D253,'Modelling New'!$D:$D,'Modelling New'!AE:AE),"")</f>
        <v>0.98040000000000005</v>
      </c>
      <c r="AH253" s="167">
        <f>IFERROR(_xlfn.XLOOKUP($D253,'Modelling New'!$D:$D,'Modelling New'!AF:AF),"")</f>
        <v>0.98</v>
      </c>
      <c r="AN253" s="144"/>
      <c r="AO253" s="141"/>
      <c r="AP253" s="141"/>
      <c r="AQ253" s="141"/>
      <c r="AR253" s="133">
        <f>'Basic Data'!$B$98/1000</f>
        <v>8.0208999999999993</v>
      </c>
    </row>
    <row r="254" spans="1:44" x14ac:dyDescent="0.3">
      <c r="A254" s="132">
        <f t="shared" si="19"/>
        <v>45997</v>
      </c>
      <c r="B254" s="133">
        <f>YEAR(Table13[[#This Row],[Date]])+IF(MONTH(Table13[[#This Row],[Date]])&gt;=4,1,0)</f>
        <v>2026</v>
      </c>
      <c r="C254" s="134">
        <f>YEAR(Table13[[#This Row],[Date]])</f>
        <v>2025</v>
      </c>
      <c r="D254" s="135">
        <f>Table13[[#This Row],[Date]]-DAY(Table13[[#This Row],[Date]])+1</f>
        <v>45992</v>
      </c>
      <c r="E254" s="134">
        <f t="shared" si="16"/>
        <v>31</v>
      </c>
      <c r="F254" s="136" t="str">
        <f>IFERROR(_xlfn.XLOOKUP($A254,'Raw Data'!$G:$G,'Raw Data'!$AM:$AM),"")</f>
        <v/>
      </c>
      <c r="G254" s="137" t="str">
        <f>IFERROR(_xlfn.XLOOKUP($A254,'Raw Data'!$G:$G,'Raw Data'!$AB:$AB),"")</f>
        <v/>
      </c>
      <c r="H254" s="137"/>
      <c r="I254" s="137" t="str">
        <f>IFERROR(_xlfn.XLOOKUP($A254,'Raw Data'!$G:$G,'Raw Data'!$AC:$AC),"")</f>
        <v/>
      </c>
      <c r="J254" s="137"/>
      <c r="K254" s="137" t="str">
        <f>IFERROR(_xlfn.XLOOKUP($A254,'Raw Data'!$G:$G,'Raw Data'!AD:AD),"")</f>
        <v/>
      </c>
      <c r="L254" s="137" t="str">
        <f>IFERROR(_xlfn.XLOOKUP($A254,'Raw Data'!$G:$G,'Raw Data'!AE:AE),"")</f>
        <v/>
      </c>
      <c r="M254" s="137" t="str">
        <f>IFERROR(_xlfn.XLOOKUP($A254,'Raw Data'!$G:$G,'Raw Data'!AF:AF),"")</f>
        <v/>
      </c>
      <c r="N254" s="137" t="str">
        <f>IFERROR(_xlfn.XLOOKUP($A254,'Raw Data'!$G:$G,'Raw Data'!AG:AG),"")</f>
        <v/>
      </c>
      <c r="O254" s="138" t="str">
        <f>IFERROR(1-SUMIF('Plant BD'!$H:$H,$A254,'Plant BD'!$AE:$AE)/($AA254+SUMIF('Plant BD'!$H:$H,$A254,'Plant BD'!$AE:$AE)),"")</f>
        <v/>
      </c>
      <c r="P254" s="138"/>
      <c r="Q254" s="139"/>
      <c r="R254" s="138" t="str">
        <f>IFERROR(1-SUMIF('Grid BD'!$H:$H,$A254,'Grid BD'!$AD:$AD)/($AA254+SUMIF('Grid BD'!$H:$H,$A254,'Grid BD'!$AD:$AD)),"")</f>
        <v/>
      </c>
      <c r="T254" s="139"/>
      <c r="U254" s="140" t="str">
        <f t="shared" si="17"/>
        <v/>
      </c>
      <c r="V254" s="140"/>
      <c r="W254" s="141" t="str">
        <f t="shared" si="18"/>
        <v/>
      </c>
      <c r="X254" s="133" t="str">
        <f>IFERROR(_xlfn.XLOOKUP($A254,'Raw Data'!$G:$G,'Raw Data'!AI:AI),"")</f>
        <v/>
      </c>
      <c r="Y254" s="133" t="str">
        <f>IFERROR(_xlfn.XLOOKUP($A254,'Raw Data'!$G:$G,'Raw Data'!AJ:AJ),"")</f>
        <v/>
      </c>
      <c r="Z254" s="133" t="str">
        <f>IFERROR(_xlfn.XLOOKUP($A254,'Raw Data'!$G:$G,'Raw Data'!AK:AK),"")</f>
        <v/>
      </c>
      <c r="AA254" s="133" t="str">
        <f>IFERROR(_xlfn.XLOOKUP($A254,'Raw Data'!$G:$G,'Raw Data'!AL:AL),"")</f>
        <v/>
      </c>
      <c r="AB254" s="133" t="str">
        <f>IFERROR(_xlfn.XLOOKUP($A254,'Raw Data'!$G:$G,'Raw Data'!H:H),"")</f>
        <v/>
      </c>
      <c r="AC254" s="142">
        <f>IFERROR(_xlfn.XLOOKUP($D254,'Modelling New'!$D:$D,'Modelling New'!P:P),"")</f>
        <v>5.2806451612903222</v>
      </c>
      <c r="AD254" s="133">
        <f>IFERROR(_xlfn.XLOOKUP($D254,'Modelling New'!$D:$D,'Modelling New'!$T:$T)*1000,"")</f>
        <v>31172.693339085006</v>
      </c>
      <c r="AE254" s="143">
        <f>IFERROR(_xlfn.XLOOKUP($D254,'Modelling New'!$D:$D,'Modelling New'!O:O),"")</f>
        <v>0.73597699552347362</v>
      </c>
      <c r="AF254" s="145">
        <f>IFERROR(_xlfn.XLOOKUP($D254,'Modelling New'!$D:$D,'Modelling New'!W:W),"")</f>
        <v>0.16193472334300082</v>
      </c>
      <c r="AG254" s="145">
        <f>IFERROR(_xlfn.XLOOKUP($D254,'Modelling New'!$D:$D,'Modelling New'!AE:AE),"")</f>
        <v>0.98040000000000005</v>
      </c>
      <c r="AH254" s="167">
        <f>IFERROR(_xlfn.XLOOKUP($D254,'Modelling New'!$D:$D,'Modelling New'!AF:AF),"")</f>
        <v>0.98</v>
      </c>
      <c r="AN254" s="144"/>
      <c r="AO254" s="141"/>
      <c r="AP254" s="141"/>
      <c r="AQ254" s="141"/>
      <c r="AR254" s="133">
        <f>'Basic Data'!$B$98/1000</f>
        <v>8.0208999999999993</v>
      </c>
    </row>
    <row r="255" spans="1:44" x14ac:dyDescent="0.3">
      <c r="A255" s="132">
        <f t="shared" si="19"/>
        <v>45998</v>
      </c>
      <c r="B255" s="133">
        <f>YEAR(Table13[[#This Row],[Date]])+IF(MONTH(Table13[[#This Row],[Date]])&gt;=4,1,0)</f>
        <v>2026</v>
      </c>
      <c r="C255" s="134">
        <f>YEAR(Table13[[#This Row],[Date]])</f>
        <v>2025</v>
      </c>
      <c r="D255" s="135">
        <f>Table13[[#This Row],[Date]]-DAY(Table13[[#This Row],[Date]])+1</f>
        <v>45992</v>
      </c>
      <c r="E255" s="134">
        <f t="shared" si="16"/>
        <v>31</v>
      </c>
      <c r="F255" s="136" t="str">
        <f>IFERROR(_xlfn.XLOOKUP($A255,'Raw Data'!$G:$G,'Raw Data'!$AM:$AM),"")</f>
        <v/>
      </c>
      <c r="G255" s="137" t="str">
        <f>IFERROR(_xlfn.XLOOKUP($A255,'Raw Data'!$G:$G,'Raw Data'!$AB:$AB),"")</f>
        <v/>
      </c>
      <c r="H255" s="137"/>
      <c r="I255" s="137" t="str">
        <f>IFERROR(_xlfn.XLOOKUP($A255,'Raw Data'!$G:$G,'Raw Data'!$AC:$AC),"")</f>
        <v/>
      </c>
      <c r="J255" s="137"/>
      <c r="K255" s="137" t="str">
        <f>IFERROR(_xlfn.XLOOKUP($A255,'Raw Data'!$G:$G,'Raw Data'!AD:AD),"")</f>
        <v/>
      </c>
      <c r="L255" s="137" t="str">
        <f>IFERROR(_xlfn.XLOOKUP($A255,'Raw Data'!$G:$G,'Raw Data'!AE:AE),"")</f>
        <v/>
      </c>
      <c r="M255" s="137" t="str">
        <f>IFERROR(_xlfn.XLOOKUP($A255,'Raw Data'!$G:$G,'Raw Data'!AF:AF),"")</f>
        <v/>
      </c>
      <c r="N255" s="137" t="str">
        <f>IFERROR(_xlfn.XLOOKUP($A255,'Raw Data'!$G:$G,'Raw Data'!AG:AG),"")</f>
        <v/>
      </c>
      <c r="O255" s="138" t="str">
        <f>IFERROR(1-SUMIF('Plant BD'!$H:$H,$A255,'Plant BD'!$AE:$AE)/($AA255+SUMIF('Plant BD'!$H:$H,$A255,'Plant BD'!$AE:$AE)),"")</f>
        <v/>
      </c>
      <c r="P255" s="138"/>
      <c r="Q255" s="139"/>
      <c r="R255" s="138" t="str">
        <f>IFERROR(1-SUMIF('Grid BD'!$H:$H,$A255,'Grid BD'!$AD:$AD)/($AA255+SUMIF('Grid BD'!$H:$H,$A255,'Grid BD'!$AD:$AD)),"")</f>
        <v/>
      </c>
      <c r="T255" s="139"/>
      <c r="U255" s="140" t="str">
        <f t="shared" si="17"/>
        <v/>
      </c>
      <c r="V255" s="140"/>
      <c r="W255" s="141" t="str">
        <f t="shared" si="18"/>
        <v/>
      </c>
      <c r="X255" s="133" t="str">
        <f>IFERROR(_xlfn.XLOOKUP($A255,'Raw Data'!$G:$G,'Raw Data'!AI:AI),"")</f>
        <v/>
      </c>
      <c r="Y255" s="133" t="str">
        <f>IFERROR(_xlfn.XLOOKUP($A255,'Raw Data'!$G:$G,'Raw Data'!AJ:AJ),"")</f>
        <v/>
      </c>
      <c r="Z255" s="133" t="str">
        <f>IFERROR(_xlfn.XLOOKUP($A255,'Raw Data'!$G:$G,'Raw Data'!AK:AK),"")</f>
        <v/>
      </c>
      <c r="AA255" s="133" t="str">
        <f>IFERROR(_xlfn.XLOOKUP($A255,'Raw Data'!$G:$G,'Raw Data'!AL:AL),"")</f>
        <v/>
      </c>
      <c r="AB255" s="133" t="str">
        <f>IFERROR(_xlfn.XLOOKUP($A255,'Raw Data'!$G:$G,'Raw Data'!H:H),"")</f>
        <v/>
      </c>
      <c r="AC255" s="142">
        <f>IFERROR(_xlfn.XLOOKUP($D255,'Modelling New'!$D:$D,'Modelling New'!P:P),"")</f>
        <v>5.2806451612903222</v>
      </c>
      <c r="AD255" s="133">
        <f>IFERROR(_xlfn.XLOOKUP($D255,'Modelling New'!$D:$D,'Modelling New'!$T:$T)*1000,"")</f>
        <v>31172.693339085006</v>
      </c>
      <c r="AE255" s="143">
        <f>IFERROR(_xlfn.XLOOKUP($D255,'Modelling New'!$D:$D,'Modelling New'!O:O),"")</f>
        <v>0.73597699552347362</v>
      </c>
      <c r="AF255" s="145">
        <f>IFERROR(_xlfn.XLOOKUP($D255,'Modelling New'!$D:$D,'Modelling New'!W:W),"")</f>
        <v>0.16193472334300082</v>
      </c>
      <c r="AG255" s="145">
        <f>IFERROR(_xlfn.XLOOKUP($D255,'Modelling New'!$D:$D,'Modelling New'!AE:AE),"")</f>
        <v>0.98040000000000005</v>
      </c>
      <c r="AH255" s="167">
        <f>IFERROR(_xlfn.XLOOKUP($D255,'Modelling New'!$D:$D,'Modelling New'!AF:AF),"")</f>
        <v>0.98</v>
      </c>
      <c r="AN255" s="144"/>
      <c r="AO255" s="141"/>
      <c r="AP255" s="141"/>
      <c r="AQ255" s="141"/>
      <c r="AR255" s="133">
        <f>'Basic Data'!$B$98/1000</f>
        <v>8.0208999999999993</v>
      </c>
    </row>
    <row r="256" spans="1:44" x14ac:dyDescent="0.3">
      <c r="A256" s="132">
        <f t="shared" si="19"/>
        <v>45999</v>
      </c>
      <c r="B256" s="133">
        <f>YEAR(Table13[[#This Row],[Date]])+IF(MONTH(Table13[[#This Row],[Date]])&gt;=4,1,0)</f>
        <v>2026</v>
      </c>
      <c r="C256" s="134">
        <f>YEAR(Table13[[#This Row],[Date]])</f>
        <v>2025</v>
      </c>
      <c r="D256" s="135">
        <f>Table13[[#This Row],[Date]]-DAY(Table13[[#This Row],[Date]])+1</f>
        <v>45992</v>
      </c>
      <c r="E256" s="134">
        <f t="shared" si="16"/>
        <v>31</v>
      </c>
      <c r="F256" s="136" t="str">
        <f>IFERROR(_xlfn.XLOOKUP($A256,'Raw Data'!$G:$G,'Raw Data'!$AM:$AM),"")</f>
        <v/>
      </c>
      <c r="G256" s="137" t="str">
        <f>IFERROR(_xlfn.XLOOKUP($A256,'Raw Data'!$G:$G,'Raw Data'!$AB:$AB),"")</f>
        <v/>
      </c>
      <c r="H256" s="137"/>
      <c r="I256" s="137" t="str">
        <f>IFERROR(_xlfn.XLOOKUP($A256,'Raw Data'!$G:$G,'Raw Data'!$AC:$AC),"")</f>
        <v/>
      </c>
      <c r="J256" s="137"/>
      <c r="K256" s="137" t="str">
        <f>IFERROR(_xlfn.XLOOKUP($A256,'Raw Data'!$G:$G,'Raw Data'!AD:AD),"")</f>
        <v/>
      </c>
      <c r="L256" s="137" t="str">
        <f>IFERROR(_xlfn.XLOOKUP($A256,'Raw Data'!$G:$G,'Raw Data'!AE:AE),"")</f>
        <v/>
      </c>
      <c r="M256" s="137" t="str">
        <f>IFERROR(_xlfn.XLOOKUP($A256,'Raw Data'!$G:$G,'Raw Data'!AF:AF),"")</f>
        <v/>
      </c>
      <c r="N256" s="137" t="str">
        <f>IFERROR(_xlfn.XLOOKUP($A256,'Raw Data'!$G:$G,'Raw Data'!AG:AG),"")</f>
        <v/>
      </c>
      <c r="O256" s="138" t="str">
        <f>IFERROR(1-SUMIF('Plant BD'!$H:$H,$A256,'Plant BD'!$AE:$AE)/($AA256+SUMIF('Plant BD'!$H:$H,$A256,'Plant BD'!$AE:$AE)),"")</f>
        <v/>
      </c>
      <c r="P256" s="138"/>
      <c r="Q256" s="139"/>
      <c r="R256" s="138" t="str">
        <f>IFERROR(1-SUMIF('Grid BD'!$H:$H,$A256,'Grid BD'!$AD:$AD)/($AA256+SUMIF('Grid BD'!$H:$H,$A256,'Grid BD'!$AD:$AD)),"")</f>
        <v/>
      </c>
      <c r="T256" s="139"/>
      <c r="U256" s="140" t="str">
        <f t="shared" si="17"/>
        <v/>
      </c>
      <c r="V256" s="140"/>
      <c r="W256" s="141" t="str">
        <f t="shared" si="18"/>
        <v/>
      </c>
      <c r="X256" s="133" t="str">
        <f>IFERROR(_xlfn.XLOOKUP($A256,'Raw Data'!$G:$G,'Raw Data'!AI:AI),"")</f>
        <v/>
      </c>
      <c r="Y256" s="133" t="str">
        <f>IFERROR(_xlfn.XLOOKUP($A256,'Raw Data'!$G:$G,'Raw Data'!AJ:AJ),"")</f>
        <v/>
      </c>
      <c r="Z256" s="133" t="str">
        <f>IFERROR(_xlfn.XLOOKUP($A256,'Raw Data'!$G:$G,'Raw Data'!AK:AK),"")</f>
        <v/>
      </c>
      <c r="AA256" s="133" t="str">
        <f>IFERROR(_xlfn.XLOOKUP($A256,'Raw Data'!$G:$G,'Raw Data'!AL:AL),"")</f>
        <v/>
      </c>
      <c r="AB256" s="133" t="str">
        <f>IFERROR(_xlfn.XLOOKUP($A256,'Raw Data'!$G:$G,'Raw Data'!H:H),"")</f>
        <v/>
      </c>
      <c r="AC256" s="142">
        <f>IFERROR(_xlfn.XLOOKUP($D256,'Modelling New'!$D:$D,'Modelling New'!P:P),"")</f>
        <v>5.2806451612903222</v>
      </c>
      <c r="AD256" s="133">
        <f>IFERROR(_xlfn.XLOOKUP($D256,'Modelling New'!$D:$D,'Modelling New'!$T:$T)*1000,"")</f>
        <v>31172.693339085006</v>
      </c>
      <c r="AE256" s="143">
        <f>IFERROR(_xlfn.XLOOKUP($D256,'Modelling New'!$D:$D,'Modelling New'!O:O),"")</f>
        <v>0.73597699552347362</v>
      </c>
      <c r="AF256" s="145">
        <f>IFERROR(_xlfn.XLOOKUP($D256,'Modelling New'!$D:$D,'Modelling New'!W:W),"")</f>
        <v>0.16193472334300082</v>
      </c>
      <c r="AG256" s="145">
        <f>IFERROR(_xlfn.XLOOKUP($D256,'Modelling New'!$D:$D,'Modelling New'!AE:AE),"")</f>
        <v>0.98040000000000005</v>
      </c>
      <c r="AH256" s="167">
        <f>IFERROR(_xlfn.XLOOKUP($D256,'Modelling New'!$D:$D,'Modelling New'!AF:AF),"")</f>
        <v>0.98</v>
      </c>
      <c r="AN256" s="144"/>
      <c r="AO256" s="141"/>
      <c r="AP256" s="141"/>
      <c r="AQ256" s="141"/>
      <c r="AR256" s="133">
        <f>'Basic Data'!$B$98/1000</f>
        <v>8.0208999999999993</v>
      </c>
    </row>
    <row r="257" spans="1:44" x14ac:dyDescent="0.3">
      <c r="A257" s="132">
        <f t="shared" si="19"/>
        <v>46000</v>
      </c>
      <c r="B257" s="133">
        <f>YEAR(Table13[[#This Row],[Date]])+IF(MONTH(Table13[[#This Row],[Date]])&gt;=4,1,0)</f>
        <v>2026</v>
      </c>
      <c r="C257" s="134">
        <f>YEAR(Table13[[#This Row],[Date]])</f>
        <v>2025</v>
      </c>
      <c r="D257" s="135">
        <f>Table13[[#This Row],[Date]]-DAY(Table13[[#This Row],[Date]])+1</f>
        <v>45992</v>
      </c>
      <c r="E257" s="134">
        <f t="shared" si="16"/>
        <v>31</v>
      </c>
      <c r="F257" s="136" t="str">
        <f>IFERROR(_xlfn.XLOOKUP($A257,'Raw Data'!$G:$G,'Raw Data'!$AM:$AM),"")</f>
        <v/>
      </c>
      <c r="G257" s="137" t="str">
        <f>IFERROR(_xlfn.XLOOKUP($A257,'Raw Data'!$G:$G,'Raw Data'!$AB:$AB),"")</f>
        <v/>
      </c>
      <c r="H257" s="137"/>
      <c r="I257" s="137" t="str">
        <f>IFERROR(_xlfn.XLOOKUP($A257,'Raw Data'!$G:$G,'Raw Data'!$AC:$AC),"")</f>
        <v/>
      </c>
      <c r="J257" s="137"/>
      <c r="K257" s="137" t="str">
        <f>IFERROR(_xlfn.XLOOKUP($A257,'Raw Data'!$G:$G,'Raw Data'!AD:AD),"")</f>
        <v/>
      </c>
      <c r="L257" s="137" t="str">
        <f>IFERROR(_xlfn.XLOOKUP($A257,'Raw Data'!$G:$G,'Raw Data'!AE:AE),"")</f>
        <v/>
      </c>
      <c r="M257" s="137" t="str">
        <f>IFERROR(_xlfn.XLOOKUP($A257,'Raw Data'!$G:$G,'Raw Data'!AF:AF),"")</f>
        <v/>
      </c>
      <c r="N257" s="137" t="str">
        <f>IFERROR(_xlfn.XLOOKUP($A257,'Raw Data'!$G:$G,'Raw Data'!AG:AG),"")</f>
        <v/>
      </c>
      <c r="O257" s="138" t="str">
        <f>IFERROR(1-SUMIF('Plant BD'!$H:$H,$A257,'Plant BD'!$AE:$AE)/($AA257+SUMIF('Plant BD'!$H:$H,$A257,'Plant BD'!$AE:$AE)),"")</f>
        <v/>
      </c>
      <c r="P257" s="138"/>
      <c r="Q257" s="139"/>
      <c r="R257" s="138" t="str">
        <f>IFERROR(1-SUMIF('Grid BD'!$H:$H,$A257,'Grid BD'!$AD:$AD)/($AA257+SUMIF('Grid BD'!$H:$H,$A257,'Grid BD'!$AD:$AD)),"")</f>
        <v/>
      </c>
      <c r="T257" s="139"/>
      <c r="U257" s="140" t="str">
        <f t="shared" si="17"/>
        <v/>
      </c>
      <c r="V257" s="140"/>
      <c r="W257" s="141" t="str">
        <f t="shared" si="18"/>
        <v/>
      </c>
      <c r="X257" s="133" t="str">
        <f>IFERROR(_xlfn.XLOOKUP($A257,'Raw Data'!$G:$G,'Raw Data'!AI:AI),"")</f>
        <v/>
      </c>
      <c r="Y257" s="133" t="str">
        <f>IFERROR(_xlfn.XLOOKUP($A257,'Raw Data'!$G:$G,'Raw Data'!AJ:AJ),"")</f>
        <v/>
      </c>
      <c r="Z257" s="133" t="str">
        <f>IFERROR(_xlfn.XLOOKUP($A257,'Raw Data'!$G:$G,'Raw Data'!AK:AK),"")</f>
        <v/>
      </c>
      <c r="AA257" s="133" t="str">
        <f>IFERROR(_xlfn.XLOOKUP($A257,'Raw Data'!$G:$G,'Raw Data'!AL:AL),"")</f>
        <v/>
      </c>
      <c r="AB257" s="133" t="str">
        <f>IFERROR(_xlfn.XLOOKUP($A257,'Raw Data'!$G:$G,'Raw Data'!H:H),"")</f>
        <v/>
      </c>
      <c r="AC257" s="142">
        <f>IFERROR(_xlfn.XLOOKUP($D257,'Modelling New'!$D:$D,'Modelling New'!P:P),"")</f>
        <v>5.2806451612903222</v>
      </c>
      <c r="AD257" s="133">
        <f>IFERROR(_xlfn.XLOOKUP($D257,'Modelling New'!$D:$D,'Modelling New'!$T:$T)*1000,"")</f>
        <v>31172.693339085006</v>
      </c>
      <c r="AE257" s="143">
        <f>IFERROR(_xlfn.XLOOKUP($D257,'Modelling New'!$D:$D,'Modelling New'!O:O),"")</f>
        <v>0.73597699552347362</v>
      </c>
      <c r="AF257" s="145">
        <f>IFERROR(_xlfn.XLOOKUP($D257,'Modelling New'!$D:$D,'Modelling New'!W:W),"")</f>
        <v>0.16193472334300082</v>
      </c>
      <c r="AG257" s="145">
        <f>IFERROR(_xlfn.XLOOKUP($D257,'Modelling New'!$D:$D,'Modelling New'!AE:AE),"")</f>
        <v>0.98040000000000005</v>
      </c>
      <c r="AH257" s="167">
        <f>IFERROR(_xlfn.XLOOKUP($D257,'Modelling New'!$D:$D,'Modelling New'!AF:AF),"")</f>
        <v>0.98</v>
      </c>
      <c r="AN257" s="144"/>
      <c r="AO257" s="141"/>
      <c r="AP257" s="141"/>
      <c r="AQ257" s="141"/>
      <c r="AR257" s="133">
        <f>'Basic Data'!$B$98/1000</f>
        <v>8.0208999999999993</v>
      </c>
    </row>
    <row r="258" spans="1:44" x14ac:dyDescent="0.3">
      <c r="A258" s="132">
        <f t="shared" si="19"/>
        <v>46001</v>
      </c>
      <c r="B258" s="133">
        <f>YEAR(Table13[[#This Row],[Date]])+IF(MONTH(Table13[[#This Row],[Date]])&gt;=4,1,0)</f>
        <v>2026</v>
      </c>
      <c r="C258" s="134">
        <f>YEAR(Table13[[#This Row],[Date]])</f>
        <v>2025</v>
      </c>
      <c r="D258" s="135">
        <f>Table13[[#This Row],[Date]]-DAY(Table13[[#This Row],[Date]])+1</f>
        <v>45992</v>
      </c>
      <c r="E258" s="134">
        <f t="shared" si="16"/>
        <v>31</v>
      </c>
      <c r="F258" s="136" t="str">
        <f>IFERROR(_xlfn.XLOOKUP($A258,'Raw Data'!$G:$G,'Raw Data'!$AM:$AM),"")</f>
        <v/>
      </c>
      <c r="G258" s="137" t="str">
        <f>IFERROR(_xlfn.XLOOKUP($A258,'Raw Data'!$G:$G,'Raw Data'!$AB:$AB),"")</f>
        <v/>
      </c>
      <c r="H258" s="137"/>
      <c r="I258" s="137" t="str">
        <f>IFERROR(_xlfn.XLOOKUP($A258,'Raw Data'!$G:$G,'Raw Data'!$AC:$AC),"")</f>
        <v/>
      </c>
      <c r="J258" s="137"/>
      <c r="K258" s="137" t="str">
        <f>IFERROR(_xlfn.XLOOKUP($A258,'Raw Data'!$G:$G,'Raw Data'!AD:AD),"")</f>
        <v/>
      </c>
      <c r="L258" s="137" t="str">
        <f>IFERROR(_xlfn.XLOOKUP($A258,'Raw Data'!$G:$G,'Raw Data'!AE:AE),"")</f>
        <v/>
      </c>
      <c r="M258" s="137" t="str">
        <f>IFERROR(_xlfn.XLOOKUP($A258,'Raw Data'!$G:$G,'Raw Data'!AF:AF),"")</f>
        <v/>
      </c>
      <c r="N258" s="137" t="str">
        <f>IFERROR(_xlfn.XLOOKUP($A258,'Raw Data'!$G:$G,'Raw Data'!AG:AG),"")</f>
        <v/>
      </c>
      <c r="O258" s="138" t="str">
        <f>IFERROR(1-SUMIF('Plant BD'!$H:$H,$A258,'Plant BD'!$AE:$AE)/($AA258+SUMIF('Plant BD'!$H:$H,$A258,'Plant BD'!$AE:$AE)),"")</f>
        <v/>
      </c>
      <c r="P258" s="138"/>
      <c r="Q258" s="139"/>
      <c r="R258" s="138" t="str">
        <f>IFERROR(1-SUMIF('Grid BD'!$H:$H,$A258,'Grid BD'!$AD:$AD)/($AA258+SUMIF('Grid BD'!$H:$H,$A258,'Grid BD'!$AD:$AD)),"")</f>
        <v/>
      </c>
      <c r="T258" s="139"/>
      <c r="U258" s="140" t="str">
        <f t="shared" si="17"/>
        <v/>
      </c>
      <c r="V258" s="140"/>
      <c r="W258" s="141" t="str">
        <f t="shared" si="18"/>
        <v/>
      </c>
      <c r="X258" s="133" t="str">
        <f>IFERROR(_xlfn.XLOOKUP($A258,'Raw Data'!$G:$G,'Raw Data'!AI:AI),"")</f>
        <v/>
      </c>
      <c r="Y258" s="133" t="str">
        <f>IFERROR(_xlfn.XLOOKUP($A258,'Raw Data'!$G:$G,'Raw Data'!AJ:AJ),"")</f>
        <v/>
      </c>
      <c r="Z258" s="133" t="str">
        <f>IFERROR(_xlfn.XLOOKUP($A258,'Raw Data'!$G:$G,'Raw Data'!AK:AK),"")</f>
        <v/>
      </c>
      <c r="AA258" s="133" t="str">
        <f>IFERROR(_xlfn.XLOOKUP($A258,'Raw Data'!$G:$G,'Raw Data'!AL:AL),"")</f>
        <v/>
      </c>
      <c r="AB258" s="133" t="str">
        <f>IFERROR(_xlfn.XLOOKUP($A258,'Raw Data'!$G:$G,'Raw Data'!H:H),"")</f>
        <v/>
      </c>
      <c r="AC258" s="142">
        <f>IFERROR(_xlfn.XLOOKUP($D258,'Modelling New'!$D:$D,'Modelling New'!P:P),"")</f>
        <v>5.2806451612903222</v>
      </c>
      <c r="AD258" s="133">
        <f>IFERROR(_xlfn.XLOOKUP($D258,'Modelling New'!$D:$D,'Modelling New'!$T:$T)*1000,"")</f>
        <v>31172.693339085006</v>
      </c>
      <c r="AE258" s="143">
        <f>IFERROR(_xlfn.XLOOKUP($D258,'Modelling New'!$D:$D,'Modelling New'!O:O),"")</f>
        <v>0.73597699552347362</v>
      </c>
      <c r="AF258" s="145">
        <f>IFERROR(_xlfn.XLOOKUP($D258,'Modelling New'!$D:$D,'Modelling New'!W:W),"")</f>
        <v>0.16193472334300082</v>
      </c>
      <c r="AG258" s="145">
        <f>IFERROR(_xlfn.XLOOKUP($D258,'Modelling New'!$D:$D,'Modelling New'!AE:AE),"")</f>
        <v>0.98040000000000005</v>
      </c>
      <c r="AH258" s="167">
        <f>IFERROR(_xlfn.XLOOKUP($D258,'Modelling New'!$D:$D,'Modelling New'!AF:AF),"")</f>
        <v>0.98</v>
      </c>
      <c r="AN258" s="144"/>
      <c r="AO258" s="141"/>
      <c r="AP258" s="141"/>
      <c r="AQ258" s="141"/>
      <c r="AR258" s="133">
        <f>'Basic Data'!$B$98/1000</f>
        <v>8.0208999999999993</v>
      </c>
    </row>
    <row r="259" spans="1:44" x14ac:dyDescent="0.3">
      <c r="A259" s="132">
        <f t="shared" si="19"/>
        <v>46002</v>
      </c>
      <c r="B259" s="133">
        <f>YEAR(Table13[[#This Row],[Date]])+IF(MONTH(Table13[[#This Row],[Date]])&gt;=4,1,0)</f>
        <v>2026</v>
      </c>
      <c r="C259" s="134">
        <f>YEAR(Table13[[#This Row],[Date]])</f>
        <v>2025</v>
      </c>
      <c r="D259" s="135">
        <f>Table13[[#This Row],[Date]]-DAY(Table13[[#This Row],[Date]])+1</f>
        <v>45992</v>
      </c>
      <c r="E259" s="134">
        <f t="shared" si="16"/>
        <v>31</v>
      </c>
      <c r="F259" s="136" t="str">
        <f>IFERROR(_xlfn.XLOOKUP($A259,'Raw Data'!$G:$G,'Raw Data'!$AM:$AM),"")</f>
        <v/>
      </c>
      <c r="G259" s="137" t="str">
        <f>IFERROR(_xlfn.XLOOKUP($A259,'Raw Data'!$G:$G,'Raw Data'!$AB:$AB),"")</f>
        <v/>
      </c>
      <c r="H259" s="137"/>
      <c r="I259" s="137" t="str">
        <f>IFERROR(_xlfn.XLOOKUP($A259,'Raw Data'!$G:$G,'Raw Data'!$AC:$AC),"")</f>
        <v/>
      </c>
      <c r="J259" s="137"/>
      <c r="K259" s="137" t="str">
        <f>IFERROR(_xlfn.XLOOKUP($A259,'Raw Data'!$G:$G,'Raw Data'!AD:AD),"")</f>
        <v/>
      </c>
      <c r="L259" s="137" t="str">
        <f>IFERROR(_xlfn.XLOOKUP($A259,'Raw Data'!$G:$G,'Raw Data'!AE:AE),"")</f>
        <v/>
      </c>
      <c r="M259" s="137" t="str">
        <f>IFERROR(_xlfn.XLOOKUP($A259,'Raw Data'!$G:$G,'Raw Data'!AF:AF),"")</f>
        <v/>
      </c>
      <c r="N259" s="137" t="str">
        <f>IFERROR(_xlfn.XLOOKUP($A259,'Raw Data'!$G:$G,'Raw Data'!AG:AG),"")</f>
        <v/>
      </c>
      <c r="O259" s="138" t="str">
        <f>IFERROR(1-SUMIF('Plant BD'!$H:$H,$A259,'Plant BD'!$AE:$AE)/($AA259+SUMIF('Plant BD'!$H:$H,$A259,'Plant BD'!$AE:$AE)),"")</f>
        <v/>
      </c>
      <c r="P259" s="138"/>
      <c r="Q259" s="139"/>
      <c r="R259" s="138" t="str">
        <f>IFERROR(1-SUMIF('Grid BD'!$H:$H,$A259,'Grid BD'!$AD:$AD)/($AA259+SUMIF('Grid BD'!$H:$H,$A259,'Grid BD'!$AD:$AD)),"")</f>
        <v/>
      </c>
      <c r="T259" s="139"/>
      <c r="U259" s="140" t="str">
        <f t="shared" si="17"/>
        <v/>
      </c>
      <c r="V259" s="140"/>
      <c r="W259" s="141" t="str">
        <f t="shared" si="18"/>
        <v/>
      </c>
      <c r="X259" s="133" t="str">
        <f>IFERROR(_xlfn.XLOOKUP($A259,'Raw Data'!$G:$G,'Raw Data'!AI:AI),"")</f>
        <v/>
      </c>
      <c r="Y259" s="133" t="str">
        <f>IFERROR(_xlfn.XLOOKUP($A259,'Raw Data'!$G:$G,'Raw Data'!AJ:AJ),"")</f>
        <v/>
      </c>
      <c r="Z259" s="133" t="str">
        <f>IFERROR(_xlfn.XLOOKUP($A259,'Raw Data'!$G:$G,'Raw Data'!AK:AK),"")</f>
        <v/>
      </c>
      <c r="AA259" s="133" t="str">
        <f>IFERROR(_xlfn.XLOOKUP($A259,'Raw Data'!$G:$G,'Raw Data'!AL:AL),"")</f>
        <v/>
      </c>
      <c r="AB259" s="133" t="str">
        <f>IFERROR(_xlfn.XLOOKUP($A259,'Raw Data'!$G:$G,'Raw Data'!H:H),"")</f>
        <v/>
      </c>
      <c r="AC259" s="142">
        <f>IFERROR(_xlfn.XLOOKUP($D259,'Modelling New'!$D:$D,'Modelling New'!P:P),"")</f>
        <v>5.2806451612903222</v>
      </c>
      <c r="AD259" s="133">
        <f>IFERROR(_xlfn.XLOOKUP($D259,'Modelling New'!$D:$D,'Modelling New'!$T:$T)*1000,"")</f>
        <v>31172.693339085006</v>
      </c>
      <c r="AE259" s="143">
        <f>IFERROR(_xlfn.XLOOKUP($D259,'Modelling New'!$D:$D,'Modelling New'!O:O),"")</f>
        <v>0.73597699552347362</v>
      </c>
      <c r="AF259" s="145">
        <f>IFERROR(_xlfn.XLOOKUP($D259,'Modelling New'!$D:$D,'Modelling New'!W:W),"")</f>
        <v>0.16193472334300082</v>
      </c>
      <c r="AG259" s="145">
        <f>IFERROR(_xlfn.XLOOKUP($D259,'Modelling New'!$D:$D,'Modelling New'!AE:AE),"")</f>
        <v>0.98040000000000005</v>
      </c>
      <c r="AH259" s="167">
        <f>IFERROR(_xlfn.XLOOKUP($D259,'Modelling New'!$D:$D,'Modelling New'!AF:AF),"")</f>
        <v>0.98</v>
      </c>
      <c r="AN259" s="144"/>
      <c r="AO259" s="141"/>
      <c r="AP259" s="141"/>
      <c r="AQ259" s="141"/>
      <c r="AR259" s="133">
        <f>'Basic Data'!$B$98/1000</f>
        <v>8.0208999999999993</v>
      </c>
    </row>
    <row r="260" spans="1:44" x14ac:dyDescent="0.3">
      <c r="A260" s="132">
        <f t="shared" si="19"/>
        <v>46003</v>
      </c>
      <c r="B260" s="133">
        <f>YEAR(Table13[[#This Row],[Date]])+IF(MONTH(Table13[[#This Row],[Date]])&gt;=4,1,0)</f>
        <v>2026</v>
      </c>
      <c r="C260" s="134">
        <f>YEAR(Table13[[#This Row],[Date]])</f>
        <v>2025</v>
      </c>
      <c r="D260" s="135">
        <f>Table13[[#This Row],[Date]]-DAY(Table13[[#This Row],[Date]])+1</f>
        <v>45992</v>
      </c>
      <c r="E260" s="134">
        <f t="shared" si="16"/>
        <v>31</v>
      </c>
      <c r="F260" s="136" t="str">
        <f>IFERROR(_xlfn.XLOOKUP($A260,'Raw Data'!$G:$G,'Raw Data'!$AM:$AM),"")</f>
        <v/>
      </c>
      <c r="G260" s="137" t="str">
        <f>IFERROR(_xlfn.XLOOKUP($A260,'Raw Data'!$G:$G,'Raw Data'!$AB:$AB),"")</f>
        <v/>
      </c>
      <c r="H260" s="137"/>
      <c r="I260" s="137" t="str">
        <f>IFERROR(_xlfn.XLOOKUP($A260,'Raw Data'!$G:$G,'Raw Data'!$AC:$AC),"")</f>
        <v/>
      </c>
      <c r="J260" s="137"/>
      <c r="K260" s="137" t="str">
        <f>IFERROR(_xlfn.XLOOKUP($A260,'Raw Data'!$G:$G,'Raw Data'!AD:AD),"")</f>
        <v/>
      </c>
      <c r="L260" s="137" t="str">
        <f>IFERROR(_xlfn.XLOOKUP($A260,'Raw Data'!$G:$G,'Raw Data'!AE:AE),"")</f>
        <v/>
      </c>
      <c r="M260" s="137" t="str">
        <f>IFERROR(_xlfn.XLOOKUP($A260,'Raw Data'!$G:$G,'Raw Data'!AF:AF),"")</f>
        <v/>
      </c>
      <c r="N260" s="137" t="str">
        <f>IFERROR(_xlfn.XLOOKUP($A260,'Raw Data'!$G:$G,'Raw Data'!AG:AG),"")</f>
        <v/>
      </c>
      <c r="O260" s="138" t="str">
        <f>IFERROR(1-SUMIF('Plant BD'!$H:$H,$A260,'Plant BD'!$AE:$AE)/($AA260+SUMIF('Plant BD'!$H:$H,$A260,'Plant BD'!$AE:$AE)),"")</f>
        <v/>
      </c>
      <c r="P260" s="138"/>
      <c r="Q260" s="139"/>
      <c r="R260" s="138" t="str">
        <f>IFERROR(1-SUMIF('Grid BD'!$H:$H,$A260,'Grid BD'!$AD:$AD)/($AA260+SUMIF('Grid BD'!$H:$H,$A260,'Grid BD'!$AD:$AD)),"")</f>
        <v/>
      </c>
      <c r="T260" s="139"/>
      <c r="U260" s="140" t="str">
        <f t="shared" si="17"/>
        <v/>
      </c>
      <c r="V260" s="140"/>
      <c r="W260" s="141" t="str">
        <f t="shared" si="18"/>
        <v/>
      </c>
      <c r="X260" s="133" t="str">
        <f>IFERROR(_xlfn.XLOOKUP($A260,'Raw Data'!$G:$G,'Raw Data'!AI:AI),"")</f>
        <v/>
      </c>
      <c r="Y260" s="133" t="str">
        <f>IFERROR(_xlfn.XLOOKUP($A260,'Raw Data'!$G:$G,'Raw Data'!AJ:AJ),"")</f>
        <v/>
      </c>
      <c r="Z260" s="133" t="str">
        <f>IFERROR(_xlfn.XLOOKUP($A260,'Raw Data'!$G:$G,'Raw Data'!AK:AK),"")</f>
        <v/>
      </c>
      <c r="AA260" s="133" t="str">
        <f>IFERROR(_xlfn.XLOOKUP($A260,'Raw Data'!$G:$G,'Raw Data'!AL:AL),"")</f>
        <v/>
      </c>
      <c r="AB260" s="133" t="str">
        <f>IFERROR(_xlfn.XLOOKUP($A260,'Raw Data'!$G:$G,'Raw Data'!H:H),"")</f>
        <v/>
      </c>
      <c r="AC260" s="142">
        <f>IFERROR(_xlfn.XLOOKUP($D260,'Modelling New'!$D:$D,'Modelling New'!P:P),"")</f>
        <v>5.2806451612903222</v>
      </c>
      <c r="AD260" s="133">
        <f>IFERROR(_xlfn.XLOOKUP($D260,'Modelling New'!$D:$D,'Modelling New'!$T:$T)*1000,"")</f>
        <v>31172.693339085006</v>
      </c>
      <c r="AE260" s="143">
        <f>IFERROR(_xlfn.XLOOKUP($D260,'Modelling New'!$D:$D,'Modelling New'!O:O),"")</f>
        <v>0.73597699552347362</v>
      </c>
      <c r="AF260" s="145">
        <f>IFERROR(_xlfn.XLOOKUP($D260,'Modelling New'!$D:$D,'Modelling New'!W:W),"")</f>
        <v>0.16193472334300082</v>
      </c>
      <c r="AG260" s="145">
        <f>IFERROR(_xlfn.XLOOKUP($D260,'Modelling New'!$D:$D,'Modelling New'!AE:AE),"")</f>
        <v>0.98040000000000005</v>
      </c>
      <c r="AH260" s="167">
        <f>IFERROR(_xlfn.XLOOKUP($D260,'Modelling New'!$D:$D,'Modelling New'!AF:AF),"")</f>
        <v>0.98</v>
      </c>
      <c r="AN260" s="144"/>
      <c r="AO260" s="141"/>
      <c r="AP260" s="141"/>
      <c r="AQ260" s="141"/>
      <c r="AR260" s="133">
        <f>'Basic Data'!$B$98/1000</f>
        <v>8.0208999999999993</v>
      </c>
    </row>
    <row r="261" spans="1:44" x14ac:dyDescent="0.3">
      <c r="A261" s="132">
        <f t="shared" si="19"/>
        <v>46004</v>
      </c>
      <c r="B261" s="133">
        <f>YEAR(Table13[[#This Row],[Date]])+IF(MONTH(Table13[[#This Row],[Date]])&gt;=4,1,0)</f>
        <v>2026</v>
      </c>
      <c r="C261" s="134">
        <f>YEAR(Table13[[#This Row],[Date]])</f>
        <v>2025</v>
      </c>
      <c r="D261" s="135">
        <f>Table13[[#This Row],[Date]]-DAY(Table13[[#This Row],[Date]])+1</f>
        <v>45992</v>
      </c>
      <c r="E261" s="134">
        <f t="shared" si="16"/>
        <v>31</v>
      </c>
      <c r="F261" s="136" t="str">
        <f>IFERROR(_xlfn.XLOOKUP($A261,'Raw Data'!$G:$G,'Raw Data'!$AM:$AM),"")</f>
        <v/>
      </c>
      <c r="G261" s="137" t="str">
        <f>IFERROR(_xlfn.XLOOKUP($A261,'Raw Data'!$G:$G,'Raw Data'!$AB:$AB),"")</f>
        <v/>
      </c>
      <c r="H261" s="137"/>
      <c r="I261" s="137" t="str">
        <f>IFERROR(_xlfn.XLOOKUP($A261,'Raw Data'!$G:$G,'Raw Data'!$AC:$AC),"")</f>
        <v/>
      </c>
      <c r="J261" s="137"/>
      <c r="K261" s="137" t="str">
        <f>IFERROR(_xlfn.XLOOKUP($A261,'Raw Data'!$G:$G,'Raw Data'!AD:AD),"")</f>
        <v/>
      </c>
      <c r="L261" s="137" t="str">
        <f>IFERROR(_xlfn.XLOOKUP($A261,'Raw Data'!$G:$G,'Raw Data'!AE:AE),"")</f>
        <v/>
      </c>
      <c r="M261" s="137" t="str">
        <f>IFERROR(_xlfn.XLOOKUP($A261,'Raw Data'!$G:$G,'Raw Data'!AF:AF),"")</f>
        <v/>
      </c>
      <c r="N261" s="137" t="str">
        <f>IFERROR(_xlfn.XLOOKUP($A261,'Raw Data'!$G:$G,'Raw Data'!AG:AG),"")</f>
        <v/>
      </c>
      <c r="O261" s="138" t="str">
        <f>IFERROR(1-SUMIF('Plant BD'!$H:$H,$A261,'Plant BD'!$AE:$AE)/($AA261+SUMIF('Plant BD'!$H:$H,$A261,'Plant BD'!$AE:$AE)),"")</f>
        <v/>
      </c>
      <c r="P261" s="138"/>
      <c r="Q261" s="139"/>
      <c r="R261" s="138" t="str">
        <f>IFERROR(1-SUMIF('Grid BD'!$H:$H,$A261,'Grid BD'!$AD:$AD)/($AA261+SUMIF('Grid BD'!$H:$H,$A261,'Grid BD'!$AD:$AD)),"")</f>
        <v/>
      </c>
      <c r="T261" s="139"/>
      <c r="U261" s="140" t="str">
        <f t="shared" si="17"/>
        <v/>
      </c>
      <c r="V261" s="140"/>
      <c r="W261" s="141" t="str">
        <f t="shared" si="18"/>
        <v/>
      </c>
      <c r="X261" s="133" t="str">
        <f>IFERROR(_xlfn.XLOOKUP($A261,'Raw Data'!$G:$G,'Raw Data'!AI:AI),"")</f>
        <v/>
      </c>
      <c r="Y261" s="133" t="str">
        <f>IFERROR(_xlfn.XLOOKUP($A261,'Raw Data'!$G:$G,'Raw Data'!AJ:AJ),"")</f>
        <v/>
      </c>
      <c r="Z261" s="133" t="str">
        <f>IFERROR(_xlfn.XLOOKUP($A261,'Raw Data'!$G:$G,'Raw Data'!AK:AK),"")</f>
        <v/>
      </c>
      <c r="AA261" s="133" t="str">
        <f>IFERROR(_xlfn.XLOOKUP($A261,'Raw Data'!$G:$G,'Raw Data'!AL:AL),"")</f>
        <v/>
      </c>
      <c r="AB261" s="133" t="str">
        <f>IFERROR(_xlfn.XLOOKUP($A261,'Raw Data'!$G:$G,'Raw Data'!H:H),"")</f>
        <v/>
      </c>
      <c r="AC261" s="142">
        <f>IFERROR(_xlfn.XLOOKUP($D261,'Modelling New'!$D:$D,'Modelling New'!P:P),"")</f>
        <v>5.2806451612903222</v>
      </c>
      <c r="AD261" s="133">
        <f>IFERROR(_xlfn.XLOOKUP($D261,'Modelling New'!$D:$D,'Modelling New'!$T:$T)*1000,"")</f>
        <v>31172.693339085006</v>
      </c>
      <c r="AE261" s="143">
        <f>IFERROR(_xlfn.XLOOKUP($D261,'Modelling New'!$D:$D,'Modelling New'!O:O),"")</f>
        <v>0.73597699552347362</v>
      </c>
      <c r="AF261" s="145">
        <f>IFERROR(_xlfn.XLOOKUP($D261,'Modelling New'!$D:$D,'Modelling New'!W:W),"")</f>
        <v>0.16193472334300082</v>
      </c>
      <c r="AG261" s="145">
        <f>IFERROR(_xlfn.XLOOKUP($D261,'Modelling New'!$D:$D,'Modelling New'!AE:AE),"")</f>
        <v>0.98040000000000005</v>
      </c>
      <c r="AH261" s="167">
        <f>IFERROR(_xlfn.XLOOKUP($D261,'Modelling New'!$D:$D,'Modelling New'!AF:AF),"")</f>
        <v>0.98</v>
      </c>
      <c r="AN261" s="144"/>
      <c r="AO261" s="141"/>
      <c r="AP261" s="141"/>
      <c r="AQ261" s="141"/>
      <c r="AR261" s="133">
        <f>'Basic Data'!$B$98/1000</f>
        <v>8.0208999999999993</v>
      </c>
    </row>
    <row r="262" spans="1:44" x14ac:dyDescent="0.3">
      <c r="A262" s="132">
        <f t="shared" si="19"/>
        <v>46005</v>
      </c>
      <c r="B262" s="133">
        <f>YEAR(Table13[[#This Row],[Date]])+IF(MONTH(Table13[[#This Row],[Date]])&gt;=4,1,0)</f>
        <v>2026</v>
      </c>
      <c r="C262" s="134">
        <f>YEAR(Table13[[#This Row],[Date]])</f>
        <v>2025</v>
      </c>
      <c r="D262" s="135">
        <f>Table13[[#This Row],[Date]]-DAY(Table13[[#This Row],[Date]])+1</f>
        <v>45992</v>
      </c>
      <c r="E262" s="134">
        <f t="shared" si="16"/>
        <v>31</v>
      </c>
      <c r="F262" s="136" t="str">
        <f>IFERROR(_xlfn.XLOOKUP($A262,'Raw Data'!$G:$G,'Raw Data'!$AM:$AM),"")</f>
        <v/>
      </c>
      <c r="G262" s="137" t="str">
        <f>IFERROR(_xlfn.XLOOKUP($A262,'Raw Data'!$G:$G,'Raw Data'!$AB:$AB),"")</f>
        <v/>
      </c>
      <c r="H262" s="137"/>
      <c r="I262" s="137" t="str">
        <f>IFERROR(_xlfn.XLOOKUP($A262,'Raw Data'!$G:$G,'Raw Data'!$AC:$AC),"")</f>
        <v/>
      </c>
      <c r="J262" s="137"/>
      <c r="K262" s="137" t="str">
        <f>IFERROR(_xlfn.XLOOKUP($A262,'Raw Data'!$G:$G,'Raw Data'!AD:AD),"")</f>
        <v/>
      </c>
      <c r="L262" s="137" t="str">
        <f>IFERROR(_xlfn.XLOOKUP($A262,'Raw Data'!$G:$G,'Raw Data'!AE:AE),"")</f>
        <v/>
      </c>
      <c r="M262" s="137" t="str">
        <f>IFERROR(_xlfn.XLOOKUP($A262,'Raw Data'!$G:$G,'Raw Data'!AF:AF),"")</f>
        <v/>
      </c>
      <c r="N262" s="137" t="str">
        <f>IFERROR(_xlfn.XLOOKUP($A262,'Raw Data'!$G:$G,'Raw Data'!AG:AG),"")</f>
        <v/>
      </c>
      <c r="O262" s="138" t="str">
        <f>IFERROR(1-SUMIF('Plant BD'!$H:$H,$A262,'Plant BD'!$AE:$AE)/($AA262+SUMIF('Plant BD'!$H:$H,$A262,'Plant BD'!$AE:$AE)),"")</f>
        <v/>
      </c>
      <c r="P262" s="138"/>
      <c r="Q262" s="139"/>
      <c r="R262" s="138" t="str">
        <f>IFERROR(1-SUMIF('Grid BD'!$H:$H,$A262,'Grid BD'!$AD:$AD)/($AA262+SUMIF('Grid BD'!$H:$H,$A262,'Grid BD'!$AD:$AD)),"")</f>
        <v/>
      </c>
      <c r="T262" s="139"/>
      <c r="U262" s="140" t="str">
        <f t="shared" si="17"/>
        <v/>
      </c>
      <c r="V262" s="140"/>
      <c r="W262" s="141" t="str">
        <f t="shared" si="18"/>
        <v/>
      </c>
      <c r="X262" s="133" t="str">
        <f>IFERROR(_xlfn.XLOOKUP($A262,'Raw Data'!$G:$G,'Raw Data'!AI:AI),"")</f>
        <v/>
      </c>
      <c r="Y262" s="133" t="str">
        <f>IFERROR(_xlfn.XLOOKUP($A262,'Raw Data'!$G:$G,'Raw Data'!AJ:AJ),"")</f>
        <v/>
      </c>
      <c r="Z262" s="133" t="str">
        <f>IFERROR(_xlfn.XLOOKUP($A262,'Raw Data'!$G:$G,'Raw Data'!AK:AK),"")</f>
        <v/>
      </c>
      <c r="AA262" s="133" t="str">
        <f>IFERROR(_xlfn.XLOOKUP($A262,'Raw Data'!$G:$G,'Raw Data'!AL:AL),"")</f>
        <v/>
      </c>
      <c r="AB262" s="133" t="str">
        <f>IFERROR(_xlfn.XLOOKUP($A262,'Raw Data'!$G:$G,'Raw Data'!H:H),"")</f>
        <v/>
      </c>
      <c r="AC262" s="142">
        <f>IFERROR(_xlfn.XLOOKUP($D262,'Modelling New'!$D:$D,'Modelling New'!P:P),"")</f>
        <v>5.2806451612903222</v>
      </c>
      <c r="AD262" s="133">
        <f>IFERROR(_xlfn.XLOOKUP($D262,'Modelling New'!$D:$D,'Modelling New'!$T:$T)*1000,"")</f>
        <v>31172.693339085006</v>
      </c>
      <c r="AE262" s="143">
        <f>IFERROR(_xlfn.XLOOKUP($D262,'Modelling New'!$D:$D,'Modelling New'!O:O),"")</f>
        <v>0.73597699552347362</v>
      </c>
      <c r="AF262" s="145">
        <f>IFERROR(_xlfn.XLOOKUP($D262,'Modelling New'!$D:$D,'Modelling New'!W:W),"")</f>
        <v>0.16193472334300082</v>
      </c>
      <c r="AG262" s="145">
        <f>IFERROR(_xlfn.XLOOKUP($D262,'Modelling New'!$D:$D,'Modelling New'!AE:AE),"")</f>
        <v>0.98040000000000005</v>
      </c>
      <c r="AH262" s="167">
        <f>IFERROR(_xlfn.XLOOKUP($D262,'Modelling New'!$D:$D,'Modelling New'!AF:AF),"")</f>
        <v>0.98</v>
      </c>
      <c r="AN262" s="144"/>
      <c r="AO262" s="141"/>
      <c r="AP262" s="141"/>
      <c r="AQ262" s="141"/>
      <c r="AR262" s="133">
        <f>'Basic Data'!$B$98/1000</f>
        <v>8.0208999999999993</v>
      </c>
    </row>
    <row r="263" spans="1:44" x14ac:dyDescent="0.3">
      <c r="A263" s="132">
        <f t="shared" si="19"/>
        <v>46006</v>
      </c>
      <c r="B263" s="133">
        <f>YEAR(Table13[[#This Row],[Date]])+IF(MONTH(Table13[[#This Row],[Date]])&gt;=4,1,0)</f>
        <v>2026</v>
      </c>
      <c r="C263" s="134">
        <f>YEAR(Table13[[#This Row],[Date]])</f>
        <v>2025</v>
      </c>
      <c r="D263" s="135">
        <f>Table13[[#This Row],[Date]]-DAY(Table13[[#This Row],[Date]])+1</f>
        <v>45992</v>
      </c>
      <c r="E263" s="134">
        <f t="shared" si="16"/>
        <v>31</v>
      </c>
      <c r="F263" s="136" t="str">
        <f>IFERROR(_xlfn.XLOOKUP($A263,'Raw Data'!$G:$G,'Raw Data'!$AM:$AM),"")</f>
        <v/>
      </c>
      <c r="G263" s="137" t="str">
        <f>IFERROR(_xlfn.XLOOKUP($A263,'Raw Data'!$G:$G,'Raw Data'!$AB:$AB),"")</f>
        <v/>
      </c>
      <c r="H263" s="137"/>
      <c r="I263" s="137" t="str">
        <f>IFERROR(_xlfn.XLOOKUP($A263,'Raw Data'!$G:$G,'Raw Data'!$AC:$AC),"")</f>
        <v/>
      </c>
      <c r="J263" s="137"/>
      <c r="K263" s="137" t="str">
        <f>IFERROR(_xlfn.XLOOKUP($A263,'Raw Data'!$G:$G,'Raw Data'!AD:AD),"")</f>
        <v/>
      </c>
      <c r="L263" s="137" t="str">
        <f>IFERROR(_xlfn.XLOOKUP($A263,'Raw Data'!$G:$G,'Raw Data'!AE:AE),"")</f>
        <v/>
      </c>
      <c r="M263" s="137" t="str">
        <f>IFERROR(_xlfn.XLOOKUP($A263,'Raw Data'!$G:$G,'Raw Data'!AF:AF),"")</f>
        <v/>
      </c>
      <c r="N263" s="137" t="str">
        <f>IFERROR(_xlfn.XLOOKUP($A263,'Raw Data'!$G:$G,'Raw Data'!AG:AG),"")</f>
        <v/>
      </c>
      <c r="O263" s="138" t="str">
        <f>IFERROR(1-SUMIF('Plant BD'!$H:$H,$A263,'Plant BD'!$AE:$AE)/($AA263+SUMIF('Plant BD'!$H:$H,$A263,'Plant BD'!$AE:$AE)),"")</f>
        <v/>
      </c>
      <c r="P263" s="138"/>
      <c r="Q263" s="139"/>
      <c r="R263" s="138" t="str">
        <f>IFERROR(1-SUMIF('Grid BD'!$H:$H,$A263,'Grid BD'!$AD:$AD)/($AA263+SUMIF('Grid BD'!$H:$H,$A263,'Grid BD'!$AD:$AD)),"")</f>
        <v/>
      </c>
      <c r="T263" s="139"/>
      <c r="U263" s="140" t="str">
        <f t="shared" si="17"/>
        <v/>
      </c>
      <c r="V263" s="140"/>
      <c r="W263" s="141" t="str">
        <f t="shared" si="18"/>
        <v/>
      </c>
      <c r="X263" s="133" t="str">
        <f>IFERROR(_xlfn.XLOOKUP($A263,'Raw Data'!$G:$G,'Raw Data'!AI:AI),"")</f>
        <v/>
      </c>
      <c r="Y263" s="133" t="str">
        <f>IFERROR(_xlfn.XLOOKUP($A263,'Raw Data'!$G:$G,'Raw Data'!AJ:AJ),"")</f>
        <v/>
      </c>
      <c r="Z263" s="133" t="str">
        <f>IFERROR(_xlfn.XLOOKUP($A263,'Raw Data'!$G:$G,'Raw Data'!AK:AK),"")</f>
        <v/>
      </c>
      <c r="AA263" s="133" t="str">
        <f>IFERROR(_xlfn.XLOOKUP($A263,'Raw Data'!$G:$G,'Raw Data'!AL:AL),"")</f>
        <v/>
      </c>
      <c r="AB263" s="133" t="str">
        <f>IFERROR(_xlfn.XLOOKUP($A263,'Raw Data'!$G:$G,'Raw Data'!H:H),"")</f>
        <v/>
      </c>
      <c r="AC263" s="142">
        <f>IFERROR(_xlfn.XLOOKUP($D263,'Modelling New'!$D:$D,'Modelling New'!P:P),"")</f>
        <v>5.2806451612903222</v>
      </c>
      <c r="AD263" s="133">
        <f>IFERROR(_xlfn.XLOOKUP($D263,'Modelling New'!$D:$D,'Modelling New'!$T:$T)*1000,"")</f>
        <v>31172.693339085006</v>
      </c>
      <c r="AE263" s="143">
        <f>IFERROR(_xlfn.XLOOKUP($D263,'Modelling New'!$D:$D,'Modelling New'!O:O),"")</f>
        <v>0.73597699552347362</v>
      </c>
      <c r="AF263" s="145">
        <f>IFERROR(_xlfn.XLOOKUP($D263,'Modelling New'!$D:$D,'Modelling New'!W:W),"")</f>
        <v>0.16193472334300082</v>
      </c>
      <c r="AG263" s="145">
        <f>IFERROR(_xlfn.XLOOKUP($D263,'Modelling New'!$D:$D,'Modelling New'!AE:AE),"")</f>
        <v>0.98040000000000005</v>
      </c>
      <c r="AH263" s="167">
        <f>IFERROR(_xlfn.XLOOKUP($D263,'Modelling New'!$D:$D,'Modelling New'!AF:AF),"")</f>
        <v>0.98</v>
      </c>
      <c r="AN263" s="144"/>
      <c r="AO263" s="141"/>
      <c r="AP263" s="141"/>
      <c r="AQ263" s="141"/>
      <c r="AR263" s="133">
        <f>'Basic Data'!$B$98/1000</f>
        <v>8.0208999999999993</v>
      </c>
    </row>
    <row r="264" spans="1:44" x14ac:dyDescent="0.3">
      <c r="A264" s="132">
        <f t="shared" si="19"/>
        <v>46007</v>
      </c>
      <c r="B264" s="133">
        <f>YEAR(Table13[[#This Row],[Date]])+IF(MONTH(Table13[[#This Row],[Date]])&gt;=4,1,0)</f>
        <v>2026</v>
      </c>
      <c r="C264" s="134">
        <f>YEAR(Table13[[#This Row],[Date]])</f>
        <v>2025</v>
      </c>
      <c r="D264" s="135">
        <f>Table13[[#This Row],[Date]]-DAY(Table13[[#This Row],[Date]])+1</f>
        <v>45992</v>
      </c>
      <c r="E264" s="134">
        <f t="shared" si="16"/>
        <v>31</v>
      </c>
      <c r="F264" s="136" t="str">
        <f>IFERROR(_xlfn.XLOOKUP($A264,'Raw Data'!$G:$G,'Raw Data'!$AM:$AM),"")</f>
        <v/>
      </c>
      <c r="G264" s="137" t="str">
        <f>IFERROR(_xlfn.XLOOKUP($A264,'Raw Data'!$G:$G,'Raw Data'!$AB:$AB),"")</f>
        <v/>
      </c>
      <c r="H264" s="137"/>
      <c r="I264" s="137" t="str">
        <f>IFERROR(_xlfn.XLOOKUP($A264,'Raw Data'!$G:$G,'Raw Data'!$AC:$AC),"")</f>
        <v/>
      </c>
      <c r="J264" s="137"/>
      <c r="K264" s="137" t="str">
        <f>IFERROR(_xlfn.XLOOKUP($A264,'Raw Data'!$G:$G,'Raw Data'!AD:AD),"")</f>
        <v/>
      </c>
      <c r="L264" s="137" t="str">
        <f>IFERROR(_xlfn.XLOOKUP($A264,'Raw Data'!$G:$G,'Raw Data'!AE:AE),"")</f>
        <v/>
      </c>
      <c r="M264" s="137" t="str">
        <f>IFERROR(_xlfn.XLOOKUP($A264,'Raw Data'!$G:$G,'Raw Data'!AF:AF),"")</f>
        <v/>
      </c>
      <c r="N264" s="137" t="str">
        <f>IFERROR(_xlfn.XLOOKUP($A264,'Raw Data'!$G:$G,'Raw Data'!AG:AG),"")</f>
        <v/>
      </c>
      <c r="O264" s="138" t="str">
        <f>IFERROR(1-SUMIF('Plant BD'!$H:$H,$A264,'Plant BD'!$AE:$AE)/($AA264+SUMIF('Plant BD'!$H:$H,$A264,'Plant BD'!$AE:$AE)),"")</f>
        <v/>
      </c>
      <c r="P264" s="138"/>
      <c r="Q264" s="139"/>
      <c r="R264" s="138" t="str">
        <f>IFERROR(1-SUMIF('Grid BD'!$H:$H,$A264,'Grid BD'!$AD:$AD)/($AA264+SUMIF('Grid BD'!$H:$H,$A264,'Grid BD'!$AD:$AD)),"")</f>
        <v/>
      </c>
      <c r="T264" s="139"/>
      <c r="U264" s="140" t="str">
        <f t="shared" si="17"/>
        <v/>
      </c>
      <c r="V264" s="140"/>
      <c r="W264" s="141" t="str">
        <f t="shared" si="18"/>
        <v/>
      </c>
      <c r="X264" s="133" t="str">
        <f>IFERROR(_xlfn.XLOOKUP($A264,'Raw Data'!$G:$G,'Raw Data'!AI:AI),"")</f>
        <v/>
      </c>
      <c r="Y264" s="133" t="str">
        <f>IFERROR(_xlfn.XLOOKUP($A264,'Raw Data'!$G:$G,'Raw Data'!AJ:AJ),"")</f>
        <v/>
      </c>
      <c r="Z264" s="133" t="str">
        <f>IFERROR(_xlfn.XLOOKUP($A264,'Raw Data'!$G:$G,'Raw Data'!AK:AK),"")</f>
        <v/>
      </c>
      <c r="AA264" s="133" t="str">
        <f>IFERROR(_xlfn.XLOOKUP($A264,'Raw Data'!$G:$G,'Raw Data'!AL:AL),"")</f>
        <v/>
      </c>
      <c r="AB264" s="133" t="str">
        <f>IFERROR(_xlfn.XLOOKUP($A264,'Raw Data'!$G:$G,'Raw Data'!H:H),"")</f>
        <v/>
      </c>
      <c r="AC264" s="142">
        <f>IFERROR(_xlfn.XLOOKUP($D264,'Modelling New'!$D:$D,'Modelling New'!P:P),"")</f>
        <v>5.2806451612903222</v>
      </c>
      <c r="AD264" s="133">
        <f>IFERROR(_xlfn.XLOOKUP($D264,'Modelling New'!$D:$D,'Modelling New'!$T:$T)*1000,"")</f>
        <v>31172.693339085006</v>
      </c>
      <c r="AE264" s="143">
        <f>IFERROR(_xlfn.XLOOKUP($D264,'Modelling New'!$D:$D,'Modelling New'!O:O),"")</f>
        <v>0.73597699552347362</v>
      </c>
      <c r="AF264" s="145">
        <f>IFERROR(_xlfn.XLOOKUP($D264,'Modelling New'!$D:$D,'Modelling New'!W:W),"")</f>
        <v>0.16193472334300082</v>
      </c>
      <c r="AG264" s="145">
        <f>IFERROR(_xlfn.XLOOKUP($D264,'Modelling New'!$D:$D,'Modelling New'!AE:AE),"")</f>
        <v>0.98040000000000005</v>
      </c>
      <c r="AH264" s="167">
        <f>IFERROR(_xlfn.XLOOKUP($D264,'Modelling New'!$D:$D,'Modelling New'!AF:AF),"")</f>
        <v>0.98</v>
      </c>
      <c r="AN264" s="144"/>
      <c r="AO264" s="141"/>
      <c r="AP264" s="141"/>
      <c r="AQ264" s="141"/>
      <c r="AR264" s="133">
        <f>'Basic Data'!$B$98/1000</f>
        <v>8.0208999999999993</v>
      </c>
    </row>
    <row r="265" spans="1:44" x14ac:dyDescent="0.3">
      <c r="A265" s="132">
        <f t="shared" si="19"/>
        <v>46008</v>
      </c>
      <c r="B265" s="133">
        <f>YEAR(Table13[[#This Row],[Date]])+IF(MONTH(Table13[[#This Row],[Date]])&gt;=4,1,0)</f>
        <v>2026</v>
      </c>
      <c r="C265" s="134">
        <f>YEAR(Table13[[#This Row],[Date]])</f>
        <v>2025</v>
      </c>
      <c r="D265" s="135">
        <f>Table13[[#This Row],[Date]]-DAY(Table13[[#This Row],[Date]])+1</f>
        <v>45992</v>
      </c>
      <c r="E265" s="134">
        <f t="shared" si="16"/>
        <v>31</v>
      </c>
      <c r="F265" s="136" t="str">
        <f>IFERROR(_xlfn.XLOOKUP($A265,'Raw Data'!$G:$G,'Raw Data'!$AM:$AM),"")</f>
        <v/>
      </c>
      <c r="G265" s="137" t="str">
        <f>IFERROR(_xlfn.XLOOKUP($A265,'Raw Data'!$G:$G,'Raw Data'!$AB:$AB),"")</f>
        <v/>
      </c>
      <c r="H265" s="137"/>
      <c r="I265" s="137" t="str">
        <f>IFERROR(_xlfn.XLOOKUP($A265,'Raw Data'!$G:$G,'Raw Data'!$AC:$AC),"")</f>
        <v/>
      </c>
      <c r="J265" s="137"/>
      <c r="K265" s="137" t="str">
        <f>IFERROR(_xlfn.XLOOKUP($A265,'Raw Data'!$G:$G,'Raw Data'!AD:AD),"")</f>
        <v/>
      </c>
      <c r="L265" s="137" t="str">
        <f>IFERROR(_xlfn.XLOOKUP($A265,'Raw Data'!$G:$G,'Raw Data'!AE:AE),"")</f>
        <v/>
      </c>
      <c r="M265" s="137" t="str">
        <f>IFERROR(_xlfn.XLOOKUP($A265,'Raw Data'!$G:$G,'Raw Data'!AF:AF),"")</f>
        <v/>
      </c>
      <c r="N265" s="137" t="str">
        <f>IFERROR(_xlfn.XLOOKUP($A265,'Raw Data'!$G:$G,'Raw Data'!AG:AG),"")</f>
        <v/>
      </c>
      <c r="O265" s="138" t="str">
        <f>IFERROR(1-SUMIF('Plant BD'!$H:$H,$A265,'Plant BD'!$AE:$AE)/($AA265+SUMIF('Plant BD'!$H:$H,$A265,'Plant BD'!$AE:$AE)),"")</f>
        <v/>
      </c>
      <c r="P265" s="138"/>
      <c r="Q265" s="139"/>
      <c r="R265" s="138" t="str">
        <f>IFERROR(1-SUMIF('Grid BD'!$H:$H,$A265,'Grid BD'!$AD:$AD)/($AA265+SUMIF('Grid BD'!$H:$H,$A265,'Grid BD'!$AD:$AD)),"")</f>
        <v/>
      </c>
      <c r="T265" s="139"/>
      <c r="U265" s="140" t="str">
        <f t="shared" si="17"/>
        <v/>
      </c>
      <c r="V265" s="140"/>
      <c r="W265" s="141" t="str">
        <f t="shared" si="18"/>
        <v/>
      </c>
      <c r="X265" s="133" t="str">
        <f>IFERROR(_xlfn.XLOOKUP($A265,'Raw Data'!$G:$G,'Raw Data'!AI:AI),"")</f>
        <v/>
      </c>
      <c r="Y265" s="133" t="str">
        <f>IFERROR(_xlfn.XLOOKUP($A265,'Raw Data'!$G:$G,'Raw Data'!AJ:AJ),"")</f>
        <v/>
      </c>
      <c r="Z265" s="133" t="str">
        <f>IFERROR(_xlfn.XLOOKUP($A265,'Raw Data'!$G:$G,'Raw Data'!AK:AK),"")</f>
        <v/>
      </c>
      <c r="AA265" s="133" t="str">
        <f>IFERROR(_xlfn.XLOOKUP($A265,'Raw Data'!$G:$G,'Raw Data'!AL:AL),"")</f>
        <v/>
      </c>
      <c r="AB265" s="133" t="str">
        <f>IFERROR(_xlfn.XLOOKUP($A265,'Raw Data'!$G:$G,'Raw Data'!H:H),"")</f>
        <v/>
      </c>
      <c r="AC265" s="142">
        <f>IFERROR(_xlfn.XLOOKUP($D265,'Modelling New'!$D:$D,'Modelling New'!P:P),"")</f>
        <v>5.2806451612903222</v>
      </c>
      <c r="AD265" s="133">
        <f>IFERROR(_xlfn.XLOOKUP($D265,'Modelling New'!$D:$D,'Modelling New'!$T:$T)*1000,"")</f>
        <v>31172.693339085006</v>
      </c>
      <c r="AE265" s="143">
        <f>IFERROR(_xlfn.XLOOKUP($D265,'Modelling New'!$D:$D,'Modelling New'!O:O),"")</f>
        <v>0.73597699552347362</v>
      </c>
      <c r="AF265" s="145">
        <f>IFERROR(_xlfn.XLOOKUP($D265,'Modelling New'!$D:$D,'Modelling New'!W:W),"")</f>
        <v>0.16193472334300082</v>
      </c>
      <c r="AG265" s="145">
        <f>IFERROR(_xlfn.XLOOKUP($D265,'Modelling New'!$D:$D,'Modelling New'!AE:AE),"")</f>
        <v>0.98040000000000005</v>
      </c>
      <c r="AH265" s="167">
        <f>IFERROR(_xlfn.XLOOKUP($D265,'Modelling New'!$D:$D,'Modelling New'!AF:AF),"")</f>
        <v>0.98</v>
      </c>
      <c r="AN265" s="144"/>
      <c r="AO265" s="141"/>
      <c r="AP265" s="141"/>
      <c r="AQ265" s="141"/>
      <c r="AR265" s="133">
        <f>'Basic Data'!$B$98/1000</f>
        <v>8.0208999999999993</v>
      </c>
    </row>
    <row r="266" spans="1:44" x14ac:dyDescent="0.3">
      <c r="A266" s="132">
        <f t="shared" si="19"/>
        <v>46009</v>
      </c>
      <c r="B266" s="133">
        <f>YEAR(Table13[[#This Row],[Date]])+IF(MONTH(Table13[[#This Row],[Date]])&gt;=4,1,0)</f>
        <v>2026</v>
      </c>
      <c r="C266" s="134">
        <f>YEAR(Table13[[#This Row],[Date]])</f>
        <v>2025</v>
      </c>
      <c r="D266" s="135">
        <f>Table13[[#This Row],[Date]]-DAY(Table13[[#This Row],[Date]])+1</f>
        <v>45992</v>
      </c>
      <c r="E266" s="134">
        <f t="shared" si="16"/>
        <v>31</v>
      </c>
      <c r="F266" s="136" t="str">
        <f>IFERROR(_xlfn.XLOOKUP($A266,'Raw Data'!$G:$G,'Raw Data'!$AM:$AM),"")</f>
        <v/>
      </c>
      <c r="G266" s="137" t="str">
        <f>IFERROR(_xlfn.XLOOKUP($A266,'Raw Data'!$G:$G,'Raw Data'!$AB:$AB),"")</f>
        <v/>
      </c>
      <c r="H266" s="137"/>
      <c r="I266" s="137" t="str">
        <f>IFERROR(_xlfn.XLOOKUP($A266,'Raw Data'!$G:$G,'Raw Data'!$AC:$AC),"")</f>
        <v/>
      </c>
      <c r="J266" s="137"/>
      <c r="K266" s="137" t="str">
        <f>IFERROR(_xlfn.XLOOKUP($A266,'Raw Data'!$G:$G,'Raw Data'!AD:AD),"")</f>
        <v/>
      </c>
      <c r="L266" s="137" t="str">
        <f>IFERROR(_xlfn.XLOOKUP($A266,'Raw Data'!$G:$G,'Raw Data'!AE:AE),"")</f>
        <v/>
      </c>
      <c r="M266" s="137" t="str">
        <f>IFERROR(_xlfn.XLOOKUP($A266,'Raw Data'!$G:$G,'Raw Data'!AF:AF),"")</f>
        <v/>
      </c>
      <c r="N266" s="137" t="str">
        <f>IFERROR(_xlfn.XLOOKUP($A266,'Raw Data'!$G:$G,'Raw Data'!AG:AG),"")</f>
        <v/>
      </c>
      <c r="O266" s="138" t="str">
        <f>IFERROR(1-SUMIF('Plant BD'!$H:$H,$A266,'Plant BD'!$AE:$AE)/($AA266+SUMIF('Plant BD'!$H:$H,$A266,'Plant BD'!$AE:$AE)),"")</f>
        <v/>
      </c>
      <c r="P266" s="138"/>
      <c r="Q266" s="139"/>
      <c r="R266" s="138" t="str">
        <f>IFERROR(1-SUMIF('Grid BD'!$H:$H,$A266,'Grid BD'!$AD:$AD)/($AA266+SUMIF('Grid BD'!$H:$H,$A266,'Grid BD'!$AD:$AD)),"")</f>
        <v/>
      </c>
      <c r="T266" s="139"/>
      <c r="U266" s="140" t="str">
        <f t="shared" si="17"/>
        <v/>
      </c>
      <c r="V266" s="140"/>
      <c r="W266" s="141" t="str">
        <f t="shared" si="18"/>
        <v/>
      </c>
      <c r="X266" s="133" t="str">
        <f>IFERROR(_xlfn.XLOOKUP($A266,'Raw Data'!$G:$G,'Raw Data'!AI:AI),"")</f>
        <v/>
      </c>
      <c r="Y266" s="133" t="str">
        <f>IFERROR(_xlfn.XLOOKUP($A266,'Raw Data'!$G:$G,'Raw Data'!AJ:AJ),"")</f>
        <v/>
      </c>
      <c r="Z266" s="133" t="str">
        <f>IFERROR(_xlfn.XLOOKUP($A266,'Raw Data'!$G:$G,'Raw Data'!AK:AK),"")</f>
        <v/>
      </c>
      <c r="AA266" s="133" t="str">
        <f>IFERROR(_xlfn.XLOOKUP($A266,'Raw Data'!$G:$G,'Raw Data'!AL:AL),"")</f>
        <v/>
      </c>
      <c r="AB266" s="133" t="str">
        <f>IFERROR(_xlfn.XLOOKUP($A266,'Raw Data'!$G:$G,'Raw Data'!H:H),"")</f>
        <v/>
      </c>
      <c r="AC266" s="142">
        <f>IFERROR(_xlfn.XLOOKUP($D266,'Modelling New'!$D:$D,'Modelling New'!P:P),"")</f>
        <v>5.2806451612903222</v>
      </c>
      <c r="AD266" s="133">
        <f>IFERROR(_xlfn.XLOOKUP($D266,'Modelling New'!$D:$D,'Modelling New'!$T:$T)*1000,"")</f>
        <v>31172.693339085006</v>
      </c>
      <c r="AE266" s="143">
        <f>IFERROR(_xlfn.XLOOKUP($D266,'Modelling New'!$D:$D,'Modelling New'!O:O),"")</f>
        <v>0.73597699552347362</v>
      </c>
      <c r="AF266" s="145">
        <f>IFERROR(_xlfn.XLOOKUP($D266,'Modelling New'!$D:$D,'Modelling New'!W:W),"")</f>
        <v>0.16193472334300082</v>
      </c>
      <c r="AG266" s="145">
        <f>IFERROR(_xlfn.XLOOKUP($D266,'Modelling New'!$D:$D,'Modelling New'!AE:AE),"")</f>
        <v>0.98040000000000005</v>
      </c>
      <c r="AH266" s="167">
        <f>IFERROR(_xlfn.XLOOKUP($D266,'Modelling New'!$D:$D,'Modelling New'!AF:AF),"")</f>
        <v>0.98</v>
      </c>
      <c r="AN266" s="144"/>
      <c r="AO266" s="141"/>
      <c r="AP266" s="141"/>
      <c r="AQ266" s="141"/>
      <c r="AR266" s="133">
        <f>'Basic Data'!$B$98/1000</f>
        <v>8.0208999999999993</v>
      </c>
    </row>
    <row r="267" spans="1:44" x14ac:dyDescent="0.3">
      <c r="A267" s="132">
        <f t="shared" si="19"/>
        <v>46010</v>
      </c>
      <c r="B267" s="133">
        <f>YEAR(Table13[[#This Row],[Date]])+IF(MONTH(Table13[[#This Row],[Date]])&gt;=4,1,0)</f>
        <v>2026</v>
      </c>
      <c r="C267" s="134">
        <f>YEAR(Table13[[#This Row],[Date]])</f>
        <v>2025</v>
      </c>
      <c r="D267" s="135">
        <f>Table13[[#This Row],[Date]]-DAY(Table13[[#This Row],[Date]])+1</f>
        <v>45992</v>
      </c>
      <c r="E267" s="134">
        <f t="shared" si="16"/>
        <v>31</v>
      </c>
      <c r="F267" s="136" t="str">
        <f>IFERROR(_xlfn.XLOOKUP($A267,'Raw Data'!$G:$G,'Raw Data'!$AM:$AM),"")</f>
        <v/>
      </c>
      <c r="G267" s="137" t="str">
        <f>IFERROR(_xlfn.XLOOKUP($A267,'Raw Data'!$G:$G,'Raw Data'!$AB:$AB),"")</f>
        <v/>
      </c>
      <c r="H267" s="137"/>
      <c r="I267" s="137" t="str">
        <f>IFERROR(_xlfn.XLOOKUP($A267,'Raw Data'!$G:$G,'Raw Data'!$AC:$AC),"")</f>
        <v/>
      </c>
      <c r="J267" s="137"/>
      <c r="K267" s="137" t="str">
        <f>IFERROR(_xlfn.XLOOKUP($A267,'Raw Data'!$G:$G,'Raw Data'!AD:AD),"")</f>
        <v/>
      </c>
      <c r="L267" s="137" t="str">
        <f>IFERROR(_xlfn.XLOOKUP($A267,'Raw Data'!$G:$G,'Raw Data'!AE:AE),"")</f>
        <v/>
      </c>
      <c r="M267" s="137" t="str">
        <f>IFERROR(_xlfn.XLOOKUP($A267,'Raw Data'!$G:$G,'Raw Data'!AF:AF),"")</f>
        <v/>
      </c>
      <c r="N267" s="137" t="str">
        <f>IFERROR(_xlfn.XLOOKUP($A267,'Raw Data'!$G:$G,'Raw Data'!AG:AG),"")</f>
        <v/>
      </c>
      <c r="O267" s="138" t="str">
        <f>IFERROR(1-SUMIF('Plant BD'!$H:$H,$A267,'Plant BD'!$AE:$AE)/($AA267+SUMIF('Plant BD'!$H:$H,$A267,'Plant BD'!$AE:$AE)),"")</f>
        <v/>
      </c>
      <c r="P267" s="138"/>
      <c r="Q267" s="139"/>
      <c r="R267" s="138" t="str">
        <f>IFERROR(1-SUMIF('Grid BD'!$H:$H,$A267,'Grid BD'!$AD:$AD)/($AA267+SUMIF('Grid BD'!$H:$H,$A267,'Grid BD'!$AD:$AD)),"")</f>
        <v/>
      </c>
      <c r="T267" s="139"/>
      <c r="U267" s="140" t="str">
        <f t="shared" si="17"/>
        <v/>
      </c>
      <c r="V267" s="140"/>
      <c r="W267" s="141" t="str">
        <f t="shared" si="18"/>
        <v/>
      </c>
      <c r="X267" s="133" t="str">
        <f>IFERROR(_xlfn.XLOOKUP($A267,'Raw Data'!$G:$G,'Raw Data'!AI:AI),"")</f>
        <v/>
      </c>
      <c r="Y267" s="133" t="str">
        <f>IFERROR(_xlfn.XLOOKUP($A267,'Raw Data'!$G:$G,'Raw Data'!AJ:AJ),"")</f>
        <v/>
      </c>
      <c r="Z267" s="133" t="str">
        <f>IFERROR(_xlfn.XLOOKUP($A267,'Raw Data'!$G:$G,'Raw Data'!AK:AK),"")</f>
        <v/>
      </c>
      <c r="AA267" s="133" t="str">
        <f>IFERROR(_xlfn.XLOOKUP($A267,'Raw Data'!$G:$G,'Raw Data'!AL:AL),"")</f>
        <v/>
      </c>
      <c r="AB267" s="133" t="str">
        <f>IFERROR(_xlfn.XLOOKUP($A267,'Raw Data'!$G:$G,'Raw Data'!H:H),"")</f>
        <v/>
      </c>
      <c r="AC267" s="142">
        <f>IFERROR(_xlfn.XLOOKUP($D267,'Modelling New'!$D:$D,'Modelling New'!P:P),"")</f>
        <v>5.2806451612903222</v>
      </c>
      <c r="AD267" s="133">
        <f>IFERROR(_xlfn.XLOOKUP($D267,'Modelling New'!$D:$D,'Modelling New'!$T:$T)*1000,"")</f>
        <v>31172.693339085006</v>
      </c>
      <c r="AE267" s="143">
        <f>IFERROR(_xlfn.XLOOKUP($D267,'Modelling New'!$D:$D,'Modelling New'!O:O),"")</f>
        <v>0.73597699552347362</v>
      </c>
      <c r="AF267" s="145">
        <f>IFERROR(_xlfn.XLOOKUP($D267,'Modelling New'!$D:$D,'Modelling New'!W:W),"")</f>
        <v>0.16193472334300082</v>
      </c>
      <c r="AG267" s="145">
        <f>IFERROR(_xlfn.XLOOKUP($D267,'Modelling New'!$D:$D,'Modelling New'!AE:AE),"")</f>
        <v>0.98040000000000005</v>
      </c>
      <c r="AH267" s="167">
        <f>IFERROR(_xlfn.XLOOKUP($D267,'Modelling New'!$D:$D,'Modelling New'!AF:AF),"")</f>
        <v>0.98</v>
      </c>
      <c r="AN267" s="144"/>
      <c r="AO267" s="141"/>
      <c r="AP267" s="141"/>
      <c r="AQ267" s="141"/>
      <c r="AR267" s="133">
        <f>'Basic Data'!$B$98/1000</f>
        <v>8.0208999999999993</v>
      </c>
    </row>
    <row r="268" spans="1:44" x14ac:dyDescent="0.3">
      <c r="A268" s="132">
        <f t="shared" si="19"/>
        <v>46011</v>
      </c>
      <c r="B268" s="133">
        <f>YEAR(Table13[[#This Row],[Date]])+IF(MONTH(Table13[[#This Row],[Date]])&gt;=4,1,0)</f>
        <v>2026</v>
      </c>
      <c r="C268" s="134">
        <f>YEAR(Table13[[#This Row],[Date]])</f>
        <v>2025</v>
      </c>
      <c r="D268" s="135">
        <f>Table13[[#This Row],[Date]]-DAY(Table13[[#This Row],[Date]])+1</f>
        <v>45992</v>
      </c>
      <c r="E268" s="134">
        <f t="shared" si="16"/>
        <v>31</v>
      </c>
      <c r="F268" s="136" t="str">
        <f>IFERROR(_xlfn.XLOOKUP($A268,'Raw Data'!$G:$G,'Raw Data'!$AM:$AM),"")</f>
        <v/>
      </c>
      <c r="G268" s="137" t="str">
        <f>IFERROR(_xlfn.XLOOKUP($A268,'Raw Data'!$G:$G,'Raw Data'!$AB:$AB),"")</f>
        <v/>
      </c>
      <c r="H268" s="137"/>
      <c r="I268" s="137" t="str">
        <f>IFERROR(_xlfn.XLOOKUP($A268,'Raw Data'!$G:$G,'Raw Data'!$AC:$AC),"")</f>
        <v/>
      </c>
      <c r="J268" s="137"/>
      <c r="K268" s="137" t="str">
        <f>IFERROR(_xlfn.XLOOKUP($A268,'Raw Data'!$G:$G,'Raw Data'!AD:AD),"")</f>
        <v/>
      </c>
      <c r="L268" s="137" t="str">
        <f>IFERROR(_xlfn.XLOOKUP($A268,'Raw Data'!$G:$G,'Raw Data'!AE:AE),"")</f>
        <v/>
      </c>
      <c r="M268" s="137" t="str">
        <f>IFERROR(_xlfn.XLOOKUP($A268,'Raw Data'!$G:$G,'Raw Data'!AF:AF),"")</f>
        <v/>
      </c>
      <c r="N268" s="137" t="str">
        <f>IFERROR(_xlfn.XLOOKUP($A268,'Raw Data'!$G:$G,'Raw Data'!AG:AG),"")</f>
        <v/>
      </c>
      <c r="O268" s="138" t="str">
        <f>IFERROR(1-SUMIF('Plant BD'!$H:$H,$A268,'Plant BD'!$AE:$AE)/($AA268+SUMIF('Plant BD'!$H:$H,$A268,'Plant BD'!$AE:$AE)),"")</f>
        <v/>
      </c>
      <c r="P268" s="138"/>
      <c r="Q268" s="139"/>
      <c r="R268" s="138" t="str">
        <f>IFERROR(1-SUMIF('Grid BD'!$H:$H,$A268,'Grid BD'!$AD:$AD)/($AA268+SUMIF('Grid BD'!$H:$H,$A268,'Grid BD'!$AD:$AD)),"")</f>
        <v/>
      </c>
      <c r="T268" s="139"/>
      <c r="U268" s="140" t="str">
        <f t="shared" si="17"/>
        <v/>
      </c>
      <c r="V268" s="140"/>
      <c r="W268" s="141" t="str">
        <f t="shared" si="18"/>
        <v/>
      </c>
      <c r="X268" s="133" t="str">
        <f>IFERROR(_xlfn.XLOOKUP($A268,'Raw Data'!$G:$G,'Raw Data'!AI:AI),"")</f>
        <v/>
      </c>
      <c r="Y268" s="133" t="str">
        <f>IFERROR(_xlfn.XLOOKUP($A268,'Raw Data'!$G:$G,'Raw Data'!AJ:AJ),"")</f>
        <v/>
      </c>
      <c r="Z268" s="133" t="str">
        <f>IFERROR(_xlfn.XLOOKUP($A268,'Raw Data'!$G:$G,'Raw Data'!AK:AK),"")</f>
        <v/>
      </c>
      <c r="AA268" s="133" t="str">
        <f>IFERROR(_xlfn.XLOOKUP($A268,'Raw Data'!$G:$G,'Raw Data'!AL:AL),"")</f>
        <v/>
      </c>
      <c r="AB268" s="133" t="str">
        <f>IFERROR(_xlfn.XLOOKUP($A268,'Raw Data'!$G:$G,'Raw Data'!H:H),"")</f>
        <v/>
      </c>
      <c r="AC268" s="142">
        <f>IFERROR(_xlfn.XLOOKUP($D268,'Modelling New'!$D:$D,'Modelling New'!P:P),"")</f>
        <v>5.2806451612903222</v>
      </c>
      <c r="AD268" s="133">
        <f>IFERROR(_xlfn.XLOOKUP($D268,'Modelling New'!$D:$D,'Modelling New'!$T:$T)*1000,"")</f>
        <v>31172.693339085006</v>
      </c>
      <c r="AE268" s="143">
        <f>IFERROR(_xlfn.XLOOKUP($D268,'Modelling New'!$D:$D,'Modelling New'!O:O),"")</f>
        <v>0.73597699552347362</v>
      </c>
      <c r="AF268" s="145">
        <f>IFERROR(_xlfn.XLOOKUP($D268,'Modelling New'!$D:$D,'Modelling New'!W:W),"")</f>
        <v>0.16193472334300082</v>
      </c>
      <c r="AG268" s="145">
        <f>IFERROR(_xlfn.XLOOKUP($D268,'Modelling New'!$D:$D,'Modelling New'!AE:AE),"")</f>
        <v>0.98040000000000005</v>
      </c>
      <c r="AH268" s="167">
        <f>IFERROR(_xlfn.XLOOKUP($D268,'Modelling New'!$D:$D,'Modelling New'!AF:AF),"")</f>
        <v>0.98</v>
      </c>
      <c r="AN268" s="144"/>
      <c r="AO268" s="141"/>
      <c r="AP268" s="141"/>
      <c r="AQ268" s="141"/>
      <c r="AR268" s="133">
        <f>'Basic Data'!$B$98/1000</f>
        <v>8.0208999999999993</v>
      </c>
    </row>
    <row r="269" spans="1:44" x14ac:dyDescent="0.3">
      <c r="A269" s="132">
        <f t="shared" si="19"/>
        <v>46012</v>
      </c>
      <c r="B269" s="133">
        <f>YEAR(Table13[[#This Row],[Date]])+IF(MONTH(Table13[[#This Row],[Date]])&gt;=4,1,0)</f>
        <v>2026</v>
      </c>
      <c r="C269" s="134">
        <f>YEAR(Table13[[#This Row],[Date]])</f>
        <v>2025</v>
      </c>
      <c r="D269" s="135">
        <f>Table13[[#This Row],[Date]]-DAY(Table13[[#This Row],[Date]])+1</f>
        <v>45992</v>
      </c>
      <c r="E269" s="134">
        <f t="shared" si="16"/>
        <v>31</v>
      </c>
      <c r="F269" s="136" t="str">
        <f>IFERROR(_xlfn.XLOOKUP($A269,'Raw Data'!$G:$G,'Raw Data'!$AM:$AM),"")</f>
        <v/>
      </c>
      <c r="G269" s="137" t="str">
        <f>IFERROR(_xlfn.XLOOKUP($A269,'Raw Data'!$G:$G,'Raw Data'!$AB:$AB),"")</f>
        <v/>
      </c>
      <c r="H269" s="137"/>
      <c r="I269" s="137" t="str">
        <f>IFERROR(_xlfn.XLOOKUP($A269,'Raw Data'!$G:$G,'Raw Data'!$AC:$AC),"")</f>
        <v/>
      </c>
      <c r="J269" s="137"/>
      <c r="K269" s="137" t="str">
        <f>IFERROR(_xlfn.XLOOKUP($A269,'Raw Data'!$G:$G,'Raw Data'!AD:AD),"")</f>
        <v/>
      </c>
      <c r="L269" s="137" t="str">
        <f>IFERROR(_xlfn.XLOOKUP($A269,'Raw Data'!$G:$G,'Raw Data'!AE:AE),"")</f>
        <v/>
      </c>
      <c r="M269" s="137" t="str">
        <f>IFERROR(_xlfn.XLOOKUP($A269,'Raw Data'!$G:$G,'Raw Data'!AF:AF),"")</f>
        <v/>
      </c>
      <c r="N269" s="137" t="str">
        <f>IFERROR(_xlfn.XLOOKUP($A269,'Raw Data'!$G:$G,'Raw Data'!AG:AG),"")</f>
        <v/>
      </c>
      <c r="O269" s="138" t="str">
        <f>IFERROR(1-SUMIF('Plant BD'!$H:$H,$A269,'Plant BD'!$AE:$AE)/($AA269+SUMIF('Plant BD'!$H:$H,$A269,'Plant BD'!$AE:$AE)),"")</f>
        <v/>
      </c>
      <c r="P269" s="138"/>
      <c r="Q269" s="139"/>
      <c r="R269" s="138" t="str">
        <f>IFERROR(1-SUMIF('Grid BD'!$H:$H,$A269,'Grid BD'!$AD:$AD)/($AA269+SUMIF('Grid BD'!$H:$H,$A269,'Grid BD'!$AD:$AD)),"")</f>
        <v/>
      </c>
      <c r="T269" s="139"/>
      <c r="U269" s="140" t="str">
        <f t="shared" si="17"/>
        <v/>
      </c>
      <c r="V269" s="140"/>
      <c r="W269" s="141" t="str">
        <f t="shared" si="18"/>
        <v/>
      </c>
      <c r="X269" s="133" t="str">
        <f>IFERROR(_xlfn.XLOOKUP($A269,'Raw Data'!$G:$G,'Raw Data'!AI:AI),"")</f>
        <v/>
      </c>
      <c r="Y269" s="133" t="str">
        <f>IFERROR(_xlfn.XLOOKUP($A269,'Raw Data'!$G:$G,'Raw Data'!AJ:AJ),"")</f>
        <v/>
      </c>
      <c r="Z269" s="133" t="str">
        <f>IFERROR(_xlfn.XLOOKUP($A269,'Raw Data'!$G:$G,'Raw Data'!AK:AK),"")</f>
        <v/>
      </c>
      <c r="AA269" s="133" t="str">
        <f>IFERROR(_xlfn.XLOOKUP($A269,'Raw Data'!$G:$G,'Raw Data'!AL:AL),"")</f>
        <v/>
      </c>
      <c r="AB269" s="133" t="str">
        <f>IFERROR(_xlfn.XLOOKUP($A269,'Raw Data'!$G:$G,'Raw Data'!H:H),"")</f>
        <v/>
      </c>
      <c r="AC269" s="142">
        <f>IFERROR(_xlfn.XLOOKUP($D269,'Modelling New'!$D:$D,'Modelling New'!P:P),"")</f>
        <v>5.2806451612903222</v>
      </c>
      <c r="AD269" s="133">
        <f>IFERROR(_xlfn.XLOOKUP($D269,'Modelling New'!$D:$D,'Modelling New'!$T:$T)*1000,"")</f>
        <v>31172.693339085006</v>
      </c>
      <c r="AE269" s="143">
        <f>IFERROR(_xlfn.XLOOKUP($D269,'Modelling New'!$D:$D,'Modelling New'!O:O),"")</f>
        <v>0.73597699552347362</v>
      </c>
      <c r="AF269" s="145">
        <f>IFERROR(_xlfn.XLOOKUP($D269,'Modelling New'!$D:$D,'Modelling New'!W:W),"")</f>
        <v>0.16193472334300082</v>
      </c>
      <c r="AG269" s="145">
        <f>IFERROR(_xlfn.XLOOKUP($D269,'Modelling New'!$D:$D,'Modelling New'!AE:AE),"")</f>
        <v>0.98040000000000005</v>
      </c>
      <c r="AH269" s="167">
        <f>IFERROR(_xlfn.XLOOKUP($D269,'Modelling New'!$D:$D,'Modelling New'!AF:AF),"")</f>
        <v>0.98</v>
      </c>
      <c r="AN269" s="144"/>
      <c r="AO269" s="141"/>
      <c r="AP269" s="141"/>
      <c r="AQ269" s="141"/>
      <c r="AR269" s="133">
        <f>'Basic Data'!$B$98/1000</f>
        <v>8.0208999999999993</v>
      </c>
    </row>
    <row r="270" spans="1:44" x14ac:dyDescent="0.3">
      <c r="A270" s="132">
        <f t="shared" si="19"/>
        <v>46013</v>
      </c>
      <c r="B270" s="133">
        <f>YEAR(Table13[[#This Row],[Date]])+IF(MONTH(Table13[[#This Row],[Date]])&gt;=4,1,0)</f>
        <v>2026</v>
      </c>
      <c r="C270" s="134">
        <f>YEAR(Table13[[#This Row],[Date]])</f>
        <v>2025</v>
      </c>
      <c r="D270" s="135">
        <f>Table13[[#This Row],[Date]]-DAY(Table13[[#This Row],[Date]])+1</f>
        <v>45992</v>
      </c>
      <c r="E270" s="134">
        <f t="shared" si="16"/>
        <v>31</v>
      </c>
      <c r="F270" s="136" t="str">
        <f>IFERROR(_xlfn.XLOOKUP($A270,'Raw Data'!$G:$G,'Raw Data'!$AM:$AM),"")</f>
        <v/>
      </c>
      <c r="G270" s="137" t="str">
        <f>IFERROR(_xlfn.XLOOKUP($A270,'Raw Data'!$G:$G,'Raw Data'!$AB:$AB),"")</f>
        <v/>
      </c>
      <c r="H270" s="137"/>
      <c r="I270" s="137" t="str">
        <f>IFERROR(_xlfn.XLOOKUP($A270,'Raw Data'!$G:$G,'Raw Data'!$AC:$AC),"")</f>
        <v/>
      </c>
      <c r="J270" s="137"/>
      <c r="K270" s="137" t="str">
        <f>IFERROR(_xlfn.XLOOKUP($A270,'Raw Data'!$G:$G,'Raw Data'!AD:AD),"")</f>
        <v/>
      </c>
      <c r="L270" s="137" t="str">
        <f>IFERROR(_xlfn.XLOOKUP($A270,'Raw Data'!$G:$G,'Raw Data'!AE:AE),"")</f>
        <v/>
      </c>
      <c r="M270" s="137" t="str">
        <f>IFERROR(_xlfn.XLOOKUP($A270,'Raw Data'!$G:$G,'Raw Data'!AF:AF),"")</f>
        <v/>
      </c>
      <c r="N270" s="137" t="str">
        <f>IFERROR(_xlfn.XLOOKUP($A270,'Raw Data'!$G:$G,'Raw Data'!AG:AG),"")</f>
        <v/>
      </c>
      <c r="O270" s="138" t="str">
        <f>IFERROR(1-SUMIF('Plant BD'!$H:$H,$A270,'Plant BD'!$AE:$AE)/($AA270+SUMIF('Plant BD'!$H:$H,$A270,'Plant BD'!$AE:$AE)),"")</f>
        <v/>
      </c>
      <c r="P270" s="138"/>
      <c r="Q270" s="139"/>
      <c r="R270" s="138" t="str">
        <f>IFERROR(1-SUMIF('Grid BD'!$H:$H,$A270,'Grid BD'!$AD:$AD)/($AA270+SUMIF('Grid BD'!$H:$H,$A270,'Grid BD'!$AD:$AD)),"")</f>
        <v/>
      </c>
      <c r="T270" s="139"/>
      <c r="U270" s="140" t="str">
        <f t="shared" si="17"/>
        <v/>
      </c>
      <c r="V270" s="140"/>
      <c r="W270" s="141" t="str">
        <f t="shared" si="18"/>
        <v/>
      </c>
      <c r="X270" s="133" t="str">
        <f>IFERROR(_xlfn.XLOOKUP($A270,'Raw Data'!$G:$G,'Raw Data'!AI:AI),"")</f>
        <v/>
      </c>
      <c r="Y270" s="133" t="str">
        <f>IFERROR(_xlfn.XLOOKUP($A270,'Raw Data'!$G:$G,'Raw Data'!AJ:AJ),"")</f>
        <v/>
      </c>
      <c r="Z270" s="133" t="str">
        <f>IFERROR(_xlfn.XLOOKUP($A270,'Raw Data'!$G:$G,'Raw Data'!AK:AK),"")</f>
        <v/>
      </c>
      <c r="AA270" s="133" t="str">
        <f>IFERROR(_xlfn.XLOOKUP($A270,'Raw Data'!$G:$G,'Raw Data'!AL:AL),"")</f>
        <v/>
      </c>
      <c r="AB270" s="133" t="str">
        <f>IFERROR(_xlfn.XLOOKUP($A270,'Raw Data'!$G:$G,'Raw Data'!H:H),"")</f>
        <v/>
      </c>
      <c r="AC270" s="142">
        <f>IFERROR(_xlfn.XLOOKUP($D270,'Modelling New'!$D:$D,'Modelling New'!P:P),"")</f>
        <v>5.2806451612903222</v>
      </c>
      <c r="AD270" s="133">
        <f>IFERROR(_xlfn.XLOOKUP($D270,'Modelling New'!$D:$D,'Modelling New'!$T:$T)*1000,"")</f>
        <v>31172.693339085006</v>
      </c>
      <c r="AE270" s="143">
        <f>IFERROR(_xlfn.XLOOKUP($D270,'Modelling New'!$D:$D,'Modelling New'!O:O),"")</f>
        <v>0.73597699552347362</v>
      </c>
      <c r="AF270" s="145">
        <f>IFERROR(_xlfn.XLOOKUP($D270,'Modelling New'!$D:$D,'Modelling New'!W:W),"")</f>
        <v>0.16193472334300082</v>
      </c>
      <c r="AG270" s="145">
        <f>IFERROR(_xlfn.XLOOKUP($D270,'Modelling New'!$D:$D,'Modelling New'!AE:AE),"")</f>
        <v>0.98040000000000005</v>
      </c>
      <c r="AH270" s="167">
        <f>IFERROR(_xlfn.XLOOKUP($D270,'Modelling New'!$D:$D,'Modelling New'!AF:AF),"")</f>
        <v>0.98</v>
      </c>
      <c r="AN270" s="144"/>
      <c r="AO270" s="141"/>
      <c r="AP270" s="141"/>
      <c r="AQ270" s="141"/>
      <c r="AR270" s="133">
        <f>'Basic Data'!$B$98/1000</f>
        <v>8.0208999999999993</v>
      </c>
    </row>
    <row r="271" spans="1:44" x14ac:dyDescent="0.3">
      <c r="A271" s="132">
        <f t="shared" si="19"/>
        <v>46014</v>
      </c>
      <c r="B271" s="133">
        <f>YEAR(Table13[[#This Row],[Date]])+IF(MONTH(Table13[[#This Row],[Date]])&gt;=4,1,0)</f>
        <v>2026</v>
      </c>
      <c r="C271" s="134">
        <f>YEAR(Table13[[#This Row],[Date]])</f>
        <v>2025</v>
      </c>
      <c r="D271" s="135">
        <f>Table13[[#This Row],[Date]]-DAY(Table13[[#This Row],[Date]])+1</f>
        <v>45992</v>
      </c>
      <c r="E271" s="134">
        <f t="shared" si="16"/>
        <v>31</v>
      </c>
      <c r="F271" s="136" t="str">
        <f>IFERROR(_xlfn.XLOOKUP($A271,'Raw Data'!$G:$G,'Raw Data'!$AM:$AM),"")</f>
        <v/>
      </c>
      <c r="G271" s="137" t="str">
        <f>IFERROR(_xlfn.XLOOKUP($A271,'Raw Data'!$G:$G,'Raw Data'!$AB:$AB),"")</f>
        <v/>
      </c>
      <c r="H271" s="137"/>
      <c r="I271" s="137" t="str">
        <f>IFERROR(_xlfn.XLOOKUP($A271,'Raw Data'!$G:$G,'Raw Data'!$AC:$AC),"")</f>
        <v/>
      </c>
      <c r="J271" s="137"/>
      <c r="K271" s="137" t="str">
        <f>IFERROR(_xlfn.XLOOKUP($A271,'Raw Data'!$G:$G,'Raw Data'!AD:AD),"")</f>
        <v/>
      </c>
      <c r="L271" s="137" t="str">
        <f>IFERROR(_xlfn.XLOOKUP($A271,'Raw Data'!$G:$G,'Raw Data'!AE:AE),"")</f>
        <v/>
      </c>
      <c r="M271" s="137" t="str">
        <f>IFERROR(_xlfn.XLOOKUP($A271,'Raw Data'!$G:$G,'Raw Data'!AF:AF),"")</f>
        <v/>
      </c>
      <c r="N271" s="137" t="str">
        <f>IFERROR(_xlfn.XLOOKUP($A271,'Raw Data'!$G:$G,'Raw Data'!AG:AG),"")</f>
        <v/>
      </c>
      <c r="O271" s="138" t="str">
        <f>IFERROR(1-SUMIF('Plant BD'!$H:$H,$A271,'Plant BD'!$AE:$AE)/($AA271+SUMIF('Plant BD'!$H:$H,$A271,'Plant BD'!$AE:$AE)),"")</f>
        <v/>
      </c>
      <c r="P271" s="138"/>
      <c r="Q271" s="139"/>
      <c r="R271" s="138" t="str">
        <f>IFERROR(1-SUMIF('Grid BD'!$H:$H,$A271,'Grid BD'!$AD:$AD)/($AA271+SUMIF('Grid BD'!$H:$H,$A271,'Grid BD'!$AD:$AD)),"")</f>
        <v/>
      </c>
      <c r="T271" s="139"/>
      <c r="U271" s="140" t="str">
        <f t="shared" si="17"/>
        <v/>
      </c>
      <c r="V271" s="140"/>
      <c r="W271" s="141" t="str">
        <f t="shared" si="18"/>
        <v/>
      </c>
      <c r="X271" s="133" t="str">
        <f>IFERROR(_xlfn.XLOOKUP($A271,'Raw Data'!$G:$G,'Raw Data'!AI:AI),"")</f>
        <v/>
      </c>
      <c r="Y271" s="133" t="str">
        <f>IFERROR(_xlfn.XLOOKUP($A271,'Raw Data'!$G:$G,'Raw Data'!AJ:AJ),"")</f>
        <v/>
      </c>
      <c r="Z271" s="133" t="str">
        <f>IFERROR(_xlfn.XLOOKUP($A271,'Raw Data'!$G:$G,'Raw Data'!AK:AK),"")</f>
        <v/>
      </c>
      <c r="AA271" s="133" t="str">
        <f>IFERROR(_xlfn.XLOOKUP($A271,'Raw Data'!$G:$G,'Raw Data'!AL:AL),"")</f>
        <v/>
      </c>
      <c r="AB271" s="133" t="str">
        <f>IFERROR(_xlfn.XLOOKUP($A271,'Raw Data'!$G:$G,'Raw Data'!H:H),"")</f>
        <v/>
      </c>
      <c r="AC271" s="142">
        <f>IFERROR(_xlfn.XLOOKUP($D271,'Modelling New'!$D:$D,'Modelling New'!P:P),"")</f>
        <v>5.2806451612903222</v>
      </c>
      <c r="AD271" s="133">
        <f>IFERROR(_xlfn.XLOOKUP($D271,'Modelling New'!$D:$D,'Modelling New'!$T:$T)*1000,"")</f>
        <v>31172.693339085006</v>
      </c>
      <c r="AE271" s="143">
        <f>IFERROR(_xlfn.XLOOKUP($D271,'Modelling New'!$D:$D,'Modelling New'!O:O),"")</f>
        <v>0.73597699552347362</v>
      </c>
      <c r="AF271" s="145">
        <f>IFERROR(_xlfn.XLOOKUP($D271,'Modelling New'!$D:$D,'Modelling New'!W:W),"")</f>
        <v>0.16193472334300082</v>
      </c>
      <c r="AG271" s="145">
        <f>IFERROR(_xlfn.XLOOKUP($D271,'Modelling New'!$D:$D,'Modelling New'!AE:AE),"")</f>
        <v>0.98040000000000005</v>
      </c>
      <c r="AH271" s="167">
        <f>IFERROR(_xlfn.XLOOKUP($D271,'Modelling New'!$D:$D,'Modelling New'!AF:AF),"")</f>
        <v>0.98</v>
      </c>
      <c r="AN271" s="144"/>
      <c r="AO271" s="141"/>
      <c r="AP271" s="141"/>
      <c r="AQ271" s="141"/>
      <c r="AR271" s="133">
        <f>'Basic Data'!$B$98/1000</f>
        <v>8.0208999999999993</v>
      </c>
    </row>
    <row r="272" spans="1:44" x14ac:dyDescent="0.3">
      <c r="A272" s="132">
        <f t="shared" si="19"/>
        <v>46015</v>
      </c>
      <c r="B272" s="133">
        <f>YEAR(Table13[[#This Row],[Date]])+IF(MONTH(Table13[[#This Row],[Date]])&gt;=4,1,0)</f>
        <v>2026</v>
      </c>
      <c r="C272" s="134">
        <f>YEAR(Table13[[#This Row],[Date]])</f>
        <v>2025</v>
      </c>
      <c r="D272" s="135">
        <f>Table13[[#This Row],[Date]]-DAY(Table13[[#This Row],[Date]])+1</f>
        <v>45992</v>
      </c>
      <c r="E272" s="134">
        <f t="shared" si="16"/>
        <v>31</v>
      </c>
      <c r="F272" s="136" t="str">
        <f>IFERROR(_xlfn.XLOOKUP($A272,'Raw Data'!$G:$G,'Raw Data'!$AM:$AM),"")</f>
        <v/>
      </c>
      <c r="G272" s="137" t="str">
        <f>IFERROR(_xlfn.XLOOKUP($A272,'Raw Data'!$G:$G,'Raw Data'!$AB:$AB),"")</f>
        <v/>
      </c>
      <c r="H272" s="137"/>
      <c r="I272" s="137" t="str">
        <f>IFERROR(_xlfn.XLOOKUP($A272,'Raw Data'!$G:$G,'Raw Data'!$AC:$AC),"")</f>
        <v/>
      </c>
      <c r="J272" s="137"/>
      <c r="K272" s="137" t="str">
        <f>IFERROR(_xlfn.XLOOKUP($A272,'Raw Data'!$G:$G,'Raw Data'!AD:AD),"")</f>
        <v/>
      </c>
      <c r="L272" s="137" t="str">
        <f>IFERROR(_xlfn.XLOOKUP($A272,'Raw Data'!$G:$G,'Raw Data'!AE:AE),"")</f>
        <v/>
      </c>
      <c r="M272" s="137" t="str">
        <f>IFERROR(_xlfn.XLOOKUP($A272,'Raw Data'!$G:$G,'Raw Data'!AF:AF),"")</f>
        <v/>
      </c>
      <c r="N272" s="137" t="str">
        <f>IFERROR(_xlfn.XLOOKUP($A272,'Raw Data'!$G:$G,'Raw Data'!AG:AG),"")</f>
        <v/>
      </c>
      <c r="O272" s="138" t="str">
        <f>IFERROR(1-SUMIF('Plant BD'!$H:$H,$A272,'Plant BD'!$AE:$AE)/($AA272+SUMIF('Plant BD'!$H:$H,$A272,'Plant BD'!$AE:$AE)),"")</f>
        <v/>
      </c>
      <c r="P272" s="138"/>
      <c r="Q272" s="139"/>
      <c r="R272" s="138" t="str">
        <f>IFERROR(1-SUMIF('Grid BD'!$H:$H,$A272,'Grid BD'!$AD:$AD)/($AA272+SUMIF('Grid BD'!$H:$H,$A272,'Grid BD'!$AD:$AD)),"")</f>
        <v/>
      </c>
      <c r="T272" s="139"/>
      <c r="U272" s="140" t="str">
        <f t="shared" si="17"/>
        <v/>
      </c>
      <c r="V272" s="140"/>
      <c r="W272" s="141" t="str">
        <f t="shared" si="18"/>
        <v/>
      </c>
      <c r="X272" s="133" t="str">
        <f>IFERROR(_xlfn.XLOOKUP($A272,'Raw Data'!$G:$G,'Raw Data'!AI:AI),"")</f>
        <v/>
      </c>
      <c r="Y272" s="133" t="str">
        <f>IFERROR(_xlfn.XLOOKUP($A272,'Raw Data'!$G:$G,'Raw Data'!AJ:AJ),"")</f>
        <v/>
      </c>
      <c r="Z272" s="133" t="str">
        <f>IFERROR(_xlfn.XLOOKUP($A272,'Raw Data'!$G:$G,'Raw Data'!AK:AK),"")</f>
        <v/>
      </c>
      <c r="AA272" s="133" t="str">
        <f>IFERROR(_xlfn.XLOOKUP($A272,'Raw Data'!$G:$G,'Raw Data'!AL:AL),"")</f>
        <v/>
      </c>
      <c r="AB272" s="133" t="str">
        <f>IFERROR(_xlfn.XLOOKUP($A272,'Raw Data'!$G:$G,'Raw Data'!H:H),"")</f>
        <v/>
      </c>
      <c r="AC272" s="142">
        <f>IFERROR(_xlfn.XLOOKUP($D272,'Modelling New'!$D:$D,'Modelling New'!P:P),"")</f>
        <v>5.2806451612903222</v>
      </c>
      <c r="AD272" s="133">
        <f>IFERROR(_xlfn.XLOOKUP($D272,'Modelling New'!$D:$D,'Modelling New'!$T:$T)*1000,"")</f>
        <v>31172.693339085006</v>
      </c>
      <c r="AE272" s="143">
        <f>IFERROR(_xlfn.XLOOKUP($D272,'Modelling New'!$D:$D,'Modelling New'!O:O),"")</f>
        <v>0.73597699552347362</v>
      </c>
      <c r="AF272" s="145">
        <f>IFERROR(_xlfn.XLOOKUP($D272,'Modelling New'!$D:$D,'Modelling New'!W:W),"")</f>
        <v>0.16193472334300082</v>
      </c>
      <c r="AG272" s="145">
        <f>IFERROR(_xlfn.XLOOKUP($D272,'Modelling New'!$D:$D,'Modelling New'!AE:AE),"")</f>
        <v>0.98040000000000005</v>
      </c>
      <c r="AH272" s="167">
        <f>IFERROR(_xlfn.XLOOKUP($D272,'Modelling New'!$D:$D,'Modelling New'!AF:AF),"")</f>
        <v>0.98</v>
      </c>
      <c r="AN272" s="144"/>
      <c r="AO272" s="141"/>
      <c r="AP272" s="141"/>
      <c r="AQ272" s="141"/>
      <c r="AR272" s="133">
        <f>'Basic Data'!$B$98/1000</f>
        <v>8.0208999999999993</v>
      </c>
    </row>
    <row r="273" spans="1:44" x14ac:dyDescent="0.3">
      <c r="A273" s="132">
        <f t="shared" si="19"/>
        <v>46016</v>
      </c>
      <c r="B273" s="133">
        <f>YEAR(Table13[[#This Row],[Date]])+IF(MONTH(Table13[[#This Row],[Date]])&gt;=4,1,0)</f>
        <v>2026</v>
      </c>
      <c r="C273" s="134">
        <f>YEAR(Table13[[#This Row],[Date]])</f>
        <v>2025</v>
      </c>
      <c r="D273" s="135">
        <f>Table13[[#This Row],[Date]]-DAY(Table13[[#This Row],[Date]])+1</f>
        <v>45992</v>
      </c>
      <c r="E273" s="134">
        <f t="shared" si="16"/>
        <v>31</v>
      </c>
      <c r="F273" s="136" t="str">
        <f>IFERROR(_xlfn.XLOOKUP($A273,'Raw Data'!$G:$G,'Raw Data'!$AM:$AM),"")</f>
        <v/>
      </c>
      <c r="G273" s="137" t="str">
        <f>IFERROR(_xlfn.XLOOKUP($A273,'Raw Data'!$G:$G,'Raw Data'!$AB:$AB),"")</f>
        <v/>
      </c>
      <c r="H273" s="137"/>
      <c r="I273" s="137" t="str">
        <f>IFERROR(_xlfn.XLOOKUP($A273,'Raw Data'!$G:$G,'Raw Data'!$AC:$AC),"")</f>
        <v/>
      </c>
      <c r="J273" s="137"/>
      <c r="K273" s="137" t="str">
        <f>IFERROR(_xlfn.XLOOKUP($A273,'Raw Data'!$G:$G,'Raw Data'!AD:AD),"")</f>
        <v/>
      </c>
      <c r="L273" s="137" t="str">
        <f>IFERROR(_xlfn.XLOOKUP($A273,'Raw Data'!$G:$G,'Raw Data'!AE:AE),"")</f>
        <v/>
      </c>
      <c r="M273" s="137" t="str">
        <f>IFERROR(_xlfn.XLOOKUP($A273,'Raw Data'!$G:$G,'Raw Data'!AF:AF),"")</f>
        <v/>
      </c>
      <c r="N273" s="137" t="str">
        <f>IFERROR(_xlfn.XLOOKUP($A273,'Raw Data'!$G:$G,'Raw Data'!AG:AG),"")</f>
        <v/>
      </c>
      <c r="O273" s="138" t="str">
        <f>IFERROR(1-SUMIF('Plant BD'!$H:$H,$A273,'Plant BD'!$AE:$AE)/($AA273+SUMIF('Plant BD'!$H:$H,$A273,'Plant BD'!$AE:$AE)),"")</f>
        <v/>
      </c>
      <c r="P273" s="138"/>
      <c r="Q273" s="139"/>
      <c r="R273" s="138" t="str">
        <f>IFERROR(1-SUMIF('Grid BD'!$H:$H,$A273,'Grid BD'!$AD:$AD)/($AA273+SUMIF('Grid BD'!$H:$H,$A273,'Grid BD'!$AD:$AD)),"")</f>
        <v/>
      </c>
      <c r="T273" s="139"/>
      <c r="U273" s="140" t="str">
        <f t="shared" si="17"/>
        <v/>
      </c>
      <c r="V273" s="140"/>
      <c r="W273" s="141" t="str">
        <f t="shared" si="18"/>
        <v/>
      </c>
      <c r="X273" s="133" t="str">
        <f>IFERROR(_xlfn.XLOOKUP($A273,'Raw Data'!$G:$G,'Raw Data'!AI:AI),"")</f>
        <v/>
      </c>
      <c r="Y273" s="133" t="str">
        <f>IFERROR(_xlfn.XLOOKUP($A273,'Raw Data'!$G:$G,'Raw Data'!AJ:AJ),"")</f>
        <v/>
      </c>
      <c r="Z273" s="133" t="str">
        <f>IFERROR(_xlfn.XLOOKUP($A273,'Raw Data'!$G:$G,'Raw Data'!AK:AK),"")</f>
        <v/>
      </c>
      <c r="AA273" s="133" t="str">
        <f>IFERROR(_xlfn.XLOOKUP($A273,'Raw Data'!$G:$G,'Raw Data'!AL:AL),"")</f>
        <v/>
      </c>
      <c r="AB273" s="133" t="str">
        <f>IFERROR(_xlfn.XLOOKUP($A273,'Raw Data'!$G:$G,'Raw Data'!H:H),"")</f>
        <v/>
      </c>
      <c r="AC273" s="142">
        <f>IFERROR(_xlfn.XLOOKUP($D273,'Modelling New'!$D:$D,'Modelling New'!P:P),"")</f>
        <v>5.2806451612903222</v>
      </c>
      <c r="AD273" s="133">
        <f>IFERROR(_xlfn.XLOOKUP($D273,'Modelling New'!$D:$D,'Modelling New'!$T:$T)*1000,"")</f>
        <v>31172.693339085006</v>
      </c>
      <c r="AE273" s="143">
        <f>IFERROR(_xlfn.XLOOKUP($D273,'Modelling New'!$D:$D,'Modelling New'!O:O),"")</f>
        <v>0.73597699552347362</v>
      </c>
      <c r="AF273" s="145">
        <f>IFERROR(_xlfn.XLOOKUP($D273,'Modelling New'!$D:$D,'Modelling New'!W:W),"")</f>
        <v>0.16193472334300082</v>
      </c>
      <c r="AG273" s="145">
        <f>IFERROR(_xlfn.XLOOKUP($D273,'Modelling New'!$D:$D,'Modelling New'!AE:AE),"")</f>
        <v>0.98040000000000005</v>
      </c>
      <c r="AH273" s="167">
        <f>IFERROR(_xlfn.XLOOKUP($D273,'Modelling New'!$D:$D,'Modelling New'!AF:AF),"")</f>
        <v>0.98</v>
      </c>
      <c r="AN273" s="144"/>
      <c r="AO273" s="141"/>
      <c r="AP273" s="141"/>
      <c r="AQ273" s="141"/>
      <c r="AR273" s="133">
        <f>'Basic Data'!$B$98/1000</f>
        <v>8.0208999999999993</v>
      </c>
    </row>
    <row r="274" spans="1:44" x14ac:dyDescent="0.3">
      <c r="A274" s="132">
        <f t="shared" si="19"/>
        <v>46017</v>
      </c>
      <c r="B274" s="133">
        <f>YEAR(Table13[[#This Row],[Date]])+IF(MONTH(Table13[[#This Row],[Date]])&gt;=4,1,0)</f>
        <v>2026</v>
      </c>
      <c r="C274" s="134">
        <f>YEAR(Table13[[#This Row],[Date]])</f>
        <v>2025</v>
      </c>
      <c r="D274" s="135">
        <f>Table13[[#This Row],[Date]]-DAY(Table13[[#This Row],[Date]])+1</f>
        <v>45992</v>
      </c>
      <c r="E274" s="134">
        <f t="shared" si="16"/>
        <v>31</v>
      </c>
      <c r="F274" s="136" t="str">
        <f>IFERROR(_xlfn.XLOOKUP($A274,'Raw Data'!$G:$G,'Raw Data'!$AM:$AM),"")</f>
        <v/>
      </c>
      <c r="G274" s="137" t="str">
        <f>IFERROR(_xlfn.XLOOKUP($A274,'Raw Data'!$G:$G,'Raw Data'!$AB:$AB),"")</f>
        <v/>
      </c>
      <c r="H274" s="137"/>
      <c r="I274" s="137" t="str">
        <f>IFERROR(_xlfn.XLOOKUP($A274,'Raw Data'!$G:$G,'Raw Data'!$AC:$AC),"")</f>
        <v/>
      </c>
      <c r="J274" s="137"/>
      <c r="K274" s="137" t="str">
        <f>IFERROR(_xlfn.XLOOKUP($A274,'Raw Data'!$G:$G,'Raw Data'!AD:AD),"")</f>
        <v/>
      </c>
      <c r="L274" s="137" t="str">
        <f>IFERROR(_xlfn.XLOOKUP($A274,'Raw Data'!$G:$G,'Raw Data'!AE:AE),"")</f>
        <v/>
      </c>
      <c r="M274" s="137" t="str">
        <f>IFERROR(_xlfn.XLOOKUP($A274,'Raw Data'!$G:$G,'Raw Data'!AF:AF),"")</f>
        <v/>
      </c>
      <c r="N274" s="137" t="str">
        <f>IFERROR(_xlfn.XLOOKUP($A274,'Raw Data'!$G:$G,'Raw Data'!AG:AG),"")</f>
        <v/>
      </c>
      <c r="O274" s="138" t="str">
        <f>IFERROR(1-SUMIF('Plant BD'!$H:$H,$A274,'Plant BD'!$AE:$AE)/($AA274+SUMIF('Plant BD'!$H:$H,$A274,'Plant BD'!$AE:$AE)),"")</f>
        <v/>
      </c>
      <c r="P274" s="138"/>
      <c r="Q274" s="139"/>
      <c r="R274" s="138" t="str">
        <f>IFERROR(1-SUMIF('Grid BD'!$H:$H,$A274,'Grid BD'!$AD:$AD)/($AA274+SUMIF('Grid BD'!$H:$H,$A274,'Grid BD'!$AD:$AD)),"")</f>
        <v/>
      </c>
      <c r="T274" s="139"/>
      <c r="U274" s="140" t="str">
        <f t="shared" si="17"/>
        <v/>
      </c>
      <c r="V274" s="140"/>
      <c r="W274" s="141" t="str">
        <f t="shared" si="18"/>
        <v/>
      </c>
      <c r="X274" s="133" t="str">
        <f>IFERROR(_xlfn.XLOOKUP($A274,'Raw Data'!$G:$G,'Raw Data'!AI:AI),"")</f>
        <v/>
      </c>
      <c r="Y274" s="133" t="str">
        <f>IFERROR(_xlfn.XLOOKUP($A274,'Raw Data'!$G:$G,'Raw Data'!AJ:AJ),"")</f>
        <v/>
      </c>
      <c r="Z274" s="133" t="str">
        <f>IFERROR(_xlfn.XLOOKUP($A274,'Raw Data'!$G:$G,'Raw Data'!AK:AK),"")</f>
        <v/>
      </c>
      <c r="AA274" s="133" t="str">
        <f>IFERROR(_xlfn.XLOOKUP($A274,'Raw Data'!$G:$G,'Raw Data'!AL:AL),"")</f>
        <v/>
      </c>
      <c r="AB274" s="133" t="str">
        <f>IFERROR(_xlfn.XLOOKUP($A274,'Raw Data'!$G:$G,'Raw Data'!H:H),"")</f>
        <v/>
      </c>
      <c r="AC274" s="142">
        <f>IFERROR(_xlfn.XLOOKUP($D274,'Modelling New'!$D:$D,'Modelling New'!P:P),"")</f>
        <v>5.2806451612903222</v>
      </c>
      <c r="AD274" s="133">
        <f>IFERROR(_xlfn.XLOOKUP($D274,'Modelling New'!$D:$D,'Modelling New'!$T:$T)*1000,"")</f>
        <v>31172.693339085006</v>
      </c>
      <c r="AE274" s="143">
        <f>IFERROR(_xlfn.XLOOKUP($D274,'Modelling New'!$D:$D,'Modelling New'!O:O),"")</f>
        <v>0.73597699552347362</v>
      </c>
      <c r="AF274" s="145">
        <f>IFERROR(_xlfn.XLOOKUP($D274,'Modelling New'!$D:$D,'Modelling New'!W:W),"")</f>
        <v>0.16193472334300082</v>
      </c>
      <c r="AG274" s="145">
        <f>IFERROR(_xlfn.XLOOKUP($D274,'Modelling New'!$D:$D,'Modelling New'!AE:AE),"")</f>
        <v>0.98040000000000005</v>
      </c>
      <c r="AH274" s="167">
        <f>IFERROR(_xlfn.XLOOKUP($D274,'Modelling New'!$D:$D,'Modelling New'!AF:AF),"")</f>
        <v>0.98</v>
      </c>
      <c r="AN274" s="144"/>
      <c r="AO274" s="141"/>
      <c r="AP274" s="141"/>
      <c r="AQ274" s="141"/>
      <c r="AR274" s="133">
        <f>'Basic Data'!$B$98/1000</f>
        <v>8.0208999999999993</v>
      </c>
    </row>
    <row r="275" spans="1:44" x14ac:dyDescent="0.3">
      <c r="A275" s="132">
        <f t="shared" si="19"/>
        <v>46018</v>
      </c>
      <c r="B275" s="133">
        <f>YEAR(Table13[[#This Row],[Date]])+IF(MONTH(Table13[[#This Row],[Date]])&gt;=4,1,0)</f>
        <v>2026</v>
      </c>
      <c r="C275" s="134">
        <f>YEAR(Table13[[#This Row],[Date]])</f>
        <v>2025</v>
      </c>
      <c r="D275" s="135">
        <f>Table13[[#This Row],[Date]]-DAY(Table13[[#This Row],[Date]])+1</f>
        <v>45992</v>
      </c>
      <c r="E275" s="134">
        <f t="shared" si="16"/>
        <v>31</v>
      </c>
      <c r="F275" s="136" t="str">
        <f>IFERROR(_xlfn.XLOOKUP($A275,'Raw Data'!$G:$G,'Raw Data'!$AM:$AM),"")</f>
        <v/>
      </c>
      <c r="G275" s="137" t="str">
        <f>IFERROR(_xlfn.XLOOKUP($A275,'Raw Data'!$G:$G,'Raw Data'!$AB:$AB),"")</f>
        <v/>
      </c>
      <c r="H275" s="137"/>
      <c r="I275" s="137" t="str">
        <f>IFERROR(_xlfn.XLOOKUP($A275,'Raw Data'!$G:$G,'Raw Data'!$AC:$AC),"")</f>
        <v/>
      </c>
      <c r="J275" s="137"/>
      <c r="K275" s="137" t="str">
        <f>IFERROR(_xlfn.XLOOKUP($A275,'Raw Data'!$G:$G,'Raw Data'!AD:AD),"")</f>
        <v/>
      </c>
      <c r="L275" s="137" t="str">
        <f>IFERROR(_xlfn.XLOOKUP($A275,'Raw Data'!$G:$G,'Raw Data'!AE:AE),"")</f>
        <v/>
      </c>
      <c r="M275" s="137" t="str">
        <f>IFERROR(_xlfn.XLOOKUP($A275,'Raw Data'!$G:$G,'Raw Data'!AF:AF),"")</f>
        <v/>
      </c>
      <c r="N275" s="137" t="str">
        <f>IFERROR(_xlfn.XLOOKUP($A275,'Raw Data'!$G:$G,'Raw Data'!AG:AG),"")</f>
        <v/>
      </c>
      <c r="O275" s="138" t="str">
        <f>IFERROR(1-SUMIF('Plant BD'!$H:$H,$A275,'Plant BD'!$AE:$AE)/($AA275+SUMIF('Plant BD'!$H:$H,$A275,'Plant BD'!$AE:$AE)),"")</f>
        <v/>
      </c>
      <c r="P275" s="138"/>
      <c r="Q275" s="139"/>
      <c r="R275" s="138" t="str">
        <f>IFERROR(1-SUMIF('Grid BD'!$H:$H,$A275,'Grid BD'!$AD:$AD)/($AA275+SUMIF('Grid BD'!$H:$H,$A275,'Grid BD'!$AD:$AD)),"")</f>
        <v/>
      </c>
      <c r="T275" s="139"/>
      <c r="U275" s="140" t="str">
        <f t="shared" si="17"/>
        <v/>
      </c>
      <c r="V275" s="140"/>
      <c r="W275" s="141" t="str">
        <f t="shared" si="18"/>
        <v/>
      </c>
      <c r="X275" s="133" t="str">
        <f>IFERROR(_xlfn.XLOOKUP($A275,'Raw Data'!$G:$G,'Raw Data'!AI:AI),"")</f>
        <v/>
      </c>
      <c r="Y275" s="133" t="str">
        <f>IFERROR(_xlfn.XLOOKUP($A275,'Raw Data'!$G:$G,'Raw Data'!AJ:AJ),"")</f>
        <v/>
      </c>
      <c r="Z275" s="133" t="str">
        <f>IFERROR(_xlfn.XLOOKUP($A275,'Raw Data'!$G:$G,'Raw Data'!AK:AK),"")</f>
        <v/>
      </c>
      <c r="AA275" s="133" t="str">
        <f>IFERROR(_xlfn.XLOOKUP($A275,'Raw Data'!$G:$G,'Raw Data'!AL:AL),"")</f>
        <v/>
      </c>
      <c r="AB275" s="133" t="str">
        <f>IFERROR(_xlfn.XLOOKUP($A275,'Raw Data'!$G:$G,'Raw Data'!H:H),"")</f>
        <v/>
      </c>
      <c r="AC275" s="142">
        <f>IFERROR(_xlfn.XLOOKUP($D275,'Modelling New'!$D:$D,'Modelling New'!P:P),"")</f>
        <v>5.2806451612903222</v>
      </c>
      <c r="AD275" s="133">
        <f>IFERROR(_xlfn.XLOOKUP($D275,'Modelling New'!$D:$D,'Modelling New'!$T:$T)*1000,"")</f>
        <v>31172.693339085006</v>
      </c>
      <c r="AE275" s="143">
        <f>IFERROR(_xlfn.XLOOKUP($D275,'Modelling New'!$D:$D,'Modelling New'!O:O),"")</f>
        <v>0.73597699552347362</v>
      </c>
      <c r="AF275" s="145">
        <f>IFERROR(_xlfn.XLOOKUP($D275,'Modelling New'!$D:$D,'Modelling New'!W:W),"")</f>
        <v>0.16193472334300082</v>
      </c>
      <c r="AG275" s="145">
        <f>IFERROR(_xlfn.XLOOKUP($D275,'Modelling New'!$D:$D,'Modelling New'!AE:AE),"")</f>
        <v>0.98040000000000005</v>
      </c>
      <c r="AH275" s="167">
        <f>IFERROR(_xlfn.XLOOKUP($D275,'Modelling New'!$D:$D,'Modelling New'!AF:AF),"")</f>
        <v>0.98</v>
      </c>
      <c r="AN275" s="144"/>
      <c r="AO275" s="141"/>
      <c r="AP275" s="141"/>
      <c r="AQ275" s="141"/>
      <c r="AR275" s="133">
        <f>'Basic Data'!$B$98/1000</f>
        <v>8.0208999999999993</v>
      </c>
    </row>
    <row r="276" spans="1:44" x14ac:dyDescent="0.3">
      <c r="A276" s="132">
        <f t="shared" si="19"/>
        <v>46019</v>
      </c>
      <c r="B276" s="133">
        <f>YEAR(Table13[[#This Row],[Date]])+IF(MONTH(Table13[[#This Row],[Date]])&gt;=4,1,0)</f>
        <v>2026</v>
      </c>
      <c r="C276" s="134">
        <f>YEAR(Table13[[#This Row],[Date]])</f>
        <v>2025</v>
      </c>
      <c r="D276" s="135">
        <f>Table13[[#This Row],[Date]]-DAY(Table13[[#This Row],[Date]])+1</f>
        <v>45992</v>
      </c>
      <c r="E276" s="134">
        <f t="shared" si="16"/>
        <v>31</v>
      </c>
      <c r="F276" s="136" t="str">
        <f>IFERROR(_xlfn.XLOOKUP($A276,'Raw Data'!$G:$G,'Raw Data'!$AM:$AM),"")</f>
        <v/>
      </c>
      <c r="G276" s="137" t="str">
        <f>IFERROR(_xlfn.XLOOKUP($A276,'Raw Data'!$G:$G,'Raw Data'!$AB:$AB),"")</f>
        <v/>
      </c>
      <c r="H276" s="137"/>
      <c r="I276" s="137" t="str">
        <f>IFERROR(_xlfn.XLOOKUP($A276,'Raw Data'!$G:$G,'Raw Data'!$AC:$AC),"")</f>
        <v/>
      </c>
      <c r="J276" s="137"/>
      <c r="K276" s="137" t="str">
        <f>IFERROR(_xlfn.XLOOKUP($A276,'Raw Data'!$G:$G,'Raw Data'!AD:AD),"")</f>
        <v/>
      </c>
      <c r="L276" s="137" t="str">
        <f>IFERROR(_xlfn.XLOOKUP($A276,'Raw Data'!$G:$G,'Raw Data'!AE:AE),"")</f>
        <v/>
      </c>
      <c r="M276" s="137" t="str">
        <f>IFERROR(_xlfn.XLOOKUP($A276,'Raw Data'!$G:$G,'Raw Data'!AF:AF),"")</f>
        <v/>
      </c>
      <c r="N276" s="137" t="str">
        <f>IFERROR(_xlfn.XLOOKUP($A276,'Raw Data'!$G:$G,'Raw Data'!AG:AG),"")</f>
        <v/>
      </c>
      <c r="O276" s="138" t="str">
        <f>IFERROR(1-SUMIF('Plant BD'!$H:$H,$A276,'Plant BD'!$AE:$AE)/($AA276+SUMIF('Plant BD'!$H:$H,$A276,'Plant BD'!$AE:$AE)),"")</f>
        <v/>
      </c>
      <c r="P276" s="138"/>
      <c r="Q276" s="139"/>
      <c r="R276" s="138" t="str">
        <f>IFERROR(1-SUMIF('Grid BD'!$H:$H,$A276,'Grid BD'!$AD:$AD)/($AA276+SUMIF('Grid BD'!$H:$H,$A276,'Grid BD'!$AD:$AD)),"")</f>
        <v/>
      </c>
      <c r="T276" s="139"/>
      <c r="U276" s="140" t="str">
        <f t="shared" si="17"/>
        <v/>
      </c>
      <c r="V276" s="140"/>
      <c r="W276" s="141" t="str">
        <f t="shared" si="18"/>
        <v/>
      </c>
      <c r="X276" s="133" t="str">
        <f>IFERROR(_xlfn.XLOOKUP($A276,'Raw Data'!$G:$G,'Raw Data'!AI:AI),"")</f>
        <v/>
      </c>
      <c r="Y276" s="133" t="str">
        <f>IFERROR(_xlfn.XLOOKUP($A276,'Raw Data'!$G:$G,'Raw Data'!AJ:AJ),"")</f>
        <v/>
      </c>
      <c r="Z276" s="133" t="str">
        <f>IFERROR(_xlfn.XLOOKUP($A276,'Raw Data'!$G:$G,'Raw Data'!AK:AK),"")</f>
        <v/>
      </c>
      <c r="AA276" s="133" t="str">
        <f>IFERROR(_xlfn.XLOOKUP($A276,'Raw Data'!$G:$G,'Raw Data'!AL:AL),"")</f>
        <v/>
      </c>
      <c r="AB276" s="133" t="str">
        <f>IFERROR(_xlfn.XLOOKUP($A276,'Raw Data'!$G:$G,'Raw Data'!H:H),"")</f>
        <v/>
      </c>
      <c r="AC276" s="142">
        <f>IFERROR(_xlfn.XLOOKUP($D276,'Modelling New'!$D:$D,'Modelling New'!P:P),"")</f>
        <v>5.2806451612903222</v>
      </c>
      <c r="AD276" s="133">
        <f>IFERROR(_xlfn.XLOOKUP($D276,'Modelling New'!$D:$D,'Modelling New'!$T:$T)*1000,"")</f>
        <v>31172.693339085006</v>
      </c>
      <c r="AE276" s="143">
        <f>IFERROR(_xlfn.XLOOKUP($D276,'Modelling New'!$D:$D,'Modelling New'!O:O),"")</f>
        <v>0.73597699552347362</v>
      </c>
      <c r="AF276" s="145">
        <f>IFERROR(_xlfn.XLOOKUP($D276,'Modelling New'!$D:$D,'Modelling New'!W:W),"")</f>
        <v>0.16193472334300082</v>
      </c>
      <c r="AG276" s="145">
        <f>IFERROR(_xlfn.XLOOKUP($D276,'Modelling New'!$D:$D,'Modelling New'!AE:AE),"")</f>
        <v>0.98040000000000005</v>
      </c>
      <c r="AH276" s="167">
        <f>IFERROR(_xlfn.XLOOKUP($D276,'Modelling New'!$D:$D,'Modelling New'!AF:AF),"")</f>
        <v>0.98</v>
      </c>
      <c r="AN276" s="144"/>
      <c r="AO276" s="141"/>
      <c r="AP276" s="141"/>
      <c r="AQ276" s="141"/>
      <c r="AR276" s="133">
        <f>'Basic Data'!$B$98/1000</f>
        <v>8.0208999999999993</v>
      </c>
    </row>
    <row r="277" spans="1:44" x14ac:dyDescent="0.3">
      <c r="A277" s="132">
        <f t="shared" si="19"/>
        <v>46020</v>
      </c>
      <c r="B277" s="133">
        <f>YEAR(Table13[[#This Row],[Date]])+IF(MONTH(Table13[[#This Row],[Date]])&gt;=4,1,0)</f>
        <v>2026</v>
      </c>
      <c r="C277" s="134">
        <f>YEAR(Table13[[#This Row],[Date]])</f>
        <v>2025</v>
      </c>
      <c r="D277" s="135">
        <f>Table13[[#This Row],[Date]]-DAY(Table13[[#This Row],[Date]])+1</f>
        <v>45992</v>
      </c>
      <c r="E277" s="134">
        <f t="shared" si="16"/>
        <v>31</v>
      </c>
      <c r="F277" s="136" t="str">
        <f>IFERROR(_xlfn.XLOOKUP($A277,'Raw Data'!$G:$G,'Raw Data'!$AM:$AM),"")</f>
        <v/>
      </c>
      <c r="G277" s="137" t="str">
        <f>IFERROR(_xlfn.XLOOKUP($A277,'Raw Data'!$G:$G,'Raw Data'!$AB:$AB),"")</f>
        <v/>
      </c>
      <c r="H277" s="137"/>
      <c r="I277" s="137" t="str">
        <f>IFERROR(_xlfn.XLOOKUP($A277,'Raw Data'!$G:$G,'Raw Data'!$AC:$AC),"")</f>
        <v/>
      </c>
      <c r="J277" s="137"/>
      <c r="K277" s="137" t="str">
        <f>IFERROR(_xlfn.XLOOKUP($A277,'Raw Data'!$G:$G,'Raw Data'!AD:AD),"")</f>
        <v/>
      </c>
      <c r="L277" s="137" t="str">
        <f>IFERROR(_xlfn.XLOOKUP($A277,'Raw Data'!$G:$G,'Raw Data'!AE:AE),"")</f>
        <v/>
      </c>
      <c r="M277" s="137" t="str">
        <f>IFERROR(_xlfn.XLOOKUP($A277,'Raw Data'!$G:$G,'Raw Data'!AF:AF),"")</f>
        <v/>
      </c>
      <c r="N277" s="137" t="str">
        <f>IFERROR(_xlfn.XLOOKUP($A277,'Raw Data'!$G:$G,'Raw Data'!AG:AG),"")</f>
        <v/>
      </c>
      <c r="O277" s="138" t="str">
        <f>IFERROR(1-SUMIF('Plant BD'!$H:$H,$A277,'Plant BD'!$AE:$AE)/($AA277+SUMIF('Plant BD'!$H:$H,$A277,'Plant BD'!$AE:$AE)),"")</f>
        <v/>
      </c>
      <c r="P277" s="138"/>
      <c r="Q277" s="139"/>
      <c r="R277" s="138" t="str">
        <f>IFERROR(1-SUMIF('Grid BD'!$H:$H,$A277,'Grid BD'!$AD:$AD)/($AA277+SUMIF('Grid BD'!$H:$H,$A277,'Grid BD'!$AD:$AD)),"")</f>
        <v/>
      </c>
      <c r="T277" s="139"/>
      <c r="U277" s="140" t="str">
        <f t="shared" si="17"/>
        <v/>
      </c>
      <c r="V277" s="140"/>
      <c r="W277" s="141" t="str">
        <f t="shared" si="18"/>
        <v/>
      </c>
      <c r="X277" s="133" t="str">
        <f>IFERROR(_xlfn.XLOOKUP($A277,'Raw Data'!$G:$G,'Raw Data'!AI:AI),"")</f>
        <v/>
      </c>
      <c r="Y277" s="133" t="str">
        <f>IFERROR(_xlfn.XLOOKUP($A277,'Raw Data'!$G:$G,'Raw Data'!AJ:AJ),"")</f>
        <v/>
      </c>
      <c r="Z277" s="133" t="str">
        <f>IFERROR(_xlfn.XLOOKUP($A277,'Raw Data'!$G:$G,'Raw Data'!AK:AK),"")</f>
        <v/>
      </c>
      <c r="AA277" s="133" t="str">
        <f>IFERROR(_xlfn.XLOOKUP($A277,'Raw Data'!$G:$G,'Raw Data'!AL:AL),"")</f>
        <v/>
      </c>
      <c r="AB277" s="133" t="str">
        <f>IFERROR(_xlfn.XLOOKUP($A277,'Raw Data'!$G:$G,'Raw Data'!H:H),"")</f>
        <v/>
      </c>
      <c r="AC277" s="142">
        <f>IFERROR(_xlfn.XLOOKUP($D277,'Modelling New'!$D:$D,'Modelling New'!P:P),"")</f>
        <v>5.2806451612903222</v>
      </c>
      <c r="AD277" s="133">
        <f>IFERROR(_xlfn.XLOOKUP($D277,'Modelling New'!$D:$D,'Modelling New'!$T:$T)*1000,"")</f>
        <v>31172.693339085006</v>
      </c>
      <c r="AE277" s="143">
        <f>IFERROR(_xlfn.XLOOKUP($D277,'Modelling New'!$D:$D,'Modelling New'!O:O),"")</f>
        <v>0.73597699552347362</v>
      </c>
      <c r="AF277" s="145">
        <f>IFERROR(_xlfn.XLOOKUP($D277,'Modelling New'!$D:$D,'Modelling New'!W:W),"")</f>
        <v>0.16193472334300082</v>
      </c>
      <c r="AG277" s="145">
        <f>IFERROR(_xlfn.XLOOKUP($D277,'Modelling New'!$D:$D,'Modelling New'!AE:AE),"")</f>
        <v>0.98040000000000005</v>
      </c>
      <c r="AH277" s="167">
        <f>IFERROR(_xlfn.XLOOKUP($D277,'Modelling New'!$D:$D,'Modelling New'!AF:AF),"")</f>
        <v>0.98</v>
      </c>
      <c r="AN277" s="144"/>
      <c r="AO277" s="141"/>
      <c r="AP277" s="141"/>
      <c r="AQ277" s="141"/>
      <c r="AR277" s="133">
        <f>'Basic Data'!$B$98/1000</f>
        <v>8.0208999999999993</v>
      </c>
    </row>
    <row r="278" spans="1:44" x14ac:dyDescent="0.3">
      <c r="A278" s="132">
        <f t="shared" si="19"/>
        <v>46021</v>
      </c>
      <c r="B278" s="133">
        <f>YEAR(Table13[[#This Row],[Date]])+IF(MONTH(Table13[[#This Row],[Date]])&gt;=4,1,0)</f>
        <v>2026</v>
      </c>
      <c r="C278" s="134">
        <f>YEAR(Table13[[#This Row],[Date]])</f>
        <v>2025</v>
      </c>
      <c r="D278" s="135">
        <f>Table13[[#This Row],[Date]]-DAY(Table13[[#This Row],[Date]])+1</f>
        <v>45992</v>
      </c>
      <c r="E278" s="134">
        <f t="shared" si="16"/>
        <v>31</v>
      </c>
      <c r="F278" s="136" t="str">
        <f>IFERROR(_xlfn.XLOOKUP($A278,'Raw Data'!$G:$G,'Raw Data'!$AM:$AM),"")</f>
        <v/>
      </c>
      <c r="G278" s="137" t="str">
        <f>IFERROR(_xlfn.XLOOKUP($A278,'Raw Data'!$G:$G,'Raw Data'!$AB:$AB),"")</f>
        <v/>
      </c>
      <c r="H278" s="137"/>
      <c r="I278" s="137" t="str">
        <f>IFERROR(_xlfn.XLOOKUP($A278,'Raw Data'!$G:$G,'Raw Data'!$AC:$AC),"")</f>
        <v/>
      </c>
      <c r="J278" s="137"/>
      <c r="K278" s="137" t="str">
        <f>IFERROR(_xlfn.XLOOKUP($A278,'Raw Data'!$G:$G,'Raw Data'!AD:AD),"")</f>
        <v/>
      </c>
      <c r="L278" s="137" t="str">
        <f>IFERROR(_xlfn.XLOOKUP($A278,'Raw Data'!$G:$G,'Raw Data'!AE:AE),"")</f>
        <v/>
      </c>
      <c r="M278" s="137" t="str">
        <f>IFERROR(_xlfn.XLOOKUP($A278,'Raw Data'!$G:$G,'Raw Data'!AF:AF),"")</f>
        <v/>
      </c>
      <c r="N278" s="137" t="str">
        <f>IFERROR(_xlfn.XLOOKUP($A278,'Raw Data'!$G:$G,'Raw Data'!AG:AG),"")</f>
        <v/>
      </c>
      <c r="O278" s="138" t="str">
        <f>IFERROR(1-SUMIF('Plant BD'!$H:$H,$A278,'Plant BD'!$AE:$AE)/($AA278+SUMIF('Plant BD'!$H:$H,$A278,'Plant BD'!$AE:$AE)),"")</f>
        <v/>
      </c>
      <c r="P278" s="138"/>
      <c r="Q278" s="139"/>
      <c r="R278" s="138" t="str">
        <f>IFERROR(1-SUMIF('Grid BD'!$H:$H,$A278,'Grid BD'!$AD:$AD)/($AA278+SUMIF('Grid BD'!$H:$H,$A278,'Grid BD'!$AD:$AD)),"")</f>
        <v/>
      </c>
      <c r="T278" s="139"/>
      <c r="U278" s="140" t="str">
        <f t="shared" si="17"/>
        <v/>
      </c>
      <c r="V278" s="140"/>
      <c r="W278" s="141" t="str">
        <f t="shared" si="18"/>
        <v/>
      </c>
      <c r="X278" s="133" t="str">
        <f>IFERROR(_xlfn.XLOOKUP($A278,'Raw Data'!$G:$G,'Raw Data'!AI:AI),"")</f>
        <v/>
      </c>
      <c r="Y278" s="133" t="str">
        <f>IFERROR(_xlfn.XLOOKUP($A278,'Raw Data'!$G:$G,'Raw Data'!AJ:AJ),"")</f>
        <v/>
      </c>
      <c r="Z278" s="133" t="str">
        <f>IFERROR(_xlfn.XLOOKUP($A278,'Raw Data'!$G:$G,'Raw Data'!AK:AK),"")</f>
        <v/>
      </c>
      <c r="AA278" s="133" t="str">
        <f>IFERROR(_xlfn.XLOOKUP($A278,'Raw Data'!$G:$G,'Raw Data'!AL:AL),"")</f>
        <v/>
      </c>
      <c r="AB278" s="133" t="str">
        <f>IFERROR(_xlfn.XLOOKUP($A278,'Raw Data'!$G:$G,'Raw Data'!H:H),"")</f>
        <v/>
      </c>
      <c r="AC278" s="142">
        <f>IFERROR(_xlfn.XLOOKUP($D278,'Modelling New'!$D:$D,'Modelling New'!P:P),"")</f>
        <v>5.2806451612903222</v>
      </c>
      <c r="AD278" s="133">
        <f>IFERROR(_xlfn.XLOOKUP($D278,'Modelling New'!$D:$D,'Modelling New'!$T:$T)*1000,"")</f>
        <v>31172.693339085006</v>
      </c>
      <c r="AE278" s="143">
        <f>IFERROR(_xlfn.XLOOKUP($D278,'Modelling New'!$D:$D,'Modelling New'!O:O),"")</f>
        <v>0.73597699552347362</v>
      </c>
      <c r="AF278" s="145">
        <f>IFERROR(_xlfn.XLOOKUP($D278,'Modelling New'!$D:$D,'Modelling New'!W:W),"")</f>
        <v>0.16193472334300082</v>
      </c>
      <c r="AG278" s="145">
        <f>IFERROR(_xlfn.XLOOKUP($D278,'Modelling New'!$D:$D,'Modelling New'!AE:AE),"")</f>
        <v>0.98040000000000005</v>
      </c>
      <c r="AH278" s="167">
        <f>IFERROR(_xlfn.XLOOKUP($D278,'Modelling New'!$D:$D,'Modelling New'!AF:AF),"")</f>
        <v>0.98</v>
      </c>
      <c r="AN278" s="144"/>
      <c r="AO278" s="141"/>
      <c r="AP278" s="141"/>
      <c r="AQ278" s="141"/>
      <c r="AR278" s="133">
        <f>'Basic Data'!$B$98/1000</f>
        <v>8.0208999999999993</v>
      </c>
    </row>
    <row r="279" spans="1:44" x14ac:dyDescent="0.3">
      <c r="A279" s="132">
        <f t="shared" si="19"/>
        <v>46022</v>
      </c>
      <c r="B279" s="133">
        <f>YEAR(Table13[[#This Row],[Date]])+IF(MONTH(Table13[[#This Row],[Date]])&gt;=4,1,0)</f>
        <v>2026</v>
      </c>
      <c r="C279" s="134">
        <f>YEAR(Table13[[#This Row],[Date]])</f>
        <v>2025</v>
      </c>
      <c r="D279" s="135">
        <f>Table13[[#This Row],[Date]]-DAY(Table13[[#This Row],[Date]])+1</f>
        <v>45992</v>
      </c>
      <c r="E279" s="134">
        <f t="shared" si="16"/>
        <v>31</v>
      </c>
      <c r="F279" s="136" t="str">
        <f>IFERROR(_xlfn.XLOOKUP($A279,'Raw Data'!$G:$G,'Raw Data'!$AM:$AM),"")</f>
        <v/>
      </c>
      <c r="G279" s="137" t="str">
        <f>IFERROR(_xlfn.XLOOKUP($A279,'Raw Data'!$G:$G,'Raw Data'!$AB:$AB),"")</f>
        <v/>
      </c>
      <c r="H279" s="137"/>
      <c r="I279" s="137" t="str">
        <f>IFERROR(_xlfn.XLOOKUP($A279,'Raw Data'!$G:$G,'Raw Data'!$AC:$AC),"")</f>
        <v/>
      </c>
      <c r="J279" s="137"/>
      <c r="K279" s="137" t="str">
        <f>IFERROR(_xlfn.XLOOKUP($A279,'Raw Data'!$G:$G,'Raw Data'!AD:AD),"")</f>
        <v/>
      </c>
      <c r="L279" s="137" t="str">
        <f>IFERROR(_xlfn.XLOOKUP($A279,'Raw Data'!$G:$G,'Raw Data'!AE:AE),"")</f>
        <v/>
      </c>
      <c r="M279" s="137" t="str">
        <f>IFERROR(_xlfn.XLOOKUP($A279,'Raw Data'!$G:$G,'Raw Data'!AF:AF),"")</f>
        <v/>
      </c>
      <c r="N279" s="137" t="str">
        <f>IFERROR(_xlfn.XLOOKUP($A279,'Raw Data'!$G:$G,'Raw Data'!AG:AG),"")</f>
        <v/>
      </c>
      <c r="O279" s="138" t="str">
        <f>IFERROR(1-SUMIF('Plant BD'!$H:$H,$A279,'Plant BD'!$AE:$AE)/($AA279+SUMIF('Plant BD'!$H:$H,$A279,'Plant BD'!$AE:$AE)),"")</f>
        <v/>
      </c>
      <c r="P279" s="138"/>
      <c r="Q279" s="139"/>
      <c r="R279" s="138" t="str">
        <f>IFERROR(1-SUMIF('Grid BD'!$H:$H,$A279,'Grid BD'!$AD:$AD)/($AA279+SUMIF('Grid BD'!$H:$H,$A279,'Grid BD'!$AD:$AD)),"")</f>
        <v/>
      </c>
      <c r="T279" s="139"/>
      <c r="U279" s="140" t="str">
        <f t="shared" si="17"/>
        <v/>
      </c>
      <c r="V279" s="140"/>
      <c r="W279" s="141" t="str">
        <f t="shared" si="18"/>
        <v/>
      </c>
      <c r="X279" s="133" t="str">
        <f>IFERROR(_xlfn.XLOOKUP($A279,'Raw Data'!$G:$G,'Raw Data'!AI:AI),"")</f>
        <v/>
      </c>
      <c r="Y279" s="133" t="str">
        <f>IFERROR(_xlfn.XLOOKUP($A279,'Raw Data'!$G:$G,'Raw Data'!AJ:AJ),"")</f>
        <v/>
      </c>
      <c r="Z279" s="133" t="str">
        <f>IFERROR(_xlfn.XLOOKUP($A279,'Raw Data'!$G:$G,'Raw Data'!AK:AK),"")</f>
        <v/>
      </c>
      <c r="AA279" s="133" t="str">
        <f>IFERROR(_xlfn.XLOOKUP($A279,'Raw Data'!$G:$G,'Raw Data'!AL:AL),"")</f>
        <v/>
      </c>
      <c r="AB279" s="133" t="str">
        <f>IFERROR(_xlfn.XLOOKUP($A279,'Raw Data'!$G:$G,'Raw Data'!H:H),"")</f>
        <v/>
      </c>
      <c r="AC279" s="142">
        <f>IFERROR(_xlfn.XLOOKUP($D279,'Modelling New'!$D:$D,'Modelling New'!P:P),"")</f>
        <v>5.2806451612903222</v>
      </c>
      <c r="AD279" s="133">
        <f>IFERROR(_xlfn.XLOOKUP($D279,'Modelling New'!$D:$D,'Modelling New'!$T:$T)*1000,"")</f>
        <v>31172.693339085006</v>
      </c>
      <c r="AE279" s="143">
        <f>IFERROR(_xlfn.XLOOKUP($D279,'Modelling New'!$D:$D,'Modelling New'!O:O),"")</f>
        <v>0.73597699552347362</v>
      </c>
      <c r="AF279" s="145">
        <f>IFERROR(_xlfn.XLOOKUP($D279,'Modelling New'!$D:$D,'Modelling New'!W:W),"")</f>
        <v>0.16193472334300082</v>
      </c>
      <c r="AG279" s="145">
        <f>IFERROR(_xlfn.XLOOKUP($D279,'Modelling New'!$D:$D,'Modelling New'!AE:AE),"")</f>
        <v>0.98040000000000005</v>
      </c>
      <c r="AH279" s="167">
        <f>IFERROR(_xlfn.XLOOKUP($D279,'Modelling New'!$D:$D,'Modelling New'!AF:AF),"")</f>
        <v>0.98</v>
      </c>
      <c r="AN279" s="144"/>
      <c r="AO279" s="141"/>
      <c r="AP279" s="141"/>
      <c r="AQ279" s="141"/>
      <c r="AR279" s="133">
        <f>'Basic Data'!$B$98/1000</f>
        <v>8.0208999999999993</v>
      </c>
    </row>
    <row r="280" spans="1:44" x14ac:dyDescent="0.3">
      <c r="A280" s="132">
        <f t="shared" si="19"/>
        <v>46023</v>
      </c>
      <c r="B280" s="133">
        <f>YEAR(Table13[[#This Row],[Date]])+IF(MONTH(Table13[[#This Row],[Date]])&gt;=4,1,0)</f>
        <v>2026</v>
      </c>
      <c r="C280" s="134">
        <f>YEAR(Table13[[#This Row],[Date]])</f>
        <v>2026</v>
      </c>
      <c r="D280" s="135">
        <f>Table13[[#This Row],[Date]]-DAY(Table13[[#This Row],[Date]])+1</f>
        <v>46023</v>
      </c>
      <c r="E280" s="134">
        <f t="shared" si="16"/>
        <v>31</v>
      </c>
      <c r="F280" s="136" t="str">
        <f>IFERROR(_xlfn.XLOOKUP($A280,'Raw Data'!$G:$G,'Raw Data'!$AM:$AM),"")</f>
        <v/>
      </c>
      <c r="G280" s="137" t="str">
        <f>IFERROR(_xlfn.XLOOKUP($A280,'Raw Data'!$G:$G,'Raw Data'!$AB:$AB),"")</f>
        <v/>
      </c>
      <c r="H280" s="137"/>
      <c r="I280" s="137" t="str">
        <f>IFERROR(_xlfn.XLOOKUP($A280,'Raw Data'!$G:$G,'Raw Data'!$AC:$AC),"")</f>
        <v/>
      </c>
      <c r="J280" s="137"/>
      <c r="K280" s="137" t="str">
        <f>IFERROR(_xlfn.XLOOKUP($A280,'Raw Data'!$G:$G,'Raw Data'!AD:AD),"")</f>
        <v/>
      </c>
      <c r="L280" s="137" t="str">
        <f>IFERROR(_xlfn.XLOOKUP($A280,'Raw Data'!$G:$G,'Raw Data'!AE:AE),"")</f>
        <v/>
      </c>
      <c r="M280" s="137" t="str">
        <f>IFERROR(_xlfn.XLOOKUP($A280,'Raw Data'!$G:$G,'Raw Data'!AF:AF),"")</f>
        <v/>
      </c>
      <c r="N280" s="137" t="str">
        <f>IFERROR(_xlfn.XLOOKUP($A280,'Raw Data'!$G:$G,'Raw Data'!AG:AG),"")</f>
        <v/>
      </c>
      <c r="O280" s="138" t="str">
        <f>IFERROR(1-SUMIF('Plant BD'!$H:$H,$A280,'Plant BD'!$AE:$AE)/($AA280+SUMIF('Plant BD'!$H:$H,$A280,'Plant BD'!$AE:$AE)),"")</f>
        <v/>
      </c>
      <c r="P280" s="138"/>
      <c r="Q280" s="139"/>
      <c r="R280" s="138" t="str">
        <f>IFERROR(1-SUMIF('Grid BD'!$H:$H,$A280,'Grid BD'!$AD:$AD)/($AA280+SUMIF('Grid BD'!$H:$H,$A280,'Grid BD'!$AD:$AD)),"")</f>
        <v/>
      </c>
      <c r="T280" s="139"/>
      <c r="U280" s="140" t="str">
        <f t="shared" si="17"/>
        <v/>
      </c>
      <c r="V280" s="140"/>
      <c r="W280" s="141" t="str">
        <f t="shared" si="18"/>
        <v/>
      </c>
      <c r="X280" s="133" t="str">
        <f>IFERROR(_xlfn.XLOOKUP($A280,'Raw Data'!$G:$G,'Raw Data'!AI:AI),"")</f>
        <v/>
      </c>
      <c r="Y280" s="133" t="str">
        <f>IFERROR(_xlfn.XLOOKUP($A280,'Raw Data'!$G:$G,'Raw Data'!AJ:AJ),"")</f>
        <v/>
      </c>
      <c r="Z280" s="133" t="str">
        <f>IFERROR(_xlfn.XLOOKUP($A280,'Raw Data'!$G:$G,'Raw Data'!AK:AK),"")</f>
        <v/>
      </c>
      <c r="AA280" s="133" t="str">
        <f>IFERROR(_xlfn.XLOOKUP($A280,'Raw Data'!$G:$G,'Raw Data'!AL:AL),"")</f>
        <v/>
      </c>
      <c r="AB280" s="133" t="str">
        <f>IFERROR(_xlfn.XLOOKUP($A280,'Raw Data'!$G:$G,'Raw Data'!H:H),"")</f>
        <v/>
      </c>
      <c r="AC280" s="142">
        <f>IFERROR(_xlfn.XLOOKUP($D280,'Modelling New'!$D:$D,'Modelling New'!P:P),"")</f>
        <v>5.9322580645161294</v>
      </c>
      <c r="AD280" s="133">
        <f>IFERROR(_xlfn.XLOOKUP($D280,'Modelling New'!$D:$D,'Modelling New'!$T:$T)*1000,"")</f>
        <v>34475.662965312498</v>
      </c>
      <c r="AE280" s="143">
        <f>IFERROR(_xlfn.XLOOKUP($D280,'Modelling New'!$D:$D,'Modelling New'!O:O),"")</f>
        <v>0.72455188248968172</v>
      </c>
      <c r="AF280" s="145">
        <f>IFERROR(_xlfn.XLOOKUP($D280,'Modelling New'!$D:$D,'Modelling New'!W:W),"")</f>
        <v>0.17909286450248987</v>
      </c>
      <c r="AG280" s="145">
        <f>IFERROR(_xlfn.XLOOKUP($D280,'Modelling New'!$D:$D,'Modelling New'!AE:AE),"")</f>
        <v>0.98040000000000005</v>
      </c>
      <c r="AH280" s="167">
        <f>IFERROR(_xlfn.XLOOKUP($D280,'Modelling New'!$D:$D,'Modelling New'!AF:AF),"")</f>
        <v>0.98</v>
      </c>
      <c r="AN280" s="144"/>
      <c r="AO280" s="141"/>
      <c r="AP280" s="141"/>
      <c r="AQ280" s="141"/>
      <c r="AR280" s="133">
        <f>'Basic Data'!$B$98/1000</f>
        <v>8.0208999999999993</v>
      </c>
    </row>
    <row r="281" spans="1:44" x14ac:dyDescent="0.3">
      <c r="A281" s="132">
        <f t="shared" si="19"/>
        <v>46024</v>
      </c>
      <c r="B281" s="133">
        <f>YEAR(Table13[[#This Row],[Date]])+IF(MONTH(Table13[[#This Row],[Date]])&gt;=4,1,0)</f>
        <v>2026</v>
      </c>
      <c r="C281" s="134">
        <f>YEAR(Table13[[#This Row],[Date]])</f>
        <v>2026</v>
      </c>
      <c r="D281" s="135">
        <f>Table13[[#This Row],[Date]]-DAY(Table13[[#This Row],[Date]])+1</f>
        <v>46023</v>
      </c>
      <c r="E281" s="134">
        <f t="shared" si="16"/>
        <v>31</v>
      </c>
      <c r="F281" s="136" t="str">
        <f>IFERROR(_xlfn.XLOOKUP($A281,'Raw Data'!$G:$G,'Raw Data'!$AM:$AM),"")</f>
        <v/>
      </c>
      <c r="G281" s="137" t="str">
        <f>IFERROR(_xlfn.XLOOKUP($A281,'Raw Data'!$G:$G,'Raw Data'!$AB:$AB),"")</f>
        <v/>
      </c>
      <c r="H281" s="137"/>
      <c r="I281" s="137" t="str">
        <f>IFERROR(_xlfn.XLOOKUP($A281,'Raw Data'!$G:$G,'Raw Data'!$AC:$AC),"")</f>
        <v/>
      </c>
      <c r="J281" s="137"/>
      <c r="K281" s="137" t="str">
        <f>IFERROR(_xlfn.XLOOKUP($A281,'Raw Data'!$G:$G,'Raw Data'!AD:AD),"")</f>
        <v/>
      </c>
      <c r="L281" s="137" t="str">
        <f>IFERROR(_xlfn.XLOOKUP($A281,'Raw Data'!$G:$G,'Raw Data'!AE:AE),"")</f>
        <v/>
      </c>
      <c r="M281" s="137" t="str">
        <f>IFERROR(_xlfn.XLOOKUP($A281,'Raw Data'!$G:$G,'Raw Data'!AF:AF),"")</f>
        <v/>
      </c>
      <c r="N281" s="137" t="str">
        <f>IFERROR(_xlfn.XLOOKUP($A281,'Raw Data'!$G:$G,'Raw Data'!AG:AG),"")</f>
        <v/>
      </c>
      <c r="O281" s="138" t="str">
        <f>IFERROR(1-SUMIF('Plant BD'!$H:$H,$A281,'Plant BD'!$AE:$AE)/($AA281+SUMIF('Plant BD'!$H:$H,$A281,'Plant BD'!$AE:$AE)),"")</f>
        <v/>
      </c>
      <c r="P281" s="138"/>
      <c r="Q281" s="139"/>
      <c r="R281" s="138" t="str">
        <f>IFERROR(1-SUMIF('Grid BD'!$H:$H,$A281,'Grid BD'!$AD:$AD)/($AA281+SUMIF('Grid BD'!$H:$H,$A281,'Grid BD'!$AD:$AD)),"")</f>
        <v/>
      </c>
      <c r="T281" s="139"/>
      <c r="U281" s="140" t="str">
        <f t="shared" si="17"/>
        <v/>
      </c>
      <c r="V281" s="140"/>
      <c r="W281" s="141" t="str">
        <f t="shared" si="18"/>
        <v/>
      </c>
      <c r="X281" s="133" t="str">
        <f>IFERROR(_xlfn.XLOOKUP($A281,'Raw Data'!$G:$G,'Raw Data'!AI:AI),"")</f>
        <v/>
      </c>
      <c r="Y281" s="133" t="str">
        <f>IFERROR(_xlfn.XLOOKUP($A281,'Raw Data'!$G:$G,'Raw Data'!AJ:AJ),"")</f>
        <v/>
      </c>
      <c r="Z281" s="133" t="str">
        <f>IFERROR(_xlfn.XLOOKUP($A281,'Raw Data'!$G:$G,'Raw Data'!AK:AK),"")</f>
        <v/>
      </c>
      <c r="AA281" s="133" t="str">
        <f>IFERROR(_xlfn.XLOOKUP($A281,'Raw Data'!$G:$G,'Raw Data'!AL:AL),"")</f>
        <v/>
      </c>
      <c r="AB281" s="133" t="str">
        <f>IFERROR(_xlfn.XLOOKUP($A281,'Raw Data'!$G:$G,'Raw Data'!H:H),"")</f>
        <v/>
      </c>
      <c r="AC281" s="142">
        <f>IFERROR(_xlfn.XLOOKUP($D281,'Modelling New'!$D:$D,'Modelling New'!P:P),"")</f>
        <v>5.9322580645161294</v>
      </c>
      <c r="AD281" s="133">
        <f>IFERROR(_xlfn.XLOOKUP($D281,'Modelling New'!$D:$D,'Modelling New'!$T:$T)*1000,"")</f>
        <v>34475.662965312498</v>
      </c>
      <c r="AE281" s="143">
        <f>IFERROR(_xlfn.XLOOKUP($D281,'Modelling New'!$D:$D,'Modelling New'!O:O),"")</f>
        <v>0.72455188248968172</v>
      </c>
      <c r="AF281" s="145">
        <f>IFERROR(_xlfn.XLOOKUP($D281,'Modelling New'!$D:$D,'Modelling New'!W:W),"")</f>
        <v>0.17909286450248987</v>
      </c>
      <c r="AG281" s="145">
        <f>IFERROR(_xlfn.XLOOKUP($D281,'Modelling New'!$D:$D,'Modelling New'!AE:AE),"")</f>
        <v>0.98040000000000005</v>
      </c>
      <c r="AH281" s="167">
        <f>IFERROR(_xlfn.XLOOKUP($D281,'Modelling New'!$D:$D,'Modelling New'!AF:AF),"")</f>
        <v>0.98</v>
      </c>
      <c r="AN281" s="144"/>
      <c r="AO281" s="141"/>
      <c r="AP281" s="141"/>
      <c r="AQ281" s="141"/>
      <c r="AR281" s="133">
        <f>'Basic Data'!$B$98/1000</f>
        <v>8.0208999999999993</v>
      </c>
    </row>
    <row r="282" spans="1:44" x14ac:dyDescent="0.3">
      <c r="A282" s="132">
        <f t="shared" si="19"/>
        <v>46025</v>
      </c>
      <c r="B282" s="133">
        <f>YEAR(Table13[[#This Row],[Date]])+IF(MONTH(Table13[[#This Row],[Date]])&gt;=4,1,0)</f>
        <v>2026</v>
      </c>
      <c r="C282" s="134">
        <f>YEAR(Table13[[#This Row],[Date]])</f>
        <v>2026</v>
      </c>
      <c r="D282" s="135">
        <f>Table13[[#This Row],[Date]]-DAY(Table13[[#This Row],[Date]])+1</f>
        <v>46023</v>
      </c>
      <c r="E282" s="134">
        <f t="shared" si="16"/>
        <v>31</v>
      </c>
      <c r="F282" s="136" t="str">
        <f>IFERROR(_xlfn.XLOOKUP($A282,'Raw Data'!$G:$G,'Raw Data'!$AM:$AM),"")</f>
        <v/>
      </c>
      <c r="G282" s="137" t="str">
        <f>IFERROR(_xlfn.XLOOKUP($A282,'Raw Data'!$G:$G,'Raw Data'!$AB:$AB),"")</f>
        <v/>
      </c>
      <c r="H282" s="137"/>
      <c r="I282" s="137" t="str">
        <f>IFERROR(_xlfn.XLOOKUP($A282,'Raw Data'!$G:$G,'Raw Data'!$AC:$AC),"")</f>
        <v/>
      </c>
      <c r="J282" s="137"/>
      <c r="K282" s="137" t="str">
        <f>IFERROR(_xlfn.XLOOKUP($A282,'Raw Data'!$G:$G,'Raw Data'!AD:AD),"")</f>
        <v/>
      </c>
      <c r="L282" s="137" t="str">
        <f>IFERROR(_xlfn.XLOOKUP($A282,'Raw Data'!$G:$G,'Raw Data'!AE:AE),"")</f>
        <v/>
      </c>
      <c r="M282" s="137" t="str">
        <f>IFERROR(_xlfn.XLOOKUP($A282,'Raw Data'!$G:$G,'Raw Data'!AF:AF),"")</f>
        <v/>
      </c>
      <c r="N282" s="137" t="str">
        <f>IFERROR(_xlfn.XLOOKUP($A282,'Raw Data'!$G:$G,'Raw Data'!AG:AG),"")</f>
        <v/>
      </c>
      <c r="O282" s="138" t="str">
        <f>IFERROR(1-SUMIF('Plant BD'!$H:$H,$A282,'Plant BD'!$AE:$AE)/($AA282+SUMIF('Plant BD'!$H:$H,$A282,'Plant BD'!$AE:$AE)),"")</f>
        <v/>
      </c>
      <c r="P282" s="138"/>
      <c r="Q282" s="139"/>
      <c r="R282" s="138" t="str">
        <f>IFERROR(1-SUMIF('Grid BD'!$H:$H,$A282,'Grid BD'!$AD:$AD)/($AA282+SUMIF('Grid BD'!$H:$H,$A282,'Grid BD'!$AD:$AD)),"")</f>
        <v/>
      </c>
      <c r="T282" s="139"/>
      <c r="U282" s="140" t="str">
        <f t="shared" si="17"/>
        <v/>
      </c>
      <c r="V282" s="140"/>
      <c r="W282" s="141" t="str">
        <f t="shared" si="18"/>
        <v/>
      </c>
      <c r="X282" s="133" t="str">
        <f>IFERROR(_xlfn.XLOOKUP($A282,'Raw Data'!$G:$G,'Raw Data'!AI:AI),"")</f>
        <v/>
      </c>
      <c r="Y282" s="133" t="str">
        <f>IFERROR(_xlfn.XLOOKUP($A282,'Raw Data'!$G:$G,'Raw Data'!AJ:AJ),"")</f>
        <v/>
      </c>
      <c r="Z282" s="133" t="str">
        <f>IFERROR(_xlfn.XLOOKUP($A282,'Raw Data'!$G:$G,'Raw Data'!AK:AK),"")</f>
        <v/>
      </c>
      <c r="AA282" s="133" t="str">
        <f>IFERROR(_xlfn.XLOOKUP($A282,'Raw Data'!$G:$G,'Raw Data'!AL:AL),"")</f>
        <v/>
      </c>
      <c r="AB282" s="133" t="str">
        <f>IFERROR(_xlfn.XLOOKUP($A282,'Raw Data'!$G:$G,'Raw Data'!H:H),"")</f>
        <v/>
      </c>
      <c r="AC282" s="142">
        <f>IFERROR(_xlfn.XLOOKUP($D282,'Modelling New'!$D:$D,'Modelling New'!P:P),"")</f>
        <v>5.9322580645161294</v>
      </c>
      <c r="AD282" s="133">
        <f>IFERROR(_xlfn.XLOOKUP($D282,'Modelling New'!$D:$D,'Modelling New'!$T:$T)*1000,"")</f>
        <v>34475.662965312498</v>
      </c>
      <c r="AE282" s="143">
        <f>IFERROR(_xlfn.XLOOKUP($D282,'Modelling New'!$D:$D,'Modelling New'!O:O),"")</f>
        <v>0.72455188248968172</v>
      </c>
      <c r="AF282" s="145">
        <f>IFERROR(_xlfn.XLOOKUP($D282,'Modelling New'!$D:$D,'Modelling New'!W:W),"")</f>
        <v>0.17909286450248987</v>
      </c>
      <c r="AG282" s="145">
        <f>IFERROR(_xlfn.XLOOKUP($D282,'Modelling New'!$D:$D,'Modelling New'!AE:AE),"")</f>
        <v>0.98040000000000005</v>
      </c>
      <c r="AH282" s="167">
        <f>IFERROR(_xlfn.XLOOKUP($D282,'Modelling New'!$D:$D,'Modelling New'!AF:AF),"")</f>
        <v>0.98</v>
      </c>
      <c r="AN282" s="144"/>
      <c r="AO282" s="141"/>
      <c r="AP282" s="141"/>
      <c r="AQ282" s="141"/>
      <c r="AR282" s="133">
        <f>'Basic Data'!$B$98/1000</f>
        <v>8.0208999999999993</v>
      </c>
    </row>
    <row r="283" spans="1:44" x14ac:dyDescent="0.3">
      <c r="A283" s="132">
        <f t="shared" si="19"/>
        <v>46026</v>
      </c>
      <c r="B283" s="133">
        <f>YEAR(Table13[[#This Row],[Date]])+IF(MONTH(Table13[[#This Row],[Date]])&gt;=4,1,0)</f>
        <v>2026</v>
      </c>
      <c r="C283" s="134">
        <f>YEAR(Table13[[#This Row],[Date]])</f>
        <v>2026</v>
      </c>
      <c r="D283" s="135">
        <f>Table13[[#This Row],[Date]]-DAY(Table13[[#This Row],[Date]])+1</f>
        <v>46023</v>
      </c>
      <c r="E283" s="134">
        <f t="shared" si="16"/>
        <v>31</v>
      </c>
      <c r="F283" s="136" t="str">
        <f>IFERROR(_xlfn.XLOOKUP($A283,'Raw Data'!$G:$G,'Raw Data'!$AM:$AM),"")</f>
        <v/>
      </c>
      <c r="G283" s="137" t="str">
        <f>IFERROR(_xlfn.XLOOKUP($A283,'Raw Data'!$G:$G,'Raw Data'!$AB:$AB),"")</f>
        <v/>
      </c>
      <c r="H283" s="137"/>
      <c r="I283" s="137" t="str">
        <f>IFERROR(_xlfn.XLOOKUP($A283,'Raw Data'!$G:$G,'Raw Data'!$AC:$AC),"")</f>
        <v/>
      </c>
      <c r="J283" s="137"/>
      <c r="K283" s="137" t="str">
        <f>IFERROR(_xlfn.XLOOKUP($A283,'Raw Data'!$G:$G,'Raw Data'!AD:AD),"")</f>
        <v/>
      </c>
      <c r="L283" s="137" t="str">
        <f>IFERROR(_xlfn.XLOOKUP($A283,'Raw Data'!$G:$G,'Raw Data'!AE:AE),"")</f>
        <v/>
      </c>
      <c r="M283" s="137" t="str">
        <f>IFERROR(_xlfn.XLOOKUP($A283,'Raw Data'!$G:$G,'Raw Data'!AF:AF),"")</f>
        <v/>
      </c>
      <c r="N283" s="137" t="str">
        <f>IFERROR(_xlfn.XLOOKUP($A283,'Raw Data'!$G:$G,'Raw Data'!AG:AG),"")</f>
        <v/>
      </c>
      <c r="O283" s="138" t="str">
        <f>IFERROR(1-SUMIF('Plant BD'!$H:$H,$A283,'Plant BD'!$AE:$AE)/($AA283+SUMIF('Plant BD'!$H:$H,$A283,'Plant BD'!$AE:$AE)),"")</f>
        <v/>
      </c>
      <c r="P283" s="138"/>
      <c r="Q283" s="139"/>
      <c r="R283" s="138" t="str">
        <f>IFERROR(1-SUMIF('Grid BD'!$H:$H,$A283,'Grid BD'!$AD:$AD)/($AA283+SUMIF('Grid BD'!$H:$H,$A283,'Grid BD'!$AD:$AD)),"")</f>
        <v/>
      </c>
      <c r="T283" s="139"/>
      <c r="U283" s="140" t="str">
        <f t="shared" si="17"/>
        <v/>
      </c>
      <c r="V283" s="140"/>
      <c r="W283" s="141" t="str">
        <f t="shared" si="18"/>
        <v/>
      </c>
      <c r="X283" s="133" t="str">
        <f>IFERROR(_xlfn.XLOOKUP($A283,'Raw Data'!$G:$G,'Raw Data'!AI:AI),"")</f>
        <v/>
      </c>
      <c r="Y283" s="133" t="str">
        <f>IFERROR(_xlfn.XLOOKUP($A283,'Raw Data'!$G:$G,'Raw Data'!AJ:AJ),"")</f>
        <v/>
      </c>
      <c r="Z283" s="133" t="str">
        <f>IFERROR(_xlfn.XLOOKUP($A283,'Raw Data'!$G:$G,'Raw Data'!AK:AK),"")</f>
        <v/>
      </c>
      <c r="AA283" s="133" t="str">
        <f>IFERROR(_xlfn.XLOOKUP($A283,'Raw Data'!$G:$G,'Raw Data'!AL:AL),"")</f>
        <v/>
      </c>
      <c r="AB283" s="133" t="str">
        <f>IFERROR(_xlfn.XLOOKUP($A283,'Raw Data'!$G:$G,'Raw Data'!H:H),"")</f>
        <v/>
      </c>
      <c r="AC283" s="142">
        <f>IFERROR(_xlfn.XLOOKUP($D283,'Modelling New'!$D:$D,'Modelling New'!P:P),"")</f>
        <v>5.9322580645161294</v>
      </c>
      <c r="AD283" s="133">
        <f>IFERROR(_xlfn.XLOOKUP($D283,'Modelling New'!$D:$D,'Modelling New'!$T:$T)*1000,"")</f>
        <v>34475.662965312498</v>
      </c>
      <c r="AE283" s="143">
        <f>IFERROR(_xlfn.XLOOKUP($D283,'Modelling New'!$D:$D,'Modelling New'!O:O),"")</f>
        <v>0.72455188248968172</v>
      </c>
      <c r="AF283" s="145">
        <f>IFERROR(_xlfn.XLOOKUP($D283,'Modelling New'!$D:$D,'Modelling New'!W:W),"")</f>
        <v>0.17909286450248987</v>
      </c>
      <c r="AG283" s="145">
        <f>IFERROR(_xlfn.XLOOKUP($D283,'Modelling New'!$D:$D,'Modelling New'!AE:AE),"")</f>
        <v>0.98040000000000005</v>
      </c>
      <c r="AH283" s="167">
        <f>IFERROR(_xlfn.XLOOKUP($D283,'Modelling New'!$D:$D,'Modelling New'!AF:AF),"")</f>
        <v>0.98</v>
      </c>
      <c r="AN283" s="144"/>
      <c r="AO283" s="141"/>
      <c r="AP283" s="141"/>
      <c r="AQ283" s="141"/>
      <c r="AR283" s="133">
        <f>'Basic Data'!$B$98/1000</f>
        <v>8.0208999999999993</v>
      </c>
    </row>
    <row r="284" spans="1:44" x14ac:dyDescent="0.3">
      <c r="A284" s="132">
        <f t="shared" si="19"/>
        <v>46027</v>
      </c>
      <c r="B284" s="133">
        <f>YEAR(Table13[[#This Row],[Date]])+IF(MONTH(Table13[[#This Row],[Date]])&gt;=4,1,0)</f>
        <v>2026</v>
      </c>
      <c r="C284" s="134">
        <f>YEAR(Table13[[#This Row],[Date]])</f>
        <v>2026</v>
      </c>
      <c r="D284" s="135">
        <f>Table13[[#This Row],[Date]]-DAY(Table13[[#This Row],[Date]])+1</f>
        <v>46023</v>
      </c>
      <c r="E284" s="134">
        <f t="shared" si="16"/>
        <v>31</v>
      </c>
      <c r="F284" s="136" t="str">
        <f>IFERROR(_xlfn.XLOOKUP($A284,'Raw Data'!$G:$G,'Raw Data'!$AM:$AM),"")</f>
        <v/>
      </c>
      <c r="G284" s="137" t="str">
        <f>IFERROR(_xlfn.XLOOKUP($A284,'Raw Data'!$G:$G,'Raw Data'!$AB:$AB),"")</f>
        <v/>
      </c>
      <c r="H284" s="137"/>
      <c r="I284" s="137" t="str">
        <f>IFERROR(_xlfn.XLOOKUP($A284,'Raw Data'!$G:$G,'Raw Data'!$AC:$AC),"")</f>
        <v/>
      </c>
      <c r="J284" s="137"/>
      <c r="K284" s="137" t="str">
        <f>IFERROR(_xlfn.XLOOKUP($A284,'Raw Data'!$G:$G,'Raw Data'!AD:AD),"")</f>
        <v/>
      </c>
      <c r="L284" s="137" t="str">
        <f>IFERROR(_xlfn.XLOOKUP($A284,'Raw Data'!$G:$G,'Raw Data'!AE:AE),"")</f>
        <v/>
      </c>
      <c r="M284" s="137" t="str">
        <f>IFERROR(_xlfn.XLOOKUP($A284,'Raw Data'!$G:$G,'Raw Data'!AF:AF),"")</f>
        <v/>
      </c>
      <c r="N284" s="137" t="str">
        <f>IFERROR(_xlfn.XLOOKUP($A284,'Raw Data'!$G:$G,'Raw Data'!AG:AG),"")</f>
        <v/>
      </c>
      <c r="O284" s="138" t="str">
        <f>IFERROR(1-SUMIF('Plant BD'!$H:$H,$A284,'Plant BD'!$AE:$AE)/($AA284+SUMIF('Plant BD'!$H:$H,$A284,'Plant BD'!$AE:$AE)),"")</f>
        <v/>
      </c>
      <c r="P284" s="138"/>
      <c r="Q284" s="139"/>
      <c r="R284" s="138" t="str">
        <f>IFERROR(1-SUMIF('Grid BD'!$H:$H,$A284,'Grid BD'!$AD:$AD)/($AA284+SUMIF('Grid BD'!$H:$H,$A284,'Grid BD'!$AD:$AD)),"")</f>
        <v/>
      </c>
      <c r="T284" s="139"/>
      <c r="U284" s="140" t="str">
        <f t="shared" si="17"/>
        <v/>
      </c>
      <c r="V284" s="140"/>
      <c r="W284" s="141" t="str">
        <f t="shared" si="18"/>
        <v/>
      </c>
      <c r="X284" s="133" t="str">
        <f>IFERROR(_xlfn.XLOOKUP($A284,'Raw Data'!$G:$G,'Raw Data'!AI:AI),"")</f>
        <v/>
      </c>
      <c r="Y284" s="133" t="str">
        <f>IFERROR(_xlfn.XLOOKUP($A284,'Raw Data'!$G:$G,'Raw Data'!AJ:AJ),"")</f>
        <v/>
      </c>
      <c r="Z284" s="133" t="str">
        <f>IFERROR(_xlfn.XLOOKUP($A284,'Raw Data'!$G:$G,'Raw Data'!AK:AK),"")</f>
        <v/>
      </c>
      <c r="AA284" s="133" t="str">
        <f>IFERROR(_xlfn.XLOOKUP($A284,'Raw Data'!$G:$G,'Raw Data'!AL:AL),"")</f>
        <v/>
      </c>
      <c r="AB284" s="133" t="str">
        <f>IFERROR(_xlfn.XLOOKUP($A284,'Raw Data'!$G:$G,'Raw Data'!H:H),"")</f>
        <v/>
      </c>
      <c r="AC284" s="142">
        <f>IFERROR(_xlfn.XLOOKUP($D284,'Modelling New'!$D:$D,'Modelling New'!P:P),"")</f>
        <v>5.9322580645161294</v>
      </c>
      <c r="AD284" s="133">
        <f>IFERROR(_xlfn.XLOOKUP($D284,'Modelling New'!$D:$D,'Modelling New'!$T:$T)*1000,"")</f>
        <v>34475.662965312498</v>
      </c>
      <c r="AE284" s="143">
        <f>IFERROR(_xlfn.XLOOKUP($D284,'Modelling New'!$D:$D,'Modelling New'!O:O),"")</f>
        <v>0.72455188248968172</v>
      </c>
      <c r="AF284" s="145">
        <f>IFERROR(_xlfn.XLOOKUP($D284,'Modelling New'!$D:$D,'Modelling New'!W:W),"")</f>
        <v>0.17909286450248987</v>
      </c>
      <c r="AG284" s="145">
        <f>IFERROR(_xlfn.XLOOKUP($D284,'Modelling New'!$D:$D,'Modelling New'!AE:AE),"")</f>
        <v>0.98040000000000005</v>
      </c>
      <c r="AH284" s="167">
        <f>IFERROR(_xlfn.XLOOKUP($D284,'Modelling New'!$D:$D,'Modelling New'!AF:AF),"")</f>
        <v>0.98</v>
      </c>
      <c r="AN284" s="144"/>
      <c r="AO284" s="141"/>
      <c r="AP284" s="141"/>
      <c r="AQ284" s="141"/>
      <c r="AR284" s="133">
        <f>'Basic Data'!$B$98/1000</f>
        <v>8.0208999999999993</v>
      </c>
    </row>
    <row r="285" spans="1:44" x14ac:dyDescent="0.3">
      <c r="A285" s="132">
        <f t="shared" si="19"/>
        <v>46028</v>
      </c>
      <c r="B285" s="133">
        <f>YEAR(Table13[[#This Row],[Date]])+IF(MONTH(Table13[[#This Row],[Date]])&gt;=4,1,0)</f>
        <v>2026</v>
      </c>
      <c r="C285" s="134">
        <f>YEAR(Table13[[#This Row],[Date]])</f>
        <v>2026</v>
      </c>
      <c r="D285" s="135">
        <f>Table13[[#This Row],[Date]]-DAY(Table13[[#This Row],[Date]])+1</f>
        <v>46023</v>
      </c>
      <c r="E285" s="134">
        <f t="shared" si="16"/>
        <v>31</v>
      </c>
      <c r="F285" s="136" t="str">
        <f>IFERROR(_xlfn.XLOOKUP($A285,'Raw Data'!$G:$G,'Raw Data'!$AM:$AM),"")</f>
        <v/>
      </c>
      <c r="G285" s="137" t="str">
        <f>IFERROR(_xlfn.XLOOKUP($A285,'Raw Data'!$G:$G,'Raw Data'!$AB:$AB),"")</f>
        <v/>
      </c>
      <c r="H285" s="137"/>
      <c r="I285" s="137" t="str">
        <f>IFERROR(_xlfn.XLOOKUP($A285,'Raw Data'!$G:$G,'Raw Data'!$AC:$AC),"")</f>
        <v/>
      </c>
      <c r="J285" s="137"/>
      <c r="K285" s="137" t="str">
        <f>IFERROR(_xlfn.XLOOKUP($A285,'Raw Data'!$G:$G,'Raw Data'!AD:AD),"")</f>
        <v/>
      </c>
      <c r="L285" s="137" t="str">
        <f>IFERROR(_xlfn.XLOOKUP($A285,'Raw Data'!$G:$G,'Raw Data'!AE:AE),"")</f>
        <v/>
      </c>
      <c r="M285" s="137" t="str">
        <f>IFERROR(_xlfn.XLOOKUP($A285,'Raw Data'!$G:$G,'Raw Data'!AF:AF),"")</f>
        <v/>
      </c>
      <c r="N285" s="137" t="str">
        <f>IFERROR(_xlfn.XLOOKUP($A285,'Raw Data'!$G:$G,'Raw Data'!AG:AG),"")</f>
        <v/>
      </c>
      <c r="O285" s="138" t="str">
        <f>IFERROR(1-SUMIF('Plant BD'!$H:$H,$A285,'Plant BD'!$AE:$AE)/($AA285+SUMIF('Plant BD'!$H:$H,$A285,'Plant BD'!$AE:$AE)),"")</f>
        <v/>
      </c>
      <c r="P285" s="138"/>
      <c r="Q285" s="139"/>
      <c r="R285" s="138" t="str">
        <f>IFERROR(1-SUMIF('Grid BD'!$H:$H,$A285,'Grid BD'!$AD:$AD)/($AA285+SUMIF('Grid BD'!$H:$H,$A285,'Grid BD'!$AD:$AD)),"")</f>
        <v/>
      </c>
      <c r="T285" s="139"/>
      <c r="U285" s="140" t="str">
        <f t="shared" si="17"/>
        <v/>
      </c>
      <c r="V285" s="140"/>
      <c r="W285" s="141" t="str">
        <f t="shared" si="18"/>
        <v/>
      </c>
      <c r="X285" s="133" t="str">
        <f>IFERROR(_xlfn.XLOOKUP($A285,'Raw Data'!$G:$G,'Raw Data'!AI:AI),"")</f>
        <v/>
      </c>
      <c r="Y285" s="133" t="str">
        <f>IFERROR(_xlfn.XLOOKUP($A285,'Raw Data'!$G:$G,'Raw Data'!AJ:AJ),"")</f>
        <v/>
      </c>
      <c r="Z285" s="133" t="str">
        <f>IFERROR(_xlfn.XLOOKUP($A285,'Raw Data'!$G:$G,'Raw Data'!AK:AK),"")</f>
        <v/>
      </c>
      <c r="AA285" s="133" t="str">
        <f>IFERROR(_xlfn.XLOOKUP($A285,'Raw Data'!$G:$G,'Raw Data'!AL:AL),"")</f>
        <v/>
      </c>
      <c r="AB285" s="133" t="str">
        <f>IFERROR(_xlfn.XLOOKUP($A285,'Raw Data'!$G:$G,'Raw Data'!H:H),"")</f>
        <v/>
      </c>
      <c r="AC285" s="142">
        <f>IFERROR(_xlfn.XLOOKUP($D285,'Modelling New'!$D:$D,'Modelling New'!P:P),"")</f>
        <v>5.9322580645161294</v>
      </c>
      <c r="AD285" s="133">
        <f>IFERROR(_xlfn.XLOOKUP($D285,'Modelling New'!$D:$D,'Modelling New'!$T:$T)*1000,"")</f>
        <v>34475.662965312498</v>
      </c>
      <c r="AE285" s="143">
        <f>IFERROR(_xlfn.XLOOKUP($D285,'Modelling New'!$D:$D,'Modelling New'!O:O),"")</f>
        <v>0.72455188248968172</v>
      </c>
      <c r="AF285" s="145">
        <f>IFERROR(_xlfn.XLOOKUP($D285,'Modelling New'!$D:$D,'Modelling New'!W:W),"")</f>
        <v>0.17909286450248987</v>
      </c>
      <c r="AG285" s="145">
        <f>IFERROR(_xlfn.XLOOKUP($D285,'Modelling New'!$D:$D,'Modelling New'!AE:AE),"")</f>
        <v>0.98040000000000005</v>
      </c>
      <c r="AH285" s="167">
        <f>IFERROR(_xlfn.XLOOKUP($D285,'Modelling New'!$D:$D,'Modelling New'!AF:AF),"")</f>
        <v>0.98</v>
      </c>
      <c r="AN285" s="144"/>
      <c r="AO285" s="141"/>
      <c r="AP285" s="141"/>
      <c r="AQ285" s="141"/>
      <c r="AR285" s="133">
        <f>'Basic Data'!$B$98/1000</f>
        <v>8.0208999999999993</v>
      </c>
    </row>
    <row r="286" spans="1:44" x14ac:dyDescent="0.3">
      <c r="A286" s="132">
        <f t="shared" si="19"/>
        <v>46029</v>
      </c>
      <c r="B286" s="133">
        <f>YEAR(Table13[[#This Row],[Date]])+IF(MONTH(Table13[[#This Row],[Date]])&gt;=4,1,0)</f>
        <v>2026</v>
      </c>
      <c r="C286" s="134">
        <f>YEAR(Table13[[#This Row],[Date]])</f>
        <v>2026</v>
      </c>
      <c r="D286" s="135">
        <f>Table13[[#This Row],[Date]]-DAY(Table13[[#This Row],[Date]])+1</f>
        <v>46023</v>
      </c>
      <c r="E286" s="134">
        <f t="shared" si="16"/>
        <v>31</v>
      </c>
      <c r="F286" s="136" t="str">
        <f>IFERROR(_xlfn.XLOOKUP($A286,'Raw Data'!$G:$G,'Raw Data'!$AM:$AM),"")</f>
        <v/>
      </c>
      <c r="G286" s="137" t="str">
        <f>IFERROR(_xlfn.XLOOKUP($A286,'Raw Data'!$G:$G,'Raw Data'!$AB:$AB),"")</f>
        <v/>
      </c>
      <c r="H286" s="137"/>
      <c r="I286" s="137" t="str">
        <f>IFERROR(_xlfn.XLOOKUP($A286,'Raw Data'!$G:$G,'Raw Data'!$AC:$AC),"")</f>
        <v/>
      </c>
      <c r="J286" s="137"/>
      <c r="K286" s="137" t="str">
        <f>IFERROR(_xlfn.XLOOKUP($A286,'Raw Data'!$G:$G,'Raw Data'!AD:AD),"")</f>
        <v/>
      </c>
      <c r="L286" s="137" t="str">
        <f>IFERROR(_xlfn.XLOOKUP($A286,'Raw Data'!$G:$G,'Raw Data'!AE:AE),"")</f>
        <v/>
      </c>
      <c r="M286" s="137" t="str">
        <f>IFERROR(_xlfn.XLOOKUP($A286,'Raw Data'!$G:$G,'Raw Data'!AF:AF),"")</f>
        <v/>
      </c>
      <c r="N286" s="137" t="str">
        <f>IFERROR(_xlfn.XLOOKUP($A286,'Raw Data'!$G:$G,'Raw Data'!AG:AG),"")</f>
        <v/>
      </c>
      <c r="O286" s="138" t="str">
        <f>IFERROR(1-SUMIF('Plant BD'!$H:$H,$A286,'Plant BD'!$AE:$AE)/($AA286+SUMIF('Plant BD'!$H:$H,$A286,'Plant BD'!$AE:$AE)),"")</f>
        <v/>
      </c>
      <c r="P286" s="138"/>
      <c r="Q286" s="139"/>
      <c r="R286" s="138" t="str">
        <f>IFERROR(1-SUMIF('Grid BD'!$H:$H,$A286,'Grid BD'!$AD:$AD)/($AA286+SUMIF('Grid BD'!$H:$H,$A286,'Grid BD'!$AD:$AD)),"")</f>
        <v/>
      </c>
      <c r="T286" s="139"/>
      <c r="U286" s="140" t="str">
        <f t="shared" si="17"/>
        <v/>
      </c>
      <c r="V286" s="140"/>
      <c r="W286" s="141" t="str">
        <f t="shared" si="18"/>
        <v/>
      </c>
      <c r="X286" s="133" t="str">
        <f>IFERROR(_xlfn.XLOOKUP($A286,'Raw Data'!$G:$G,'Raw Data'!AI:AI),"")</f>
        <v/>
      </c>
      <c r="Y286" s="133" t="str">
        <f>IFERROR(_xlfn.XLOOKUP($A286,'Raw Data'!$G:$G,'Raw Data'!AJ:AJ),"")</f>
        <v/>
      </c>
      <c r="Z286" s="133" t="str">
        <f>IFERROR(_xlfn.XLOOKUP($A286,'Raw Data'!$G:$G,'Raw Data'!AK:AK),"")</f>
        <v/>
      </c>
      <c r="AA286" s="133" t="str">
        <f>IFERROR(_xlfn.XLOOKUP($A286,'Raw Data'!$G:$G,'Raw Data'!AL:AL),"")</f>
        <v/>
      </c>
      <c r="AB286" s="133" t="str">
        <f>IFERROR(_xlfn.XLOOKUP($A286,'Raw Data'!$G:$G,'Raw Data'!H:H),"")</f>
        <v/>
      </c>
      <c r="AC286" s="142">
        <f>IFERROR(_xlfn.XLOOKUP($D286,'Modelling New'!$D:$D,'Modelling New'!P:P),"")</f>
        <v>5.9322580645161294</v>
      </c>
      <c r="AD286" s="133">
        <f>IFERROR(_xlfn.XLOOKUP($D286,'Modelling New'!$D:$D,'Modelling New'!$T:$T)*1000,"")</f>
        <v>34475.662965312498</v>
      </c>
      <c r="AE286" s="143">
        <f>IFERROR(_xlfn.XLOOKUP($D286,'Modelling New'!$D:$D,'Modelling New'!O:O),"")</f>
        <v>0.72455188248968172</v>
      </c>
      <c r="AF286" s="145">
        <f>IFERROR(_xlfn.XLOOKUP($D286,'Modelling New'!$D:$D,'Modelling New'!W:W),"")</f>
        <v>0.17909286450248987</v>
      </c>
      <c r="AG286" s="145">
        <f>IFERROR(_xlfn.XLOOKUP($D286,'Modelling New'!$D:$D,'Modelling New'!AE:AE),"")</f>
        <v>0.98040000000000005</v>
      </c>
      <c r="AH286" s="167">
        <f>IFERROR(_xlfn.XLOOKUP($D286,'Modelling New'!$D:$D,'Modelling New'!AF:AF),"")</f>
        <v>0.98</v>
      </c>
      <c r="AN286" s="144"/>
      <c r="AO286" s="141"/>
      <c r="AP286" s="141"/>
      <c r="AQ286" s="141"/>
      <c r="AR286" s="133">
        <f>'Basic Data'!$B$98/1000</f>
        <v>8.0208999999999993</v>
      </c>
    </row>
    <row r="287" spans="1:44" x14ac:dyDescent="0.3">
      <c r="A287" s="132">
        <f t="shared" si="19"/>
        <v>46030</v>
      </c>
      <c r="B287" s="133">
        <f>YEAR(Table13[[#This Row],[Date]])+IF(MONTH(Table13[[#This Row],[Date]])&gt;=4,1,0)</f>
        <v>2026</v>
      </c>
      <c r="C287" s="134">
        <f>YEAR(Table13[[#This Row],[Date]])</f>
        <v>2026</v>
      </c>
      <c r="D287" s="135">
        <f>Table13[[#This Row],[Date]]-DAY(Table13[[#This Row],[Date]])+1</f>
        <v>46023</v>
      </c>
      <c r="E287" s="134">
        <f t="shared" si="16"/>
        <v>31</v>
      </c>
      <c r="F287" s="136" t="str">
        <f>IFERROR(_xlfn.XLOOKUP($A287,'Raw Data'!$G:$G,'Raw Data'!$AM:$AM),"")</f>
        <v/>
      </c>
      <c r="G287" s="137" t="str">
        <f>IFERROR(_xlfn.XLOOKUP($A287,'Raw Data'!$G:$G,'Raw Data'!$AB:$AB),"")</f>
        <v/>
      </c>
      <c r="H287" s="137"/>
      <c r="I287" s="137" t="str">
        <f>IFERROR(_xlfn.XLOOKUP($A287,'Raw Data'!$G:$G,'Raw Data'!$AC:$AC),"")</f>
        <v/>
      </c>
      <c r="J287" s="137"/>
      <c r="K287" s="137" t="str">
        <f>IFERROR(_xlfn.XLOOKUP($A287,'Raw Data'!$G:$G,'Raw Data'!AD:AD),"")</f>
        <v/>
      </c>
      <c r="L287" s="137" t="str">
        <f>IFERROR(_xlfn.XLOOKUP($A287,'Raw Data'!$G:$G,'Raw Data'!AE:AE),"")</f>
        <v/>
      </c>
      <c r="M287" s="137" t="str">
        <f>IFERROR(_xlfn.XLOOKUP($A287,'Raw Data'!$G:$G,'Raw Data'!AF:AF),"")</f>
        <v/>
      </c>
      <c r="N287" s="137" t="str">
        <f>IFERROR(_xlfn.XLOOKUP($A287,'Raw Data'!$G:$G,'Raw Data'!AG:AG),"")</f>
        <v/>
      </c>
      <c r="O287" s="138" t="str">
        <f>IFERROR(1-SUMIF('Plant BD'!$H:$H,$A287,'Plant BD'!$AE:$AE)/($AA287+SUMIF('Plant BD'!$H:$H,$A287,'Plant BD'!$AE:$AE)),"")</f>
        <v/>
      </c>
      <c r="P287" s="138"/>
      <c r="Q287" s="139"/>
      <c r="R287" s="138" t="str">
        <f>IFERROR(1-SUMIF('Grid BD'!$H:$H,$A287,'Grid BD'!$AD:$AD)/($AA287+SUMIF('Grid BD'!$H:$H,$A287,'Grid BD'!$AD:$AD)),"")</f>
        <v/>
      </c>
      <c r="T287" s="139"/>
      <c r="U287" s="140" t="str">
        <f t="shared" si="17"/>
        <v/>
      </c>
      <c r="V287" s="140"/>
      <c r="W287" s="141" t="str">
        <f t="shared" si="18"/>
        <v/>
      </c>
      <c r="X287" s="133" t="str">
        <f>IFERROR(_xlfn.XLOOKUP($A287,'Raw Data'!$G:$G,'Raw Data'!AI:AI),"")</f>
        <v/>
      </c>
      <c r="Y287" s="133" t="str">
        <f>IFERROR(_xlfn.XLOOKUP($A287,'Raw Data'!$G:$G,'Raw Data'!AJ:AJ),"")</f>
        <v/>
      </c>
      <c r="Z287" s="133" t="str">
        <f>IFERROR(_xlfn.XLOOKUP($A287,'Raw Data'!$G:$G,'Raw Data'!AK:AK),"")</f>
        <v/>
      </c>
      <c r="AA287" s="133" t="str">
        <f>IFERROR(_xlfn.XLOOKUP($A287,'Raw Data'!$G:$G,'Raw Data'!AL:AL),"")</f>
        <v/>
      </c>
      <c r="AB287" s="133" t="str">
        <f>IFERROR(_xlfn.XLOOKUP($A287,'Raw Data'!$G:$G,'Raw Data'!H:H),"")</f>
        <v/>
      </c>
      <c r="AC287" s="142">
        <f>IFERROR(_xlfn.XLOOKUP($D287,'Modelling New'!$D:$D,'Modelling New'!P:P),"")</f>
        <v>5.9322580645161294</v>
      </c>
      <c r="AD287" s="133">
        <f>IFERROR(_xlfn.XLOOKUP($D287,'Modelling New'!$D:$D,'Modelling New'!$T:$T)*1000,"")</f>
        <v>34475.662965312498</v>
      </c>
      <c r="AE287" s="143">
        <f>IFERROR(_xlfn.XLOOKUP($D287,'Modelling New'!$D:$D,'Modelling New'!O:O),"")</f>
        <v>0.72455188248968172</v>
      </c>
      <c r="AF287" s="145">
        <f>IFERROR(_xlfn.XLOOKUP($D287,'Modelling New'!$D:$D,'Modelling New'!W:W),"")</f>
        <v>0.17909286450248987</v>
      </c>
      <c r="AG287" s="145">
        <f>IFERROR(_xlfn.XLOOKUP($D287,'Modelling New'!$D:$D,'Modelling New'!AE:AE),"")</f>
        <v>0.98040000000000005</v>
      </c>
      <c r="AH287" s="167">
        <f>IFERROR(_xlfn.XLOOKUP($D287,'Modelling New'!$D:$D,'Modelling New'!AF:AF),"")</f>
        <v>0.98</v>
      </c>
      <c r="AN287" s="144"/>
      <c r="AO287" s="141"/>
      <c r="AP287" s="141"/>
      <c r="AQ287" s="141"/>
      <c r="AR287" s="133">
        <f>'Basic Data'!$B$98/1000</f>
        <v>8.0208999999999993</v>
      </c>
    </row>
    <row r="288" spans="1:44" x14ac:dyDescent="0.3">
      <c r="A288" s="132">
        <f t="shared" si="19"/>
        <v>46031</v>
      </c>
      <c r="B288" s="133">
        <f>YEAR(Table13[[#This Row],[Date]])+IF(MONTH(Table13[[#This Row],[Date]])&gt;=4,1,0)</f>
        <v>2026</v>
      </c>
      <c r="C288" s="134">
        <f>YEAR(Table13[[#This Row],[Date]])</f>
        <v>2026</v>
      </c>
      <c r="D288" s="135">
        <f>Table13[[#This Row],[Date]]-DAY(Table13[[#This Row],[Date]])+1</f>
        <v>46023</v>
      </c>
      <c r="E288" s="134">
        <f t="shared" si="16"/>
        <v>31</v>
      </c>
      <c r="F288" s="136" t="str">
        <f>IFERROR(_xlfn.XLOOKUP($A288,'Raw Data'!$G:$G,'Raw Data'!$AM:$AM),"")</f>
        <v/>
      </c>
      <c r="G288" s="137" t="str">
        <f>IFERROR(_xlfn.XLOOKUP($A288,'Raw Data'!$G:$G,'Raw Data'!$AB:$AB),"")</f>
        <v/>
      </c>
      <c r="H288" s="137"/>
      <c r="I288" s="137" t="str">
        <f>IFERROR(_xlfn.XLOOKUP($A288,'Raw Data'!$G:$G,'Raw Data'!$AC:$AC),"")</f>
        <v/>
      </c>
      <c r="J288" s="137"/>
      <c r="K288" s="137" t="str">
        <f>IFERROR(_xlfn.XLOOKUP($A288,'Raw Data'!$G:$G,'Raw Data'!AD:AD),"")</f>
        <v/>
      </c>
      <c r="L288" s="137" t="str">
        <f>IFERROR(_xlfn.XLOOKUP($A288,'Raw Data'!$G:$G,'Raw Data'!AE:AE),"")</f>
        <v/>
      </c>
      <c r="M288" s="137" t="str">
        <f>IFERROR(_xlfn.XLOOKUP($A288,'Raw Data'!$G:$G,'Raw Data'!AF:AF),"")</f>
        <v/>
      </c>
      <c r="N288" s="137" t="str">
        <f>IFERROR(_xlfn.XLOOKUP($A288,'Raw Data'!$G:$G,'Raw Data'!AG:AG),"")</f>
        <v/>
      </c>
      <c r="O288" s="138" t="str">
        <f>IFERROR(1-SUMIF('Plant BD'!$H:$H,$A288,'Plant BD'!$AE:$AE)/($AA288+SUMIF('Plant BD'!$H:$H,$A288,'Plant BD'!$AE:$AE)),"")</f>
        <v/>
      </c>
      <c r="P288" s="138"/>
      <c r="Q288" s="139"/>
      <c r="R288" s="138" t="str">
        <f>IFERROR(1-SUMIF('Grid BD'!$H:$H,$A288,'Grid BD'!$AD:$AD)/($AA288+SUMIF('Grid BD'!$H:$H,$A288,'Grid BD'!$AD:$AD)),"")</f>
        <v/>
      </c>
      <c r="T288" s="139"/>
      <c r="U288" s="140" t="str">
        <f t="shared" si="17"/>
        <v/>
      </c>
      <c r="V288" s="140"/>
      <c r="W288" s="141" t="str">
        <f t="shared" si="18"/>
        <v/>
      </c>
      <c r="X288" s="133" t="str">
        <f>IFERROR(_xlfn.XLOOKUP($A288,'Raw Data'!$G:$G,'Raw Data'!AI:AI),"")</f>
        <v/>
      </c>
      <c r="Y288" s="133" t="str">
        <f>IFERROR(_xlfn.XLOOKUP($A288,'Raw Data'!$G:$G,'Raw Data'!AJ:AJ),"")</f>
        <v/>
      </c>
      <c r="Z288" s="133" t="str">
        <f>IFERROR(_xlfn.XLOOKUP($A288,'Raw Data'!$G:$G,'Raw Data'!AK:AK),"")</f>
        <v/>
      </c>
      <c r="AA288" s="133" t="str">
        <f>IFERROR(_xlfn.XLOOKUP($A288,'Raw Data'!$G:$G,'Raw Data'!AL:AL),"")</f>
        <v/>
      </c>
      <c r="AB288" s="133" t="str">
        <f>IFERROR(_xlfn.XLOOKUP($A288,'Raw Data'!$G:$G,'Raw Data'!H:H),"")</f>
        <v/>
      </c>
      <c r="AC288" s="142">
        <f>IFERROR(_xlfn.XLOOKUP($D288,'Modelling New'!$D:$D,'Modelling New'!P:P),"")</f>
        <v>5.9322580645161294</v>
      </c>
      <c r="AD288" s="133">
        <f>IFERROR(_xlfn.XLOOKUP($D288,'Modelling New'!$D:$D,'Modelling New'!$T:$T)*1000,"")</f>
        <v>34475.662965312498</v>
      </c>
      <c r="AE288" s="143">
        <f>IFERROR(_xlfn.XLOOKUP($D288,'Modelling New'!$D:$D,'Modelling New'!O:O),"")</f>
        <v>0.72455188248968172</v>
      </c>
      <c r="AF288" s="145">
        <f>IFERROR(_xlfn.XLOOKUP($D288,'Modelling New'!$D:$D,'Modelling New'!W:W),"")</f>
        <v>0.17909286450248987</v>
      </c>
      <c r="AG288" s="145">
        <f>IFERROR(_xlfn.XLOOKUP($D288,'Modelling New'!$D:$D,'Modelling New'!AE:AE),"")</f>
        <v>0.98040000000000005</v>
      </c>
      <c r="AH288" s="167">
        <f>IFERROR(_xlfn.XLOOKUP($D288,'Modelling New'!$D:$D,'Modelling New'!AF:AF),"")</f>
        <v>0.98</v>
      </c>
      <c r="AN288" s="144"/>
      <c r="AO288" s="141"/>
      <c r="AP288" s="141"/>
      <c r="AQ288" s="141"/>
      <c r="AR288" s="133">
        <f>'Basic Data'!$B$98/1000</f>
        <v>8.0208999999999993</v>
      </c>
    </row>
    <row r="289" spans="1:44" x14ac:dyDescent="0.3">
      <c r="A289" s="132">
        <f t="shared" si="19"/>
        <v>46032</v>
      </c>
      <c r="B289" s="133">
        <f>YEAR(Table13[[#This Row],[Date]])+IF(MONTH(Table13[[#This Row],[Date]])&gt;=4,1,0)</f>
        <v>2026</v>
      </c>
      <c r="C289" s="134">
        <f>YEAR(Table13[[#This Row],[Date]])</f>
        <v>2026</v>
      </c>
      <c r="D289" s="135">
        <f>Table13[[#This Row],[Date]]-DAY(Table13[[#This Row],[Date]])+1</f>
        <v>46023</v>
      </c>
      <c r="E289" s="134">
        <f t="shared" si="16"/>
        <v>31</v>
      </c>
      <c r="F289" s="136" t="str">
        <f>IFERROR(_xlfn.XLOOKUP($A289,'Raw Data'!$G:$G,'Raw Data'!$AM:$AM),"")</f>
        <v/>
      </c>
      <c r="G289" s="137" t="str">
        <f>IFERROR(_xlfn.XLOOKUP($A289,'Raw Data'!$G:$G,'Raw Data'!$AB:$AB),"")</f>
        <v/>
      </c>
      <c r="H289" s="137"/>
      <c r="I289" s="137" t="str">
        <f>IFERROR(_xlfn.XLOOKUP($A289,'Raw Data'!$G:$G,'Raw Data'!$AC:$AC),"")</f>
        <v/>
      </c>
      <c r="J289" s="137"/>
      <c r="K289" s="137" t="str">
        <f>IFERROR(_xlfn.XLOOKUP($A289,'Raw Data'!$G:$G,'Raw Data'!AD:AD),"")</f>
        <v/>
      </c>
      <c r="L289" s="137" t="str">
        <f>IFERROR(_xlfn.XLOOKUP($A289,'Raw Data'!$G:$G,'Raw Data'!AE:AE),"")</f>
        <v/>
      </c>
      <c r="M289" s="137" t="str">
        <f>IFERROR(_xlfn.XLOOKUP($A289,'Raw Data'!$G:$G,'Raw Data'!AF:AF),"")</f>
        <v/>
      </c>
      <c r="N289" s="137" t="str">
        <f>IFERROR(_xlfn.XLOOKUP($A289,'Raw Data'!$G:$G,'Raw Data'!AG:AG),"")</f>
        <v/>
      </c>
      <c r="O289" s="138" t="str">
        <f>IFERROR(1-SUMIF('Plant BD'!$H:$H,$A289,'Plant BD'!$AE:$AE)/($AA289+SUMIF('Plant BD'!$H:$H,$A289,'Plant BD'!$AE:$AE)),"")</f>
        <v/>
      </c>
      <c r="P289" s="138"/>
      <c r="Q289" s="139"/>
      <c r="R289" s="138" t="str">
        <f>IFERROR(1-SUMIF('Grid BD'!$H:$H,$A289,'Grid BD'!$AD:$AD)/($AA289+SUMIF('Grid BD'!$H:$H,$A289,'Grid BD'!$AD:$AD)),"")</f>
        <v/>
      </c>
      <c r="T289" s="139"/>
      <c r="U289" s="140" t="str">
        <f t="shared" si="17"/>
        <v/>
      </c>
      <c r="V289" s="140"/>
      <c r="W289" s="141" t="str">
        <f t="shared" si="18"/>
        <v/>
      </c>
      <c r="X289" s="133" t="str">
        <f>IFERROR(_xlfn.XLOOKUP($A289,'Raw Data'!$G:$G,'Raw Data'!AI:AI),"")</f>
        <v/>
      </c>
      <c r="Y289" s="133" t="str">
        <f>IFERROR(_xlfn.XLOOKUP($A289,'Raw Data'!$G:$G,'Raw Data'!AJ:AJ),"")</f>
        <v/>
      </c>
      <c r="Z289" s="133" t="str">
        <f>IFERROR(_xlfn.XLOOKUP($A289,'Raw Data'!$G:$G,'Raw Data'!AK:AK),"")</f>
        <v/>
      </c>
      <c r="AA289" s="133" t="str">
        <f>IFERROR(_xlfn.XLOOKUP($A289,'Raw Data'!$G:$G,'Raw Data'!AL:AL),"")</f>
        <v/>
      </c>
      <c r="AB289" s="133" t="str">
        <f>IFERROR(_xlfn.XLOOKUP($A289,'Raw Data'!$G:$G,'Raw Data'!H:H),"")</f>
        <v/>
      </c>
      <c r="AC289" s="142">
        <f>IFERROR(_xlfn.XLOOKUP($D289,'Modelling New'!$D:$D,'Modelling New'!P:P),"")</f>
        <v>5.9322580645161294</v>
      </c>
      <c r="AD289" s="133">
        <f>IFERROR(_xlfn.XLOOKUP($D289,'Modelling New'!$D:$D,'Modelling New'!$T:$T)*1000,"")</f>
        <v>34475.662965312498</v>
      </c>
      <c r="AE289" s="143">
        <f>IFERROR(_xlfn.XLOOKUP($D289,'Modelling New'!$D:$D,'Modelling New'!O:O),"")</f>
        <v>0.72455188248968172</v>
      </c>
      <c r="AF289" s="145">
        <f>IFERROR(_xlfn.XLOOKUP($D289,'Modelling New'!$D:$D,'Modelling New'!W:W),"")</f>
        <v>0.17909286450248987</v>
      </c>
      <c r="AG289" s="145">
        <f>IFERROR(_xlfn.XLOOKUP($D289,'Modelling New'!$D:$D,'Modelling New'!AE:AE),"")</f>
        <v>0.98040000000000005</v>
      </c>
      <c r="AH289" s="167">
        <f>IFERROR(_xlfn.XLOOKUP($D289,'Modelling New'!$D:$D,'Modelling New'!AF:AF),"")</f>
        <v>0.98</v>
      </c>
      <c r="AN289" s="144"/>
      <c r="AO289" s="141"/>
      <c r="AP289" s="141"/>
      <c r="AQ289" s="141"/>
      <c r="AR289" s="133">
        <f>'Basic Data'!$B$98/1000</f>
        <v>8.0208999999999993</v>
      </c>
    </row>
    <row r="290" spans="1:44" x14ac:dyDescent="0.3">
      <c r="A290" s="132">
        <f t="shared" si="19"/>
        <v>46033</v>
      </c>
      <c r="B290" s="133">
        <f>YEAR(Table13[[#This Row],[Date]])+IF(MONTH(Table13[[#This Row],[Date]])&gt;=4,1,0)</f>
        <v>2026</v>
      </c>
      <c r="C290" s="134">
        <f>YEAR(Table13[[#This Row],[Date]])</f>
        <v>2026</v>
      </c>
      <c r="D290" s="135">
        <f>Table13[[#This Row],[Date]]-DAY(Table13[[#This Row],[Date]])+1</f>
        <v>46023</v>
      </c>
      <c r="E290" s="134">
        <f t="shared" si="16"/>
        <v>31</v>
      </c>
      <c r="F290" s="136" t="str">
        <f>IFERROR(_xlfn.XLOOKUP($A290,'Raw Data'!$G:$G,'Raw Data'!$AM:$AM),"")</f>
        <v/>
      </c>
      <c r="G290" s="137" t="str">
        <f>IFERROR(_xlfn.XLOOKUP($A290,'Raw Data'!$G:$G,'Raw Data'!$AB:$AB),"")</f>
        <v/>
      </c>
      <c r="H290" s="137"/>
      <c r="I290" s="137" t="str">
        <f>IFERROR(_xlfn.XLOOKUP($A290,'Raw Data'!$G:$G,'Raw Data'!$AC:$AC),"")</f>
        <v/>
      </c>
      <c r="J290" s="137"/>
      <c r="K290" s="137" t="str">
        <f>IFERROR(_xlfn.XLOOKUP($A290,'Raw Data'!$G:$G,'Raw Data'!AD:AD),"")</f>
        <v/>
      </c>
      <c r="L290" s="137" t="str">
        <f>IFERROR(_xlfn.XLOOKUP($A290,'Raw Data'!$G:$G,'Raw Data'!AE:AE),"")</f>
        <v/>
      </c>
      <c r="M290" s="137" t="str">
        <f>IFERROR(_xlfn.XLOOKUP($A290,'Raw Data'!$G:$G,'Raw Data'!AF:AF),"")</f>
        <v/>
      </c>
      <c r="N290" s="137" t="str">
        <f>IFERROR(_xlfn.XLOOKUP($A290,'Raw Data'!$G:$G,'Raw Data'!AG:AG),"")</f>
        <v/>
      </c>
      <c r="O290" s="138" t="str">
        <f>IFERROR(1-SUMIF('Plant BD'!$H:$H,$A290,'Plant BD'!$AE:$AE)/($AA290+SUMIF('Plant BD'!$H:$H,$A290,'Plant BD'!$AE:$AE)),"")</f>
        <v/>
      </c>
      <c r="P290" s="138"/>
      <c r="Q290" s="139"/>
      <c r="R290" s="138" t="str">
        <f>IFERROR(1-SUMIF('Grid BD'!$H:$H,$A290,'Grid BD'!$AD:$AD)/($AA290+SUMIF('Grid BD'!$H:$H,$A290,'Grid BD'!$AD:$AD)),"")</f>
        <v/>
      </c>
      <c r="T290" s="139"/>
      <c r="U290" s="140" t="str">
        <f t="shared" si="17"/>
        <v/>
      </c>
      <c r="V290" s="140"/>
      <c r="W290" s="141" t="str">
        <f t="shared" si="18"/>
        <v/>
      </c>
      <c r="X290" s="133" t="str">
        <f>IFERROR(_xlfn.XLOOKUP($A290,'Raw Data'!$G:$G,'Raw Data'!AI:AI),"")</f>
        <v/>
      </c>
      <c r="Y290" s="133" t="str">
        <f>IFERROR(_xlfn.XLOOKUP($A290,'Raw Data'!$G:$G,'Raw Data'!AJ:AJ),"")</f>
        <v/>
      </c>
      <c r="Z290" s="133" t="str">
        <f>IFERROR(_xlfn.XLOOKUP($A290,'Raw Data'!$G:$G,'Raw Data'!AK:AK),"")</f>
        <v/>
      </c>
      <c r="AA290" s="133" t="str">
        <f>IFERROR(_xlfn.XLOOKUP($A290,'Raw Data'!$G:$G,'Raw Data'!AL:AL),"")</f>
        <v/>
      </c>
      <c r="AB290" s="133" t="str">
        <f>IFERROR(_xlfn.XLOOKUP($A290,'Raw Data'!$G:$G,'Raw Data'!H:H),"")</f>
        <v/>
      </c>
      <c r="AC290" s="142">
        <f>IFERROR(_xlfn.XLOOKUP($D290,'Modelling New'!$D:$D,'Modelling New'!P:P),"")</f>
        <v>5.9322580645161294</v>
      </c>
      <c r="AD290" s="133">
        <f>IFERROR(_xlfn.XLOOKUP($D290,'Modelling New'!$D:$D,'Modelling New'!$T:$T)*1000,"")</f>
        <v>34475.662965312498</v>
      </c>
      <c r="AE290" s="143">
        <f>IFERROR(_xlfn.XLOOKUP($D290,'Modelling New'!$D:$D,'Modelling New'!O:O),"")</f>
        <v>0.72455188248968172</v>
      </c>
      <c r="AF290" s="145">
        <f>IFERROR(_xlfn.XLOOKUP($D290,'Modelling New'!$D:$D,'Modelling New'!W:W),"")</f>
        <v>0.17909286450248987</v>
      </c>
      <c r="AG290" s="145">
        <f>IFERROR(_xlfn.XLOOKUP($D290,'Modelling New'!$D:$D,'Modelling New'!AE:AE),"")</f>
        <v>0.98040000000000005</v>
      </c>
      <c r="AH290" s="167">
        <f>IFERROR(_xlfn.XLOOKUP($D290,'Modelling New'!$D:$D,'Modelling New'!AF:AF),"")</f>
        <v>0.98</v>
      </c>
      <c r="AN290" s="144"/>
      <c r="AO290" s="141"/>
      <c r="AP290" s="141"/>
      <c r="AQ290" s="141"/>
      <c r="AR290" s="133">
        <f>'Basic Data'!$B$98/1000</f>
        <v>8.0208999999999993</v>
      </c>
    </row>
    <row r="291" spans="1:44" x14ac:dyDescent="0.3">
      <c r="A291" s="132">
        <f t="shared" si="19"/>
        <v>46034</v>
      </c>
      <c r="B291" s="133">
        <f>YEAR(Table13[[#This Row],[Date]])+IF(MONTH(Table13[[#This Row],[Date]])&gt;=4,1,0)</f>
        <v>2026</v>
      </c>
      <c r="C291" s="134">
        <f>YEAR(Table13[[#This Row],[Date]])</f>
        <v>2026</v>
      </c>
      <c r="D291" s="135">
        <f>Table13[[#This Row],[Date]]-DAY(Table13[[#This Row],[Date]])+1</f>
        <v>46023</v>
      </c>
      <c r="E291" s="134">
        <f t="shared" si="16"/>
        <v>31</v>
      </c>
      <c r="F291" s="136" t="str">
        <f>IFERROR(_xlfn.XLOOKUP($A291,'Raw Data'!$G:$G,'Raw Data'!$AM:$AM),"")</f>
        <v/>
      </c>
      <c r="G291" s="137" t="str">
        <f>IFERROR(_xlfn.XLOOKUP($A291,'Raw Data'!$G:$G,'Raw Data'!$AB:$AB),"")</f>
        <v/>
      </c>
      <c r="H291" s="137"/>
      <c r="I291" s="137" t="str">
        <f>IFERROR(_xlfn.XLOOKUP($A291,'Raw Data'!$G:$G,'Raw Data'!$AC:$AC),"")</f>
        <v/>
      </c>
      <c r="J291" s="137"/>
      <c r="K291" s="137" t="str">
        <f>IFERROR(_xlfn.XLOOKUP($A291,'Raw Data'!$G:$G,'Raw Data'!AD:AD),"")</f>
        <v/>
      </c>
      <c r="L291" s="137" t="str">
        <f>IFERROR(_xlfn.XLOOKUP($A291,'Raw Data'!$G:$G,'Raw Data'!AE:AE),"")</f>
        <v/>
      </c>
      <c r="M291" s="137" t="str">
        <f>IFERROR(_xlfn.XLOOKUP($A291,'Raw Data'!$G:$G,'Raw Data'!AF:AF),"")</f>
        <v/>
      </c>
      <c r="N291" s="137" t="str">
        <f>IFERROR(_xlfn.XLOOKUP($A291,'Raw Data'!$G:$G,'Raw Data'!AG:AG),"")</f>
        <v/>
      </c>
      <c r="O291" s="138" t="str">
        <f>IFERROR(1-SUMIF('Plant BD'!$H:$H,$A291,'Plant BD'!$AE:$AE)/($AA291+SUMIF('Plant BD'!$H:$H,$A291,'Plant BD'!$AE:$AE)),"")</f>
        <v/>
      </c>
      <c r="P291" s="138"/>
      <c r="Q291" s="139"/>
      <c r="R291" s="138" t="str">
        <f>IFERROR(1-SUMIF('Grid BD'!$H:$H,$A291,'Grid BD'!$AD:$AD)/($AA291+SUMIF('Grid BD'!$H:$H,$A291,'Grid BD'!$AD:$AD)),"")</f>
        <v/>
      </c>
      <c r="T291" s="139"/>
      <c r="U291" s="140" t="str">
        <f t="shared" si="17"/>
        <v/>
      </c>
      <c r="V291" s="140"/>
      <c r="W291" s="141" t="str">
        <f t="shared" si="18"/>
        <v/>
      </c>
      <c r="X291" s="133" t="str">
        <f>IFERROR(_xlfn.XLOOKUP($A291,'Raw Data'!$G:$G,'Raw Data'!AI:AI),"")</f>
        <v/>
      </c>
      <c r="Y291" s="133" t="str">
        <f>IFERROR(_xlfn.XLOOKUP($A291,'Raw Data'!$G:$G,'Raw Data'!AJ:AJ),"")</f>
        <v/>
      </c>
      <c r="Z291" s="133" t="str">
        <f>IFERROR(_xlfn.XLOOKUP($A291,'Raw Data'!$G:$G,'Raw Data'!AK:AK),"")</f>
        <v/>
      </c>
      <c r="AA291" s="133" t="str">
        <f>IFERROR(_xlfn.XLOOKUP($A291,'Raw Data'!$G:$G,'Raw Data'!AL:AL),"")</f>
        <v/>
      </c>
      <c r="AB291" s="133" t="str">
        <f>IFERROR(_xlfn.XLOOKUP($A291,'Raw Data'!$G:$G,'Raw Data'!H:H),"")</f>
        <v/>
      </c>
      <c r="AC291" s="142">
        <f>IFERROR(_xlfn.XLOOKUP($D291,'Modelling New'!$D:$D,'Modelling New'!P:P),"")</f>
        <v>5.9322580645161294</v>
      </c>
      <c r="AD291" s="133">
        <f>IFERROR(_xlfn.XLOOKUP($D291,'Modelling New'!$D:$D,'Modelling New'!$T:$T)*1000,"")</f>
        <v>34475.662965312498</v>
      </c>
      <c r="AE291" s="143">
        <f>IFERROR(_xlfn.XLOOKUP($D291,'Modelling New'!$D:$D,'Modelling New'!O:O),"")</f>
        <v>0.72455188248968172</v>
      </c>
      <c r="AF291" s="145">
        <f>IFERROR(_xlfn.XLOOKUP($D291,'Modelling New'!$D:$D,'Modelling New'!W:W),"")</f>
        <v>0.17909286450248987</v>
      </c>
      <c r="AG291" s="145">
        <f>IFERROR(_xlfn.XLOOKUP($D291,'Modelling New'!$D:$D,'Modelling New'!AE:AE),"")</f>
        <v>0.98040000000000005</v>
      </c>
      <c r="AH291" s="167">
        <f>IFERROR(_xlfn.XLOOKUP($D291,'Modelling New'!$D:$D,'Modelling New'!AF:AF),"")</f>
        <v>0.98</v>
      </c>
      <c r="AN291" s="144"/>
      <c r="AO291" s="141"/>
      <c r="AP291" s="141"/>
      <c r="AQ291" s="141"/>
      <c r="AR291" s="133">
        <f>'Basic Data'!$B$98/1000</f>
        <v>8.0208999999999993</v>
      </c>
    </row>
    <row r="292" spans="1:44" x14ac:dyDescent="0.3">
      <c r="A292" s="132">
        <f t="shared" si="19"/>
        <v>46035</v>
      </c>
      <c r="B292" s="133">
        <f>YEAR(Table13[[#This Row],[Date]])+IF(MONTH(Table13[[#This Row],[Date]])&gt;=4,1,0)</f>
        <v>2026</v>
      </c>
      <c r="C292" s="134">
        <f>YEAR(Table13[[#This Row],[Date]])</f>
        <v>2026</v>
      </c>
      <c r="D292" s="135">
        <f>Table13[[#This Row],[Date]]-DAY(Table13[[#This Row],[Date]])+1</f>
        <v>46023</v>
      </c>
      <c r="E292" s="134">
        <f t="shared" si="16"/>
        <v>31</v>
      </c>
      <c r="F292" s="136" t="str">
        <f>IFERROR(_xlfn.XLOOKUP($A292,'Raw Data'!$G:$G,'Raw Data'!$AM:$AM),"")</f>
        <v/>
      </c>
      <c r="G292" s="137" t="str">
        <f>IFERROR(_xlfn.XLOOKUP($A292,'Raw Data'!$G:$G,'Raw Data'!$AB:$AB),"")</f>
        <v/>
      </c>
      <c r="H292" s="137"/>
      <c r="I292" s="137" t="str">
        <f>IFERROR(_xlfn.XLOOKUP($A292,'Raw Data'!$G:$G,'Raw Data'!$AC:$AC),"")</f>
        <v/>
      </c>
      <c r="J292" s="137"/>
      <c r="K292" s="137" t="str">
        <f>IFERROR(_xlfn.XLOOKUP($A292,'Raw Data'!$G:$G,'Raw Data'!AD:AD),"")</f>
        <v/>
      </c>
      <c r="L292" s="137" t="str">
        <f>IFERROR(_xlfn.XLOOKUP($A292,'Raw Data'!$G:$G,'Raw Data'!AE:AE),"")</f>
        <v/>
      </c>
      <c r="M292" s="137" t="str">
        <f>IFERROR(_xlfn.XLOOKUP($A292,'Raw Data'!$G:$G,'Raw Data'!AF:AF),"")</f>
        <v/>
      </c>
      <c r="N292" s="137" t="str">
        <f>IFERROR(_xlfn.XLOOKUP($A292,'Raw Data'!$G:$G,'Raw Data'!AG:AG),"")</f>
        <v/>
      </c>
      <c r="O292" s="138" t="str">
        <f>IFERROR(1-SUMIF('Plant BD'!$H:$H,$A292,'Plant BD'!$AE:$AE)/($AA292+SUMIF('Plant BD'!$H:$H,$A292,'Plant BD'!$AE:$AE)),"")</f>
        <v/>
      </c>
      <c r="P292" s="138"/>
      <c r="Q292" s="139"/>
      <c r="R292" s="138" t="str">
        <f>IFERROR(1-SUMIF('Grid BD'!$H:$H,$A292,'Grid BD'!$AD:$AD)/($AA292+SUMIF('Grid BD'!$H:$H,$A292,'Grid BD'!$AD:$AD)),"")</f>
        <v/>
      </c>
      <c r="T292" s="139"/>
      <c r="U292" s="140" t="str">
        <f t="shared" si="17"/>
        <v/>
      </c>
      <c r="V292" s="140"/>
      <c r="W292" s="141" t="str">
        <f t="shared" si="18"/>
        <v/>
      </c>
      <c r="X292" s="133" t="str">
        <f>IFERROR(_xlfn.XLOOKUP($A292,'Raw Data'!$G:$G,'Raw Data'!AI:AI),"")</f>
        <v/>
      </c>
      <c r="Y292" s="133" t="str">
        <f>IFERROR(_xlfn.XLOOKUP($A292,'Raw Data'!$G:$G,'Raw Data'!AJ:AJ),"")</f>
        <v/>
      </c>
      <c r="Z292" s="133" t="str">
        <f>IFERROR(_xlfn.XLOOKUP($A292,'Raw Data'!$G:$G,'Raw Data'!AK:AK),"")</f>
        <v/>
      </c>
      <c r="AA292" s="133" t="str">
        <f>IFERROR(_xlfn.XLOOKUP($A292,'Raw Data'!$G:$G,'Raw Data'!AL:AL),"")</f>
        <v/>
      </c>
      <c r="AB292" s="133" t="str">
        <f>IFERROR(_xlfn.XLOOKUP($A292,'Raw Data'!$G:$G,'Raw Data'!H:H),"")</f>
        <v/>
      </c>
      <c r="AC292" s="142">
        <f>IFERROR(_xlfn.XLOOKUP($D292,'Modelling New'!$D:$D,'Modelling New'!P:P),"")</f>
        <v>5.9322580645161294</v>
      </c>
      <c r="AD292" s="133">
        <f>IFERROR(_xlfn.XLOOKUP($D292,'Modelling New'!$D:$D,'Modelling New'!$T:$T)*1000,"")</f>
        <v>34475.662965312498</v>
      </c>
      <c r="AE292" s="143">
        <f>IFERROR(_xlfn.XLOOKUP($D292,'Modelling New'!$D:$D,'Modelling New'!O:O),"")</f>
        <v>0.72455188248968172</v>
      </c>
      <c r="AF292" s="145">
        <f>IFERROR(_xlfn.XLOOKUP($D292,'Modelling New'!$D:$D,'Modelling New'!W:W),"")</f>
        <v>0.17909286450248987</v>
      </c>
      <c r="AG292" s="145">
        <f>IFERROR(_xlfn.XLOOKUP($D292,'Modelling New'!$D:$D,'Modelling New'!AE:AE),"")</f>
        <v>0.98040000000000005</v>
      </c>
      <c r="AH292" s="167">
        <f>IFERROR(_xlfn.XLOOKUP($D292,'Modelling New'!$D:$D,'Modelling New'!AF:AF),"")</f>
        <v>0.98</v>
      </c>
      <c r="AN292" s="144"/>
      <c r="AO292" s="141"/>
      <c r="AP292" s="141"/>
      <c r="AQ292" s="141"/>
      <c r="AR292" s="133">
        <f>'Basic Data'!$B$98/1000</f>
        <v>8.0208999999999993</v>
      </c>
    </row>
    <row r="293" spans="1:44" x14ac:dyDescent="0.3">
      <c r="A293" s="132">
        <f t="shared" si="19"/>
        <v>46036</v>
      </c>
      <c r="B293" s="133">
        <f>YEAR(Table13[[#This Row],[Date]])+IF(MONTH(Table13[[#This Row],[Date]])&gt;=4,1,0)</f>
        <v>2026</v>
      </c>
      <c r="C293" s="134">
        <f>YEAR(Table13[[#This Row],[Date]])</f>
        <v>2026</v>
      </c>
      <c r="D293" s="135">
        <f>Table13[[#This Row],[Date]]-DAY(Table13[[#This Row],[Date]])+1</f>
        <v>46023</v>
      </c>
      <c r="E293" s="134">
        <f t="shared" si="16"/>
        <v>31</v>
      </c>
      <c r="F293" s="136" t="str">
        <f>IFERROR(_xlfn.XLOOKUP($A293,'Raw Data'!$G:$G,'Raw Data'!$AM:$AM),"")</f>
        <v/>
      </c>
      <c r="G293" s="137" t="str">
        <f>IFERROR(_xlfn.XLOOKUP($A293,'Raw Data'!$G:$G,'Raw Data'!$AB:$AB),"")</f>
        <v/>
      </c>
      <c r="H293" s="137"/>
      <c r="I293" s="137" t="str">
        <f>IFERROR(_xlfn.XLOOKUP($A293,'Raw Data'!$G:$G,'Raw Data'!$AC:$AC),"")</f>
        <v/>
      </c>
      <c r="J293" s="137"/>
      <c r="K293" s="137" t="str">
        <f>IFERROR(_xlfn.XLOOKUP($A293,'Raw Data'!$G:$G,'Raw Data'!AD:AD),"")</f>
        <v/>
      </c>
      <c r="L293" s="137" t="str">
        <f>IFERROR(_xlfn.XLOOKUP($A293,'Raw Data'!$G:$G,'Raw Data'!AE:AE),"")</f>
        <v/>
      </c>
      <c r="M293" s="137" t="str">
        <f>IFERROR(_xlfn.XLOOKUP($A293,'Raw Data'!$G:$G,'Raw Data'!AF:AF),"")</f>
        <v/>
      </c>
      <c r="N293" s="137" t="str">
        <f>IFERROR(_xlfn.XLOOKUP($A293,'Raw Data'!$G:$G,'Raw Data'!AG:AG),"")</f>
        <v/>
      </c>
      <c r="O293" s="138" t="str">
        <f>IFERROR(1-SUMIF('Plant BD'!$H:$H,$A293,'Plant BD'!$AE:$AE)/($AA293+SUMIF('Plant BD'!$H:$H,$A293,'Plant BD'!$AE:$AE)),"")</f>
        <v/>
      </c>
      <c r="P293" s="138"/>
      <c r="Q293" s="139"/>
      <c r="R293" s="138" t="str">
        <f>IFERROR(1-SUMIF('Grid BD'!$H:$H,$A293,'Grid BD'!$AD:$AD)/($AA293+SUMIF('Grid BD'!$H:$H,$A293,'Grid BD'!$AD:$AD)),"")</f>
        <v/>
      </c>
      <c r="T293" s="139"/>
      <c r="U293" s="140" t="str">
        <f t="shared" si="17"/>
        <v/>
      </c>
      <c r="V293" s="140"/>
      <c r="W293" s="141" t="str">
        <f t="shared" si="18"/>
        <v/>
      </c>
      <c r="X293" s="133" t="str">
        <f>IFERROR(_xlfn.XLOOKUP($A293,'Raw Data'!$G:$G,'Raw Data'!AI:AI),"")</f>
        <v/>
      </c>
      <c r="Y293" s="133" t="str">
        <f>IFERROR(_xlfn.XLOOKUP($A293,'Raw Data'!$G:$G,'Raw Data'!AJ:AJ),"")</f>
        <v/>
      </c>
      <c r="Z293" s="133" t="str">
        <f>IFERROR(_xlfn.XLOOKUP($A293,'Raw Data'!$G:$G,'Raw Data'!AK:AK),"")</f>
        <v/>
      </c>
      <c r="AA293" s="133" t="str">
        <f>IFERROR(_xlfn.XLOOKUP($A293,'Raw Data'!$G:$G,'Raw Data'!AL:AL),"")</f>
        <v/>
      </c>
      <c r="AB293" s="133" t="str">
        <f>IFERROR(_xlfn.XLOOKUP($A293,'Raw Data'!$G:$G,'Raw Data'!H:H),"")</f>
        <v/>
      </c>
      <c r="AC293" s="142">
        <f>IFERROR(_xlfn.XLOOKUP($D293,'Modelling New'!$D:$D,'Modelling New'!P:P),"")</f>
        <v>5.9322580645161294</v>
      </c>
      <c r="AD293" s="133">
        <f>IFERROR(_xlfn.XLOOKUP($D293,'Modelling New'!$D:$D,'Modelling New'!$T:$T)*1000,"")</f>
        <v>34475.662965312498</v>
      </c>
      <c r="AE293" s="143">
        <f>IFERROR(_xlfn.XLOOKUP($D293,'Modelling New'!$D:$D,'Modelling New'!O:O),"")</f>
        <v>0.72455188248968172</v>
      </c>
      <c r="AF293" s="145">
        <f>IFERROR(_xlfn.XLOOKUP($D293,'Modelling New'!$D:$D,'Modelling New'!W:W),"")</f>
        <v>0.17909286450248987</v>
      </c>
      <c r="AG293" s="145">
        <f>IFERROR(_xlfn.XLOOKUP($D293,'Modelling New'!$D:$D,'Modelling New'!AE:AE),"")</f>
        <v>0.98040000000000005</v>
      </c>
      <c r="AH293" s="167">
        <f>IFERROR(_xlfn.XLOOKUP($D293,'Modelling New'!$D:$D,'Modelling New'!AF:AF),"")</f>
        <v>0.98</v>
      </c>
      <c r="AN293" s="144"/>
      <c r="AO293" s="141"/>
      <c r="AP293" s="141"/>
      <c r="AQ293" s="141"/>
      <c r="AR293" s="133">
        <f>'Basic Data'!$B$98/1000</f>
        <v>8.0208999999999993</v>
      </c>
    </row>
    <row r="294" spans="1:44" x14ac:dyDescent="0.3">
      <c r="A294" s="132">
        <f t="shared" si="19"/>
        <v>46037</v>
      </c>
      <c r="B294" s="133">
        <f>YEAR(Table13[[#This Row],[Date]])+IF(MONTH(Table13[[#This Row],[Date]])&gt;=4,1,0)</f>
        <v>2026</v>
      </c>
      <c r="C294" s="134">
        <f>YEAR(Table13[[#This Row],[Date]])</f>
        <v>2026</v>
      </c>
      <c r="D294" s="135">
        <f>Table13[[#This Row],[Date]]-DAY(Table13[[#This Row],[Date]])+1</f>
        <v>46023</v>
      </c>
      <c r="E294" s="134">
        <f t="shared" si="16"/>
        <v>31</v>
      </c>
      <c r="F294" s="136" t="str">
        <f>IFERROR(_xlfn.XLOOKUP($A294,'Raw Data'!$G:$G,'Raw Data'!$AM:$AM),"")</f>
        <v/>
      </c>
      <c r="G294" s="137" t="str">
        <f>IFERROR(_xlfn.XLOOKUP($A294,'Raw Data'!$G:$G,'Raw Data'!$AB:$AB),"")</f>
        <v/>
      </c>
      <c r="H294" s="137"/>
      <c r="I294" s="137" t="str">
        <f>IFERROR(_xlfn.XLOOKUP($A294,'Raw Data'!$G:$G,'Raw Data'!$AC:$AC),"")</f>
        <v/>
      </c>
      <c r="J294" s="137"/>
      <c r="K294" s="137" t="str">
        <f>IFERROR(_xlfn.XLOOKUP($A294,'Raw Data'!$G:$G,'Raw Data'!AD:AD),"")</f>
        <v/>
      </c>
      <c r="L294" s="137" t="str">
        <f>IFERROR(_xlfn.XLOOKUP($A294,'Raw Data'!$G:$G,'Raw Data'!AE:AE),"")</f>
        <v/>
      </c>
      <c r="M294" s="137" t="str">
        <f>IFERROR(_xlfn.XLOOKUP($A294,'Raw Data'!$G:$G,'Raw Data'!AF:AF),"")</f>
        <v/>
      </c>
      <c r="N294" s="137" t="str">
        <f>IFERROR(_xlfn.XLOOKUP($A294,'Raw Data'!$G:$G,'Raw Data'!AG:AG),"")</f>
        <v/>
      </c>
      <c r="O294" s="138" t="str">
        <f>IFERROR(1-SUMIF('Plant BD'!$H:$H,$A294,'Plant BD'!$AE:$AE)/($AA294+SUMIF('Plant BD'!$H:$H,$A294,'Plant BD'!$AE:$AE)),"")</f>
        <v/>
      </c>
      <c r="P294" s="138"/>
      <c r="Q294" s="139"/>
      <c r="R294" s="138" t="str">
        <f>IFERROR(1-SUMIF('Grid BD'!$H:$H,$A294,'Grid BD'!$AD:$AD)/($AA294+SUMIF('Grid BD'!$H:$H,$A294,'Grid BD'!$AD:$AD)),"")</f>
        <v/>
      </c>
      <c r="T294" s="139"/>
      <c r="U294" s="140" t="str">
        <f t="shared" si="17"/>
        <v/>
      </c>
      <c r="V294" s="140"/>
      <c r="W294" s="141" t="str">
        <f t="shared" si="18"/>
        <v/>
      </c>
      <c r="X294" s="133" t="str">
        <f>IFERROR(_xlfn.XLOOKUP($A294,'Raw Data'!$G:$G,'Raw Data'!AI:AI),"")</f>
        <v/>
      </c>
      <c r="Y294" s="133" t="str">
        <f>IFERROR(_xlfn.XLOOKUP($A294,'Raw Data'!$G:$G,'Raw Data'!AJ:AJ),"")</f>
        <v/>
      </c>
      <c r="Z294" s="133" t="str">
        <f>IFERROR(_xlfn.XLOOKUP($A294,'Raw Data'!$G:$G,'Raw Data'!AK:AK),"")</f>
        <v/>
      </c>
      <c r="AA294" s="133" t="str">
        <f>IFERROR(_xlfn.XLOOKUP($A294,'Raw Data'!$G:$G,'Raw Data'!AL:AL),"")</f>
        <v/>
      </c>
      <c r="AB294" s="133" t="str">
        <f>IFERROR(_xlfn.XLOOKUP($A294,'Raw Data'!$G:$G,'Raw Data'!H:H),"")</f>
        <v/>
      </c>
      <c r="AC294" s="142">
        <f>IFERROR(_xlfn.XLOOKUP($D294,'Modelling New'!$D:$D,'Modelling New'!P:P),"")</f>
        <v>5.9322580645161294</v>
      </c>
      <c r="AD294" s="133">
        <f>IFERROR(_xlfn.XLOOKUP($D294,'Modelling New'!$D:$D,'Modelling New'!$T:$T)*1000,"")</f>
        <v>34475.662965312498</v>
      </c>
      <c r="AE294" s="143">
        <f>IFERROR(_xlfn.XLOOKUP($D294,'Modelling New'!$D:$D,'Modelling New'!O:O),"")</f>
        <v>0.72455188248968172</v>
      </c>
      <c r="AF294" s="145">
        <f>IFERROR(_xlfn.XLOOKUP($D294,'Modelling New'!$D:$D,'Modelling New'!W:W),"")</f>
        <v>0.17909286450248987</v>
      </c>
      <c r="AG294" s="145">
        <f>IFERROR(_xlfn.XLOOKUP($D294,'Modelling New'!$D:$D,'Modelling New'!AE:AE),"")</f>
        <v>0.98040000000000005</v>
      </c>
      <c r="AH294" s="167">
        <f>IFERROR(_xlfn.XLOOKUP($D294,'Modelling New'!$D:$D,'Modelling New'!AF:AF),"")</f>
        <v>0.98</v>
      </c>
      <c r="AN294" s="144"/>
      <c r="AO294" s="141"/>
      <c r="AP294" s="141"/>
      <c r="AQ294" s="141"/>
      <c r="AR294" s="133">
        <f>'Basic Data'!$B$98/1000</f>
        <v>8.0208999999999993</v>
      </c>
    </row>
    <row r="295" spans="1:44" x14ac:dyDescent="0.3">
      <c r="A295" s="132">
        <f t="shared" si="19"/>
        <v>46038</v>
      </c>
      <c r="B295" s="133">
        <f>YEAR(Table13[[#This Row],[Date]])+IF(MONTH(Table13[[#This Row],[Date]])&gt;=4,1,0)</f>
        <v>2026</v>
      </c>
      <c r="C295" s="134">
        <f>YEAR(Table13[[#This Row],[Date]])</f>
        <v>2026</v>
      </c>
      <c r="D295" s="135">
        <f>Table13[[#This Row],[Date]]-DAY(Table13[[#This Row],[Date]])+1</f>
        <v>46023</v>
      </c>
      <c r="E295" s="134">
        <f t="shared" si="16"/>
        <v>31</v>
      </c>
      <c r="F295" s="136" t="str">
        <f>IFERROR(_xlfn.XLOOKUP($A295,'Raw Data'!$G:$G,'Raw Data'!$AM:$AM),"")</f>
        <v/>
      </c>
      <c r="G295" s="137" t="str">
        <f>IFERROR(_xlfn.XLOOKUP($A295,'Raw Data'!$G:$G,'Raw Data'!$AB:$AB),"")</f>
        <v/>
      </c>
      <c r="H295" s="137"/>
      <c r="I295" s="137" t="str">
        <f>IFERROR(_xlfn.XLOOKUP($A295,'Raw Data'!$G:$G,'Raw Data'!$AC:$AC),"")</f>
        <v/>
      </c>
      <c r="J295" s="137"/>
      <c r="K295" s="137" t="str">
        <f>IFERROR(_xlfn.XLOOKUP($A295,'Raw Data'!$G:$G,'Raw Data'!AD:AD),"")</f>
        <v/>
      </c>
      <c r="L295" s="137" t="str">
        <f>IFERROR(_xlfn.XLOOKUP($A295,'Raw Data'!$G:$G,'Raw Data'!AE:AE),"")</f>
        <v/>
      </c>
      <c r="M295" s="137" t="str">
        <f>IFERROR(_xlfn.XLOOKUP($A295,'Raw Data'!$G:$G,'Raw Data'!AF:AF),"")</f>
        <v/>
      </c>
      <c r="N295" s="137" t="str">
        <f>IFERROR(_xlfn.XLOOKUP($A295,'Raw Data'!$G:$G,'Raw Data'!AG:AG),"")</f>
        <v/>
      </c>
      <c r="O295" s="138" t="str">
        <f>IFERROR(1-SUMIF('Plant BD'!$H:$H,$A295,'Plant BD'!$AE:$AE)/($AA295+SUMIF('Plant BD'!$H:$H,$A295,'Plant BD'!$AE:$AE)),"")</f>
        <v/>
      </c>
      <c r="P295" s="138"/>
      <c r="Q295" s="139"/>
      <c r="R295" s="138" t="str">
        <f>IFERROR(1-SUMIF('Grid BD'!$H:$H,$A295,'Grid BD'!$AD:$AD)/($AA295+SUMIF('Grid BD'!$H:$H,$A295,'Grid BD'!$AD:$AD)),"")</f>
        <v/>
      </c>
      <c r="T295" s="139"/>
      <c r="U295" s="140" t="str">
        <f t="shared" si="17"/>
        <v/>
      </c>
      <c r="V295" s="140"/>
      <c r="W295" s="141" t="str">
        <f t="shared" si="18"/>
        <v/>
      </c>
      <c r="X295" s="133" t="str">
        <f>IFERROR(_xlfn.XLOOKUP($A295,'Raw Data'!$G:$G,'Raw Data'!AI:AI),"")</f>
        <v/>
      </c>
      <c r="Y295" s="133" t="str">
        <f>IFERROR(_xlfn.XLOOKUP($A295,'Raw Data'!$G:$G,'Raw Data'!AJ:AJ),"")</f>
        <v/>
      </c>
      <c r="Z295" s="133" t="str">
        <f>IFERROR(_xlfn.XLOOKUP($A295,'Raw Data'!$G:$G,'Raw Data'!AK:AK),"")</f>
        <v/>
      </c>
      <c r="AA295" s="133" t="str">
        <f>IFERROR(_xlfn.XLOOKUP($A295,'Raw Data'!$G:$G,'Raw Data'!AL:AL),"")</f>
        <v/>
      </c>
      <c r="AB295" s="133" t="str">
        <f>IFERROR(_xlfn.XLOOKUP($A295,'Raw Data'!$G:$G,'Raw Data'!H:H),"")</f>
        <v/>
      </c>
      <c r="AC295" s="142">
        <f>IFERROR(_xlfn.XLOOKUP($D295,'Modelling New'!$D:$D,'Modelling New'!P:P),"")</f>
        <v>5.9322580645161294</v>
      </c>
      <c r="AD295" s="133">
        <f>IFERROR(_xlfn.XLOOKUP($D295,'Modelling New'!$D:$D,'Modelling New'!$T:$T)*1000,"")</f>
        <v>34475.662965312498</v>
      </c>
      <c r="AE295" s="143">
        <f>IFERROR(_xlfn.XLOOKUP($D295,'Modelling New'!$D:$D,'Modelling New'!O:O),"")</f>
        <v>0.72455188248968172</v>
      </c>
      <c r="AF295" s="145">
        <f>IFERROR(_xlfn.XLOOKUP($D295,'Modelling New'!$D:$D,'Modelling New'!W:W),"")</f>
        <v>0.17909286450248987</v>
      </c>
      <c r="AG295" s="145">
        <f>IFERROR(_xlfn.XLOOKUP($D295,'Modelling New'!$D:$D,'Modelling New'!AE:AE),"")</f>
        <v>0.98040000000000005</v>
      </c>
      <c r="AH295" s="167">
        <f>IFERROR(_xlfn.XLOOKUP($D295,'Modelling New'!$D:$D,'Modelling New'!AF:AF),"")</f>
        <v>0.98</v>
      </c>
      <c r="AN295" s="144"/>
      <c r="AO295" s="141"/>
      <c r="AP295" s="141"/>
      <c r="AQ295" s="141"/>
      <c r="AR295" s="133">
        <f>'Basic Data'!$B$98/1000</f>
        <v>8.0208999999999993</v>
      </c>
    </row>
    <row r="296" spans="1:44" x14ac:dyDescent="0.3">
      <c r="A296" s="132">
        <f t="shared" si="19"/>
        <v>46039</v>
      </c>
      <c r="B296" s="133">
        <f>YEAR(Table13[[#This Row],[Date]])+IF(MONTH(Table13[[#This Row],[Date]])&gt;=4,1,0)</f>
        <v>2026</v>
      </c>
      <c r="C296" s="134">
        <f>YEAR(Table13[[#This Row],[Date]])</f>
        <v>2026</v>
      </c>
      <c r="D296" s="135">
        <f>Table13[[#This Row],[Date]]-DAY(Table13[[#This Row],[Date]])+1</f>
        <v>46023</v>
      </c>
      <c r="E296" s="134">
        <f t="shared" si="16"/>
        <v>31</v>
      </c>
      <c r="F296" s="136" t="str">
        <f>IFERROR(_xlfn.XLOOKUP($A296,'Raw Data'!$G:$G,'Raw Data'!$AM:$AM),"")</f>
        <v/>
      </c>
      <c r="G296" s="137" t="str">
        <f>IFERROR(_xlfn.XLOOKUP($A296,'Raw Data'!$G:$G,'Raw Data'!$AB:$AB),"")</f>
        <v/>
      </c>
      <c r="H296" s="137"/>
      <c r="I296" s="137" t="str">
        <f>IFERROR(_xlfn.XLOOKUP($A296,'Raw Data'!$G:$G,'Raw Data'!$AC:$AC),"")</f>
        <v/>
      </c>
      <c r="J296" s="137"/>
      <c r="K296" s="137" t="str">
        <f>IFERROR(_xlfn.XLOOKUP($A296,'Raw Data'!$G:$G,'Raw Data'!AD:AD),"")</f>
        <v/>
      </c>
      <c r="L296" s="137" t="str">
        <f>IFERROR(_xlfn.XLOOKUP($A296,'Raw Data'!$G:$G,'Raw Data'!AE:AE),"")</f>
        <v/>
      </c>
      <c r="M296" s="137" t="str">
        <f>IFERROR(_xlfn.XLOOKUP($A296,'Raw Data'!$G:$G,'Raw Data'!AF:AF),"")</f>
        <v/>
      </c>
      <c r="N296" s="137" t="str">
        <f>IFERROR(_xlfn.XLOOKUP($A296,'Raw Data'!$G:$G,'Raw Data'!AG:AG),"")</f>
        <v/>
      </c>
      <c r="O296" s="138" t="str">
        <f>IFERROR(1-SUMIF('Plant BD'!$H:$H,$A296,'Plant BD'!$AE:$AE)/($AA296+SUMIF('Plant BD'!$H:$H,$A296,'Plant BD'!$AE:$AE)),"")</f>
        <v/>
      </c>
      <c r="P296" s="138"/>
      <c r="Q296" s="139"/>
      <c r="R296" s="138" t="str">
        <f>IFERROR(1-SUMIF('Grid BD'!$H:$H,$A296,'Grid BD'!$AD:$AD)/($AA296+SUMIF('Grid BD'!$H:$H,$A296,'Grid BD'!$AD:$AD)),"")</f>
        <v/>
      </c>
      <c r="T296" s="139"/>
      <c r="U296" s="140" t="str">
        <f t="shared" si="17"/>
        <v/>
      </c>
      <c r="V296" s="140"/>
      <c r="W296" s="141" t="str">
        <f t="shared" si="18"/>
        <v/>
      </c>
      <c r="X296" s="133" t="str">
        <f>IFERROR(_xlfn.XLOOKUP($A296,'Raw Data'!$G:$G,'Raw Data'!AI:AI),"")</f>
        <v/>
      </c>
      <c r="Y296" s="133" t="str">
        <f>IFERROR(_xlfn.XLOOKUP($A296,'Raw Data'!$G:$G,'Raw Data'!AJ:AJ),"")</f>
        <v/>
      </c>
      <c r="Z296" s="133" t="str">
        <f>IFERROR(_xlfn.XLOOKUP($A296,'Raw Data'!$G:$G,'Raw Data'!AK:AK),"")</f>
        <v/>
      </c>
      <c r="AA296" s="133" t="str">
        <f>IFERROR(_xlfn.XLOOKUP($A296,'Raw Data'!$G:$G,'Raw Data'!AL:AL),"")</f>
        <v/>
      </c>
      <c r="AB296" s="133" t="str">
        <f>IFERROR(_xlfn.XLOOKUP($A296,'Raw Data'!$G:$G,'Raw Data'!H:H),"")</f>
        <v/>
      </c>
      <c r="AC296" s="142">
        <f>IFERROR(_xlfn.XLOOKUP($D296,'Modelling New'!$D:$D,'Modelling New'!P:P),"")</f>
        <v>5.9322580645161294</v>
      </c>
      <c r="AD296" s="133">
        <f>IFERROR(_xlfn.XLOOKUP($D296,'Modelling New'!$D:$D,'Modelling New'!$T:$T)*1000,"")</f>
        <v>34475.662965312498</v>
      </c>
      <c r="AE296" s="143">
        <f>IFERROR(_xlfn.XLOOKUP($D296,'Modelling New'!$D:$D,'Modelling New'!O:O),"")</f>
        <v>0.72455188248968172</v>
      </c>
      <c r="AF296" s="145">
        <f>IFERROR(_xlfn.XLOOKUP($D296,'Modelling New'!$D:$D,'Modelling New'!W:W),"")</f>
        <v>0.17909286450248987</v>
      </c>
      <c r="AG296" s="145">
        <f>IFERROR(_xlfn.XLOOKUP($D296,'Modelling New'!$D:$D,'Modelling New'!AE:AE),"")</f>
        <v>0.98040000000000005</v>
      </c>
      <c r="AH296" s="167">
        <f>IFERROR(_xlfn.XLOOKUP($D296,'Modelling New'!$D:$D,'Modelling New'!AF:AF),"")</f>
        <v>0.98</v>
      </c>
      <c r="AN296" s="144"/>
      <c r="AO296" s="141"/>
      <c r="AP296" s="141"/>
      <c r="AQ296" s="141"/>
      <c r="AR296" s="133">
        <f>'Basic Data'!$B$98/1000</f>
        <v>8.0208999999999993</v>
      </c>
    </row>
    <row r="297" spans="1:44" x14ac:dyDescent="0.3">
      <c r="A297" s="132">
        <f t="shared" si="19"/>
        <v>46040</v>
      </c>
      <c r="B297" s="133">
        <f>YEAR(Table13[[#This Row],[Date]])+IF(MONTH(Table13[[#This Row],[Date]])&gt;=4,1,0)</f>
        <v>2026</v>
      </c>
      <c r="C297" s="134">
        <f>YEAR(Table13[[#This Row],[Date]])</f>
        <v>2026</v>
      </c>
      <c r="D297" s="135">
        <f>Table13[[#This Row],[Date]]-DAY(Table13[[#This Row],[Date]])+1</f>
        <v>46023</v>
      </c>
      <c r="E297" s="134">
        <f t="shared" si="16"/>
        <v>31</v>
      </c>
      <c r="F297" s="136" t="str">
        <f>IFERROR(_xlfn.XLOOKUP($A297,'Raw Data'!$G:$G,'Raw Data'!$AM:$AM),"")</f>
        <v/>
      </c>
      <c r="G297" s="137" t="str">
        <f>IFERROR(_xlfn.XLOOKUP($A297,'Raw Data'!$G:$G,'Raw Data'!$AB:$AB),"")</f>
        <v/>
      </c>
      <c r="H297" s="137"/>
      <c r="I297" s="137" t="str">
        <f>IFERROR(_xlfn.XLOOKUP($A297,'Raw Data'!$G:$G,'Raw Data'!$AC:$AC),"")</f>
        <v/>
      </c>
      <c r="J297" s="137"/>
      <c r="K297" s="137" t="str">
        <f>IFERROR(_xlfn.XLOOKUP($A297,'Raw Data'!$G:$G,'Raw Data'!AD:AD),"")</f>
        <v/>
      </c>
      <c r="L297" s="137" t="str">
        <f>IFERROR(_xlfn.XLOOKUP($A297,'Raw Data'!$G:$G,'Raw Data'!AE:AE),"")</f>
        <v/>
      </c>
      <c r="M297" s="137" t="str">
        <f>IFERROR(_xlfn.XLOOKUP($A297,'Raw Data'!$G:$G,'Raw Data'!AF:AF),"")</f>
        <v/>
      </c>
      <c r="N297" s="137" t="str">
        <f>IFERROR(_xlfn.XLOOKUP($A297,'Raw Data'!$G:$G,'Raw Data'!AG:AG),"")</f>
        <v/>
      </c>
      <c r="O297" s="138" t="str">
        <f>IFERROR(1-SUMIF('Plant BD'!$H:$H,$A297,'Plant BD'!$AE:$AE)/($AA297+SUMIF('Plant BD'!$H:$H,$A297,'Plant BD'!$AE:$AE)),"")</f>
        <v/>
      </c>
      <c r="P297" s="138"/>
      <c r="Q297" s="139"/>
      <c r="R297" s="138" t="str">
        <f>IFERROR(1-SUMIF('Grid BD'!$H:$H,$A297,'Grid BD'!$AD:$AD)/($AA297+SUMIF('Grid BD'!$H:$H,$A297,'Grid BD'!$AD:$AD)),"")</f>
        <v/>
      </c>
      <c r="T297" s="139"/>
      <c r="U297" s="140" t="str">
        <f t="shared" si="17"/>
        <v/>
      </c>
      <c r="V297" s="140"/>
      <c r="W297" s="141" t="str">
        <f t="shared" si="18"/>
        <v/>
      </c>
      <c r="X297" s="133" t="str">
        <f>IFERROR(_xlfn.XLOOKUP($A297,'Raw Data'!$G:$G,'Raw Data'!AI:AI),"")</f>
        <v/>
      </c>
      <c r="Y297" s="133" t="str">
        <f>IFERROR(_xlfn.XLOOKUP($A297,'Raw Data'!$G:$G,'Raw Data'!AJ:AJ),"")</f>
        <v/>
      </c>
      <c r="Z297" s="133" t="str">
        <f>IFERROR(_xlfn.XLOOKUP($A297,'Raw Data'!$G:$G,'Raw Data'!AK:AK),"")</f>
        <v/>
      </c>
      <c r="AA297" s="133" t="str">
        <f>IFERROR(_xlfn.XLOOKUP($A297,'Raw Data'!$G:$G,'Raw Data'!AL:AL),"")</f>
        <v/>
      </c>
      <c r="AB297" s="133" t="str">
        <f>IFERROR(_xlfn.XLOOKUP($A297,'Raw Data'!$G:$G,'Raw Data'!H:H),"")</f>
        <v/>
      </c>
      <c r="AC297" s="142">
        <f>IFERROR(_xlfn.XLOOKUP($D297,'Modelling New'!$D:$D,'Modelling New'!P:P),"")</f>
        <v>5.9322580645161294</v>
      </c>
      <c r="AD297" s="133">
        <f>IFERROR(_xlfn.XLOOKUP($D297,'Modelling New'!$D:$D,'Modelling New'!$T:$T)*1000,"")</f>
        <v>34475.662965312498</v>
      </c>
      <c r="AE297" s="143">
        <f>IFERROR(_xlfn.XLOOKUP($D297,'Modelling New'!$D:$D,'Modelling New'!O:O),"")</f>
        <v>0.72455188248968172</v>
      </c>
      <c r="AF297" s="145">
        <f>IFERROR(_xlfn.XLOOKUP($D297,'Modelling New'!$D:$D,'Modelling New'!W:W),"")</f>
        <v>0.17909286450248987</v>
      </c>
      <c r="AG297" s="145">
        <f>IFERROR(_xlfn.XLOOKUP($D297,'Modelling New'!$D:$D,'Modelling New'!AE:AE),"")</f>
        <v>0.98040000000000005</v>
      </c>
      <c r="AH297" s="167">
        <f>IFERROR(_xlfn.XLOOKUP($D297,'Modelling New'!$D:$D,'Modelling New'!AF:AF),"")</f>
        <v>0.98</v>
      </c>
      <c r="AN297" s="144"/>
      <c r="AO297" s="141"/>
      <c r="AP297" s="141"/>
      <c r="AQ297" s="141"/>
      <c r="AR297" s="133">
        <f>'Basic Data'!$B$98/1000</f>
        <v>8.0208999999999993</v>
      </c>
    </row>
    <row r="298" spans="1:44" x14ac:dyDescent="0.3">
      <c r="A298" s="132">
        <f t="shared" si="19"/>
        <v>46041</v>
      </c>
      <c r="B298" s="133">
        <f>YEAR(Table13[[#This Row],[Date]])+IF(MONTH(Table13[[#This Row],[Date]])&gt;=4,1,0)</f>
        <v>2026</v>
      </c>
      <c r="C298" s="134">
        <f>YEAR(Table13[[#This Row],[Date]])</f>
        <v>2026</v>
      </c>
      <c r="D298" s="135">
        <f>Table13[[#This Row],[Date]]-DAY(Table13[[#This Row],[Date]])+1</f>
        <v>46023</v>
      </c>
      <c r="E298" s="134">
        <f t="shared" si="16"/>
        <v>31</v>
      </c>
      <c r="F298" s="136" t="str">
        <f>IFERROR(_xlfn.XLOOKUP($A298,'Raw Data'!$G:$G,'Raw Data'!$AM:$AM),"")</f>
        <v/>
      </c>
      <c r="G298" s="137" t="str">
        <f>IFERROR(_xlfn.XLOOKUP($A298,'Raw Data'!$G:$G,'Raw Data'!$AB:$AB),"")</f>
        <v/>
      </c>
      <c r="H298" s="137"/>
      <c r="I298" s="137" t="str">
        <f>IFERROR(_xlfn.XLOOKUP($A298,'Raw Data'!$G:$G,'Raw Data'!$AC:$AC),"")</f>
        <v/>
      </c>
      <c r="J298" s="137"/>
      <c r="K298" s="137" t="str">
        <f>IFERROR(_xlfn.XLOOKUP($A298,'Raw Data'!$G:$G,'Raw Data'!AD:AD),"")</f>
        <v/>
      </c>
      <c r="L298" s="137" t="str">
        <f>IFERROR(_xlfn.XLOOKUP($A298,'Raw Data'!$G:$G,'Raw Data'!AE:AE),"")</f>
        <v/>
      </c>
      <c r="M298" s="137" t="str">
        <f>IFERROR(_xlfn.XLOOKUP($A298,'Raw Data'!$G:$G,'Raw Data'!AF:AF),"")</f>
        <v/>
      </c>
      <c r="N298" s="137" t="str">
        <f>IFERROR(_xlfn.XLOOKUP($A298,'Raw Data'!$G:$G,'Raw Data'!AG:AG),"")</f>
        <v/>
      </c>
      <c r="O298" s="138" t="str">
        <f>IFERROR(1-SUMIF('Plant BD'!$H:$H,$A298,'Plant BD'!$AE:$AE)/($AA298+SUMIF('Plant BD'!$H:$H,$A298,'Plant BD'!$AE:$AE)),"")</f>
        <v/>
      </c>
      <c r="P298" s="138"/>
      <c r="Q298" s="139"/>
      <c r="R298" s="138" t="str">
        <f>IFERROR(1-SUMIF('Grid BD'!$H:$H,$A298,'Grid BD'!$AD:$AD)/($AA298+SUMIF('Grid BD'!$H:$H,$A298,'Grid BD'!$AD:$AD)),"")</f>
        <v/>
      </c>
      <c r="T298" s="139"/>
      <c r="U298" s="140" t="str">
        <f t="shared" si="17"/>
        <v/>
      </c>
      <c r="V298" s="140"/>
      <c r="W298" s="141" t="str">
        <f t="shared" si="18"/>
        <v/>
      </c>
      <c r="X298" s="133" t="str">
        <f>IFERROR(_xlfn.XLOOKUP($A298,'Raw Data'!$G:$G,'Raw Data'!AI:AI),"")</f>
        <v/>
      </c>
      <c r="Y298" s="133" t="str">
        <f>IFERROR(_xlfn.XLOOKUP($A298,'Raw Data'!$G:$G,'Raw Data'!AJ:AJ),"")</f>
        <v/>
      </c>
      <c r="Z298" s="133" t="str">
        <f>IFERROR(_xlfn.XLOOKUP($A298,'Raw Data'!$G:$G,'Raw Data'!AK:AK),"")</f>
        <v/>
      </c>
      <c r="AA298" s="133" t="str">
        <f>IFERROR(_xlfn.XLOOKUP($A298,'Raw Data'!$G:$G,'Raw Data'!AL:AL),"")</f>
        <v/>
      </c>
      <c r="AB298" s="133" t="str">
        <f>IFERROR(_xlfn.XLOOKUP($A298,'Raw Data'!$G:$G,'Raw Data'!H:H),"")</f>
        <v/>
      </c>
      <c r="AC298" s="142">
        <f>IFERROR(_xlfn.XLOOKUP($D298,'Modelling New'!$D:$D,'Modelling New'!P:P),"")</f>
        <v>5.9322580645161294</v>
      </c>
      <c r="AD298" s="133">
        <f>IFERROR(_xlfn.XLOOKUP($D298,'Modelling New'!$D:$D,'Modelling New'!$T:$T)*1000,"")</f>
        <v>34475.662965312498</v>
      </c>
      <c r="AE298" s="143">
        <f>IFERROR(_xlfn.XLOOKUP($D298,'Modelling New'!$D:$D,'Modelling New'!O:O),"")</f>
        <v>0.72455188248968172</v>
      </c>
      <c r="AF298" s="145">
        <f>IFERROR(_xlfn.XLOOKUP($D298,'Modelling New'!$D:$D,'Modelling New'!W:W),"")</f>
        <v>0.17909286450248987</v>
      </c>
      <c r="AG298" s="145">
        <f>IFERROR(_xlfn.XLOOKUP($D298,'Modelling New'!$D:$D,'Modelling New'!AE:AE),"")</f>
        <v>0.98040000000000005</v>
      </c>
      <c r="AH298" s="167">
        <f>IFERROR(_xlfn.XLOOKUP($D298,'Modelling New'!$D:$D,'Modelling New'!AF:AF),"")</f>
        <v>0.98</v>
      </c>
      <c r="AN298" s="144"/>
      <c r="AO298" s="141"/>
      <c r="AP298" s="141"/>
      <c r="AQ298" s="141"/>
      <c r="AR298" s="133">
        <f>'Basic Data'!$B$98/1000</f>
        <v>8.0208999999999993</v>
      </c>
    </row>
    <row r="299" spans="1:44" x14ac:dyDescent="0.3">
      <c r="A299" s="132">
        <f t="shared" si="19"/>
        <v>46042</v>
      </c>
      <c r="B299" s="133">
        <f>YEAR(Table13[[#This Row],[Date]])+IF(MONTH(Table13[[#This Row],[Date]])&gt;=4,1,0)</f>
        <v>2026</v>
      </c>
      <c r="C299" s="134">
        <f>YEAR(Table13[[#This Row],[Date]])</f>
        <v>2026</v>
      </c>
      <c r="D299" s="135">
        <f>Table13[[#This Row],[Date]]-DAY(Table13[[#This Row],[Date]])+1</f>
        <v>46023</v>
      </c>
      <c r="E299" s="134">
        <f t="shared" si="16"/>
        <v>31</v>
      </c>
      <c r="F299" s="136" t="str">
        <f>IFERROR(_xlfn.XLOOKUP($A299,'Raw Data'!$G:$G,'Raw Data'!$AM:$AM),"")</f>
        <v/>
      </c>
      <c r="G299" s="137" t="str">
        <f>IFERROR(_xlfn.XLOOKUP($A299,'Raw Data'!$G:$G,'Raw Data'!$AB:$AB),"")</f>
        <v/>
      </c>
      <c r="H299" s="137"/>
      <c r="I299" s="137" t="str">
        <f>IFERROR(_xlfn.XLOOKUP($A299,'Raw Data'!$G:$G,'Raw Data'!$AC:$AC),"")</f>
        <v/>
      </c>
      <c r="J299" s="137"/>
      <c r="K299" s="137" t="str">
        <f>IFERROR(_xlfn.XLOOKUP($A299,'Raw Data'!$G:$G,'Raw Data'!AD:AD),"")</f>
        <v/>
      </c>
      <c r="L299" s="137" t="str">
        <f>IFERROR(_xlfn.XLOOKUP($A299,'Raw Data'!$G:$G,'Raw Data'!AE:AE),"")</f>
        <v/>
      </c>
      <c r="M299" s="137" t="str">
        <f>IFERROR(_xlfn.XLOOKUP($A299,'Raw Data'!$G:$G,'Raw Data'!AF:AF),"")</f>
        <v/>
      </c>
      <c r="N299" s="137" t="str">
        <f>IFERROR(_xlfn.XLOOKUP($A299,'Raw Data'!$G:$G,'Raw Data'!AG:AG),"")</f>
        <v/>
      </c>
      <c r="O299" s="138" t="str">
        <f>IFERROR(1-SUMIF('Plant BD'!$H:$H,$A299,'Plant BD'!$AE:$AE)/($AA299+SUMIF('Plant BD'!$H:$H,$A299,'Plant BD'!$AE:$AE)),"")</f>
        <v/>
      </c>
      <c r="P299" s="138"/>
      <c r="Q299" s="139"/>
      <c r="R299" s="138" t="str">
        <f>IFERROR(1-SUMIF('Grid BD'!$H:$H,$A299,'Grid BD'!$AD:$AD)/($AA299+SUMIF('Grid BD'!$H:$H,$A299,'Grid BD'!$AD:$AD)),"")</f>
        <v/>
      </c>
      <c r="T299" s="139"/>
      <c r="U299" s="140" t="str">
        <f t="shared" si="17"/>
        <v/>
      </c>
      <c r="V299" s="140"/>
      <c r="W299" s="141" t="str">
        <f t="shared" si="18"/>
        <v/>
      </c>
      <c r="X299" s="133" t="str">
        <f>IFERROR(_xlfn.XLOOKUP($A299,'Raw Data'!$G:$G,'Raw Data'!AI:AI),"")</f>
        <v/>
      </c>
      <c r="Y299" s="133" t="str">
        <f>IFERROR(_xlfn.XLOOKUP($A299,'Raw Data'!$G:$G,'Raw Data'!AJ:AJ),"")</f>
        <v/>
      </c>
      <c r="Z299" s="133" t="str">
        <f>IFERROR(_xlfn.XLOOKUP($A299,'Raw Data'!$G:$G,'Raw Data'!AK:AK),"")</f>
        <v/>
      </c>
      <c r="AA299" s="133" t="str">
        <f>IFERROR(_xlfn.XLOOKUP($A299,'Raw Data'!$G:$G,'Raw Data'!AL:AL),"")</f>
        <v/>
      </c>
      <c r="AB299" s="133" t="str">
        <f>IFERROR(_xlfn.XLOOKUP($A299,'Raw Data'!$G:$G,'Raw Data'!H:H),"")</f>
        <v/>
      </c>
      <c r="AC299" s="142">
        <f>IFERROR(_xlfn.XLOOKUP($D299,'Modelling New'!$D:$D,'Modelling New'!P:P),"")</f>
        <v>5.9322580645161294</v>
      </c>
      <c r="AD299" s="133">
        <f>IFERROR(_xlfn.XLOOKUP($D299,'Modelling New'!$D:$D,'Modelling New'!$T:$T)*1000,"")</f>
        <v>34475.662965312498</v>
      </c>
      <c r="AE299" s="143">
        <f>IFERROR(_xlfn.XLOOKUP($D299,'Modelling New'!$D:$D,'Modelling New'!O:O),"")</f>
        <v>0.72455188248968172</v>
      </c>
      <c r="AF299" s="145">
        <f>IFERROR(_xlfn.XLOOKUP($D299,'Modelling New'!$D:$D,'Modelling New'!W:W),"")</f>
        <v>0.17909286450248987</v>
      </c>
      <c r="AG299" s="145">
        <f>IFERROR(_xlfn.XLOOKUP($D299,'Modelling New'!$D:$D,'Modelling New'!AE:AE),"")</f>
        <v>0.98040000000000005</v>
      </c>
      <c r="AH299" s="167">
        <f>IFERROR(_xlfn.XLOOKUP($D299,'Modelling New'!$D:$D,'Modelling New'!AF:AF),"")</f>
        <v>0.98</v>
      </c>
      <c r="AN299" s="144"/>
      <c r="AO299" s="141"/>
      <c r="AP299" s="141"/>
      <c r="AQ299" s="141"/>
      <c r="AR299" s="133">
        <f>'Basic Data'!$B$98/1000</f>
        <v>8.0208999999999993</v>
      </c>
    </row>
    <row r="300" spans="1:44" x14ac:dyDescent="0.3">
      <c r="A300" s="132">
        <f t="shared" si="19"/>
        <v>46043</v>
      </c>
      <c r="B300" s="133">
        <f>YEAR(Table13[[#This Row],[Date]])+IF(MONTH(Table13[[#This Row],[Date]])&gt;=4,1,0)</f>
        <v>2026</v>
      </c>
      <c r="C300" s="134">
        <f>YEAR(Table13[[#This Row],[Date]])</f>
        <v>2026</v>
      </c>
      <c r="D300" s="135">
        <f>Table13[[#This Row],[Date]]-DAY(Table13[[#This Row],[Date]])+1</f>
        <v>46023</v>
      </c>
      <c r="E300" s="134">
        <f t="shared" si="16"/>
        <v>31</v>
      </c>
      <c r="F300" s="136" t="str">
        <f>IFERROR(_xlfn.XLOOKUP($A300,'Raw Data'!$G:$G,'Raw Data'!$AM:$AM),"")</f>
        <v/>
      </c>
      <c r="G300" s="137" t="str">
        <f>IFERROR(_xlfn.XLOOKUP($A300,'Raw Data'!$G:$G,'Raw Data'!$AB:$AB),"")</f>
        <v/>
      </c>
      <c r="H300" s="137"/>
      <c r="I300" s="137" t="str">
        <f>IFERROR(_xlfn.XLOOKUP($A300,'Raw Data'!$G:$G,'Raw Data'!$AC:$AC),"")</f>
        <v/>
      </c>
      <c r="J300" s="137"/>
      <c r="K300" s="137" t="str">
        <f>IFERROR(_xlfn.XLOOKUP($A300,'Raw Data'!$G:$G,'Raw Data'!AD:AD),"")</f>
        <v/>
      </c>
      <c r="L300" s="137" t="str">
        <f>IFERROR(_xlfn.XLOOKUP($A300,'Raw Data'!$G:$G,'Raw Data'!AE:AE),"")</f>
        <v/>
      </c>
      <c r="M300" s="137" t="str">
        <f>IFERROR(_xlfn.XLOOKUP($A300,'Raw Data'!$G:$G,'Raw Data'!AF:AF),"")</f>
        <v/>
      </c>
      <c r="N300" s="137" t="str">
        <f>IFERROR(_xlfn.XLOOKUP($A300,'Raw Data'!$G:$G,'Raw Data'!AG:AG),"")</f>
        <v/>
      </c>
      <c r="O300" s="138" t="str">
        <f>IFERROR(1-SUMIF('Plant BD'!$H:$H,$A300,'Plant BD'!$AE:$AE)/($AA300+SUMIF('Plant BD'!$H:$H,$A300,'Plant BD'!$AE:$AE)),"")</f>
        <v/>
      </c>
      <c r="P300" s="138"/>
      <c r="Q300" s="139"/>
      <c r="R300" s="138" t="str">
        <f>IFERROR(1-SUMIF('Grid BD'!$H:$H,$A300,'Grid BD'!$AD:$AD)/($AA300+SUMIF('Grid BD'!$H:$H,$A300,'Grid BD'!$AD:$AD)),"")</f>
        <v/>
      </c>
      <c r="T300" s="139"/>
      <c r="U300" s="140" t="str">
        <f t="shared" si="17"/>
        <v/>
      </c>
      <c r="V300" s="140"/>
      <c r="W300" s="141" t="str">
        <f t="shared" si="18"/>
        <v/>
      </c>
      <c r="X300" s="133" t="str">
        <f>IFERROR(_xlfn.XLOOKUP($A300,'Raw Data'!$G:$G,'Raw Data'!AI:AI),"")</f>
        <v/>
      </c>
      <c r="Y300" s="133" t="str">
        <f>IFERROR(_xlfn.XLOOKUP($A300,'Raw Data'!$G:$G,'Raw Data'!AJ:AJ),"")</f>
        <v/>
      </c>
      <c r="Z300" s="133" t="str">
        <f>IFERROR(_xlfn.XLOOKUP($A300,'Raw Data'!$G:$G,'Raw Data'!AK:AK),"")</f>
        <v/>
      </c>
      <c r="AA300" s="133" t="str">
        <f>IFERROR(_xlfn.XLOOKUP($A300,'Raw Data'!$G:$G,'Raw Data'!AL:AL),"")</f>
        <v/>
      </c>
      <c r="AB300" s="133" t="str">
        <f>IFERROR(_xlfn.XLOOKUP($A300,'Raw Data'!$G:$G,'Raw Data'!H:H),"")</f>
        <v/>
      </c>
      <c r="AC300" s="142">
        <f>IFERROR(_xlfn.XLOOKUP($D300,'Modelling New'!$D:$D,'Modelling New'!P:P),"")</f>
        <v>5.9322580645161294</v>
      </c>
      <c r="AD300" s="133">
        <f>IFERROR(_xlfn.XLOOKUP($D300,'Modelling New'!$D:$D,'Modelling New'!$T:$T)*1000,"")</f>
        <v>34475.662965312498</v>
      </c>
      <c r="AE300" s="143">
        <f>IFERROR(_xlfn.XLOOKUP($D300,'Modelling New'!$D:$D,'Modelling New'!O:O),"")</f>
        <v>0.72455188248968172</v>
      </c>
      <c r="AF300" s="145">
        <f>IFERROR(_xlfn.XLOOKUP($D300,'Modelling New'!$D:$D,'Modelling New'!W:W),"")</f>
        <v>0.17909286450248987</v>
      </c>
      <c r="AG300" s="145">
        <f>IFERROR(_xlfn.XLOOKUP($D300,'Modelling New'!$D:$D,'Modelling New'!AE:AE),"")</f>
        <v>0.98040000000000005</v>
      </c>
      <c r="AH300" s="167">
        <f>IFERROR(_xlfn.XLOOKUP($D300,'Modelling New'!$D:$D,'Modelling New'!AF:AF),"")</f>
        <v>0.98</v>
      </c>
      <c r="AN300" s="144"/>
      <c r="AO300" s="141"/>
      <c r="AP300" s="141"/>
      <c r="AQ300" s="141"/>
      <c r="AR300" s="133">
        <f>'Basic Data'!$B$98/1000</f>
        <v>8.0208999999999993</v>
      </c>
    </row>
    <row r="301" spans="1:44" x14ac:dyDescent="0.3">
      <c r="A301" s="132">
        <f t="shared" si="19"/>
        <v>46044</v>
      </c>
      <c r="B301" s="133">
        <f>YEAR(Table13[[#This Row],[Date]])+IF(MONTH(Table13[[#This Row],[Date]])&gt;=4,1,0)</f>
        <v>2026</v>
      </c>
      <c r="C301" s="134">
        <f>YEAR(Table13[[#This Row],[Date]])</f>
        <v>2026</v>
      </c>
      <c r="D301" s="135">
        <f>Table13[[#This Row],[Date]]-DAY(Table13[[#This Row],[Date]])+1</f>
        <v>46023</v>
      </c>
      <c r="E301" s="134">
        <f t="shared" si="16"/>
        <v>31</v>
      </c>
      <c r="F301" s="136" t="str">
        <f>IFERROR(_xlfn.XLOOKUP($A301,'Raw Data'!$G:$G,'Raw Data'!$AM:$AM),"")</f>
        <v/>
      </c>
      <c r="G301" s="137" t="str">
        <f>IFERROR(_xlfn.XLOOKUP($A301,'Raw Data'!$G:$G,'Raw Data'!$AB:$AB),"")</f>
        <v/>
      </c>
      <c r="H301" s="137"/>
      <c r="I301" s="137" t="str">
        <f>IFERROR(_xlfn.XLOOKUP($A301,'Raw Data'!$G:$G,'Raw Data'!$AC:$AC),"")</f>
        <v/>
      </c>
      <c r="J301" s="137"/>
      <c r="K301" s="137" t="str">
        <f>IFERROR(_xlfn.XLOOKUP($A301,'Raw Data'!$G:$G,'Raw Data'!AD:AD),"")</f>
        <v/>
      </c>
      <c r="L301" s="137" t="str">
        <f>IFERROR(_xlfn.XLOOKUP($A301,'Raw Data'!$G:$G,'Raw Data'!AE:AE),"")</f>
        <v/>
      </c>
      <c r="M301" s="137" t="str">
        <f>IFERROR(_xlfn.XLOOKUP($A301,'Raw Data'!$G:$G,'Raw Data'!AF:AF),"")</f>
        <v/>
      </c>
      <c r="N301" s="137" t="str">
        <f>IFERROR(_xlfn.XLOOKUP($A301,'Raw Data'!$G:$G,'Raw Data'!AG:AG),"")</f>
        <v/>
      </c>
      <c r="O301" s="138" t="str">
        <f>IFERROR(1-SUMIF('Plant BD'!$H:$H,$A301,'Plant BD'!$AE:$AE)/($AA301+SUMIF('Plant BD'!$H:$H,$A301,'Plant BD'!$AE:$AE)),"")</f>
        <v/>
      </c>
      <c r="P301" s="138"/>
      <c r="Q301" s="139"/>
      <c r="R301" s="138" t="str">
        <f>IFERROR(1-SUMIF('Grid BD'!$H:$H,$A301,'Grid BD'!$AD:$AD)/($AA301+SUMIF('Grid BD'!$H:$H,$A301,'Grid BD'!$AD:$AD)),"")</f>
        <v/>
      </c>
      <c r="T301" s="139"/>
      <c r="U301" s="140" t="str">
        <f t="shared" si="17"/>
        <v/>
      </c>
      <c r="V301" s="140"/>
      <c r="W301" s="141" t="str">
        <f t="shared" si="18"/>
        <v/>
      </c>
      <c r="X301" s="133" t="str">
        <f>IFERROR(_xlfn.XLOOKUP($A301,'Raw Data'!$G:$G,'Raw Data'!AI:AI),"")</f>
        <v/>
      </c>
      <c r="Y301" s="133" t="str">
        <f>IFERROR(_xlfn.XLOOKUP($A301,'Raw Data'!$G:$G,'Raw Data'!AJ:AJ),"")</f>
        <v/>
      </c>
      <c r="Z301" s="133" t="str">
        <f>IFERROR(_xlfn.XLOOKUP($A301,'Raw Data'!$G:$G,'Raw Data'!AK:AK),"")</f>
        <v/>
      </c>
      <c r="AA301" s="133" t="str">
        <f>IFERROR(_xlfn.XLOOKUP($A301,'Raw Data'!$G:$G,'Raw Data'!AL:AL),"")</f>
        <v/>
      </c>
      <c r="AB301" s="133" t="str">
        <f>IFERROR(_xlfn.XLOOKUP($A301,'Raw Data'!$G:$G,'Raw Data'!H:H),"")</f>
        <v/>
      </c>
      <c r="AC301" s="142">
        <f>IFERROR(_xlfn.XLOOKUP($D301,'Modelling New'!$D:$D,'Modelling New'!P:P),"")</f>
        <v>5.9322580645161294</v>
      </c>
      <c r="AD301" s="133">
        <f>IFERROR(_xlfn.XLOOKUP($D301,'Modelling New'!$D:$D,'Modelling New'!$T:$T)*1000,"")</f>
        <v>34475.662965312498</v>
      </c>
      <c r="AE301" s="143">
        <f>IFERROR(_xlfn.XLOOKUP($D301,'Modelling New'!$D:$D,'Modelling New'!O:O),"")</f>
        <v>0.72455188248968172</v>
      </c>
      <c r="AF301" s="145">
        <f>IFERROR(_xlfn.XLOOKUP($D301,'Modelling New'!$D:$D,'Modelling New'!W:W),"")</f>
        <v>0.17909286450248987</v>
      </c>
      <c r="AG301" s="145">
        <f>IFERROR(_xlfn.XLOOKUP($D301,'Modelling New'!$D:$D,'Modelling New'!AE:AE),"")</f>
        <v>0.98040000000000005</v>
      </c>
      <c r="AH301" s="167">
        <f>IFERROR(_xlfn.XLOOKUP($D301,'Modelling New'!$D:$D,'Modelling New'!AF:AF),"")</f>
        <v>0.98</v>
      </c>
      <c r="AN301" s="144"/>
      <c r="AO301" s="141"/>
      <c r="AP301" s="141"/>
      <c r="AQ301" s="141"/>
      <c r="AR301" s="133">
        <f>'Basic Data'!$B$98/1000</f>
        <v>8.0208999999999993</v>
      </c>
    </row>
    <row r="302" spans="1:44" x14ac:dyDescent="0.3">
      <c r="A302" s="132">
        <f t="shared" si="19"/>
        <v>46045</v>
      </c>
      <c r="B302" s="133">
        <f>YEAR(Table13[[#This Row],[Date]])+IF(MONTH(Table13[[#This Row],[Date]])&gt;=4,1,0)</f>
        <v>2026</v>
      </c>
      <c r="C302" s="134">
        <f>YEAR(Table13[[#This Row],[Date]])</f>
        <v>2026</v>
      </c>
      <c r="D302" s="135">
        <f>Table13[[#This Row],[Date]]-DAY(Table13[[#This Row],[Date]])+1</f>
        <v>46023</v>
      </c>
      <c r="E302" s="134">
        <f t="shared" si="16"/>
        <v>31</v>
      </c>
      <c r="F302" s="136" t="str">
        <f>IFERROR(_xlfn.XLOOKUP($A302,'Raw Data'!$G:$G,'Raw Data'!$AM:$AM),"")</f>
        <v/>
      </c>
      <c r="G302" s="137" t="str">
        <f>IFERROR(_xlfn.XLOOKUP($A302,'Raw Data'!$G:$G,'Raw Data'!$AB:$AB),"")</f>
        <v/>
      </c>
      <c r="H302" s="137"/>
      <c r="I302" s="137" t="str">
        <f>IFERROR(_xlfn.XLOOKUP($A302,'Raw Data'!$G:$G,'Raw Data'!$AC:$AC),"")</f>
        <v/>
      </c>
      <c r="J302" s="137"/>
      <c r="K302" s="137" t="str">
        <f>IFERROR(_xlfn.XLOOKUP($A302,'Raw Data'!$G:$G,'Raw Data'!AD:AD),"")</f>
        <v/>
      </c>
      <c r="L302" s="137" t="str">
        <f>IFERROR(_xlfn.XLOOKUP($A302,'Raw Data'!$G:$G,'Raw Data'!AE:AE),"")</f>
        <v/>
      </c>
      <c r="M302" s="137" t="str">
        <f>IFERROR(_xlfn.XLOOKUP($A302,'Raw Data'!$G:$G,'Raw Data'!AF:AF),"")</f>
        <v/>
      </c>
      <c r="N302" s="137" t="str">
        <f>IFERROR(_xlfn.XLOOKUP($A302,'Raw Data'!$G:$G,'Raw Data'!AG:AG),"")</f>
        <v/>
      </c>
      <c r="O302" s="138" t="str">
        <f>IFERROR(1-SUMIF('Plant BD'!$H:$H,$A302,'Plant BD'!$AE:$AE)/($AA302+SUMIF('Plant BD'!$H:$H,$A302,'Plant BD'!$AE:$AE)),"")</f>
        <v/>
      </c>
      <c r="P302" s="138"/>
      <c r="Q302" s="139"/>
      <c r="R302" s="138" t="str">
        <f>IFERROR(1-SUMIF('Grid BD'!$H:$H,$A302,'Grid BD'!$AD:$AD)/($AA302+SUMIF('Grid BD'!$H:$H,$A302,'Grid BD'!$AD:$AD)),"")</f>
        <v/>
      </c>
      <c r="T302" s="139"/>
      <c r="U302" s="140" t="str">
        <f t="shared" si="17"/>
        <v/>
      </c>
      <c r="V302" s="140"/>
      <c r="W302" s="141" t="str">
        <f t="shared" si="18"/>
        <v/>
      </c>
      <c r="X302" s="133" t="str">
        <f>IFERROR(_xlfn.XLOOKUP($A302,'Raw Data'!$G:$G,'Raw Data'!AI:AI),"")</f>
        <v/>
      </c>
      <c r="Y302" s="133" t="str">
        <f>IFERROR(_xlfn.XLOOKUP($A302,'Raw Data'!$G:$G,'Raw Data'!AJ:AJ),"")</f>
        <v/>
      </c>
      <c r="Z302" s="133" t="str">
        <f>IFERROR(_xlfn.XLOOKUP($A302,'Raw Data'!$G:$G,'Raw Data'!AK:AK),"")</f>
        <v/>
      </c>
      <c r="AA302" s="133" t="str">
        <f>IFERROR(_xlfn.XLOOKUP($A302,'Raw Data'!$G:$G,'Raw Data'!AL:AL),"")</f>
        <v/>
      </c>
      <c r="AB302" s="133" t="str">
        <f>IFERROR(_xlfn.XLOOKUP($A302,'Raw Data'!$G:$G,'Raw Data'!H:H),"")</f>
        <v/>
      </c>
      <c r="AC302" s="142">
        <f>IFERROR(_xlfn.XLOOKUP($D302,'Modelling New'!$D:$D,'Modelling New'!P:P),"")</f>
        <v>5.9322580645161294</v>
      </c>
      <c r="AD302" s="133">
        <f>IFERROR(_xlfn.XLOOKUP($D302,'Modelling New'!$D:$D,'Modelling New'!$T:$T)*1000,"")</f>
        <v>34475.662965312498</v>
      </c>
      <c r="AE302" s="143">
        <f>IFERROR(_xlfn.XLOOKUP($D302,'Modelling New'!$D:$D,'Modelling New'!O:O),"")</f>
        <v>0.72455188248968172</v>
      </c>
      <c r="AF302" s="145">
        <f>IFERROR(_xlfn.XLOOKUP($D302,'Modelling New'!$D:$D,'Modelling New'!W:W),"")</f>
        <v>0.17909286450248987</v>
      </c>
      <c r="AG302" s="145">
        <f>IFERROR(_xlfn.XLOOKUP($D302,'Modelling New'!$D:$D,'Modelling New'!AE:AE),"")</f>
        <v>0.98040000000000005</v>
      </c>
      <c r="AH302" s="167">
        <f>IFERROR(_xlfn.XLOOKUP($D302,'Modelling New'!$D:$D,'Modelling New'!AF:AF),"")</f>
        <v>0.98</v>
      </c>
      <c r="AN302" s="144"/>
      <c r="AO302" s="141"/>
      <c r="AP302" s="141"/>
      <c r="AQ302" s="141"/>
      <c r="AR302" s="133">
        <f>'Basic Data'!$B$98/1000</f>
        <v>8.0208999999999993</v>
      </c>
    </row>
    <row r="303" spans="1:44" x14ac:dyDescent="0.3">
      <c r="A303" s="132">
        <f t="shared" si="19"/>
        <v>46046</v>
      </c>
      <c r="B303" s="133">
        <f>YEAR(Table13[[#This Row],[Date]])+IF(MONTH(Table13[[#This Row],[Date]])&gt;=4,1,0)</f>
        <v>2026</v>
      </c>
      <c r="C303" s="134">
        <f>YEAR(Table13[[#This Row],[Date]])</f>
        <v>2026</v>
      </c>
      <c r="D303" s="135">
        <f>Table13[[#This Row],[Date]]-DAY(Table13[[#This Row],[Date]])+1</f>
        <v>46023</v>
      </c>
      <c r="E303" s="134">
        <f t="shared" si="16"/>
        <v>31</v>
      </c>
      <c r="F303" s="136" t="str">
        <f>IFERROR(_xlfn.XLOOKUP($A303,'Raw Data'!$G:$G,'Raw Data'!$AM:$AM),"")</f>
        <v/>
      </c>
      <c r="G303" s="137" t="str">
        <f>IFERROR(_xlfn.XLOOKUP($A303,'Raw Data'!$G:$G,'Raw Data'!$AB:$AB),"")</f>
        <v/>
      </c>
      <c r="H303" s="137"/>
      <c r="I303" s="137" t="str">
        <f>IFERROR(_xlfn.XLOOKUP($A303,'Raw Data'!$G:$G,'Raw Data'!$AC:$AC),"")</f>
        <v/>
      </c>
      <c r="J303" s="137"/>
      <c r="K303" s="137" t="str">
        <f>IFERROR(_xlfn.XLOOKUP($A303,'Raw Data'!$G:$G,'Raw Data'!AD:AD),"")</f>
        <v/>
      </c>
      <c r="L303" s="137" t="str">
        <f>IFERROR(_xlfn.XLOOKUP($A303,'Raw Data'!$G:$G,'Raw Data'!AE:AE),"")</f>
        <v/>
      </c>
      <c r="M303" s="137" t="str">
        <f>IFERROR(_xlfn.XLOOKUP($A303,'Raw Data'!$G:$G,'Raw Data'!AF:AF),"")</f>
        <v/>
      </c>
      <c r="N303" s="137" t="str">
        <f>IFERROR(_xlfn.XLOOKUP($A303,'Raw Data'!$G:$G,'Raw Data'!AG:AG),"")</f>
        <v/>
      </c>
      <c r="O303" s="138" t="str">
        <f>IFERROR(1-SUMIF('Plant BD'!$H:$H,$A303,'Plant BD'!$AE:$AE)/($AA303+SUMIF('Plant BD'!$H:$H,$A303,'Plant BD'!$AE:$AE)),"")</f>
        <v/>
      </c>
      <c r="P303" s="138"/>
      <c r="Q303" s="139"/>
      <c r="R303" s="138" t="str">
        <f>IFERROR(1-SUMIF('Grid BD'!$H:$H,$A303,'Grid BD'!$AD:$AD)/($AA303+SUMIF('Grid BD'!$H:$H,$A303,'Grid BD'!$AD:$AD)),"")</f>
        <v/>
      </c>
      <c r="T303" s="139"/>
      <c r="U303" s="140" t="str">
        <f t="shared" si="17"/>
        <v/>
      </c>
      <c r="V303" s="140"/>
      <c r="W303" s="141" t="str">
        <f t="shared" si="18"/>
        <v/>
      </c>
      <c r="X303" s="133" t="str">
        <f>IFERROR(_xlfn.XLOOKUP($A303,'Raw Data'!$G:$G,'Raw Data'!AI:AI),"")</f>
        <v/>
      </c>
      <c r="Y303" s="133" t="str">
        <f>IFERROR(_xlfn.XLOOKUP($A303,'Raw Data'!$G:$G,'Raw Data'!AJ:AJ),"")</f>
        <v/>
      </c>
      <c r="Z303" s="133" t="str">
        <f>IFERROR(_xlfn.XLOOKUP($A303,'Raw Data'!$G:$G,'Raw Data'!AK:AK),"")</f>
        <v/>
      </c>
      <c r="AA303" s="133" t="str">
        <f>IFERROR(_xlfn.XLOOKUP($A303,'Raw Data'!$G:$G,'Raw Data'!AL:AL),"")</f>
        <v/>
      </c>
      <c r="AB303" s="133" t="str">
        <f>IFERROR(_xlfn.XLOOKUP($A303,'Raw Data'!$G:$G,'Raw Data'!H:H),"")</f>
        <v/>
      </c>
      <c r="AC303" s="142">
        <f>IFERROR(_xlfn.XLOOKUP($D303,'Modelling New'!$D:$D,'Modelling New'!P:P),"")</f>
        <v>5.9322580645161294</v>
      </c>
      <c r="AD303" s="133">
        <f>IFERROR(_xlfn.XLOOKUP($D303,'Modelling New'!$D:$D,'Modelling New'!$T:$T)*1000,"")</f>
        <v>34475.662965312498</v>
      </c>
      <c r="AE303" s="143">
        <f>IFERROR(_xlfn.XLOOKUP($D303,'Modelling New'!$D:$D,'Modelling New'!O:O),"")</f>
        <v>0.72455188248968172</v>
      </c>
      <c r="AF303" s="145">
        <f>IFERROR(_xlfn.XLOOKUP($D303,'Modelling New'!$D:$D,'Modelling New'!W:W),"")</f>
        <v>0.17909286450248987</v>
      </c>
      <c r="AG303" s="145">
        <f>IFERROR(_xlfn.XLOOKUP($D303,'Modelling New'!$D:$D,'Modelling New'!AE:AE),"")</f>
        <v>0.98040000000000005</v>
      </c>
      <c r="AH303" s="167">
        <f>IFERROR(_xlfn.XLOOKUP($D303,'Modelling New'!$D:$D,'Modelling New'!AF:AF),"")</f>
        <v>0.98</v>
      </c>
      <c r="AN303" s="144"/>
      <c r="AO303" s="141"/>
      <c r="AP303" s="141"/>
      <c r="AQ303" s="141"/>
      <c r="AR303" s="133">
        <f>'Basic Data'!$B$98/1000</f>
        <v>8.0208999999999993</v>
      </c>
    </row>
    <row r="304" spans="1:44" x14ac:dyDescent="0.3">
      <c r="A304" s="132">
        <f t="shared" si="19"/>
        <v>46047</v>
      </c>
      <c r="B304" s="133">
        <f>YEAR(Table13[[#This Row],[Date]])+IF(MONTH(Table13[[#This Row],[Date]])&gt;=4,1,0)</f>
        <v>2026</v>
      </c>
      <c r="C304" s="134">
        <f>YEAR(Table13[[#This Row],[Date]])</f>
        <v>2026</v>
      </c>
      <c r="D304" s="135">
        <f>Table13[[#This Row],[Date]]-DAY(Table13[[#This Row],[Date]])+1</f>
        <v>46023</v>
      </c>
      <c r="E304" s="134">
        <f t="shared" si="16"/>
        <v>31</v>
      </c>
      <c r="F304" s="136" t="str">
        <f>IFERROR(_xlfn.XLOOKUP($A304,'Raw Data'!$G:$G,'Raw Data'!$AM:$AM),"")</f>
        <v/>
      </c>
      <c r="G304" s="137" t="str">
        <f>IFERROR(_xlfn.XLOOKUP($A304,'Raw Data'!$G:$G,'Raw Data'!$AB:$AB),"")</f>
        <v/>
      </c>
      <c r="H304" s="137"/>
      <c r="I304" s="137" t="str">
        <f>IFERROR(_xlfn.XLOOKUP($A304,'Raw Data'!$G:$G,'Raw Data'!$AC:$AC),"")</f>
        <v/>
      </c>
      <c r="J304" s="137"/>
      <c r="K304" s="137" t="str">
        <f>IFERROR(_xlfn.XLOOKUP($A304,'Raw Data'!$G:$G,'Raw Data'!AD:AD),"")</f>
        <v/>
      </c>
      <c r="L304" s="137" t="str">
        <f>IFERROR(_xlfn.XLOOKUP($A304,'Raw Data'!$G:$G,'Raw Data'!AE:AE),"")</f>
        <v/>
      </c>
      <c r="M304" s="137" t="str">
        <f>IFERROR(_xlfn.XLOOKUP($A304,'Raw Data'!$G:$G,'Raw Data'!AF:AF),"")</f>
        <v/>
      </c>
      <c r="N304" s="137" t="str">
        <f>IFERROR(_xlfn.XLOOKUP($A304,'Raw Data'!$G:$G,'Raw Data'!AG:AG),"")</f>
        <v/>
      </c>
      <c r="O304" s="138" t="str">
        <f>IFERROR(1-SUMIF('Plant BD'!$H:$H,$A304,'Plant BD'!$AE:$AE)/($AA304+SUMIF('Plant BD'!$H:$H,$A304,'Plant BD'!$AE:$AE)),"")</f>
        <v/>
      </c>
      <c r="P304" s="138"/>
      <c r="Q304" s="139"/>
      <c r="R304" s="138" t="str">
        <f>IFERROR(1-SUMIF('Grid BD'!$H:$H,$A304,'Grid BD'!$AD:$AD)/($AA304+SUMIF('Grid BD'!$H:$H,$A304,'Grid BD'!$AD:$AD)),"")</f>
        <v/>
      </c>
      <c r="T304" s="139"/>
      <c r="U304" s="140" t="str">
        <f t="shared" si="17"/>
        <v/>
      </c>
      <c r="V304" s="140"/>
      <c r="W304" s="141" t="str">
        <f t="shared" si="18"/>
        <v/>
      </c>
      <c r="X304" s="133" t="str">
        <f>IFERROR(_xlfn.XLOOKUP($A304,'Raw Data'!$G:$G,'Raw Data'!AI:AI),"")</f>
        <v/>
      </c>
      <c r="Y304" s="133" t="str">
        <f>IFERROR(_xlfn.XLOOKUP($A304,'Raw Data'!$G:$G,'Raw Data'!AJ:AJ),"")</f>
        <v/>
      </c>
      <c r="Z304" s="133" t="str">
        <f>IFERROR(_xlfn.XLOOKUP($A304,'Raw Data'!$G:$G,'Raw Data'!AK:AK),"")</f>
        <v/>
      </c>
      <c r="AA304" s="133" t="str">
        <f>IFERROR(_xlfn.XLOOKUP($A304,'Raw Data'!$G:$G,'Raw Data'!AL:AL),"")</f>
        <v/>
      </c>
      <c r="AB304" s="133" t="str">
        <f>IFERROR(_xlfn.XLOOKUP($A304,'Raw Data'!$G:$G,'Raw Data'!H:H),"")</f>
        <v/>
      </c>
      <c r="AC304" s="142">
        <f>IFERROR(_xlfn.XLOOKUP($D304,'Modelling New'!$D:$D,'Modelling New'!P:P),"")</f>
        <v>5.9322580645161294</v>
      </c>
      <c r="AD304" s="133">
        <f>IFERROR(_xlfn.XLOOKUP($D304,'Modelling New'!$D:$D,'Modelling New'!$T:$T)*1000,"")</f>
        <v>34475.662965312498</v>
      </c>
      <c r="AE304" s="143">
        <f>IFERROR(_xlfn.XLOOKUP($D304,'Modelling New'!$D:$D,'Modelling New'!O:O),"")</f>
        <v>0.72455188248968172</v>
      </c>
      <c r="AF304" s="145">
        <f>IFERROR(_xlfn.XLOOKUP($D304,'Modelling New'!$D:$D,'Modelling New'!W:W),"")</f>
        <v>0.17909286450248987</v>
      </c>
      <c r="AG304" s="145">
        <f>IFERROR(_xlfn.XLOOKUP($D304,'Modelling New'!$D:$D,'Modelling New'!AE:AE),"")</f>
        <v>0.98040000000000005</v>
      </c>
      <c r="AH304" s="167">
        <f>IFERROR(_xlfn.XLOOKUP($D304,'Modelling New'!$D:$D,'Modelling New'!AF:AF),"")</f>
        <v>0.98</v>
      </c>
      <c r="AN304" s="144"/>
      <c r="AO304" s="141"/>
      <c r="AP304" s="141"/>
      <c r="AQ304" s="141"/>
      <c r="AR304" s="133">
        <f>'Basic Data'!$B$98/1000</f>
        <v>8.0208999999999993</v>
      </c>
    </row>
    <row r="305" spans="1:44" x14ac:dyDescent="0.3">
      <c r="A305" s="132">
        <f t="shared" si="19"/>
        <v>46048</v>
      </c>
      <c r="B305" s="133">
        <f>YEAR(Table13[[#This Row],[Date]])+IF(MONTH(Table13[[#This Row],[Date]])&gt;=4,1,0)</f>
        <v>2026</v>
      </c>
      <c r="C305" s="134">
        <f>YEAR(Table13[[#This Row],[Date]])</f>
        <v>2026</v>
      </c>
      <c r="D305" s="135">
        <f>Table13[[#This Row],[Date]]-DAY(Table13[[#This Row],[Date]])+1</f>
        <v>46023</v>
      </c>
      <c r="E305" s="134">
        <f t="shared" si="16"/>
        <v>31</v>
      </c>
      <c r="F305" s="136" t="str">
        <f>IFERROR(_xlfn.XLOOKUP($A305,'Raw Data'!$G:$G,'Raw Data'!$AM:$AM),"")</f>
        <v/>
      </c>
      <c r="G305" s="137" t="str">
        <f>IFERROR(_xlfn.XLOOKUP($A305,'Raw Data'!$G:$G,'Raw Data'!$AB:$AB),"")</f>
        <v/>
      </c>
      <c r="H305" s="137"/>
      <c r="I305" s="137" t="str">
        <f>IFERROR(_xlfn.XLOOKUP($A305,'Raw Data'!$G:$G,'Raw Data'!$AC:$AC),"")</f>
        <v/>
      </c>
      <c r="J305" s="137"/>
      <c r="K305" s="137" t="str">
        <f>IFERROR(_xlfn.XLOOKUP($A305,'Raw Data'!$G:$G,'Raw Data'!AD:AD),"")</f>
        <v/>
      </c>
      <c r="L305" s="137" t="str">
        <f>IFERROR(_xlfn.XLOOKUP($A305,'Raw Data'!$G:$G,'Raw Data'!AE:AE),"")</f>
        <v/>
      </c>
      <c r="M305" s="137" t="str">
        <f>IFERROR(_xlfn.XLOOKUP($A305,'Raw Data'!$G:$G,'Raw Data'!AF:AF),"")</f>
        <v/>
      </c>
      <c r="N305" s="137" t="str">
        <f>IFERROR(_xlfn.XLOOKUP($A305,'Raw Data'!$G:$G,'Raw Data'!AG:AG),"")</f>
        <v/>
      </c>
      <c r="O305" s="138" t="str">
        <f>IFERROR(1-SUMIF('Plant BD'!$H:$H,$A305,'Plant BD'!$AE:$AE)/($AA305+SUMIF('Plant BD'!$H:$H,$A305,'Plant BD'!$AE:$AE)),"")</f>
        <v/>
      </c>
      <c r="P305" s="138"/>
      <c r="Q305" s="139"/>
      <c r="R305" s="138" t="str">
        <f>IFERROR(1-SUMIF('Grid BD'!$H:$H,$A305,'Grid BD'!$AD:$AD)/($AA305+SUMIF('Grid BD'!$H:$H,$A305,'Grid BD'!$AD:$AD)),"")</f>
        <v/>
      </c>
      <c r="T305" s="139"/>
      <c r="U305" s="140" t="str">
        <f t="shared" si="17"/>
        <v/>
      </c>
      <c r="V305" s="140"/>
      <c r="W305" s="141" t="str">
        <f t="shared" si="18"/>
        <v/>
      </c>
      <c r="X305" s="133" t="str">
        <f>IFERROR(_xlfn.XLOOKUP($A305,'Raw Data'!$G:$G,'Raw Data'!AI:AI),"")</f>
        <v/>
      </c>
      <c r="Y305" s="133" t="str">
        <f>IFERROR(_xlfn.XLOOKUP($A305,'Raw Data'!$G:$G,'Raw Data'!AJ:AJ),"")</f>
        <v/>
      </c>
      <c r="Z305" s="133" t="str">
        <f>IFERROR(_xlfn.XLOOKUP($A305,'Raw Data'!$G:$G,'Raw Data'!AK:AK),"")</f>
        <v/>
      </c>
      <c r="AA305" s="133" t="str">
        <f>IFERROR(_xlfn.XLOOKUP($A305,'Raw Data'!$G:$G,'Raw Data'!AL:AL),"")</f>
        <v/>
      </c>
      <c r="AB305" s="133" t="str">
        <f>IFERROR(_xlfn.XLOOKUP($A305,'Raw Data'!$G:$G,'Raw Data'!H:H),"")</f>
        <v/>
      </c>
      <c r="AC305" s="142">
        <f>IFERROR(_xlfn.XLOOKUP($D305,'Modelling New'!$D:$D,'Modelling New'!P:P),"")</f>
        <v>5.9322580645161294</v>
      </c>
      <c r="AD305" s="133">
        <f>IFERROR(_xlfn.XLOOKUP($D305,'Modelling New'!$D:$D,'Modelling New'!$T:$T)*1000,"")</f>
        <v>34475.662965312498</v>
      </c>
      <c r="AE305" s="143">
        <f>IFERROR(_xlfn.XLOOKUP($D305,'Modelling New'!$D:$D,'Modelling New'!O:O),"")</f>
        <v>0.72455188248968172</v>
      </c>
      <c r="AF305" s="145">
        <f>IFERROR(_xlfn.XLOOKUP($D305,'Modelling New'!$D:$D,'Modelling New'!W:W),"")</f>
        <v>0.17909286450248987</v>
      </c>
      <c r="AG305" s="145">
        <f>IFERROR(_xlfn.XLOOKUP($D305,'Modelling New'!$D:$D,'Modelling New'!AE:AE),"")</f>
        <v>0.98040000000000005</v>
      </c>
      <c r="AH305" s="167">
        <f>IFERROR(_xlfn.XLOOKUP($D305,'Modelling New'!$D:$D,'Modelling New'!AF:AF),"")</f>
        <v>0.98</v>
      </c>
      <c r="AN305" s="144"/>
      <c r="AO305" s="141"/>
      <c r="AP305" s="141"/>
      <c r="AQ305" s="141"/>
      <c r="AR305" s="133">
        <f>'Basic Data'!$B$98/1000</f>
        <v>8.0208999999999993</v>
      </c>
    </row>
    <row r="306" spans="1:44" x14ac:dyDescent="0.3">
      <c r="A306" s="132">
        <f t="shared" si="19"/>
        <v>46049</v>
      </c>
      <c r="B306" s="133">
        <f>YEAR(Table13[[#This Row],[Date]])+IF(MONTH(Table13[[#This Row],[Date]])&gt;=4,1,0)</f>
        <v>2026</v>
      </c>
      <c r="C306" s="134">
        <f>YEAR(Table13[[#This Row],[Date]])</f>
        <v>2026</v>
      </c>
      <c r="D306" s="135">
        <f>Table13[[#This Row],[Date]]-DAY(Table13[[#This Row],[Date]])+1</f>
        <v>46023</v>
      </c>
      <c r="E306" s="134">
        <f t="shared" si="16"/>
        <v>31</v>
      </c>
      <c r="F306" s="136" t="str">
        <f>IFERROR(_xlfn.XLOOKUP($A306,'Raw Data'!$G:$G,'Raw Data'!$AM:$AM),"")</f>
        <v/>
      </c>
      <c r="G306" s="137" t="str">
        <f>IFERROR(_xlfn.XLOOKUP($A306,'Raw Data'!$G:$G,'Raw Data'!$AB:$AB),"")</f>
        <v/>
      </c>
      <c r="H306" s="137"/>
      <c r="I306" s="137" t="str">
        <f>IFERROR(_xlfn.XLOOKUP($A306,'Raw Data'!$G:$G,'Raw Data'!$AC:$AC),"")</f>
        <v/>
      </c>
      <c r="J306" s="137"/>
      <c r="K306" s="137" t="str">
        <f>IFERROR(_xlfn.XLOOKUP($A306,'Raw Data'!$G:$G,'Raw Data'!AD:AD),"")</f>
        <v/>
      </c>
      <c r="L306" s="137" t="str">
        <f>IFERROR(_xlfn.XLOOKUP($A306,'Raw Data'!$G:$G,'Raw Data'!AE:AE),"")</f>
        <v/>
      </c>
      <c r="M306" s="137" t="str">
        <f>IFERROR(_xlfn.XLOOKUP($A306,'Raw Data'!$G:$G,'Raw Data'!AF:AF),"")</f>
        <v/>
      </c>
      <c r="N306" s="137" t="str">
        <f>IFERROR(_xlfn.XLOOKUP($A306,'Raw Data'!$G:$G,'Raw Data'!AG:AG),"")</f>
        <v/>
      </c>
      <c r="O306" s="138" t="str">
        <f>IFERROR(1-SUMIF('Plant BD'!$H:$H,$A306,'Plant BD'!$AE:$AE)/($AA306+SUMIF('Plant BD'!$H:$H,$A306,'Plant BD'!$AE:$AE)),"")</f>
        <v/>
      </c>
      <c r="P306" s="138"/>
      <c r="Q306" s="139"/>
      <c r="R306" s="138" t="str">
        <f>IFERROR(1-SUMIF('Grid BD'!$H:$H,$A306,'Grid BD'!$AD:$AD)/($AA306+SUMIF('Grid BD'!$H:$H,$A306,'Grid BD'!$AD:$AD)),"")</f>
        <v/>
      </c>
      <c r="T306" s="139"/>
      <c r="U306" s="140" t="str">
        <f t="shared" si="17"/>
        <v/>
      </c>
      <c r="V306" s="140"/>
      <c r="W306" s="141" t="str">
        <f t="shared" si="18"/>
        <v/>
      </c>
      <c r="X306" s="133" t="str">
        <f>IFERROR(_xlfn.XLOOKUP($A306,'Raw Data'!$G:$G,'Raw Data'!AI:AI),"")</f>
        <v/>
      </c>
      <c r="Y306" s="133" t="str">
        <f>IFERROR(_xlfn.XLOOKUP($A306,'Raw Data'!$G:$G,'Raw Data'!AJ:AJ),"")</f>
        <v/>
      </c>
      <c r="Z306" s="133" t="str">
        <f>IFERROR(_xlfn.XLOOKUP($A306,'Raw Data'!$G:$G,'Raw Data'!AK:AK),"")</f>
        <v/>
      </c>
      <c r="AA306" s="133" t="str">
        <f>IFERROR(_xlfn.XLOOKUP($A306,'Raw Data'!$G:$G,'Raw Data'!AL:AL),"")</f>
        <v/>
      </c>
      <c r="AB306" s="133" t="str">
        <f>IFERROR(_xlfn.XLOOKUP($A306,'Raw Data'!$G:$G,'Raw Data'!H:H),"")</f>
        <v/>
      </c>
      <c r="AC306" s="142">
        <f>IFERROR(_xlfn.XLOOKUP($D306,'Modelling New'!$D:$D,'Modelling New'!P:P),"")</f>
        <v>5.9322580645161294</v>
      </c>
      <c r="AD306" s="133">
        <f>IFERROR(_xlfn.XLOOKUP($D306,'Modelling New'!$D:$D,'Modelling New'!$T:$T)*1000,"")</f>
        <v>34475.662965312498</v>
      </c>
      <c r="AE306" s="143">
        <f>IFERROR(_xlfn.XLOOKUP($D306,'Modelling New'!$D:$D,'Modelling New'!O:O),"")</f>
        <v>0.72455188248968172</v>
      </c>
      <c r="AF306" s="145">
        <f>IFERROR(_xlfn.XLOOKUP($D306,'Modelling New'!$D:$D,'Modelling New'!W:W),"")</f>
        <v>0.17909286450248987</v>
      </c>
      <c r="AG306" s="145">
        <f>IFERROR(_xlfn.XLOOKUP($D306,'Modelling New'!$D:$D,'Modelling New'!AE:AE),"")</f>
        <v>0.98040000000000005</v>
      </c>
      <c r="AH306" s="167">
        <f>IFERROR(_xlfn.XLOOKUP($D306,'Modelling New'!$D:$D,'Modelling New'!AF:AF),"")</f>
        <v>0.98</v>
      </c>
      <c r="AN306" s="144"/>
      <c r="AO306" s="141"/>
      <c r="AP306" s="141"/>
      <c r="AQ306" s="141"/>
      <c r="AR306" s="133">
        <f>'Basic Data'!$B$98/1000</f>
        <v>8.0208999999999993</v>
      </c>
    </row>
    <row r="307" spans="1:44" x14ac:dyDescent="0.3">
      <c r="A307" s="132">
        <f t="shared" si="19"/>
        <v>46050</v>
      </c>
      <c r="B307" s="133">
        <f>YEAR(Table13[[#This Row],[Date]])+IF(MONTH(Table13[[#This Row],[Date]])&gt;=4,1,0)</f>
        <v>2026</v>
      </c>
      <c r="C307" s="134">
        <f>YEAR(Table13[[#This Row],[Date]])</f>
        <v>2026</v>
      </c>
      <c r="D307" s="135">
        <f>Table13[[#This Row],[Date]]-DAY(Table13[[#This Row],[Date]])+1</f>
        <v>46023</v>
      </c>
      <c r="E307" s="134">
        <f t="shared" si="16"/>
        <v>31</v>
      </c>
      <c r="F307" s="136" t="str">
        <f>IFERROR(_xlfn.XLOOKUP($A307,'Raw Data'!$G:$G,'Raw Data'!$AM:$AM),"")</f>
        <v/>
      </c>
      <c r="G307" s="137" t="str">
        <f>IFERROR(_xlfn.XLOOKUP($A307,'Raw Data'!$G:$G,'Raw Data'!$AB:$AB),"")</f>
        <v/>
      </c>
      <c r="H307" s="137"/>
      <c r="I307" s="137" t="str">
        <f>IFERROR(_xlfn.XLOOKUP($A307,'Raw Data'!$G:$G,'Raw Data'!$AC:$AC),"")</f>
        <v/>
      </c>
      <c r="J307" s="137"/>
      <c r="K307" s="137" t="str">
        <f>IFERROR(_xlfn.XLOOKUP($A307,'Raw Data'!$G:$G,'Raw Data'!AD:AD),"")</f>
        <v/>
      </c>
      <c r="L307" s="137" t="str">
        <f>IFERROR(_xlfn.XLOOKUP($A307,'Raw Data'!$G:$G,'Raw Data'!AE:AE),"")</f>
        <v/>
      </c>
      <c r="M307" s="137" t="str">
        <f>IFERROR(_xlfn.XLOOKUP($A307,'Raw Data'!$G:$G,'Raw Data'!AF:AF),"")</f>
        <v/>
      </c>
      <c r="N307" s="137" t="str">
        <f>IFERROR(_xlfn.XLOOKUP($A307,'Raw Data'!$G:$G,'Raw Data'!AG:AG),"")</f>
        <v/>
      </c>
      <c r="O307" s="138" t="str">
        <f>IFERROR(1-SUMIF('Plant BD'!$H:$H,$A307,'Plant BD'!$AE:$AE)/($AA307+SUMIF('Plant BD'!$H:$H,$A307,'Plant BD'!$AE:$AE)),"")</f>
        <v/>
      </c>
      <c r="P307" s="138"/>
      <c r="Q307" s="139"/>
      <c r="R307" s="138" t="str">
        <f>IFERROR(1-SUMIF('Grid BD'!$H:$H,$A307,'Grid BD'!$AD:$AD)/($AA307+SUMIF('Grid BD'!$H:$H,$A307,'Grid BD'!$AD:$AD)),"")</f>
        <v/>
      </c>
      <c r="T307" s="139"/>
      <c r="U307" s="140" t="str">
        <f t="shared" si="17"/>
        <v/>
      </c>
      <c r="V307" s="140"/>
      <c r="W307" s="141" t="str">
        <f t="shared" si="18"/>
        <v/>
      </c>
      <c r="X307" s="133" t="str">
        <f>IFERROR(_xlfn.XLOOKUP($A307,'Raw Data'!$G:$G,'Raw Data'!AI:AI),"")</f>
        <v/>
      </c>
      <c r="Y307" s="133" t="str">
        <f>IFERROR(_xlfn.XLOOKUP($A307,'Raw Data'!$G:$G,'Raw Data'!AJ:AJ),"")</f>
        <v/>
      </c>
      <c r="Z307" s="133" t="str">
        <f>IFERROR(_xlfn.XLOOKUP($A307,'Raw Data'!$G:$G,'Raw Data'!AK:AK),"")</f>
        <v/>
      </c>
      <c r="AA307" s="133" t="str">
        <f>IFERROR(_xlfn.XLOOKUP($A307,'Raw Data'!$G:$G,'Raw Data'!AL:AL),"")</f>
        <v/>
      </c>
      <c r="AB307" s="133" t="str">
        <f>IFERROR(_xlfn.XLOOKUP($A307,'Raw Data'!$G:$G,'Raw Data'!H:H),"")</f>
        <v/>
      </c>
      <c r="AC307" s="142">
        <f>IFERROR(_xlfn.XLOOKUP($D307,'Modelling New'!$D:$D,'Modelling New'!P:P),"")</f>
        <v>5.9322580645161294</v>
      </c>
      <c r="AD307" s="133">
        <f>IFERROR(_xlfn.XLOOKUP($D307,'Modelling New'!$D:$D,'Modelling New'!$T:$T)*1000,"")</f>
        <v>34475.662965312498</v>
      </c>
      <c r="AE307" s="143">
        <f>IFERROR(_xlfn.XLOOKUP($D307,'Modelling New'!$D:$D,'Modelling New'!O:O),"")</f>
        <v>0.72455188248968172</v>
      </c>
      <c r="AF307" s="145">
        <f>IFERROR(_xlfn.XLOOKUP($D307,'Modelling New'!$D:$D,'Modelling New'!W:W),"")</f>
        <v>0.17909286450248987</v>
      </c>
      <c r="AG307" s="145">
        <f>IFERROR(_xlfn.XLOOKUP($D307,'Modelling New'!$D:$D,'Modelling New'!AE:AE),"")</f>
        <v>0.98040000000000005</v>
      </c>
      <c r="AH307" s="167">
        <f>IFERROR(_xlfn.XLOOKUP($D307,'Modelling New'!$D:$D,'Modelling New'!AF:AF),"")</f>
        <v>0.98</v>
      </c>
      <c r="AN307" s="144"/>
      <c r="AO307" s="141"/>
      <c r="AP307" s="141"/>
      <c r="AQ307" s="141"/>
      <c r="AR307" s="133">
        <f>'Basic Data'!$B$98/1000</f>
        <v>8.0208999999999993</v>
      </c>
    </row>
    <row r="308" spans="1:44" x14ac:dyDescent="0.3">
      <c r="A308" s="132">
        <f t="shared" si="19"/>
        <v>46051</v>
      </c>
      <c r="B308" s="133">
        <f>YEAR(Table13[[#This Row],[Date]])+IF(MONTH(Table13[[#This Row],[Date]])&gt;=4,1,0)</f>
        <v>2026</v>
      </c>
      <c r="C308" s="134">
        <f>YEAR(Table13[[#This Row],[Date]])</f>
        <v>2026</v>
      </c>
      <c r="D308" s="135">
        <f>Table13[[#This Row],[Date]]-DAY(Table13[[#This Row],[Date]])+1</f>
        <v>46023</v>
      </c>
      <c r="E308" s="134">
        <f t="shared" si="16"/>
        <v>31</v>
      </c>
      <c r="F308" s="136" t="str">
        <f>IFERROR(_xlfn.XLOOKUP($A308,'Raw Data'!$G:$G,'Raw Data'!$AM:$AM),"")</f>
        <v/>
      </c>
      <c r="G308" s="137" t="str">
        <f>IFERROR(_xlfn.XLOOKUP($A308,'Raw Data'!$G:$G,'Raw Data'!$AB:$AB),"")</f>
        <v/>
      </c>
      <c r="H308" s="137"/>
      <c r="I308" s="137" t="str">
        <f>IFERROR(_xlfn.XLOOKUP($A308,'Raw Data'!$G:$G,'Raw Data'!$AC:$AC),"")</f>
        <v/>
      </c>
      <c r="J308" s="137"/>
      <c r="K308" s="137" t="str">
        <f>IFERROR(_xlfn.XLOOKUP($A308,'Raw Data'!$G:$G,'Raw Data'!AD:AD),"")</f>
        <v/>
      </c>
      <c r="L308" s="137" t="str">
        <f>IFERROR(_xlfn.XLOOKUP($A308,'Raw Data'!$G:$G,'Raw Data'!AE:AE),"")</f>
        <v/>
      </c>
      <c r="M308" s="137" t="str">
        <f>IFERROR(_xlfn.XLOOKUP($A308,'Raw Data'!$G:$G,'Raw Data'!AF:AF),"")</f>
        <v/>
      </c>
      <c r="N308" s="137" t="str">
        <f>IFERROR(_xlfn.XLOOKUP($A308,'Raw Data'!$G:$G,'Raw Data'!AG:AG),"")</f>
        <v/>
      </c>
      <c r="O308" s="138" t="str">
        <f>IFERROR(1-SUMIF('Plant BD'!$H:$H,$A308,'Plant BD'!$AE:$AE)/($AA308+SUMIF('Plant BD'!$H:$H,$A308,'Plant BD'!$AE:$AE)),"")</f>
        <v/>
      </c>
      <c r="P308" s="138"/>
      <c r="Q308" s="139"/>
      <c r="R308" s="138" t="str">
        <f>IFERROR(1-SUMIF('Grid BD'!$H:$H,$A308,'Grid BD'!$AD:$AD)/($AA308+SUMIF('Grid BD'!$H:$H,$A308,'Grid BD'!$AD:$AD)),"")</f>
        <v/>
      </c>
      <c r="T308" s="139"/>
      <c r="U308" s="140" t="str">
        <f t="shared" si="17"/>
        <v/>
      </c>
      <c r="V308" s="140"/>
      <c r="W308" s="141" t="str">
        <f t="shared" si="18"/>
        <v/>
      </c>
      <c r="X308" s="133" t="str">
        <f>IFERROR(_xlfn.XLOOKUP($A308,'Raw Data'!$G:$G,'Raw Data'!AI:AI),"")</f>
        <v/>
      </c>
      <c r="Y308" s="133" t="str">
        <f>IFERROR(_xlfn.XLOOKUP($A308,'Raw Data'!$G:$G,'Raw Data'!AJ:AJ),"")</f>
        <v/>
      </c>
      <c r="Z308" s="133" t="str">
        <f>IFERROR(_xlfn.XLOOKUP($A308,'Raw Data'!$G:$G,'Raw Data'!AK:AK),"")</f>
        <v/>
      </c>
      <c r="AA308" s="133" t="str">
        <f>IFERROR(_xlfn.XLOOKUP($A308,'Raw Data'!$G:$G,'Raw Data'!AL:AL),"")</f>
        <v/>
      </c>
      <c r="AB308" s="133" t="str">
        <f>IFERROR(_xlfn.XLOOKUP($A308,'Raw Data'!$G:$G,'Raw Data'!H:H),"")</f>
        <v/>
      </c>
      <c r="AC308" s="142">
        <f>IFERROR(_xlfn.XLOOKUP($D308,'Modelling New'!$D:$D,'Modelling New'!P:P),"")</f>
        <v>5.9322580645161294</v>
      </c>
      <c r="AD308" s="133">
        <f>IFERROR(_xlfn.XLOOKUP($D308,'Modelling New'!$D:$D,'Modelling New'!$T:$T)*1000,"")</f>
        <v>34475.662965312498</v>
      </c>
      <c r="AE308" s="143">
        <f>IFERROR(_xlfn.XLOOKUP($D308,'Modelling New'!$D:$D,'Modelling New'!O:O),"")</f>
        <v>0.72455188248968172</v>
      </c>
      <c r="AF308" s="145">
        <f>IFERROR(_xlfn.XLOOKUP($D308,'Modelling New'!$D:$D,'Modelling New'!W:W),"")</f>
        <v>0.17909286450248987</v>
      </c>
      <c r="AG308" s="145">
        <f>IFERROR(_xlfn.XLOOKUP($D308,'Modelling New'!$D:$D,'Modelling New'!AE:AE),"")</f>
        <v>0.98040000000000005</v>
      </c>
      <c r="AH308" s="167">
        <f>IFERROR(_xlfn.XLOOKUP($D308,'Modelling New'!$D:$D,'Modelling New'!AF:AF),"")</f>
        <v>0.98</v>
      </c>
      <c r="AN308" s="144"/>
      <c r="AO308" s="141"/>
      <c r="AP308" s="141"/>
      <c r="AQ308" s="141"/>
      <c r="AR308" s="133">
        <f>'Basic Data'!$B$98/1000</f>
        <v>8.0208999999999993</v>
      </c>
    </row>
    <row r="309" spans="1:44" x14ac:dyDescent="0.3">
      <c r="A309" s="132">
        <f t="shared" si="19"/>
        <v>46052</v>
      </c>
      <c r="B309" s="133">
        <f>YEAR(Table13[[#This Row],[Date]])+IF(MONTH(Table13[[#This Row],[Date]])&gt;=4,1,0)</f>
        <v>2026</v>
      </c>
      <c r="C309" s="134">
        <f>YEAR(Table13[[#This Row],[Date]])</f>
        <v>2026</v>
      </c>
      <c r="D309" s="135">
        <f>Table13[[#This Row],[Date]]-DAY(Table13[[#This Row],[Date]])+1</f>
        <v>46023</v>
      </c>
      <c r="E309" s="134">
        <f t="shared" ref="E309:E369" si="20">DAY(EOMONTH(A309,0))</f>
        <v>31</v>
      </c>
      <c r="F309" s="136" t="str">
        <f>IFERROR(_xlfn.XLOOKUP($A309,'Raw Data'!$G:$G,'Raw Data'!$AM:$AM),"")</f>
        <v/>
      </c>
      <c r="G309" s="137" t="str">
        <f>IFERROR(_xlfn.XLOOKUP($A309,'Raw Data'!$G:$G,'Raw Data'!$AB:$AB),"")</f>
        <v/>
      </c>
      <c r="H309" s="137"/>
      <c r="I309" s="137" t="str">
        <f>IFERROR(_xlfn.XLOOKUP($A309,'Raw Data'!$G:$G,'Raw Data'!$AC:$AC),"")</f>
        <v/>
      </c>
      <c r="J309" s="137"/>
      <c r="K309" s="137" t="str">
        <f>IFERROR(_xlfn.XLOOKUP($A309,'Raw Data'!$G:$G,'Raw Data'!AD:AD),"")</f>
        <v/>
      </c>
      <c r="L309" s="137" t="str">
        <f>IFERROR(_xlfn.XLOOKUP($A309,'Raw Data'!$G:$G,'Raw Data'!AE:AE),"")</f>
        <v/>
      </c>
      <c r="M309" s="137" t="str">
        <f>IFERROR(_xlfn.XLOOKUP($A309,'Raw Data'!$G:$G,'Raw Data'!AF:AF),"")</f>
        <v/>
      </c>
      <c r="N309" s="137" t="str">
        <f>IFERROR(_xlfn.XLOOKUP($A309,'Raw Data'!$G:$G,'Raw Data'!AG:AG),"")</f>
        <v/>
      </c>
      <c r="O309" s="138" t="str">
        <f>IFERROR(1-SUMIF('Plant BD'!$H:$H,$A309,'Plant BD'!$AE:$AE)/($AA309+SUMIF('Plant BD'!$H:$H,$A309,'Plant BD'!$AE:$AE)),"")</f>
        <v/>
      </c>
      <c r="P309" s="138"/>
      <c r="Q309" s="139"/>
      <c r="R309" s="138" t="str">
        <f>IFERROR(1-SUMIF('Grid BD'!$H:$H,$A309,'Grid BD'!$AD:$AD)/($AA309+SUMIF('Grid BD'!$H:$H,$A309,'Grid BD'!$AD:$AD)),"")</f>
        <v/>
      </c>
      <c r="T309" s="139"/>
      <c r="U309" s="140" t="str">
        <f t="shared" ref="U309:U369" si="21">IFERROR(AA309/I309/AB309/1000,"")</f>
        <v/>
      </c>
      <c r="V309" s="140"/>
      <c r="W309" s="141" t="str">
        <f t="shared" ref="W309:W369" si="22">IFERROR(AA309/(24*AB309*1000),"")</f>
        <v/>
      </c>
      <c r="X309" s="133" t="str">
        <f>IFERROR(_xlfn.XLOOKUP($A309,'Raw Data'!$G:$G,'Raw Data'!AI:AI),"")</f>
        <v/>
      </c>
      <c r="Y309" s="133" t="str">
        <f>IFERROR(_xlfn.XLOOKUP($A309,'Raw Data'!$G:$G,'Raw Data'!AJ:AJ),"")</f>
        <v/>
      </c>
      <c r="Z309" s="133" t="str">
        <f>IFERROR(_xlfn.XLOOKUP($A309,'Raw Data'!$G:$G,'Raw Data'!AK:AK),"")</f>
        <v/>
      </c>
      <c r="AA309" s="133" t="str">
        <f>IFERROR(_xlfn.XLOOKUP($A309,'Raw Data'!$G:$G,'Raw Data'!AL:AL),"")</f>
        <v/>
      </c>
      <c r="AB309" s="133" t="str">
        <f>IFERROR(_xlfn.XLOOKUP($A309,'Raw Data'!$G:$G,'Raw Data'!H:H),"")</f>
        <v/>
      </c>
      <c r="AC309" s="142">
        <f>IFERROR(_xlfn.XLOOKUP($D309,'Modelling New'!$D:$D,'Modelling New'!P:P),"")</f>
        <v>5.9322580645161294</v>
      </c>
      <c r="AD309" s="133">
        <f>IFERROR(_xlfn.XLOOKUP($D309,'Modelling New'!$D:$D,'Modelling New'!$T:$T)*1000,"")</f>
        <v>34475.662965312498</v>
      </c>
      <c r="AE309" s="143">
        <f>IFERROR(_xlfn.XLOOKUP($D309,'Modelling New'!$D:$D,'Modelling New'!O:O),"")</f>
        <v>0.72455188248968172</v>
      </c>
      <c r="AF309" s="145">
        <f>IFERROR(_xlfn.XLOOKUP($D309,'Modelling New'!$D:$D,'Modelling New'!W:W),"")</f>
        <v>0.17909286450248987</v>
      </c>
      <c r="AG309" s="145">
        <f>IFERROR(_xlfn.XLOOKUP($D309,'Modelling New'!$D:$D,'Modelling New'!AE:AE),"")</f>
        <v>0.98040000000000005</v>
      </c>
      <c r="AH309" s="167">
        <f>IFERROR(_xlfn.XLOOKUP($D309,'Modelling New'!$D:$D,'Modelling New'!AF:AF),"")</f>
        <v>0.98</v>
      </c>
      <c r="AN309" s="144"/>
      <c r="AO309" s="141"/>
      <c r="AP309" s="141"/>
      <c r="AQ309" s="141"/>
      <c r="AR309" s="133">
        <f>'Basic Data'!$B$98/1000</f>
        <v>8.0208999999999993</v>
      </c>
    </row>
    <row r="310" spans="1:44" x14ac:dyDescent="0.3">
      <c r="A310" s="132">
        <f t="shared" ref="A310:A369" si="23">A309+1</f>
        <v>46053</v>
      </c>
      <c r="B310" s="133">
        <f>YEAR(Table13[[#This Row],[Date]])+IF(MONTH(Table13[[#This Row],[Date]])&gt;=4,1,0)</f>
        <v>2026</v>
      </c>
      <c r="C310" s="134">
        <f>YEAR(Table13[[#This Row],[Date]])</f>
        <v>2026</v>
      </c>
      <c r="D310" s="135">
        <f>Table13[[#This Row],[Date]]-DAY(Table13[[#This Row],[Date]])+1</f>
        <v>46023</v>
      </c>
      <c r="E310" s="134">
        <f t="shared" si="20"/>
        <v>31</v>
      </c>
      <c r="F310" s="136" t="str">
        <f>IFERROR(_xlfn.XLOOKUP($A310,'Raw Data'!$G:$G,'Raw Data'!$AM:$AM),"")</f>
        <v/>
      </c>
      <c r="G310" s="137" t="str">
        <f>IFERROR(_xlfn.XLOOKUP($A310,'Raw Data'!$G:$G,'Raw Data'!$AB:$AB),"")</f>
        <v/>
      </c>
      <c r="H310" s="137"/>
      <c r="I310" s="137" t="str">
        <f>IFERROR(_xlfn.XLOOKUP($A310,'Raw Data'!$G:$G,'Raw Data'!$AC:$AC),"")</f>
        <v/>
      </c>
      <c r="J310" s="137"/>
      <c r="K310" s="137" t="str">
        <f>IFERROR(_xlfn.XLOOKUP($A310,'Raw Data'!$G:$G,'Raw Data'!AD:AD),"")</f>
        <v/>
      </c>
      <c r="L310" s="137" t="str">
        <f>IFERROR(_xlfn.XLOOKUP($A310,'Raw Data'!$G:$G,'Raw Data'!AE:AE),"")</f>
        <v/>
      </c>
      <c r="M310" s="137" t="str">
        <f>IFERROR(_xlfn.XLOOKUP($A310,'Raw Data'!$G:$G,'Raw Data'!AF:AF),"")</f>
        <v/>
      </c>
      <c r="N310" s="137" t="str">
        <f>IFERROR(_xlfn.XLOOKUP($A310,'Raw Data'!$G:$G,'Raw Data'!AG:AG),"")</f>
        <v/>
      </c>
      <c r="O310" s="138" t="str">
        <f>IFERROR(1-SUMIF('Plant BD'!$H:$H,$A310,'Plant BD'!$AE:$AE)/($AA310+SUMIF('Plant BD'!$H:$H,$A310,'Plant BD'!$AE:$AE)),"")</f>
        <v/>
      </c>
      <c r="P310" s="138"/>
      <c r="Q310" s="139"/>
      <c r="R310" s="138" t="str">
        <f>IFERROR(1-SUMIF('Grid BD'!$H:$H,$A310,'Grid BD'!$AD:$AD)/($AA310+SUMIF('Grid BD'!$H:$H,$A310,'Grid BD'!$AD:$AD)),"")</f>
        <v/>
      </c>
      <c r="T310" s="139"/>
      <c r="U310" s="140" t="str">
        <f t="shared" si="21"/>
        <v/>
      </c>
      <c r="V310" s="140"/>
      <c r="W310" s="141" t="str">
        <f t="shared" si="22"/>
        <v/>
      </c>
      <c r="X310" s="133" t="str">
        <f>IFERROR(_xlfn.XLOOKUP($A310,'Raw Data'!$G:$G,'Raw Data'!AI:AI),"")</f>
        <v/>
      </c>
      <c r="Y310" s="133" t="str">
        <f>IFERROR(_xlfn.XLOOKUP($A310,'Raw Data'!$G:$G,'Raw Data'!AJ:AJ),"")</f>
        <v/>
      </c>
      <c r="Z310" s="133" t="str">
        <f>IFERROR(_xlfn.XLOOKUP($A310,'Raw Data'!$G:$G,'Raw Data'!AK:AK),"")</f>
        <v/>
      </c>
      <c r="AA310" s="133" t="str">
        <f>IFERROR(_xlfn.XLOOKUP($A310,'Raw Data'!$G:$G,'Raw Data'!AL:AL),"")</f>
        <v/>
      </c>
      <c r="AB310" s="133" t="str">
        <f>IFERROR(_xlfn.XLOOKUP($A310,'Raw Data'!$G:$G,'Raw Data'!H:H),"")</f>
        <v/>
      </c>
      <c r="AC310" s="142">
        <f>IFERROR(_xlfn.XLOOKUP($D310,'Modelling New'!$D:$D,'Modelling New'!P:P),"")</f>
        <v>5.9322580645161294</v>
      </c>
      <c r="AD310" s="133">
        <f>IFERROR(_xlfn.XLOOKUP($D310,'Modelling New'!$D:$D,'Modelling New'!$T:$T)*1000,"")</f>
        <v>34475.662965312498</v>
      </c>
      <c r="AE310" s="143">
        <f>IFERROR(_xlfn.XLOOKUP($D310,'Modelling New'!$D:$D,'Modelling New'!O:O),"")</f>
        <v>0.72455188248968172</v>
      </c>
      <c r="AF310" s="145">
        <f>IFERROR(_xlfn.XLOOKUP($D310,'Modelling New'!$D:$D,'Modelling New'!W:W),"")</f>
        <v>0.17909286450248987</v>
      </c>
      <c r="AG310" s="145">
        <f>IFERROR(_xlfn.XLOOKUP($D310,'Modelling New'!$D:$D,'Modelling New'!AE:AE),"")</f>
        <v>0.98040000000000005</v>
      </c>
      <c r="AH310" s="167">
        <f>IFERROR(_xlfn.XLOOKUP($D310,'Modelling New'!$D:$D,'Modelling New'!AF:AF),"")</f>
        <v>0.98</v>
      </c>
      <c r="AN310" s="144"/>
      <c r="AO310" s="141"/>
      <c r="AP310" s="141"/>
      <c r="AQ310" s="141"/>
      <c r="AR310" s="133">
        <f>'Basic Data'!$B$98/1000</f>
        <v>8.0208999999999993</v>
      </c>
    </row>
    <row r="311" spans="1:44" x14ac:dyDescent="0.3">
      <c r="A311" s="132">
        <f t="shared" si="23"/>
        <v>46054</v>
      </c>
      <c r="B311" s="133">
        <f>YEAR(Table13[[#This Row],[Date]])+IF(MONTH(Table13[[#This Row],[Date]])&gt;=4,1,0)</f>
        <v>2026</v>
      </c>
      <c r="C311" s="134">
        <f>YEAR(Table13[[#This Row],[Date]])</f>
        <v>2026</v>
      </c>
      <c r="D311" s="135">
        <f>Table13[[#This Row],[Date]]-DAY(Table13[[#This Row],[Date]])+1</f>
        <v>46054</v>
      </c>
      <c r="E311" s="134">
        <f t="shared" si="20"/>
        <v>28</v>
      </c>
      <c r="F311" s="136" t="str">
        <f>IFERROR(_xlfn.XLOOKUP($A311,'Raw Data'!$G:$G,'Raw Data'!$AM:$AM),"")</f>
        <v/>
      </c>
      <c r="G311" s="137" t="str">
        <f>IFERROR(_xlfn.XLOOKUP($A311,'Raw Data'!$G:$G,'Raw Data'!$AB:$AB),"")</f>
        <v/>
      </c>
      <c r="H311" s="137"/>
      <c r="I311" s="137" t="str">
        <f>IFERROR(_xlfn.XLOOKUP($A311,'Raw Data'!$G:$G,'Raw Data'!$AC:$AC),"")</f>
        <v/>
      </c>
      <c r="J311" s="137"/>
      <c r="K311" s="137" t="str">
        <f>IFERROR(_xlfn.XLOOKUP($A311,'Raw Data'!$G:$G,'Raw Data'!AD:AD),"")</f>
        <v/>
      </c>
      <c r="L311" s="137" t="str">
        <f>IFERROR(_xlfn.XLOOKUP($A311,'Raw Data'!$G:$G,'Raw Data'!AE:AE),"")</f>
        <v/>
      </c>
      <c r="M311" s="137" t="str">
        <f>IFERROR(_xlfn.XLOOKUP($A311,'Raw Data'!$G:$G,'Raw Data'!AF:AF),"")</f>
        <v/>
      </c>
      <c r="N311" s="137" t="str">
        <f>IFERROR(_xlfn.XLOOKUP($A311,'Raw Data'!$G:$G,'Raw Data'!AG:AG),"")</f>
        <v/>
      </c>
      <c r="O311" s="138" t="str">
        <f>IFERROR(1-SUMIF('Plant BD'!$H:$H,$A311,'Plant BD'!$AE:$AE)/($AA311+SUMIF('Plant BD'!$H:$H,$A311,'Plant BD'!$AE:$AE)),"")</f>
        <v/>
      </c>
      <c r="P311" s="138"/>
      <c r="Q311" s="139"/>
      <c r="R311" s="138" t="str">
        <f>IFERROR(1-SUMIF('Grid BD'!$H:$H,$A311,'Grid BD'!$AD:$AD)/($AA311+SUMIF('Grid BD'!$H:$H,$A311,'Grid BD'!$AD:$AD)),"")</f>
        <v/>
      </c>
      <c r="T311" s="139"/>
      <c r="U311" s="140" t="str">
        <f t="shared" si="21"/>
        <v/>
      </c>
      <c r="V311" s="140"/>
      <c r="W311" s="141" t="str">
        <f t="shared" si="22"/>
        <v/>
      </c>
      <c r="X311" s="133" t="str">
        <f>IFERROR(_xlfn.XLOOKUP($A311,'Raw Data'!$G:$G,'Raw Data'!AI:AI),"")</f>
        <v/>
      </c>
      <c r="Y311" s="133" t="str">
        <f>IFERROR(_xlfn.XLOOKUP($A311,'Raw Data'!$G:$G,'Raw Data'!AJ:AJ),"")</f>
        <v/>
      </c>
      <c r="Z311" s="133" t="str">
        <f>IFERROR(_xlfn.XLOOKUP($A311,'Raw Data'!$G:$G,'Raw Data'!AK:AK),"")</f>
        <v/>
      </c>
      <c r="AA311" s="133" t="str">
        <f>IFERROR(_xlfn.XLOOKUP($A311,'Raw Data'!$G:$G,'Raw Data'!AL:AL),"")</f>
        <v/>
      </c>
      <c r="AB311" s="133" t="str">
        <f>IFERROR(_xlfn.XLOOKUP($A311,'Raw Data'!$G:$G,'Raw Data'!H:H),"")</f>
        <v/>
      </c>
      <c r="AC311" s="142">
        <f>IFERROR(_xlfn.XLOOKUP($D311,'Modelling New'!$D:$D,'Modelling New'!P:P),"")</f>
        <v>6.5714285714285712</v>
      </c>
      <c r="AD311" s="133">
        <f>IFERROR(_xlfn.XLOOKUP($D311,'Modelling New'!$D:$D,'Modelling New'!$T:$T)*1000,"")</f>
        <v>33989.340219935533</v>
      </c>
      <c r="AE311" s="143">
        <f>IFERROR(_xlfn.XLOOKUP($D311,'Modelling New'!$D:$D,'Modelling New'!O:O),"")</f>
        <v>0.64485168784471436</v>
      </c>
      <c r="AF311" s="145">
        <f>IFERROR(_xlfn.XLOOKUP($D311,'Modelling New'!$D:$D,'Modelling New'!W:W),"")</f>
        <v>0.17656653357652891</v>
      </c>
      <c r="AG311" s="145">
        <f>IFERROR(_xlfn.XLOOKUP($D311,'Modelling New'!$D:$D,'Modelling New'!AE:AE),"")</f>
        <v>0.98040000000000005</v>
      </c>
      <c r="AH311" s="167">
        <f>IFERROR(_xlfn.XLOOKUP($D311,'Modelling New'!$D:$D,'Modelling New'!AF:AF),"")</f>
        <v>0.98</v>
      </c>
      <c r="AN311" s="144"/>
      <c r="AO311" s="141"/>
      <c r="AP311" s="141"/>
      <c r="AQ311" s="141"/>
      <c r="AR311" s="133">
        <f>'Basic Data'!$B$98/1000</f>
        <v>8.0208999999999993</v>
      </c>
    </row>
    <row r="312" spans="1:44" x14ac:dyDescent="0.3">
      <c r="A312" s="132">
        <f t="shared" si="23"/>
        <v>46055</v>
      </c>
      <c r="B312" s="133">
        <f>YEAR(Table13[[#This Row],[Date]])+IF(MONTH(Table13[[#This Row],[Date]])&gt;=4,1,0)</f>
        <v>2026</v>
      </c>
      <c r="C312" s="134">
        <f>YEAR(Table13[[#This Row],[Date]])</f>
        <v>2026</v>
      </c>
      <c r="D312" s="135">
        <f>Table13[[#This Row],[Date]]-DAY(Table13[[#This Row],[Date]])+1</f>
        <v>46054</v>
      </c>
      <c r="E312" s="134">
        <f t="shared" si="20"/>
        <v>28</v>
      </c>
      <c r="F312" s="136" t="str">
        <f>IFERROR(_xlfn.XLOOKUP($A312,'Raw Data'!$G:$G,'Raw Data'!$AM:$AM),"")</f>
        <v/>
      </c>
      <c r="G312" s="137" t="str">
        <f>IFERROR(_xlfn.XLOOKUP($A312,'Raw Data'!$G:$G,'Raw Data'!$AB:$AB),"")</f>
        <v/>
      </c>
      <c r="H312" s="137"/>
      <c r="I312" s="137" t="str">
        <f>IFERROR(_xlfn.XLOOKUP($A312,'Raw Data'!$G:$G,'Raw Data'!$AC:$AC),"")</f>
        <v/>
      </c>
      <c r="J312" s="137"/>
      <c r="K312" s="137" t="str">
        <f>IFERROR(_xlfn.XLOOKUP($A312,'Raw Data'!$G:$G,'Raw Data'!AD:AD),"")</f>
        <v/>
      </c>
      <c r="L312" s="137" t="str">
        <f>IFERROR(_xlfn.XLOOKUP($A312,'Raw Data'!$G:$G,'Raw Data'!AE:AE),"")</f>
        <v/>
      </c>
      <c r="M312" s="137" t="str">
        <f>IFERROR(_xlfn.XLOOKUP($A312,'Raw Data'!$G:$G,'Raw Data'!AF:AF),"")</f>
        <v/>
      </c>
      <c r="N312" s="137" t="str">
        <f>IFERROR(_xlfn.XLOOKUP($A312,'Raw Data'!$G:$G,'Raw Data'!AG:AG),"")</f>
        <v/>
      </c>
      <c r="O312" s="138" t="str">
        <f>IFERROR(1-SUMIF('Plant BD'!$H:$H,$A312,'Plant BD'!$AE:$AE)/($AA312+SUMIF('Plant BD'!$H:$H,$A312,'Plant BD'!$AE:$AE)),"")</f>
        <v/>
      </c>
      <c r="P312" s="138"/>
      <c r="Q312" s="139"/>
      <c r="R312" s="138" t="str">
        <f>IFERROR(1-SUMIF('Grid BD'!$H:$H,$A312,'Grid BD'!$AD:$AD)/($AA312+SUMIF('Grid BD'!$H:$H,$A312,'Grid BD'!$AD:$AD)),"")</f>
        <v/>
      </c>
      <c r="T312" s="139"/>
      <c r="U312" s="140" t="str">
        <f t="shared" si="21"/>
        <v/>
      </c>
      <c r="V312" s="140"/>
      <c r="W312" s="141" t="str">
        <f t="shared" si="22"/>
        <v/>
      </c>
      <c r="X312" s="133" t="str">
        <f>IFERROR(_xlfn.XLOOKUP($A312,'Raw Data'!$G:$G,'Raw Data'!AI:AI),"")</f>
        <v/>
      </c>
      <c r="Y312" s="133" t="str">
        <f>IFERROR(_xlfn.XLOOKUP($A312,'Raw Data'!$G:$G,'Raw Data'!AJ:AJ),"")</f>
        <v/>
      </c>
      <c r="Z312" s="133" t="str">
        <f>IFERROR(_xlfn.XLOOKUP($A312,'Raw Data'!$G:$G,'Raw Data'!AK:AK),"")</f>
        <v/>
      </c>
      <c r="AA312" s="133" t="str">
        <f>IFERROR(_xlfn.XLOOKUP($A312,'Raw Data'!$G:$G,'Raw Data'!AL:AL),"")</f>
        <v/>
      </c>
      <c r="AB312" s="133" t="str">
        <f>IFERROR(_xlfn.XLOOKUP($A312,'Raw Data'!$G:$G,'Raw Data'!H:H),"")</f>
        <v/>
      </c>
      <c r="AC312" s="142">
        <f>IFERROR(_xlfn.XLOOKUP($D312,'Modelling New'!$D:$D,'Modelling New'!P:P),"")</f>
        <v>6.5714285714285712</v>
      </c>
      <c r="AD312" s="133">
        <f>IFERROR(_xlfn.XLOOKUP($D312,'Modelling New'!$D:$D,'Modelling New'!$T:$T)*1000,"")</f>
        <v>33989.340219935533</v>
      </c>
      <c r="AE312" s="143">
        <f>IFERROR(_xlfn.XLOOKUP($D312,'Modelling New'!$D:$D,'Modelling New'!O:O),"")</f>
        <v>0.64485168784471436</v>
      </c>
      <c r="AF312" s="145">
        <f>IFERROR(_xlfn.XLOOKUP($D312,'Modelling New'!$D:$D,'Modelling New'!W:W),"")</f>
        <v>0.17656653357652891</v>
      </c>
      <c r="AG312" s="145">
        <f>IFERROR(_xlfn.XLOOKUP($D312,'Modelling New'!$D:$D,'Modelling New'!AE:AE),"")</f>
        <v>0.98040000000000005</v>
      </c>
      <c r="AH312" s="167">
        <f>IFERROR(_xlfn.XLOOKUP($D312,'Modelling New'!$D:$D,'Modelling New'!AF:AF),"")</f>
        <v>0.98</v>
      </c>
      <c r="AN312" s="144"/>
      <c r="AO312" s="141"/>
      <c r="AP312" s="141"/>
      <c r="AQ312" s="141"/>
      <c r="AR312" s="133">
        <f>'Basic Data'!$B$98/1000</f>
        <v>8.0208999999999993</v>
      </c>
    </row>
    <row r="313" spans="1:44" x14ac:dyDescent="0.3">
      <c r="A313" s="132">
        <f t="shared" si="23"/>
        <v>46056</v>
      </c>
      <c r="B313" s="133">
        <f>YEAR(Table13[[#This Row],[Date]])+IF(MONTH(Table13[[#This Row],[Date]])&gt;=4,1,0)</f>
        <v>2026</v>
      </c>
      <c r="C313" s="134">
        <f>YEAR(Table13[[#This Row],[Date]])</f>
        <v>2026</v>
      </c>
      <c r="D313" s="135">
        <f>Table13[[#This Row],[Date]]-DAY(Table13[[#This Row],[Date]])+1</f>
        <v>46054</v>
      </c>
      <c r="E313" s="134">
        <f t="shared" si="20"/>
        <v>28</v>
      </c>
      <c r="F313" s="136" t="str">
        <f>IFERROR(_xlfn.XLOOKUP($A313,'Raw Data'!$G:$G,'Raw Data'!$AM:$AM),"")</f>
        <v/>
      </c>
      <c r="G313" s="137" t="str">
        <f>IFERROR(_xlfn.XLOOKUP($A313,'Raw Data'!$G:$G,'Raw Data'!$AB:$AB),"")</f>
        <v/>
      </c>
      <c r="H313" s="137"/>
      <c r="I313" s="137" t="str">
        <f>IFERROR(_xlfn.XLOOKUP($A313,'Raw Data'!$G:$G,'Raw Data'!$AC:$AC),"")</f>
        <v/>
      </c>
      <c r="J313" s="137"/>
      <c r="K313" s="137" t="str">
        <f>IFERROR(_xlfn.XLOOKUP($A313,'Raw Data'!$G:$G,'Raw Data'!AD:AD),"")</f>
        <v/>
      </c>
      <c r="L313" s="137" t="str">
        <f>IFERROR(_xlfn.XLOOKUP($A313,'Raw Data'!$G:$G,'Raw Data'!AE:AE),"")</f>
        <v/>
      </c>
      <c r="M313" s="137" t="str">
        <f>IFERROR(_xlfn.XLOOKUP($A313,'Raw Data'!$G:$G,'Raw Data'!AF:AF),"")</f>
        <v/>
      </c>
      <c r="N313" s="137" t="str">
        <f>IFERROR(_xlfn.XLOOKUP($A313,'Raw Data'!$G:$G,'Raw Data'!AG:AG),"")</f>
        <v/>
      </c>
      <c r="O313" s="138" t="str">
        <f>IFERROR(1-SUMIF('Plant BD'!$H:$H,$A313,'Plant BD'!$AE:$AE)/($AA313+SUMIF('Plant BD'!$H:$H,$A313,'Plant BD'!$AE:$AE)),"")</f>
        <v/>
      </c>
      <c r="P313" s="138"/>
      <c r="Q313" s="139"/>
      <c r="R313" s="138" t="str">
        <f>IFERROR(1-SUMIF('Grid BD'!$H:$H,$A313,'Grid BD'!$AD:$AD)/($AA313+SUMIF('Grid BD'!$H:$H,$A313,'Grid BD'!$AD:$AD)),"")</f>
        <v/>
      </c>
      <c r="T313" s="139"/>
      <c r="U313" s="140" t="str">
        <f t="shared" si="21"/>
        <v/>
      </c>
      <c r="V313" s="140"/>
      <c r="W313" s="141" t="str">
        <f t="shared" si="22"/>
        <v/>
      </c>
      <c r="X313" s="133" t="str">
        <f>IFERROR(_xlfn.XLOOKUP($A313,'Raw Data'!$G:$G,'Raw Data'!AI:AI),"")</f>
        <v/>
      </c>
      <c r="Y313" s="133" t="str">
        <f>IFERROR(_xlfn.XLOOKUP($A313,'Raw Data'!$G:$G,'Raw Data'!AJ:AJ),"")</f>
        <v/>
      </c>
      <c r="Z313" s="133" t="str">
        <f>IFERROR(_xlfn.XLOOKUP($A313,'Raw Data'!$G:$G,'Raw Data'!AK:AK),"")</f>
        <v/>
      </c>
      <c r="AA313" s="133" t="str">
        <f>IFERROR(_xlfn.XLOOKUP($A313,'Raw Data'!$G:$G,'Raw Data'!AL:AL),"")</f>
        <v/>
      </c>
      <c r="AB313" s="133" t="str">
        <f>IFERROR(_xlfn.XLOOKUP($A313,'Raw Data'!$G:$G,'Raw Data'!H:H),"")</f>
        <v/>
      </c>
      <c r="AC313" s="142">
        <f>IFERROR(_xlfn.XLOOKUP($D313,'Modelling New'!$D:$D,'Modelling New'!P:P),"")</f>
        <v>6.5714285714285712</v>
      </c>
      <c r="AD313" s="133">
        <f>IFERROR(_xlfn.XLOOKUP($D313,'Modelling New'!$D:$D,'Modelling New'!$T:$T)*1000,"")</f>
        <v>33989.340219935533</v>
      </c>
      <c r="AE313" s="143">
        <f>IFERROR(_xlfn.XLOOKUP($D313,'Modelling New'!$D:$D,'Modelling New'!O:O),"")</f>
        <v>0.64485168784471436</v>
      </c>
      <c r="AF313" s="145">
        <f>IFERROR(_xlfn.XLOOKUP($D313,'Modelling New'!$D:$D,'Modelling New'!W:W),"")</f>
        <v>0.17656653357652891</v>
      </c>
      <c r="AG313" s="145">
        <f>IFERROR(_xlfn.XLOOKUP($D313,'Modelling New'!$D:$D,'Modelling New'!AE:AE),"")</f>
        <v>0.98040000000000005</v>
      </c>
      <c r="AH313" s="167">
        <f>IFERROR(_xlfn.XLOOKUP($D313,'Modelling New'!$D:$D,'Modelling New'!AF:AF),"")</f>
        <v>0.98</v>
      </c>
      <c r="AN313" s="144"/>
      <c r="AO313" s="141"/>
      <c r="AP313" s="141"/>
      <c r="AQ313" s="141"/>
      <c r="AR313" s="133">
        <f>'Basic Data'!$B$98/1000</f>
        <v>8.0208999999999993</v>
      </c>
    </row>
    <row r="314" spans="1:44" x14ac:dyDescent="0.3">
      <c r="A314" s="132">
        <f t="shared" si="23"/>
        <v>46057</v>
      </c>
      <c r="B314" s="133">
        <f>YEAR(Table13[[#This Row],[Date]])+IF(MONTH(Table13[[#This Row],[Date]])&gt;=4,1,0)</f>
        <v>2026</v>
      </c>
      <c r="C314" s="134">
        <f>YEAR(Table13[[#This Row],[Date]])</f>
        <v>2026</v>
      </c>
      <c r="D314" s="135">
        <f>Table13[[#This Row],[Date]]-DAY(Table13[[#This Row],[Date]])+1</f>
        <v>46054</v>
      </c>
      <c r="E314" s="134">
        <f t="shared" si="20"/>
        <v>28</v>
      </c>
      <c r="F314" s="136" t="str">
        <f>IFERROR(_xlfn.XLOOKUP($A314,'Raw Data'!$G:$G,'Raw Data'!$AM:$AM),"")</f>
        <v/>
      </c>
      <c r="G314" s="137" t="str">
        <f>IFERROR(_xlfn.XLOOKUP($A314,'Raw Data'!$G:$G,'Raw Data'!$AB:$AB),"")</f>
        <v/>
      </c>
      <c r="H314" s="137"/>
      <c r="I314" s="137" t="str">
        <f>IFERROR(_xlfn.XLOOKUP($A314,'Raw Data'!$G:$G,'Raw Data'!$AC:$AC),"")</f>
        <v/>
      </c>
      <c r="J314" s="137"/>
      <c r="K314" s="137" t="str">
        <f>IFERROR(_xlfn.XLOOKUP($A314,'Raw Data'!$G:$G,'Raw Data'!AD:AD),"")</f>
        <v/>
      </c>
      <c r="L314" s="137" t="str">
        <f>IFERROR(_xlfn.XLOOKUP($A314,'Raw Data'!$G:$G,'Raw Data'!AE:AE),"")</f>
        <v/>
      </c>
      <c r="M314" s="137" t="str">
        <f>IFERROR(_xlfn.XLOOKUP($A314,'Raw Data'!$G:$G,'Raw Data'!AF:AF),"")</f>
        <v/>
      </c>
      <c r="N314" s="137" t="str">
        <f>IFERROR(_xlfn.XLOOKUP($A314,'Raw Data'!$G:$G,'Raw Data'!AG:AG),"")</f>
        <v/>
      </c>
      <c r="O314" s="138" t="str">
        <f>IFERROR(1-SUMIF('Plant BD'!$H:$H,$A314,'Plant BD'!$AE:$AE)/($AA314+SUMIF('Plant BD'!$H:$H,$A314,'Plant BD'!$AE:$AE)),"")</f>
        <v/>
      </c>
      <c r="P314" s="138"/>
      <c r="Q314" s="139"/>
      <c r="R314" s="138" t="str">
        <f>IFERROR(1-SUMIF('Grid BD'!$H:$H,$A314,'Grid BD'!$AD:$AD)/($AA314+SUMIF('Grid BD'!$H:$H,$A314,'Grid BD'!$AD:$AD)),"")</f>
        <v/>
      </c>
      <c r="T314" s="139"/>
      <c r="U314" s="140" t="str">
        <f t="shared" si="21"/>
        <v/>
      </c>
      <c r="V314" s="140"/>
      <c r="W314" s="141" t="str">
        <f t="shared" si="22"/>
        <v/>
      </c>
      <c r="X314" s="133" t="str">
        <f>IFERROR(_xlfn.XLOOKUP($A314,'Raw Data'!$G:$G,'Raw Data'!AI:AI),"")</f>
        <v/>
      </c>
      <c r="Y314" s="133" t="str">
        <f>IFERROR(_xlfn.XLOOKUP($A314,'Raw Data'!$G:$G,'Raw Data'!AJ:AJ),"")</f>
        <v/>
      </c>
      <c r="Z314" s="133" t="str">
        <f>IFERROR(_xlfn.XLOOKUP($A314,'Raw Data'!$G:$G,'Raw Data'!AK:AK),"")</f>
        <v/>
      </c>
      <c r="AA314" s="133" t="str">
        <f>IFERROR(_xlfn.XLOOKUP($A314,'Raw Data'!$G:$G,'Raw Data'!AL:AL),"")</f>
        <v/>
      </c>
      <c r="AB314" s="133" t="str">
        <f>IFERROR(_xlfn.XLOOKUP($A314,'Raw Data'!$G:$G,'Raw Data'!H:H),"")</f>
        <v/>
      </c>
      <c r="AC314" s="142">
        <f>IFERROR(_xlfn.XLOOKUP($D314,'Modelling New'!$D:$D,'Modelling New'!P:P),"")</f>
        <v>6.5714285714285712</v>
      </c>
      <c r="AD314" s="133">
        <f>IFERROR(_xlfn.XLOOKUP($D314,'Modelling New'!$D:$D,'Modelling New'!$T:$T)*1000,"")</f>
        <v>33989.340219935533</v>
      </c>
      <c r="AE314" s="143">
        <f>IFERROR(_xlfn.XLOOKUP($D314,'Modelling New'!$D:$D,'Modelling New'!O:O),"")</f>
        <v>0.64485168784471436</v>
      </c>
      <c r="AF314" s="145">
        <f>IFERROR(_xlfn.XLOOKUP($D314,'Modelling New'!$D:$D,'Modelling New'!W:W),"")</f>
        <v>0.17656653357652891</v>
      </c>
      <c r="AG314" s="145">
        <f>IFERROR(_xlfn.XLOOKUP($D314,'Modelling New'!$D:$D,'Modelling New'!AE:AE),"")</f>
        <v>0.98040000000000005</v>
      </c>
      <c r="AH314" s="167">
        <f>IFERROR(_xlfn.XLOOKUP($D314,'Modelling New'!$D:$D,'Modelling New'!AF:AF),"")</f>
        <v>0.98</v>
      </c>
      <c r="AN314" s="144"/>
      <c r="AO314" s="141"/>
      <c r="AP314" s="141"/>
      <c r="AQ314" s="141"/>
      <c r="AR314" s="133">
        <f>'Basic Data'!$B$98/1000</f>
        <v>8.0208999999999993</v>
      </c>
    </row>
    <row r="315" spans="1:44" x14ac:dyDescent="0.3">
      <c r="A315" s="132">
        <f t="shared" si="23"/>
        <v>46058</v>
      </c>
      <c r="B315" s="133">
        <f>YEAR(Table13[[#This Row],[Date]])+IF(MONTH(Table13[[#This Row],[Date]])&gt;=4,1,0)</f>
        <v>2026</v>
      </c>
      <c r="C315" s="134">
        <f>YEAR(Table13[[#This Row],[Date]])</f>
        <v>2026</v>
      </c>
      <c r="D315" s="135">
        <f>Table13[[#This Row],[Date]]-DAY(Table13[[#This Row],[Date]])+1</f>
        <v>46054</v>
      </c>
      <c r="E315" s="134">
        <f t="shared" si="20"/>
        <v>28</v>
      </c>
      <c r="F315" s="136" t="str">
        <f>IFERROR(_xlfn.XLOOKUP($A315,'Raw Data'!$G:$G,'Raw Data'!$AM:$AM),"")</f>
        <v/>
      </c>
      <c r="G315" s="137" t="str">
        <f>IFERROR(_xlfn.XLOOKUP($A315,'Raw Data'!$G:$G,'Raw Data'!$AB:$AB),"")</f>
        <v/>
      </c>
      <c r="H315" s="137"/>
      <c r="I315" s="137" t="str">
        <f>IFERROR(_xlfn.XLOOKUP($A315,'Raw Data'!$G:$G,'Raw Data'!$AC:$AC),"")</f>
        <v/>
      </c>
      <c r="J315" s="137"/>
      <c r="K315" s="137" t="str">
        <f>IFERROR(_xlfn.XLOOKUP($A315,'Raw Data'!$G:$G,'Raw Data'!AD:AD),"")</f>
        <v/>
      </c>
      <c r="L315" s="137" t="str">
        <f>IFERROR(_xlfn.XLOOKUP($A315,'Raw Data'!$G:$G,'Raw Data'!AE:AE),"")</f>
        <v/>
      </c>
      <c r="M315" s="137" t="str">
        <f>IFERROR(_xlfn.XLOOKUP($A315,'Raw Data'!$G:$G,'Raw Data'!AF:AF),"")</f>
        <v/>
      </c>
      <c r="N315" s="137" t="str">
        <f>IFERROR(_xlfn.XLOOKUP($A315,'Raw Data'!$G:$G,'Raw Data'!AG:AG),"")</f>
        <v/>
      </c>
      <c r="O315" s="138" t="str">
        <f>IFERROR(1-SUMIF('Plant BD'!$H:$H,$A315,'Plant BD'!$AE:$AE)/($AA315+SUMIF('Plant BD'!$H:$H,$A315,'Plant BD'!$AE:$AE)),"")</f>
        <v/>
      </c>
      <c r="P315" s="138"/>
      <c r="Q315" s="139"/>
      <c r="R315" s="138" t="str">
        <f>IFERROR(1-SUMIF('Grid BD'!$H:$H,$A315,'Grid BD'!$AD:$AD)/($AA315+SUMIF('Grid BD'!$H:$H,$A315,'Grid BD'!$AD:$AD)),"")</f>
        <v/>
      </c>
      <c r="T315" s="139"/>
      <c r="U315" s="140" t="str">
        <f t="shared" si="21"/>
        <v/>
      </c>
      <c r="V315" s="140"/>
      <c r="W315" s="141" t="str">
        <f t="shared" si="22"/>
        <v/>
      </c>
      <c r="X315" s="133" t="str">
        <f>IFERROR(_xlfn.XLOOKUP($A315,'Raw Data'!$G:$G,'Raw Data'!AI:AI),"")</f>
        <v/>
      </c>
      <c r="Y315" s="133" t="str">
        <f>IFERROR(_xlfn.XLOOKUP($A315,'Raw Data'!$G:$G,'Raw Data'!AJ:AJ),"")</f>
        <v/>
      </c>
      <c r="Z315" s="133" t="str">
        <f>IFERROR(_xlfn.XLOOKUP($A315,'Raw Data'!$G:$G,'Raw Data'!AK:AK),"")</f>
        <v/>
      </c>
      <c r="AA315" s="133" t="str">
        <f>IFERROR(_xlfn.XLOOKUP($A315,'Raw Data'!$G:$G,'Raw Data'!AL:AL),"")</f>
        <v/>
      </c>
      <c r="AB315" s="133" t="str">
        <f>IFERROR(_xlfn.XLOOKUP($A315,'Raw Data'!$G:$G,'Raw Data'!H:H),"")</f>
        <v/>
      </c>
      <c r="AC315" s="142">
        <f>IFERROR(_xlfn.XLOOKUP($D315,'Modelling New'!$D:$D,'Modelling New'!P:P),"")</f>
        <v>6.5714285714285712</v>
      </c>
      <c r="AD315" s="133">
        <f>IFERROR(_xlfn.XLOOKUP($D315,'Modelling New'!$D:$D,'Modelling New'!$T:$T)*1000,"")</f>
        <v>33989.340219935533</v>
      </c>
      <c r="AE315" s="143">
        <f>IFERROR(_xlfn.XLOOKUP($D315,'Modelling New'!$D:$D,'Modelling New'!O:O),"")</f>
        <v>0.64485168784471436</v>
      </c>
      <c r="AF315" s="145">
        <f>IFERROR(_xlfn.XLOOKUP($D315,'Modelling New'!$D:$D,'Modelling New'!W:W),"")</f>
        <v>0.17656653357652891</v>
      </c>
      <c r="AG315" s="145">
        <f>IFERROR(_xlfn.XLOOKUP($D315,'Modelling New'!$D:$D,'Modelling New'!AE:AE),"")</f>
        <v>0.98040000000000005</v>
      </c>
      <c r="AH315" s="167">
        <f>IFERROR(_xlfn.XLOOKUP($D315,'Modelling New'!$D:$D,'Modelling New'!AF:AF),"")</f>
        <v>0.98</v>
      </c>
      <c r="AN315" s="144"/>
      <c r="AO315" s="141"/>
      <c r="AP315" s="141"/>
      <c r="AQ315" s="141"/>
      <c r="AR315" s="133">
        <f>'Basic Data'!$B$98/1000</f>
        <v>8.0208999999999993</v>
      </c>
    </row>
    <row r="316" spans="1:44" x14ac:dyDescent="0.3">
      <c r="A316" s="132">
        <f t="shared" si="23"/>
        <v>46059</v>
      </c>
      <c r="B316" s="133">
        <f>YEAR(Table13[[#This Row],[Date]])+IF(MONTH(Table13[[#This Row],[Date]])&gt;=4,1,0)</f>
        <v>2026</v>
      </c>
      <c r="C316" s="134">
        <f>YEAR(Table13[[#This Row],[Date]])</f>
        <v>2026</v>
      </c>
      <c r="D316" s="135">
        <f>Table13[[#This Row],[Date]]-DAY(Table13[[#This Row],[Date]])+1</f>
        <v>46054</v>
      </c>
      <c r="E316" s="134">
        <f t="shared" si="20"/>
        <v>28</v>
      </c>
      <c r="F316" s="136" t="str">
        <f>IFERROR(_xlfn.XLOOKUP($A316,'Raw Data'!$G:$G,'Raw Data'!$AM:$AM),"")</f>
        <v/>
      </c>
      <c r="G316" s="137" t="str">
        <f>IFERROR(_xlfn.XLOOKUP($A316,'Raw Data'!$G:$G,'Raw Data'!$AB:$AB),"")</f>
        <v/>
      </c>
      <c r="H316" s="137"/>
      <c r="I316" s="137" t="str">
        <f>IFERROR(_xlfn.XLOOKUP($A316,'Raw Data'!$G:$G,'Raw Data'!$AC:$AC),"")</f>
        <v/>
      </c>
      <c r="J316" s="137"/>
      <c r="K316" s="137" t="str">
        <f>IFERROR(_xlfn.XLOOKUP($A316,'Raw Data'!$G:$G,'Raw Data'!AD:AD),"")</f>
        <v/>
      </c>
      <c r="L316" s="137" t="str">
        <f>IFERROR(_xlfn.XLOOKUP($A316,'Raw Data'!$G:$G,'Raw Data'!AE:AE),"")</f>
        <v/>
      </c>
      <c r="M316" s="137" t="str">
        <f>IFERROR(_xlfn.XLOOKUP($A316,'Raw Data'!$G:$G,'Raw Data'!AF:AF),"")</f>
        <v/>
      </c>
      <c r="N316" s="137" t="str">
        <f>IFERROR(_xlfn.XLOOKUP($A316,'Raw Data'!$G:$G,'Raw Data'!AG:AG),"")</f>
        <v/>
      </c>
      <c r="O316" s="138" t="str">
        <f>IFERROR(1-SUMIF('Plant BD'!$H:$H,$A316,'Plant BD'!$AE:$AE)/($AA316+SUMIF('Plant BD'!$H:$H,$A316,'Plant BD'!$AE:$AE)),"")</f>
        <v/>
      </c>
      <c r="P316" s="138"/>
      <c r="Q316" s="139"/>
      <c r="R316" s="138" t="str">
        <f>IFERROR(1-SUMIF('Grid BD'!$H:$H,$A316,'Grid BD'!$AD:$AD)/($AA316+SUMIF('Grid BD'!$H:$H,$A316,'Grid BD'!$AD:$AD)),"")</f>
        <v/>
      </c>
      <c r="T316" s="139"/>
      <c r="U316" s="140" t="str">
        <f t="shared" si="21"/>
        <v/>
      </c>
      <c r="V316" s="140"/>
      <c r="W316" s="141" t="str">
        <f t="shared" si="22"/>
        <v/>
      </c>
      <c r="X316" s="133" t="str">
        <f>IFERROR(_xlfn.XLOOKUP($A316,'Raw Data'!$G:$G,'Raw Data'!AI:AI),"")</f>
        <v/>
      </c>
      <c r="Y316" s="133" t="str">
        <f>IFERROR(_xlfn.XLOOKUP($A316,'Raw Data'!$G:$G,'Raw Data'!AJ:AJ),"")</f>
        <v/>
      </c>
      <c r="Z316" s="133" t="str">
        <f>IFERROR(_xlfn.XLOOKUP($A316,'Raw Data'!$G:$G,'Raw Data'!AK:AK),"")</f>
        <v/>
      </c>
      <c r="AA316" s="133" t="str">
        <f>IFERROR(_xlfn.XLOOKUP($A316,'Raw Data'!$G:$G,'Raw Data'!AL:AL),"")</f>
        <v/>
      </c>
      <c r="AB316" s="133" t="str">
        <f>IFERROR(_xlfn.XLOOKUP($A316,'Raw Data'!$G:$G,'Raw Data'!H:H),"")</f>
        <v/>
      </c>
      <c r="AC316" s="142">
        <f>IFERROR(_xlfn.XLOOKUP($D316,'Modelling New'!$D:$D,'Modelling New'!P:P),"")</f>
        <v>6.5714285714285712</v>
      </c>
      <c r="AD316" s="133">
        <f>IFERROR(_xlfn.XLOOKUP($D316,'Modelling New'!$D:$D,'Modelling New'!$T:$T)*1000,"")</f>
        <v>33989.340219935533</v>
      </c>
      <c r="AE316" s="143">
        <f>IFERROR(_xlfn.XLOOKUP($D316,'Modelling New'!$D:$D,'Modelling New'!O:O),"")</f>
        <v>0.64485168784471436</v>
      </c>
      <c r="AF316" s="145">
        <f>IFERROR(_xlfn.XLOOKUP($D316,'Modelling New'!$D:$D,'Modelling New'!W:W),"")</f>
        <v>0.17656653357652891</v>
      </c>
      <c r="AG316" s="145">
        <f>IFERROR(_xlfn.XLOOKUP($D316,'Modelling New'!$D:$D,'Modelling New'!AE:AE),"")</f>
        <v>0.98040000000000005</v>
      </c>
      <c r="AH316" s="167">
        <f>IFERROR(_xlfn.XLOOKUP($D316,'Modelling New'!$D:$D,'Modelling New'!AF:AF),"")</f>
        <v>0.98</v>
      </c>
      <c r="AN316" s="144"/>
      <c r="AO316" s="141"/>
      <c r="AP316" s="141"/>
      <c r="AQ316" s="141"/>
      <c r="AR316" s="133">
        <f>'Basic Data'!$B$98/1000</f>
        <v>8.0208999999999993</v>
      </c>
    </row>
    <row r="317" spans="1:44" x14ac:dyDescent="0.3">
      <c r="A317" s="132">
        <f t="shared" si="23"/>
        <v>46060</v>
      </c>
      <c r="B317" s="133">
        <f>YEAR(Table13[[#This Row],[Date]])+IF(MONTH(Table13[[#This Row],[Date]])&gt;=4,1,0)</f>
        <v>2026</v>
      </c>
      <c r="C317" s="134">
        <f>YEAR(Table13[[#This Row],[Date]])</f>
        <v>2026</v>
      </c>
      <c r="D317" s="135">
        <f>Table13[[#This Row],[Date]]-DAY(Table13[[#This Row],[Date]])+1</f>
        <v>46054</v>
      </c>
      <c r="E317" s="134">
        <f t="shared" si="20"/>
        <v>28</v>
      </c>
      <c r="F317" s="136" t="str">
        <f>IFERROR(_xlfn.XLOOKUP($A317,'Raw Data'!$G:$G,'Raw Data'!$AM:$AM),"")</f>
        <v/>
      </c>
      <c r="G317" s="137" t="str">
        <f>IFERROR(_xlfn.XLOOKUP($A317,'Raw Data'!$G:$G,'Raw Data'!$AB:$AB),"")</f>
        <v/>
      </c>
      <c r="H317" s="137"/>
      <c r="I317" s="137" t="str">
        <f>IFERROR(_xlfn.XLOOKUP($A317,'Raw Data'!$G:$G,'Raw Data'!$AC:$AC),"")</f>
        <v/>
      </c>
      <c r="J317" s="137"/>
      <c r="K317" s="137" t="str">
        <f>IFERROR(_xlfn.XLOOKUP($A317,'Raw Data'!$G:$G,'Raw Data'!AD:AD),"")</f>
        <v/>
      </c>
      <c r="L317" s="137" t="str">
        <f>IFERROR(_xlfn.XLOOKUP($A317,'Raw Data'!$G:$G,'Raw Data'!AE:AE),"")</f>
        <v/>
      </c>
      <c r="M317" s="137" t="str">
        <f>IFERROR(_xlfn.XLOOKUP($A317,'Raw Data'!$G:$G,'Raw Data'!AF:AF),"")</f>
        <v/>
      </c>
      <c r="N317" s="137" t="str">
        <f>IFERROR(_xlfn.XLOOKUP($A317,'Raw Data'!$G:$G,'Raw Data'!AG:AG),"")</f>
        <v/>
      </c>
      <c r="O317" s="138" t="str">
        <f>IFERROR(1-SUMIF('Plant BD'!$H:$H,$A317,'Plant BD'!$AE:$AE)/($AA317+SUMIF('Plant BD'!$H:$H,$A317,'Plant BD'!$AE:$AE)),"")</f>
        <v/>
      </c>
      <c r="P317" s="138"/>
      <c r="Q317" s="139"/>
      <c r="R317" s="138" t="str">
        <f>IFERROR(1-SUMIF('Grid BD'!$H:$H,$A317,'Grid BD'!$AD:$AD)/($AA317+SUMIF('Grid BD'!$H:$H,$A317,'Grid BD'!$AD:$AD)),"")</f>
        <v/>
      </c>
      <c r="T317" s="139"/>
      <c r="U317" s="140" t="str">
        <f t="shared" si="21"/>
        <v/>
      </c>
      <c r="V317" s="140"/>
      <c r="W317" s="141" t="str">
        <f t="shared" si="22"/>
        <v/>
      </c>
      <c r="X317" s="133" t="str">
        <f>IFERROR(_xlfn.XLOOKUP($A317,'Raw Data'!$G:$G,'Raw Data'!AI:AI),"")</f>
        <v/>
      </c>
      <c r="Y317" s="133" t="str">
        <f>IFERROR(_xlfn.XLOOKUP($A317,'Raw Data'!$G:$G,'Raw Data'!AJ:AJ),"")</f>
        <v/>
      </c>
      <c r="Z317" s="133" t="str">
        <f>IFERROR(_xlfn.XLOOKUP($A317,'Raw Data'!$G:$G,'Raw Data'!AK:AK),"")</f>
        <v/>
      </c>
      <c r="AA317" s="133" t="str">
        <f>IFERROR(_xlfn.XLOOKUP($A317,'Raw Data'!$G:$G,'Raw Data'!AL:AL),"")</f>
        <v/>
      </c>
      <c r="AB317" s="133" t="str">
        <f>IFERROR(_xlfn.XLOOKUP($A317,'Raw Data'!$G:$G,'Raw Data'!H:H),"")</f>
        <v/>
      </c>
      <c r="AC317" s="142">
        <f>IFERROR(_xlfn.XLOOKUP($D317,'Modelling New'!$D:$D,'Modelling New'!P:P),"")</f>
        <v>6.5714285714285712</v>
      </c>
      <c r="AD317" s="133">
        <f>IFERROR(_xlfn.XLOOKUP($D317,'Modelling New'!$D:$D,'Modelling New'!$T:$T)*1000,"")</f>
        <v>33989.340219935533</v>
      </c>
      <c r="AE317" s="143">
        <f>IFERROR(_xlfn.XLOOKUP($D317,'Modelling New'!$D:$D,'Modelling New'!O:O),"")</f>
        <v>0.64485168784471436</v>
      </c>
      <c r="AF317" s="145">
        <f>IFERROR(_xlfn.XLOOKUP($D317,'Modelling New'!$D:$D,'Modelling New'!W:W),"")</f>
        <v>0.17656653357652891</v>
      </c>
      <c r="AG317" s="145">
        <f>IFERROR(_xlfn.XLOOKUP($D317,'Modelling New'!$D:$D,'Modelling New'!AE:AE),"")</f>
        <v>0.98040000000000005</v>
      </c>
      <c r="AH317" s="167">
        <f>IFERROR(_xlfn.XLOOKUP($D317,'Modelling New'!$D:$D,'Modelling New'!AF:AF),"")</f>
        <v>0.98</v>
      </c>
      <c r="AN317" s="144"/>
      <c r="AO317" s="141"/>
      <c r="AP317" s="141"/>
      <c r="AQ317" s="141"/>
      <c r="AR317" s="133">
        <f>'Basic Data'!$B$98/1000</f>
        <v>8.0208999999999993</v>
      </c>
    </row>
    <row r="318" spans="1:44" x14ac:dyDescent="0.3">
      <c r="A318" s="132">
        <f t="shared" si="23"/>
        <v>46061</v>
      </c>
      <c r="B318" s="133">
        <f>YEAR(Table13[[#This Row],[Date]])+IF(MONTH(Table13[[#This Row],[Date]])&gt;=4,1,0)</f>
        <v>2026</v>
      </c>
      <c r="C318" s="134">
        <f>YEAR(Table13[[#This Row],[Date]])</f>
        <v>2026</v>
      </c>
      <c r="D318" s="135">
        <f>Table13[[#This Row],[Date]]-DAY(Table13[[#This Row],[Date]])+1</f>
        <v>46054</v>
      </c>
      <c r="E318" s="134">
        <f t="shared" si="20"/>
        <v>28</v>
      </c>
      <c r="F318" s="136" t="str">
        <f>IFERROR(_xlfn.XLOOKUP($A318,'Raw Data'!$G:$G,'Raw Data'!$AM:$AM),"")</f>
        <v/>
      </c>
      <c r="G318" s="137" t="str">
        <f>IFERROR(_xlfn.XLOOKUP($A318,'Raw Data'!$G:$G,'Raw Data'!$AB:$AB),"")</f>
        <v/>
      </c>
      <c r="H318" s="137"/>
      <c r="I318" s="137" t="str">
        <f>IFERROR(_xlfn.XLOOKUP($A318,'Raw Data'!$G:$G,'Raw Data'!$AC:$AC),"")</f>
        <v/>
      </c>
      <c r="J318" s="137"/>
      <c r="K318" s="137" t="str">
        <f>IFERROR(_xlfn.XLOOKUP($A318,'Raw Data'!$G:$G,'Raw Data'!AD:AD),"")</f>
        <v/>
      </c>
      <c r="L318" s="137" t="str">
        <f>IFERROR(_xlfn.XLOOKUP($A318,'Raw Data'!$G:$G,'Raw Data'!AE:AE),"")</f>
        <v/>
      </c>
      <c r="M318" s="137" t="str">
        <f>IFERROR(_xlfn.XLOOKUP($A318,'Raw Data'!$G:$G,'Raw Data'!AF:AF),"")</f>
        <v/>
      </c>
      <c r="N318" s="137" t="str">
        <f>IFERROR(_xlfn.XLOOKUP($A318,'Raw Data'!$G:$G,'Raw Data'!AG:AG),"")</f>
        <v/>
      </c>
      <c r="O318" s="138" t="str">
        <f>IFERROR(1-SUMIF('Plant BD'!$H:$H,$A318,'Plant BD'!$AE:$AE)/($AA318+SUMIF('Plant BD'!$H:$H,$A318,'Plant BD'!$AE:$AE)),"")</f>
        <v/>
      </c>
      <c r="P318" s="138"/>
      <c r="Q318" s="139"/>
      <c r="R318" s="138" t="str">
        <f>IFERROR(1-SUMIF('Grid BD'!$H:$H,$A318,'Grid BD'!$AD:$AD)/($AA318+SUMIF('Grid BD'!$H:$H,$A318,'Grid BD'!$AD:$AD)),"")</f>
        <v/>
      </c>
      <c r="T318" s="139"/>
      <c r="U318" s="140" t="str">
        <f t="shared" si="21"/>
        <v/>
      </c>
      <c r="V318" s="140"/>
      <c r="W318" s="141" t="str">
        <f t="shared" si="22"/>
        <v/>
      </c>
      <c r="X318" s="133" t="str">
        <f>IFERROR(_xlfn.XLOOKUP($A318,'Raw Data'!$G:$G,'Raw Data'!AI:AI),"")</f>
        <v/>
      </c>
      <c r="Y318" s="133" t="str">
        <f>IFERROR(_xlfn.XLOOKUP($A318,'Raw Data'!$G:$G,'Raw Data'!AJ:AJ),"")</f>
        <v/>
      </c>
      <c r="Z318" s="133" t="str">
        <f>IFERROR(_xlfn.XLOOKUP($A318,'Raw Data'!$G:$G,'Raw Data'!AK:AK),"")</f>
        <v/>
      </c>
      <c r="AA318" s="133" t="str">
        <f>IFERROR(_xlfn.XLOOKUP($A318,'Raw Data'!$G:$G,'Raw Data'!AL:AL),"")</f>
        <v/>
      </c>
      <c r="AB318" s="133" t="str">
        <f>IFERROR(_xlfn.XLOOKUP($A318,'Raw Data'!$G:$G,'Raw Data'!H:H),"")</f>
        <v/>
      </c>
      <c r="AC318" s="142">
        <f>IFERROR(_xlfn.XLOOKUP($D318,'Modelling New'!$D:$D,'Modelling New'!P:P),"")</f>
        <v>6.5714285714285712</v>
      </c>
      <c r="AD318" s="133">
        <f>IFERROR(_xlfn.XLOOKUP($D318,'Modelling New'!$D:$D,'Modelling New'!$T:$T)*1000,"")</f>
        <v>33989.340219935533</v>
      </c>
      <c r="AE318" s="143">
        <f>IFERROR(_xlfn.XLOOKUP($D318,'Modelling New'!$D:$D,'Modelling New'!O:O),"")</f>
        <v>0.64485168784471436</v>
      </c>
      <c r="AF318" s="145">
        <f>IFERROR(_xlfn.XLOOKUP($D318,'Modelling New'!$D:$D,'Modelling New'!W:W),"")</f>
        <v>0.17656653357652891</v>
      </c>
      <c r="AG318" s="145">
        <f>IFERROR(_xlfn.XLOOKUP($D318,'Modelling New'!$D:$D,'Modelling New'!AE:AE),"")</f>
        <v>0.98040000000000005</v>
      </c>
      <c r="AH318" s="167">
        <f>IFERROR(_xlfn.XLOOKUP($D318,'Modelling New'!$D:$D,'Modelling New'!AF:AF),"")</f>
        <v>0.98</v>
      </c>
      <c r="AN318" s="144"/>
      <c r="AO318" s="141"/>
      <c r="AP318" s="141"/>
      <c r="AQ318" s="141"/>
      <c r="AR318" s="133">
        <f>'Basic Data'!$B$98/1000</f>
        <v>8.0208999999999993</v>
      </c>
    </row>
    <row r="319" spans="1:44" x14ac:dyDescent="0.3">
      <c r="A319" s="132">
        <f t="shared" si="23"/>
        <v>46062</v>
      </c>
      <c r="B319" s="133">
        <f>YEAR(Table13[[#This Row],[Date]])+IF(MONTH(Table13[[#This Row],[Date]])&gt;=4,1,0)</f>
        <v>2026</v>
      </c>
      <c r="C319" s="134">
        <f>YEAR(Table13[[#This Row],[Date]])</f>
        <v>2026</v>
      </c>
      <c r="D319" s="135">
        <f>Table13[[#This Row],[Date]]-DAY(Table13[[#This Row],[Date]])+1</f>
        <v>46054</v>
      </c>
      <c r="E319" s="134">
        <f t="shared" si="20"/>
        <v>28</v>
      </c>
      <c r="F319" s="136" t="str">
        <f>IFERROR(_xlfn.XLOOKUP($A319,'Raw Data'!$G:$G,'Raw Data'!$AM:$AM),"")</f>
        <v/>
      </c>
      <c r="G319" s="137" t="str">
        <f>IFERROR(_xlfn.XLOOKUP($A319,'Raw Data'!$G:$G,'Raw Data'!$AB:$AB),"")</f>
        <v/>
      </c>
      <c r="H319" s="137"/>
      <c r="I319" s="137" t="str">
        <f>IFERROR(_xlfn.XLOOKUP($A319,'Raw Data'!$G:$G,'Raw Data'!$AC:$AC),"")</f>
        <v/>
      </c>
      <c r="J319" s="137"/>
      <c r="K319" s="137" t="str">
        <f>IFERROR(_xlfn.XLOOKUP($A319,'Raw Data'!$G:$G,'Raw Data'!AD:AD),"")</f>
        <v/>
      </c>
      <c r="L319" s="137" t="str">
        <f>IFERROR(_xlfn.XLOOKUP($A319,'Raw Data'!$G:$G,'Raw Data'!AE:AE),"")</f>
        <v/>
      </c>
      <c r="M319" s="137" t="str">
        <f>IFERROR(_xlfn.XLOOKUP($A319,'Raw Data'!$G:$G,'Raw Data'!AF:AF),"")</f>
        <v/>
      </c>
      <c r="N319" s="137" t="str">
        <f>IFERROR(_xlfn.XLOOKUP($A319,'Raw Data'!$G:$G,'Raw Data'!AG:AG),"")</f>
        <v/>
      </c>
      <c r="O319" s="138" t="str">
        <f>IFERROR(1-SUMIF('Plant BD'!$H:$H,$A319,'Plant BD'!$AE:$AE)/($AA319+SUMIF('Plant BD'!$H:$H,$A319,'Plant BD'!$AE:$AE)),"")</f>
        <v/>
      </c>
      <c r="P319" s="138"/>
      <c r="Q319" s="139"/>
      <c r="R319" s="138" t="str">
        <f>IFERROR(1-SUMIF('Grid BD'!$H:$H,$A319,'Grid BD'!$AD:$AD)/($AA319+SUMIF('Grid BD'!$H:$H,$A319,'Grid BD'!$AD:$AD)),"")</f>
        <v/>
      </c>
      <c r="T319" s="139"/>
      <c r="U319" s="140" t="str">
        <f t="shared" si="21"/>
        <v/>
      </c>
      <c r="V319" s="140"/>
      <c r="W319" s="141" t="str">
        <f t="shared" si="22"/>
        <v/>
      </c>
      <c r="X319" s="133" t="str">
        <f>IFERROR(_xlfn.XLOOKUP($A319,'Raw Data'!$G:$G,'Raw Data'!AI:AI),"")</f>
        <v/>
      </c>
      <c r="Y319" s="133" t="str">
        <f>IFERROR(_xlfn.XLOOKUP($A319,'Raw Data'!$G:$G,'Raw Data'!AJ:AJ),"")</f>
        <v/>
      </c>
      <c r="Z319" s="133" t="str">
        <f>IFERROR(_xlfn.XLOOKUP($A319,'Raw Data'!$G:$G,'Raw Data'!AK:AK),"")</f>
        <v/>
      </c>
      <c r="AA319" s="133" t="str">
        <f>IFERROR(_xlfn.XLOOKUP($A319,'Raw Data'!$G:$G,'Raw Data'!AL:AL),"")</f>
        <v/>
      </c>
      <c r="AB319" s="133" t="str">
        <f>IFERROR(_xlfn.XLOOKUP($A319,'Raw Data'!$G:$G,'Raw Data'!H:H),"")</f>
        <v/>
      </c>
      <c r="AC319" s="142">
        <f>IFERROR(_xlfn.XLOOKUP($D319,'Modelling New'!$D:$D,'Modelling New'!P:P),"")</f>
        <v>6.5714285714285712</v>
      </c>
      <c r="AD319" s="133">
        <f>IFERROR(_xlfn.XLOOKUP($D319,'Modelling New'!$D:$D,'Modelling New'!$T:$T)*1000,"")</f>
        <v>33989.340219935533</v>
      </c>
      <c r="AE319" s="143">
        <f>IFERROR(_xlfn.XLOOKUP($D319,'Modelling New'!$D:$D,'Modelling New'!O:O),"")</f>
        <v>0.64485168784471436</v>
      </c>
      <c r="AF319" s="145">
        <f>IFERROR(_xlfn.XLOOKUP($D319,'Modelling New'!$D:$D,'Modelling New'!W:W),"")</f>
        <v>0.17656653357652891</v>
      </c>
      <c r="AG319" s="145">
        <f>IFERROR(_xlfn.XLOOKUP($D319,'Modelling New'!$D:$D,'Modelling New'!AE:AE),"")</f>
        <v>0.98040000000000005</v>
      </c>
      <c r="AH319" s="167">
        <f>IFERROR(_xlfn.XLOOKUP($D319,'Modelling New'!$D:$D,'Modelling New'!AF:AF),"")</f>
        <v>0.98</v>
      </c>
      <c r="AN319" s="144"/>
      <c r="AO319" s="141"/>
      <c r="AP319" s="141"/>
      <c r="AQ319" s="141"/>
      <c r="AR319" s="133">
        <f>'Basic Data'!$B$98/1000</f>
        <v>8.0208999999999993</v>
      </c>
    </row>
    <row r="320" spans="1:44" x14ac:dyDescent="0.3">
      <c r="A320" s="132">
        <f t="shared" si="23"/>
        <v>46063</v>
      </c>
      <c r="B320" s="133">
        <f>YEAR(Table13[[#This Row],[Date]])+IF(MONTH(Table13[[#This Row],[Date]])&gt;=4,1,0)</f>
        <v>2026</v>
      </c>
      <c r="C320" s="134">
        <f>YEAR(Table13[[#This Row],[Date]])</f>
        <v>2026</v>
      </c>
      <c r="D320" s="135">
        <f>Table13[[#This Row],[Date]]-DAY(Table13[[#This Row],[Date]])+1</f>
        <v>46054</v>
      </c>
      <c r="E320" s="134">
        <f t="shared" si="20"/>
        <v>28</v>
      </c>
      <c r="F320" s="136" t="str">
        <f>IFERROR(_xlfn.XLOOKUP($A320,'Raw Data'!$G:$G,'Raw Data'!$AM:$AM),"")</f>
        <v/>
      </c>
      <c r="G320" s="137" t="str">
        <f>IFERROR(_xlfn.XLOOKUP($A320,'Raw Data'!$G:$G,'Raw Data'!$AB:$AB),"")</f>
        <v/>
      </c>
      <c r="H320" s="137"/>
      <c r="I320" s="137" t="str">
        <f>IFERROR(_xlfn.XLOOKUP($A320,'Raw Data'!$G:$G,'Raw Data'!$AC:$AC),"")</f>
        <v/>
      </c>
      <c r="J320" s="137"/>
      <c r="K320" s="137" t="str">
        <f>IFERROR(_xlfn.XLOOKUP($A320,'Raw Data'!$G:$G,'Raw Data'!AD:AD),"")</f>
        <v/>
      </c>
      <c r="L320" s="137" t="str">
        <f>IFERROR(_xlfn.XLOOKUP($A320,'Raw Data'!$G:$G,'Raw Data'!AE:AE),"")</f>
        <v/>
      </c>
      <c r="M320" s="137" t="str">
        <f>IFERROR(_xlfn.XLOOKUP($A320,'Raw Data'!$G:$G,'Raw Data'!AF:AF),"")</f>
        <v/>
      </c>
      <c r="N320" s="137" t="str">
        <f>IFERROR(_xlfn.XLOOKUP($A320,'Raw Data'!$G:$G,'Raw Data'!AG:AG),"")</f>
        <v/>
      </c>
      <c r="O320" s="138" t="str">
        <f>IFERROR(1-SUMIF('Plant BD'!$H:$H,$A320,'Plant BD'!$AE:$AE)/($AA320+SUMIF('Plant BD'!$H:$H,$A320,'Plant BD'!$AE:$AE)),"")</f>
        <v/>
      </c>
      <c r="P320" s="138"/>
      <c r="Q320" s="139"/>
      <c r="R320" s="138" t="str">
        <f>IFERROR(1-SUMIF('Grid BD'!$H:$H,$A320,'Grid BD'!$AD:$AD)/($AA320+SUMIF('Grid BD'!$H:$H,$A320,'Grid BD'!$AD:$AD)),"")</f>
        <v/>
      </c>
      <c r="T320" s="139"/>
      <c r="U320" s="140" t="str">
        <f t="shared" si="21"/>
        <v/>
      </c>
      <c r="V320" s="140"/>
      <c r="W320" s="141" t="str">
        <f t="shared" si="22"/>
        <v/>
      </c>
      <c r="X320" s="133" t="str">
        <f>IFERROR(_xlfn.XLOOKUP($A320,'Raw Data'!$G:$G,'Raw Data'!AI:AI),"")</f>
        <v/>
      </c>
      <c r="Y320" s="133" t="str">
        <f>IFERROR(_xlfn.XLOOKUP($A320,'Raw Data'!$G:$G,'Raw Data'!AJ:AJ),"")</f>
        <v/>
      </c>
      <c r="Z320" s="133" t="str">
        <f>IFERROR(_xlfn.XLOOKUP($A320,'Raw Data'!$G:$G,'Raw Data'!AK:AK),"")</f>
        <v/>
      </c>
      <c r="AA320" s="133" t="str">
        <f>IFERROR(_xlfn.XLOOKUP($A320,'Raw Data'!$G:$G,'Raw Data'!AL:AL),"")</f>
        <v/>
      </c>
      <c r="AB320" s="133" t="str">
        <f>IFERROR(_xlfn.XLOOKUP($A320,'Raw Data'!$G:$G,'Raw Data'!H:H),"")</f>
        <v/>
      </c>
      <c r="AC320" s="142">
        <f>IFERROR(_xlfn.XLOOKUP($D320,'Modelling New'!$D:$D,'Modelling New'!P:P),"")</f>
        <v>6.5714285714285712</v>
      </c>
      <c r="AD320" s="133">
        <f>IFERROR(_xlfn.XLOOKUP($D320,'Modelling New'!$D:$D,'Modelling New'!$T:$T)*1000,"")</f>
        <v>33989.340219935533</v>
      </c>
      <c r="AE320" s="143">
        <f>IFERROR(_xlfn.XLOOKUP($D320,'Modelling New'!$D:$D,'Modelling New'!O:O),"")</f>
        <v>0.64485168784471436</v>
      </c>
      <c r="AF320" s="145">
        <f>IFERROR(_xlfn.XLOOKUP($D320,'Modelling New'!$D:$D,'Modelling New'!W:W),"")</f>
        <v>0.17656653357652891</v>
      </c>
      <c r="AG320" s="145">
        <f>IFERROR(_xlfn.XLOOKUP($D320,'Modelling New'!$D:$D,'Modelling New'!AE:AE),"")</f>
        <v>0.98040000000000005</v>
      </c>
      <c r="AH320" s="167">
        <f>IFERROR(_xlfn.XLOOKUP($D320,'Modelling New'!$D:$D,'Modelling New'!AF:AF),"")</f>
        <v>0.98</v>
      </c>
      <c r="AN320" s="144"/>
      <c r="AO320" s="141"/>
      <c r="AP320" s="141"/>
      <c r="AQ320" s="141"/>
      <c r="AR320" s="133">
        <f>'Basic Data'!$B$98/1000</f>
        <v>8.0208999999999993</v>
      </c>
    </row>
    <row r="321" spans="1:44" x14ac:dyDescent="0.3">
      <c r="A321" s="132">
        <f t="shared" si="23"/>
        <v>46064</v>
      </c>
      <c r="B321" s="133">
        <f>YEAR(Table13[[#This Row],[Date]])+IF(MONTH(Table13[[#This Row],[Date]])&gt;=4,1,0)</f>
        <v>2026</v>
      </c>
      <c r="C321" s="134">
        <f>YEAR(Table13[[#This Row],[Date]])</f>
        <v>2026</v>
      </c>
      <c r="D321" s="135">
        <f>Table13[[#This Row],[Date]]-DAY(Table13[[#This Row],[Date]])+1</f>
        <v>46054</v>
      </c>
      <c r="E321" s="134">
        <f t="shared" si="20"/>
        <v>28</v>
      </c>
      <c r="F321" s="136" t="str">
        <f>IFERROR(_xlfn.XLOOKUP($A321,'Raw Data'!$G:$G,'Raw Data'!$AM:$AM),"")</f>
        <v/>
      </c>
      <c r="G321" s="137" t="str">
        <f>IFERROR(_xlfn.XLOOKUP($A321,'Raw Data'!$G:$G,'Raw Data'!$AB:$AB),"")</f>
        <v/>
      </c>
      <c r="H321" s="137"/>
      <c r="I321" s="137" t="str">
        <f>IFERROR(_xlfn.XLOOKUP($A321,'Raw Data'!$G:$G,'Raw Data'!$AC:$AC),"")</f>
        <v/>
      </c>
      <c r="J321" s="137"/>
      <c r="K321" s="137" t="str">
        <f>IFERROR(_xlfn.XLOOKUP($A321,'Raw Data'!$G:$G,'Raw Data'!AD:AD),"")</f>
        <v/>
      </c>
      <c r="L321" s="137" t="str">
        <f>IFERROR(_xlfn.XLOOKUP($A321,'Raw Data'!$G:$G,'Raw Data'!AE:AE),"")</f>
        <v/>
      </c>
      <c r="M321" s="137" t="str">
        <f>IFERROR(_xlfn.XLOOKUP($A321,'Raw Data'!$G:$G,'Raw Data'!AF:AF),"")</f>
        <v/>
      </c>
      <c r="N321" s="137" t="str">
        <f>IFERROR(_xlfn.XLOOKUP($A321,'Raw Data'!$G:$G,'Raw Data'!AG:AG),"")</f>
        <v/>
      </c>
      <c r="O321" s="138" t="str">
        <f>IFERROR(1-SUMIF('Plant BD'!$H:$H,$A321,'Plant BD'!$AE:$AE)/($AA321+SUMIF('Plant BD'!$H:$H,$A321,'Plant BD'!$AE:$AE)),"")</f>
        <v/>
      </c>
      <c r="P321" s="138"/>
      <c r="Q321" s="139"/>
      <c r="R321" s="138" t="str">
        <f>IFERROR(1-SUMIF('Grid BD'!$H:$H,$A321,'Grid BD'!$AD:$AD)/($AA321+SUMIF('Grid BD'!$H:$H,$A321,'Grid BD'!$AD:$AD)),"")</f>
        <v/>
      </c>
      <c r="T321" s="139"/>
      <c r="U321" s="140" t="str">
        <f t="shared" si="21"/>
        <v/>
      </c>
      <c r="V321" s="140"/>
      <c r="W321" s="141" t="str">
        <f t="shared" si="22"/>
        <v/>
      </c>
      <c r="X321" s="133" t="str">
        <f>IFERROR(_xlfn.XLOOKUP($A321,'Raw Data'!$G:$G,'Raw Data'!AI:AI),"")</f>
        <v/>
      </c>
      <c r="Y321" s="133" t="str">
        <f>IFERROR(_xlfn.XLOOKUP($A321,'Raw Data'!$G:$G,'Raw Data'!AJ:AJ),"")</f>
        <v/>
      </c>
      <c r="Z321" s="133" t="str">
        <f>IFERROR(_xlfn.XLOOKUP($A321,'Raw Data'!$G:$G,'Raw Data'!AK:AK),"")</f>
        <v/>
      </c>
      <c r="AA321" s="133" t="str">
        <f>IFERROR(_xlfn.XLOOKUP($A321,'Raw Data'!$G:$G,'Raw Data'!AL:AL),"")</f>
        <v/>
      </c>
      <c r="AB321" s="133" t="str">
        <f>IFERROR(_xlfn.XLOOKUP($A321,'Raw Data'!$G:$G,'Raw Data'!H:H),"")</f>
        <v/>
      </c>
      <c r="AC321" s="142">
        <f>IFERROR(_xlfn.XLOOKUP($D321,'Modelling New'!$D:$D,'Modelling New'!P:P),"")</f>
        <v>6.5714285714285712</v>
      </c>
      <c r="AD321" s="133">
        <f>IFERROR(_xlfn.XLOOKUP($D321,'Modelling New'!$D:$D,'Modelling New'!$T:$T)*1000,"")</f>
        <v>33989.340219935533</v>
      </c>
      <c r="AE321" s="143">
        <f>IFERROR(_xlfn.XLOOKUP($D321,'Modelling New'!$D:$D,'Modelling New'!O:O),"")</f>
        <v>0.64485168784471436</v>
      </c>
      <c r="AF321" s="145">
        <f>IFERROR(_xlfn.XLOOKUP($D321,'Modelling New'!$D:$D,'Modelling New'!W:W),"")</f>
        <v>0.17656653357652891</v>
      </c>
      <c r="AG321" s="145">
        <f>IFERROR(_xlfn.XLOOKUP($D321,'Modelling New'!$D:$D,'Modelling New'!AE:AE),"")</f>
        <v>0.98040000000000005</v>
      </c>
      <c r="AH321" s="167">
        <f>IFERROR(_xlfn.XLOOKUP($D321,'Modelling New'!$D:$D,'Modelling New'!AF:AF),"")</f>
        <v>0.98</v>
      </c>
      <c r="AN321" s="144"/>
      <c r="AO321" s="141"/>
      <c r="AP321" s="141"/>
      <c r="AQ321" s="141"/>
      <c r="AR321" s="133">
        <f>'Basic Data'!$B$98/1000</f>
        <v>8.0208999999999993</v>
      </c>
    </row>
    <row r="322" spans="1:44" x14ac:dyDescent="0.3">
      <c r="A322" s="132">
        <f t="shared" si="23"/>
        <v>46065</v>
      </c>
      <c r="B322" s="133">
        <f>YEAR(Table13[[#This Row],[Date]])+IF(MONTH(Table13[[#This Row],[Date]])&gt;=4,1,0)</f>
        <v>2026</v>
      </c>
      <c r="C322" s="134">
        <f>YEAR(Table13[[#This Row],[Date]])</f>
        <v>2026</v>
      </c>
      <c r="D322" s="135">
        <f>Table13[[#This Row],[Date]]-DAY(Table13[[#This Row],[Date]])+1</f>
        <v>46054</v>
      </c>
      <c r="E322" s="134">
        <f t="shared" si="20"/>
        <v>28</v>
      </c>
      <c r="F322" s="136" t="str">
        <f>IFERROR(_xlfn.XLOOKUP($A322,'Raw Data'!$G:$G,'Raw Data'!$AM:$AM),"")</f>
        <v/>
      </c>
      <c r="G322" s="137" t="str">
        <f>IFERROR(_xlfn.XLOOKUP($A322,'Raw Data'!$G:$G,'Raw Data'!$AB:$AB),"")</f>
        <v/>
      </c>
      <c r="H322" s="137"/>
      <c r="I322" s="137" t="str">
        <f>IFERROR(_xlfn.XLOOKUP($A322,'Raw Data'!$G:$G,'Raw Data'!$AC:$AC),"")</f>
        <v/>
      </c>
      <c r="J322" s="137"/>
      <c r="K322" s="137" t="str">
        <f>IFERROR(_xlfn.XLOOKUP($A322,'Raw Data'!$G:$G,'Raw Data'!AD:AD),"")</f>
        <v/>
      </c>
      <c r="L322" s="137" t="str">
        <f>IFERROR(_xlfn.XLOOKUP($A322,'Raw Data'!$G:$G,'Raw Data'!AE:AE),"")</f>
        <v/>
      </c>
      <c r="M322" s="137" t="str">
        <f>IFERROR(_xlfn.XLOOKUP($A322,'Raw Data'!$G:$G,'Raw Data'!AF:AF),"")</f>
        <v/>
      </c>
      <c r="N322" s="137" t="str">
        <f>IFERROR(_xlfn.XLOOKUP($A322,'Raw Data'!$G:$G,'Raw Data'!AG:AG),"")</f>
        <v/>
      </c>
      <c r="O322" s="138" t="str">
        <f>IFERROR(1-SUMIF('Plant BD'!$H:$H,$A322,'Plant BD'!$AE:$AE)/($AA322+SUMIF('Plant BD'!$H:$H,$A322,'Plant BD'!$AE:$AE)),"")</f>
        <v/>
      </c>
      <c r="P322" s="138"/>
      <c r="Q322" s="139"/>
      <c r="R322" s="138" t="str">
        <f>IFERROR(1-SUMIF('Grid BD'!$H:$H,$A322,'Grid BD'!$AD:$AD)/($AA322+SUMIF('Grid BD'!$H:$H,$A322,'Grid BD'!$AD:$AD)),"")</f>
        <v/>
      </c>
      <c r="T322" s="139"/>
      <c r="U322" s="140" t="str">
        <f t="shared" si="21"/>
        <v/>
      </c>
      <c r="V322" s="140"/>
      <c r="W322" s="141" t="str">
        <f t="shared" si="22"/>
        <v/>
      </c>
      <c r="X322" s="133" t="str">
        <f>IFERROR(_xlfn.XLOOKUP($A322,'Raw Data'!$G:$G,'Raw Data'!AI:AI),"")</f>
        <v/>
      </c>
      <c r="Y322" s="133" t="str">
        <f>IFERROR(_xlfn.XLOOKUP($A322,'Raw Data'!$G:$G,'Raw Data'!AJ:AJ),"")</f>
        <v/>
      </c>
      <c r="Z322" s="133" t="str">
        <f>IFERROR(_xlfn.XLOOKUP($A322,'Raw Data'!$G:$G,'Raw Data'!AK:AK),"")</f>
        <v/>
      </c>
      <c r="AA322" s="133" t="str">
        <f>IFERROR(_xlfn.XLOOKUP($A322,'Raw Data'!$G:$G,'Raw Data'!AL:AL),"")</f>
        <v/>
      </c>
      <c r="AB322" s="133" t="str">
        <f>IFERROR(_xlfn.XLOOKUP($A322,'Raw Data'!$G:$G,'Raw Data'!H:H),"")</f>
        <v/>
      </c>
      <c r="AC322" s="142">
        <f>IFERROR(_xlfn.XLOOKUP($D322,'Modelling New'!$D:$D,'Modelling New'!P:P),"")</f>
        <v>6.5714285714285712</v>
      </c>
      <c r="AD322" s="133">
        <f>IFERROR(_xlfn.XLOOKUP($D322,'Modelling New'!$D:$D,'Modelling New'!$T:$T)*1000,"")</f>
        <v>33989.340219935533</v>
      </c>
      <c r="AE322" s="143">
        <f>IFERROR(_xlfn.XLOOKUP($D322,'Modelling New'!$D:$D,'Modelling New'!O:O),"")</f>
        <v>0.64485168784471436</v>
      </c>
      <c r="AF322" s="145">
        <f>IFERROR(_xlfn.XLOOKUP($D322,'Modelling New'!$D:$D,'Modelling New'!W:W),"")</f>
        <v>0.17656653357652891</v>
      </c>
      <c r="AG322" s="145">
        <f>IFERROR(_xlfn.XLOOKUP($D322,'Modelling New'!$D:$D,'Modelling New'!AE:AE),"")</f>
        <v>0.98040000000000005</v>
      </c>
      <c r="AH322" s="167">
        <f>IFERROR(_xlfn.XLOOKUP($D322,'Modelling New'!$D:$D,'Modelling New'!AF:AF),"")</f>
        <v>0.98</v>
      </c>
      <c r="AN322" s="144"/>
      <c r="AO322" s="141"/>
      <c r="AP322" s="141"/>
      <c r="AQ322" s="141"/>
      <c r="AR322" s="133">
        <f>'Basic Data'!$B$98/1000</f>
        <v>8.0208999999999993</v>
      </c>
    </row>
    <row r="323" spans="1:44" x14ac:dyDescent="0.3">
      <c r="A323" s="132">
        <f t="shared" si="23"/>
        <v>46066</v>
      </c>
      <c r="B323" s="133">
        <f>YEAR(Table13[[#This Row],[Date]])+IF(MONTH(Table13[[#This Row],[Date]])&gt;=4,1,0)</f>
        <v>2026</v>
      </c>
      <c r="C323" s="134">
        <f>YEAR(Table13[[#This Row],[Date]])</f>
        <v>2026</v>
      </c>
      <c r="D323" s="135">
        <f>Table13[[#This Row],[Date]]-DAY(Table13[[#This Row],[Date]])+1</f>
        <v>46054</v>
      </c>
      <c r="E323" s="134">
        <f t="shared" si="20"/>
        <v>28</v>
      </c>
      <c r="F323" s="136" t="str">
        <f>IFERROR(_xlfn.XLOOKUP($A323,'Raw Data'!$G:$G,'Raw Data'!$AM:$AM),"")</f>
        <v/>
      </c>
      <c r="G323" s="137" t="str">
        <f>IFERROR(_xlfn.XLOOKUP($A323,'Raw Data'!$G:$G,'Raw Data'!$AB:$AB),"")</f>
        <v/>
      </c>
      <c r="H323" s="137"/>
      <c r="I323" s="137" t="str">
        <f>IFERROR(_xlfn.XLOOKUP($A323,'Raw Data'!$G:$G,'Raw Data'!$AC:$AC),"")</f>
        <v/>
      </c>
      <c r="J323" s="137"/>
      <c r="K323" s="137" t="str">
        <f>IFERROR(_xlfn.XLOOKUP($A323,'Raw Data'!$G:$G,'Raw Data'!AD:AD),"")</f>
        <v/>
      </c>
      <c r="L323" s="137" t="str">
        <f>IFERROR(_xlfn.XLOOKUP($A323,'Raw Data'!$G:$G,'Raw Data'!AE:AE),"")</f>
        <v/>
      </c>
      <c r="M323" s="137" t="str">
        <f>IFERROR(_xlfn.XLOOKUP($A323,'Raw Data'!$G:$G,'Raw Data'!AF:AF),"")</f>
        <v/>
      </c>
      <c r="N323" s="137" t="str">
        <f>IFERROR(_xlfn.XLOOKUP($A323,'Raw Data'!$G:$G,'Raw Data'!AG:AG),"")</f>
        <v/>
      </c>
      <c r="O323" s="138" t="str">
        <f>IFERROR(1-SUMIF('Plant BD'!$H:$H,$A323,'Plant BD'!$AE:$AE)/($AA323+SUMIF('Plant BD'!$H:$H,$A323,'Plant BD'!$AE:$AE)),"")</f>
        <v/>
      </c>
      <c r="P323" s="138"/>
      <c r="Q323" s="139"/>
      <c r="R323" s="138" t="str">
        <f>IFERROR(1-SUMIF('Grid BD'!$H:$H,$A323,'Grid BD'!$AD:$AD)/($AA323+SUMIF('Grid BD'!$H:$H,$A323,'Grid BD'!$AD:$AD)),"")</f>
        <v/>
      </c>
      <c r="T323" s="139"/>
      <c r="U323" s="140" t="str">
        <f t="shared" si="21"/>
        <v/>
      </c>
      <c r="V323" s="140"/>
      <c r="W323" s="141" t="str">
        <f t="shared" si="22"/>
        <v/>
      </c>
      <c r="X323" s="133" t="str">
        <f>IFERROR(_xlfn.XLOOKUP($A323,'Raw Data'!$G:$G,'Raw Data'!AI:AI),"")</f>
        <v/>
      </c>
      <c r="Y323" s="133" t="str">
        <f>IFERROR(_xlfn.XLOOKUP($A323,'Raw Data'!$G:$G,'Raw Data'!AJ:AJ),"")</f>
        <v/>
      </c>
      <c r="Z323" s="133" t="str">
        <f>IFERROR(_xlfn.XLOOKUP($A323,'Raw Data'!$G:$G,'Raw Data'!AK:AK),"")</f>
        <v/>
      </c>
      <c r="AA323" s="133" t="str">
        <f>IFERROR(_xlfn.XLOOKUP($A323,'Raw Data'!$G:$G,'Raw Data'!AL:AL),"")</f>
        <v/>
      </c>
      <c r="AB323" s="133" t="str">
        <f>IFERROR(_xlfn.XLOOKUP($A323,'Raw Data'!$G:$G,'Raw Data'!H:H),"")</f>
        <v/>
      </c>
      <c r="AC323" s="142">
        <f>IFERROR(_xlfn.XLOOKUP($D323,'Modelling New'!$D:$D,'Modelling New'!P:P),"")</f>
        <v>6.5714285714285712</v>
      </c>
      <c r="AD323" s="133">
        <f>IFERROR(_xlfn.XLOOKUP($D323,'Modelling New'!$D:$D,'Modelling New'!$T:$T)*1000,"")</f>
        <v>33989.340219935533</v>
      </c>
      <c r="AE323" s="143">
        <f>IFERROR(_xlfn.XLOOKUP($D323,'Modelling New'!$D:$D,'Modelling New'!O:O),"")</f>
        <v>0.64485168784471436</v>
      </c>
      <c r="AF323" s="145">
        <f>IFERROR(_xlfn.XLOOKUP($D323,'Modelling New'!$D:$D,'Modelling New'!W:W),"")</f>
        <v>0.17656653357652891</v>
      </c>
      <c r="AG323" s="145">
        <f>IFERROR(_xlfn.XLOOKUP($D323,'Modelling New'!$D:$D,'Modelling New'!AE:AE),"")</f>
        <v>0.98040000000000005</v>
      </c>
      <c r="AH323" s="167">
        <f>IFERROR(_xlfn.XLOOKUP($D323,'Modelling New'!$D:$D,'Modelling New'!AF:AF),"")</f>
        <v>0.98</v>
      </c>
      <c r="AN323" s="144"/>
      <c r="AO323" s="141"/>
      <c r="AP323" s="141"/>
      <c r="AQ323" s="141"/>
      <c r="AR323" s="133">
        <f>'Basic Data'!$B$98/1000</f>
        <v>8.0208999999999993</v>
      </c>
    </row>
    <row r="324" spans="1:44" x14ac:dyDescent="0.3">
      <c r="A324" s="132">
        <f t="shared" si="23"/>
        <v>46067</v>
      </c>
      <c r="B324" s="133">
        <f>YEAR(Table13[[#This Row],[Date]])+IF(MONTH(Table13[[#This Row],[Date]])&gt;=4,1,0)</f>
        <v>2026</v>
      </c>
      <c r="C324" s="134">
        <f>YEAR(Table13[[#This Row],[Date]])</f>
        <v>2026</v>
      </c>
      <c r="D324" s="135">
        <f>Table13[[#This Row],[Date]]-DAY(Table13[[#This Row],[Date]])+1</f>
        <v>46054</v>
      </c>
      <c r="E324" s="134">
        <f t="shared" si="20"/>
        <v>28</v>
      </c>
      <c r="F324" s="136" t="str">
        <f>IFERROR(_xlfn.XLOOKUP($A324,'Raw Data'!$G:$G,'Raw Data'!$AM:$AM),"")</f>
        <v/>
      </c>
      <c r="G324" s="137" t="str">
        <f>IFERROR(_xlfn.XLOOKUP($A324,'Raw Data'!$G:$G,'Raw Data'!$AB:$AB),"")</f>
        <v/>
      </c>
      <c r="H324" s="137"/>
      <c r="I324" s="137" t="str">
        <f>IFERROR(_xlfn.XLOOKUP($A324,'Raw Data'!$G:$G,'Raw Data'!$AC:$AC),"")</f>
        <v/>
      </c>
      <c r="J324" s="137"/>
      <c r="K324" s="137" t="str">
        <f>IFERROR(_xlfn.XLOOKUP($A324,'Raw Data'!$G:$G,'Raw Data'!AD:AD),"")</f>
        <v/>
      </c>
      <c r="L324" s="137" t="str">
        <f>IFERROR(_xlfn.XLOOKUP($A324,'Raw Data'!$G:$G,'Raw Data'!AE:AE),"")</f>
        <v/>
      </c>
      <c r="M324" s="137" t="str">
        <f>IFERROR(_xlfn.XLOOKUP($A324,'Raw Data'!$G:$G,'Raw Data'!AF:AF),"")</f>
        <v/>
      </c>
      <c r="N324" s="137" t="str">
        <f>IFERROR(_xlfn.XLOOKUP($A324,'Raw Data'!$G:$G,'Raw Data'!AG:AG),"")</f>
        <v/>
      </c>
      <c r="O324" s="138" t="str">
        <f>IFERROR(1-SUMIF('Plant BD'!$H:$H,$A324,'Plant BD'!$AE:$AE)/($AA324+SUMIF('Plant BD'!$H:$H,$A324,'Plant BD'!$AE:$AE)),"")</f>
        <v/>
      </c>
      <c r="P324" s="138"/>
      <c r="Q324" s="139"/>
      <c r="R324" s="138" t="str">
        <f>IFERROR(1-SUMIF('Grid BD'!$H:$H,$A324,'Grid BD'!$AD:$AD)/($AA324+SUMIF('Grid BD'!$H:$H,$A324,'Grid BD'!$AD:$AD)),"")</f>
        <v/>
      </c>
      <c r="T324" s="139"/>
      <c r="U324" s="140" t="str">
        <f t="shared" si="21"/>
        <v/>
      </c>
      <c r="V324" s="140"/>
      <c r="W324" s="141" t="str">
        <f t="shared" si="22"/>
        <v/>
      </c>
      <c r="X324" s="133" t="str">
        <f>IFERROR(_xlfn.XLOOKUP($A324,'Raw Data'!$G:$G,'Raw Data'!AI:AI),"")</f>
        <v/>
      </c>
      <c r="Y324" s="133" t="str">
        <f>IFERROR(_xlfn.XLOOKUP($A324,'Raw Data'!$G:$G,'Raw Data'!AJ:AJ),"")</f>
        <v/>
      </c>
      <c r="Z324" s="133" t="str">
        <f>IFERROR(_xlfn.XLOOKUP($A324,'Raw Data'!$G:$G,'Raw Data'!AK:AK),"")</f>
        <v/>
      </c>
      <c r="AA324" s="133" t="str">
        <f>IFERROR(_xlfn.XLOOKUP($A324,'Raw Data'!$G:$G,'Raw Data'!AL:AL),"")</f>
        <v/>
      </c>
      <c r="AB324" s="133" t="str">
        <f>IFERROR(_xlfn.XLOOKUP($A324,'Raw Data'!$G:$G,'Raw Data'!H:H),"")</f>
        <v/>
      </c>
      <c r="AC324" s="142">
        <f>IFERROR(_xlfn.XLOOKUP($D324,'Modelling New'!$D:$D,'Modelling New'!P:P),"")</f>
        <v>6.5714285714285712</v>
      </c>
      <c r="AD324" s="133">
        <f>IFERROR(_xlfn.XLOOKUP($D324,'Modelling New'!$D:$D,'Modelling New'!$T:$T)*1000,"")</f>
        <v>33989.340219935533</v>
      </c>
      <c r="AE324" s="143">
        <f>IFERROR(_xlfn.XLOOKUP($D324,'Modelling New'!$D:$D,'Modelling New'!O:O),"")</f>
        <v>0.64485168784471436</v>
      </c>
      <c r="AF324" s="145">
        <f>IFERROR(_xlfn.XLOOKUP($D324,'Modelling New'!$D:$D,'Modelling New'!W:W),"")</f>
        <v>0.17656653357652891</v>
      </c>
      <c r="AG324" s="145">
        <f>IFERROR(_xlfn.XLOOKUP($D324,'Modelling New'!$D:$D,'Modelling New'!AE:AE),"")</f>
        <v>0.98040000000000005</v>
      </c>
      <c r="AH324" s="167">
        <f>IFERROR(_xlfn.XLOOKUP($D324,'Modelling New'!$D:$D,'Modelling New'!AF:AF),"")</f>
        <v>0.98</v>
      </c>
      <c r="AN324" s="144"/>
      <c r="AO324" s="141"/>
      <c r="AP324" s="141"/>
      <c r="AQ324" s="141"/>
      <c r="AR324" s="133">
        <f>'Basic Data'!$B$98/1000</f>
        <v>8.0208999999999993</v>
      </c>
    </row>
    <row r="325" spans="1:44" x14ac:dyDescent="0.3">
      <c r="A325" s="132">
        <f t="shared" si="23"/>
        <v>46068</v>
      </c>
      <c r="B325" s="133">
        <f>YEAR(Table13[[#This Row],[Date]])+IF(MONTH(Table13[[#This Row],[Date]])&gt;=4,1,0)</f>
        <v>2026</v>
      </c>
      <c r="C325" s="134">
        <f>YEAR(Table13[[#This Row],[Date]])</f>
        <v>2026</v>
      </c>
      <c r="D325" s="135">
        <f>Table13[[#This Row],[Date]]-DAY(Table13[[#This Row],[Date]])+1</f>
        <v>46054</v>
      </c>
      <c r="E325" s="134">
        <f t="shared" si="20"/>
        <v>28</v>
      </c>
      <c r="F325" s="136" t="str">
        <f>IFERROR(_xlfn.XLOOKUP($A325,'Raw Data'!$G:$G,'Raw Data'!$AM:$AM),"")</f>
        <v/>
      </c>
      <c r="G325" s="137" t="str">
        <f>IFERROR(_xlfn.XLOOKUP($A325,'Raw Data'!$G:$G,'Raw Data'!$AB:$AB),"")</f>
        <v/>
      </c>
      <c r="H325" s="137"/>
      <c r="I325" s="137" t="str">
        <f>IFERROR(_xlfn.XLOOKUP($A325,'Raw Data'!$G:$G,'Raw Data'!$AC:$AC),"")</f>
        <v/>
      </c>
      <c r="J325" s="137"/>
      <c r="K325" s="137" t="str">
        <f>IFERROR(_xlfn.XLOOKUP($A325,'Raw Data'!$G:$G,'Raw Data'!AD:AD),"")</f>
        <v/>
      </c>
      <c r="L325" s="137" t="str">
        <f>IFERROR(_xlfn.XLOOKUP($A325,'Raw Data'!$G:$G,'Raw Data'!AE:AE),"")</f>
        <v/>
      </c>
      <c r="M325" s="137" t="str">
        <f>IFERROR(_xlfn.XLOOKUP($A325,'Raw Data'!$G:$G,'Raw Data'!AF:AF),"")</f>
        <v/>
      </c>
      <c r="N325" s="137" t="str">
        <f>IFERROR(_xlfn.XLOOKUP($A325,'Raw Data'!$G:$G,'Raw Data'!AG:AG),"")</f>
        <v/>
      </c>
      <c r="O325" s="138" t="str">
        <f>IFERROR(1-SUMIF('Plant BD'!$H:$H,$A325,'Plant BD'!$AE:$AE)/($AA325+SUMIF('Plant BD'!$H:$H,$A325,'Plant BD'!$AE:$AE)),"")</f>
        <v/>
      </c>
      <c r="P325" s="138"/>
      <c r="Q325" s="139"/>
      <c r="R325" s="138" t="str">
        <f>IFERROR(1-SUMIF('Grid BD'!$H:$H,$A325,'Grid BD'!$AD:$AD)/($AA325+SUMIF('Grid BD'!$H:$H,$A325,'Grid BD'!$AD:$AD)),"")</f>
        <v/>
      </c>
      <c r="T325" s="139"/>
      <c r="U325" s="140" t="str">
        <f t="shared" si="21"/>
        <v/>
      </c>
      <c r="V325" s="140"/>
      <c r="W325" s="141" t="str">
        <f t="shared" si="22"/>
        <v/>
      </c>
      <c r="X325" s="133" t="str">
        <f>IFERROR(_xlfn.XLOOKUP($A325,'Raw Data'!$G:$G,'Raw Data'!AI:AI),"")</f>
        <v/>
      </c>
      <c r="Y325" s="133" t="str">
        <f>IFERROR(_xlfn.XLOOKUP($A325,'Raw Data'!$G:$G,'Raw Data'!AJ:AJ),"")</f>
        <v/>
      </c>
      <c r="Z325" s="133" t="str">
        <f>IFERROR(_xlfn.XLOOKUP($A325,'Raw Data'!$G:$G,'Raw Data'!AK:AK),"")</f>
        <v/>
      </c>
      <c r="AA325" s="133" t="str">
        <f>IFERROR(_xlfn.XLOOKUP($A325,'Raw Data'!$G:$G,'Raw Data'!AL:AL),"")</f>
        <v/>
      </c>
      <c r="AB325" s="133" t="str">
        <f>IFERROR(_xlfn.XLOOKUP($A325,'Raw Data'!$G:$G,'Raw Data'!H:H),"")</f>
        <v/>
      </c>
      <c r="AC325" s="142">
        <f>IFERROR(_xlfn.XLOOKUP($D325,'Modelling New'!$D:$D,'Modelling New'!P:P),"")</f>
        <v>6.5714285714285712</v>
      </c>
      <c r="AD325" s="133">
        <f>IFERROR(_xlfn.XLOOKUP($D325,'Modelling New'!$D:$D,'Modelling New'!$T:$T)*1000,"")</f>
        <v>33989.340219935533</v>
      </c>
      <c r="AE325" s="143">
        <f>IFERROR(_xlfn.XLOOKUP($D325,'Modelling New'!$D:$D,'Modelling New'!O:O),"")</f>
        <v>0.64485168784471436</v>
      </c>
      <c r="AF325" s="145">
        <f>IFERROR(_xlfn.XLOOKUP($D325,'Modelling New'!$D:$D,'Modelling New'!W:W),"")</f>
        <v>0.17656653357652891</v>
      </c>
      <c r="AG325" s="145">
        <f>IFERROR(_xlfn.XLOOKUP($D325,'Modelling New'!$D:$D,'Modelling New'!AE:AE),"")</f>
        <v>0.98040000000000005</v>
      </c>
      <c r="AH325" s="167">
        <f>IFERROR(_xlfn.XLOOKUP($D325,'Modelling New'!$D:$D,'Modelling New'!AF:AF),"")</f>
        <v>0.98</v>
      </c>
      <c r="AN325" s="144"/>
      <c r="AO325" s="141"/>
      <c r="AP325" s="141"/>
      <c r="AQ325" s="141"/>
      <c r="AR325" s="133">
        <f>'Basic Data'!$B$98/1000</f>
        <v>8.0208999999999993</v>
      </c>
    </row>
    <row r="326" spans="1:44" x14ac:dyDescent="0.3">
      <c r="A326" s="132">
        <f t="shared" si="23"/>
        <v>46069</v>
      </c>
      <c r="B326" s="133">
        <f>YEAR(Table13[[#This Row],[Date]])+IF(MONTH(Table13[[#This Row],[Date]])&gt;=4,1,0)</f>
        <v>2026</v>
      </c>
      <c r="C326" s="134">
        <f>YEAR(Table13[[#This Row],[Date]])</f>
        <v>2026</v>
      </c>
      <c r="D326" s="135">
        <f>Table13[[#This Row],[Date]]-DAY(Table13[[#This Row],[Date]])+1</f>
        <v>46054</v>
      </c>
      <c r="E326" s="134">
        <f t="shared" si="20"/>
        <v>28</v>
      </c>
      <c r="F326" s="136" t="str">
        <f>IFERROR(_xlfn.XLOOKUP($A326,'Raw Data'!$G:$G,'Raw Data'!$AM:$AM),"")</f>
        <v/>
      </c>
      <c r="G326" s="137" t="str">
        <f>IFERROR(_xlfn.XLOOKUP($A326,'Raw Data'!$G:$G,'Raw Data'!$AB:$AB),"")</f>
        <v/>
      </c>
      <c r="H326" s="137"/>
      <c r="I326" s="137" t="str">
        <f>IFERROR(_xlfn.XLOOKUP($A326,'Raw Data'!$G:$G,'Raw Data'!$AC:$AC),"")</f>
        <v/>
      </c>
      <c r="J326" s="137"/>
      <c r="K326" s="137" t="str">
        <f>IFERROR(_xlfn.XLOOKUP($A326,'Raw Data'!$G:$G,'Raw Data'!AD:AD),"")</f>
        <v/>
      </c>
      <c r="L326" s="137" t="str">
        <f>IFERROR(_xlfn.XLOOKUP($A326,'Raw Data'!$G:$G,'Raw Data'!AE:AE),"")</f>
        <v/>
      </c>
      <c r="M326" s="137" t="str">
        <f>IFERROR(_xlfn.XLOOKUP($A326,'Raw Data'!$G:$G,'Raw Data'!AF:AF),"")</f>
        <v/>
      </c>
      <c r="N326" s="137" t="str">
        <f>IFERROR(_xlfn.XLOOKUP($A326,'Raw Data'!$G:$G,'Raw Data'!AG:AG),"")</f>
        <v/>
      </c>
      <c r="O326" s="138" t="str">
        <f>IFERROR(1-SUMIF('Plant BD'!$H:$H,$A326,'Plant BD'!$AE:$AE)/($AA326+SUMIF('Plant BD'!$H:$H,$A326,'Plant BD'!$AE:$AE)),"")</f>
        <v/>
      </c>
      <c r="P326" s="138"/>
      <c r="Q326" s="139"/>
      <c r="R326" s="138" t="str">
        <f>IFERROR(1-SUMIF('Grid BD'!$H:$H,$A326,'Grid BD'!$AD:$AD)/($AA326+SUMIF('Grid BD'!$H:$H,$A326,'Grid BD'!$AD:$AD)),"")</f>
        <v/>
      </c>
      <c r="T326" s="139"/>
      <c r="U326" s="140" t="str">
        <f t="shared" si="21"/>
        <v/>
      </c>
      <c r="V326" s="140"/>
      <c r="W326" s="141" t="str">
        <f t="shared" si="22"/>
        <v/>
      </c>
      <c r="X326" s="133" t="str">
        <f>IFERROR(_xlfn.XLOOKUP($A326,'Raw Data'!$G:$G,'Raw Data'!AI:AI),"")</f>
        <v/>
      </c>
      <c r="Y326" s="133" t="str">
        <f>IFERROR(_xlfn.XLOOKUP($A326,'Raw Data'!$G:$G,'Raw Data'!AJ:AJ),"")</f>
        <v/>
      </c>
      <c r="Z326" s="133" t="str">
        <f>IFERROR(_xlfn.XLOOKUP($A326,'Raw Data'!$G:$G,'Raw Data'!AK:AK),"")</f>
        <v/>
      </c>
      <c r="AA326" s="133" t="str">
        <f>IFERROR(_xlfn.XLOOKUP($A326,'Raw Data'!$G:$G,'Raw Data'!AL:AL),"")</f>
        <v/>
      </c>
      <c r="AB326" s="133" t="str">
        <f>IFERROR(_xlfn.XLOOKUP($A326,'Raw Data'!$G:$G,'Raw Data'!H:H),"")</f>
        <v/>
      </c>
      <c r="AC326" s="142">
        <f>IFERROR(_xlfn.XLOOKUP($D326,'Modelling New'!$D:$D,'Modelling New'!P:P),"")</f>
        <v>6.5714285714285712</v>
      </c>
      <c r="AD326" s="133">
        <f>IFERROR(_xlfn.XLOOKUP($D326,'Modelling New'!$D:$D,'Modelling New'!$T:$T)*1000,"")</f>
        <v>33989.340219935533</v>
      </c>
      <c r="AE326" s="143">
        <f>IFERROR(_xlfn.XLOOKUP($D326,'Modelling New'!$D:$D,'Modelling New'!O:O),"")</f>
        <v>0.64485168784471436</v>
      </c>
      <c r="AF326" s="145">
        <f>IFERROR(_xlfn.XLOOKUP($D326,'Modelling New'!$D:$D,'Modelling New'!W:W),"")</f>
        <v>0.17656653357652891</v>
      </c>
      <c r="AG326" s="145">
        <f>IFERROR(_xlfn.XLOOKUP($D326,'Modelling New'!$D:$D,'Modelling New'!AE:AE),"")</f>
        <v>0.98040000000000005</v>
      </c>
      <c r="AH326" s="167">
        <f>IFERROR(_xlfn.XLOOKUP($D326,'Modelling New'!$D:$D,'Modelling New'!AF:AF),"")</f>
        <v>0.98</v>
      </c>
      <c r="AN326" s="144"/>
      <c r="AO326" s="141"/>
      <c r="AP326" s="141"/>
      <c r="AQ326" s="141"/>
      <c r="AR326" s="133">
        <f>'Basic Data'!$B$98/1000</f>
        <v>8.0208999999999993</v>
      </c>
    </row>
    <row r="327" spans="1:44" x14ac:dyDescent="0.3">
      <c r="A327" s="132">
        <f t="shared" si="23"/>
        <v>46070</v>
      </c>
      <c r="B327" s="133">
        <f>YEAR(Table13[[#This Row],[Date]])+IF(MONTH(Table13[[#This Row],[Date]])&gt;=4,1,0)</f>
        <v>2026</v>
      </c>
      <c r="C327" s="134">
        <f>YEAR(Table13[[#This Row],[Date]])</f>
        <v>2026</v>
      </c>
      <c r="D327" s="135">
        <f>Table13[[#This Row],[Date]]-DAY(Table13[[#This Row],[Date]])+1</f>
        <v>46054</v>
      </c>
      <c r="E327" s="134">
        <f t="shared" si="20"/>
        <v>28</v>
      </c>
      <c r="F327" s="136" t="str">
        <f>IFERROR(_xlfn.XLOOKUP($A327,'Raw Data'!$G:$G,'Raw Data'!$AM:$AM),"")</f>
        <v/>
      </c>
      <c r="G327" s="137" t="str">
        <f>IFERROR(_xlfn.XLOOKUP($A327,'Raw Data'!$G:$G,'Raw Data'!$AB:$AB),"")</f>
        <v/>
      </c>
      <c r="H327" s="137"/>
      <c r="I327" s="137" t="str">
        <f>IFERROR(_xlfn.XLOOKUP($A327,'Raw Data'!$G:$G,'Raw Data'!$AC:$AC),"")</f>
        <v/>
      </c>
      <c r="J327" s="137"/>
      <c r="K327" s="137" t="str">
        <f>IFERROR(_xlfn.XLOOKUP($A327,'Raw Data'!$G:$G,'Raw Data'!AD:AD),"")</f>
        <v/>
      </c>
      <c r="L327" s="137" t="str">
        <f>IFERROR(_xlfn.XLOOKUP($A327,'Raw Data'!$G:$G,'Raw Data'!AE:AE),"")</f>
        <v/>
      </c>
      <c r="M327" s="137" t="str">
        <f>IFERROR(_xlfn.XLOOKUP($A327,'Raw Data'!$G:$G,'Raw Data'!AF:AF),"")</f>
        <v/>
      </c>
      <c r="N327" s="137" t="str">
        <f>IFERROR(_xlfn.XLOOKUP($A327,'Raw Data'!$G:$G,'Raw Data'!AG:AG),"")</f>
        <v/>
      </c>
      <c r="O327" s="138" t="str">
        <f>IFERROR(1-SUMIF('Plant BD'!$H:$H,$A327,'Plant BD'!$AE:$AE)/($AA327+SUMIF('Plant BD'!$H:$H,$A327,'Plant BD'!$AE:$AE)),"")</f>
        <v/>
      </c>
      <c r="P327" s="138"/>
      <c r="Q327" s="139"/>
      <c r="R327" s="138" t="str">
        <f>IFERROR(1-SUMIF('Grid BD'!$H:$H,$A327,'Grid BD'!$AD:$AD)/($AA327+SUMIF('Grid BD'!$H:$H,$A327,'Grid BD'!$AD:$AD)),"")</f>
        <v/>
      </c>
      <c r="T327" s="139"/>
      <c r="U327" s="140" t="str">
        <f t="shared" si="21"/>
        <v/>
      </c>
      <c r="V327" s="140"/>
      <c r="W327" s="141" t="str">
        <f t="shared" si="22"/>
        <v/>
      </c>
      <c r="X327" s="133" t="str">
        <f>IFERROR(_xlfn.XLOOKUP($A327,'Raw Data'!$G:$G,'Raw Data'!AI:AI),"")</f>
        <v/>
      </c>
      <c r="Y327" s="133" t="str">
        <f>IFERROR(_xlfn.XLOOKUP($A327,'Raw Data'!$G:$G,'Raw Data'!AJ:AJ),"")</f>
        <v/>
      </c>
      <c r="Z327" s="133" t="str">
        <f>IFERROR(_xlfn.XLOOKUP($A327,'Raw Data'!$G:$G,'Raw Data'!AK:AK),"")</f>
        <v/>
      </c>
      <c r="AA327" s="133" t="str">
        <f>IFERROR(_xlfn.XLOOKUP($A327,'Raw Data'!$G:$G,'Raw Data'!AL:AL),"")</f>
        <v/>
      </c>
      <c r="AB327" s="133" t="str">
        <f>IFERROR(_xlfn.XLOOKUP($A327,'Raw Data'!$G:$G,'Raw Data'!H:H),"")</f>
        <v/>
      </c>
      <c r="AC327" s="142">
        <f>IFERROR(_xlfn.XLOOKUP($D327,'Modelling New'!$D:$D,'Modelling New'!P:P),"")</f>
        <v>6.5714285714285712</v>
      </c>
      <c r="AD327" s="133">
        <f>IFERROR(_xlfn.XLOOKUP($D327,'Modelling New'!$D:$D,'Modelling New'!$T:$T)*1000,"")</f>
        <v>33989.340219935533</v>
      </c>
      <c r="AE327" s="143">
        <f>IFERROR(_xlfn.XLOOKUP($D327,'Modelling New'!$D:$D,'Modelling New'!O:O),"")</f>
        <v>0.64485168784471436</v>
      </c>
      <c r="AF327" s="145">
        <f>IFERROR(_xlfn.XLOOKUP($D327,'Modelling New'!$D:$D,'Modelling New'!W:W),"")</f>
        <v>0.17656653357652891</v>
      </c>
      <c r="AG327" s="145">
        <f>IFERROR(_xlfn.XLOOKUP($D327,'Modelling New'!$D:$D,'Modelling New'!AE:AE),"")</f>
        <v>0.98040000000000005</v>
      </c>
      <c r="AH327" s="167">
        <f>IFERROR(_xlfn.XLOOKUP($D327,'Modelling New'!$D:$D,'Modelling New'!AF:AF),"")</f>
        <v>0.98</v>
      </c>
      <c r="AN327" s="144"/>
      <c r="AO327" s="141"/>
      <c r="AP327" s="141"/>
      <c r="AQ327" s="141"/>
      <c r="AR327" s="133">
        <f>'Basic Data'!$B$98/1000</f>
        <v>8.0208999999999993</v>
      </c>
    </row>
    <row r="328" spans="1:44" x14ac:dyDescent="0.3">
      <c r="A328" s="132">
        <f t="shared" si="23"/>
        <v>46071</v>
      </c>
      <c r="B328" s="133">
        <f>YEAR(Table13[[#This Row],[Date]])+IF(MONTH(Table13[[#This Row],[Date]])&gt;=4,1,0)</f>
        <v>2026</v>
      </c>
      <c r="C328" s="134">
        <f>YEAR(Table13[[#This Row],[Date]])</f>
        <v>2026</v>
      </c>
      <c r="D328" s="135">
        <f>Table13[[#This Row],[Date]]-DAY(Table13[[#This Row],[Date]])+1</f>
        <v>46054</v>
      </c>
      <c r="E328" s="134">
        <f t="shared" si="20"/>
        <v>28</v>
      </c>
      <c r="F328" s="136" t="str">
        <f>IFERROR(_xlfn.XLOOKUP($A328,'Raw Data'!$G:$G,'Raw Data'!$AM:$AM),"")</f>
        <v/>
      </c>
      <c r="G328" s="137" t="str">
        <f>IFERROR(_xlfn.XLOOKUP($A328,'Raw Data'!$G:$G,'Raw Data'!$AB:$AB),"")</f>
        <v/>
      </c>
      <c r="H328" s="137"/>
      <c r="I328" s="137" t="str">
        <f>IFERROR(_xlfn.XLOOKUP($A328,'Raw Data'!$G:$G,'Raw Data'!$AC:$AC),"")</f>
        <v/>
      </c>
      <c r="J328" s="137"/>
      <c r="K328" s="137" t="str">
        <f>IFERROR(_xlfn.XLOOKUP($A328,'Raw Data'!$G:$G,'Raw Data'!AD:AD),"")</f>
        <v/>
      </c>
      <c r="L328" s="137" t="str">
        <f>IFERROR(_xlfn.XLOOKUP($A328,'Raw Data'!$G:$G,'Raw Data'!AE:AE),"")</f>
        <v/>
      </c>
      <c r="M328" s="137" t="str">
        <f>IFERROR(_xlfn.XLOOKUP($A328,'Raw Data'!$G:$G,'Raw Data'!AF:AF),"")</f>
        <v/>
      </c>
      <c r="N328" s="137" t="str">
        <f>IFERROR(_xlfn.XLOOKUP($A328,'Raw Data'!$G:$G,'Raw Data'!AG:AG),"")</f>
        <v/>
      </c>
      <c r="O328" s="138" t="str">
        <f>IFERROR(1-SUMIF('Plant BD'!$H:$H,$A328,'Plant BD'!$AE:$AE)/($AA328+SUMIF('Plant BD'!$H:$H,$A328,'Plant BD'!$AE:$AE)),"")</f>
        <v/>
      </c>
      <c r="P328" s="138"/>
      <c r="Q328" s="139"/>
      <c r="R328" s="138" t="str">
        <f>IFERROR(1-SUMIF('Grid BD'!$H:$H,$A328,'Grid BD'!$AD:$AD)/($AA328+SUMIF('Grid BD'!$H:$H,$A328,'Grid BD'!$AD:$AD)),"")</f>
        <v/>
      </c>
      <c r="T328" s="139"/>
      <c r="U328" s="140" t="str">
        <f t="shared" si="21"/>
        <v/>
      </c>
      <c r="V328" s="140"/>
      <c r="W328" s="141" t="str">
        <f t="shared" si="22"/>
        <v/>
      </c>
      <c r="X328" s="133" t="str">
        <f>IFERROR(_xlfn.XLOOKUP($A328,'Raw Data'!$G:$G,'Raw Data'!AI:AI),"")</f>
        <v/>
      </c>
      <c r="Y328" s="133" t="str">
        <f>IFERROR(_xlfn.XLOOKUP($A328,'Raw Data'!$G:$G,'Raw Data'!AJ:AJ),"")</f>
        <v/>
      </c>
      <c r="Z328" s="133" t="str">
        <f>IFERROR(_xlfn.XLOOKUP($A328,'Raw Data'!$G:$G,'Raw Data'!AK:AK),"")</f>
        <v/>
      </c>
      <c r="AA328" s="133" t="str">
        <f>IFERROR(_xlfn.XLOOKUP($A328,'Raw Data'!$G:$G,'Raw Data'!AL:AL),"")</f>
        <v/>
      </c>
      <c r="AB328" s="133" t="str">
        <f>IFERROR(_xlfn.XLOOKUP($A328,'Raw Data'!$G:$G,'Raw Data'!H:H),"")</f>
        <v/>
      </c>
      <c r="AC328" s="142">
        <f>IFERROR(_xlfn.XLOOKUP($D328,'Modelling New'!$D:$D,'Modelling New'!P:P),"")</f>
        <v>6.5714285714285712</v>
      </c>
      <c r="AD328" s="133">
        <f>IFERROR(_xlfn.XLOOKUP($D328,'Modelling New'!$D:$D,'Modelling New'!$T:$T)*1000,"")</f>
        <v>33989.340219935533</v>
      </c>
      <c r="AE328" s="143">
        <f>IFERROR(_xlfn.XLOOKUP($D328,'Modelling New'!$D:$D,'Modelling New'!O:O),"")</f>
        <v>0.64485168784471436</v>
      </c>
      <c r="AF328" s="145">
        <f>IFERROR(_xlfn.XLOOKUP($D328,'Modelling New'!$D:$D,'Modelling New'!W:W),"")</f>
        <v>0.17656653357652891</v>
      </c>
      <c r="AG328" s="145">
        <f>IFERROR(_xlfn.XLOOKUP($D328,'Modelling New'!$D:$D,'Modelling New'!AE:AE),"")</f>
        <v>0.98040000000000005</v>
      </c>
      <c r="AH328" s="167">
        <f>IFERROR(_xlfn.XLOOKUP($D328,'Modelling New'!$D:$D,'Modelling New'!AF:AF),"")</f>
        <v>0.98</v>
      </c>
      <c r="AN328" s="144"/>
      <c r="AO328" s="141"/>
      <c r="AP328" s="141"/>
      <c r="AQ328" s="141"/>
      <c r="AR328" s="133">
        <f>'Basic Data'!$B$98/1000</f>
        <v>8.0208999999999993</v>
      </c>
    </row>
    <row r="329" spans="1:44" x14ac:dyDescent="0.3">
      <c r="A329" s="132">
        <f t="shared" si="23"/>
        <v>46072</v>
      </c>
      <c r="B329" s="133">
        <f>YEAR(Table13[[#This Row],[Date]])+IF(MONTH(Table13[[#This Row],[Date]])&gt;=4,1,0)</f>
        <v>2026</v>
      </c>
      <c r="C329" s="134">
        <f>YEAR(Table13[[#This Row],[Date]])</f>
        <v>2026</v>
      </c>
      <c r="D329" s="135">
        <f>Table13[[#This Row],[Date]]-DAY(Table13[[#This Row],[Date]])+1</f>
        <v>46054</v>
      </c>
      <c r="E329" s="134">
        <f t="shared" si="20"/>
        <v>28</v>
      </c>
      <c r="F329" s="136" t="str">
        <f>IFERROR(_xlfn.XLOOKUP($A329,'Raw Data'!$G:$G,'Raw Data'!$AM:$AM),"")</f>
        <v/>
      </c>
      <c r="G329" s="137" t="str">
        <f>IFERROR(_xlfn.XLOOKUP($A329,'Raw Data'!$G:$G,'Raw Data'!$AB:$AB),"")</f>
        <v/>
      </c>
      <c r="H329" s="137"/>
      <c r="I329" s="137" t="str">
        <f>IFERROR(_xlfn.XLOOKUP($A329,'Raw Data'!$G:$G,'Raw Data'!$AC:$AC),"")</f>
        <v/>
      </c>
      <c r="J329" s="137"/>
      <c r="K329" s="137" t="str">
        <f>IFERROR(_xlfn.XLOOKUP($A329,'Raw Data'!$G:$G,'Raw Data'!AD:AD),"")</f>
        <v/>
      </c>
      <c r="L329" s="137" t="str">
        <f>IFERROR(_xlfn.XLOOKUP($A329,'Raw Data'!$G:$G,'Raw Data'!AE:AE),"")</f>
        <v/>
      </c>
      <c r="M329" s="137" t="str">
        <f>IFERROR(_xlfn.XLOOKUP($A329,'Raw Data'!$G:$G,'Raw Data'!AF:AF),"")</f>
        <v/>
      </c>
      <c r="N329" s="137" t="str">
        <f>IFERROR(_xlfn.XLOOKUP($A329,'Raw Data'!$G:$G,'Raw Data'!AG:AG),"")</f>
        <v/>
      </c>
      <c r="O329" s="138" t="str">
        <f>IFERROR(1-SUMIF('Plant BD'!$H:$H,$A329,'Plant BD'!$AE:$AE)/($AA329+SUMIF('Plant BD'!$H:$H,$A329,'Plant BD'!$AE:$AE)),"")</f>
        <v/>
      </c>
      <c r="P329" s="138"/>
      <c r="Q329" s="139"/>
      <c r="R329" s="138" t="str">
        <f>IFERROR(1-SUMIF('Grid BD'!$H:$H,$A329,'Grid BD'!$AD:$AD)/($AA329+SUMIF('Grid BD'!$H:$H,$A329,'Grid BD'!$AD:$AD)),"")</f>
        <v/>
      </c>
      <c r="T329" s="139"/>
      <c r="U329" s="140" t="str">
        <f t="shared" si="21"/>
        <v/>
      </c>
      <c r="V329" s="140"/>
      <c r="W329" s="141" t="str">
        <f t="shared" si="22"/>
        <v/>
      </c>
      <c r="X329" s="133" t="str">
        <f>IFERROR(_xlfn.XLOOKUP($A329,'Raw Data'!$G:$G,'Raw Data'!AI:AI),"")</f>
        <v/>
      </c>
      <c r="Y329" s="133" t="str">
        <f>IFERROR(_xlfn.XLOOKUP($A329,'Raw Data'!$G:$G,'Raw Data'!AJ:AJ),"")</f>
        <v/>
      </c>
      <c r="Z329" s="133" t="str">
        <f>IFERROR(_xlfn.XLOOKUP($A329,'Raw Data'!$G:$G,'Raw Data'!AK:AK),"")</f>
        <v/>
      </c>
      <c r="AA329" s="133" t="str">
        <f>IFERROR(_xlfn.XLOOKUP($A329,'Raw Data'!$G:$G,'Raw Data'!AL:AL),"")</f>
        <v/>
      </c>
      <c r="AB329" s="133" t="str">
        <f>IFERROR(_xlfn.XLOOKUP($A329,'Raw Data'!$G:$G,'Raw Data'!H:H),"")</f>
        <v/>
      </c>
      <c r="AC329" s="142">
        <f>IFERROR(_xlfn.XLOOKUP($D329,'Modelling New'!$D:$D,'Modelling New'!P:P),"")</f>
        <v>6.5714285714285712</v>
      </c>
      <c r="AD329" s="133">
        <f>IFERROR(_xlfn.XLOOKUP($D329,'Modelling New'!$D:$D,'Modelling New'!$T:$T)*1000,"")</f>
        <v>33989.340219935533</v>
      </c>
      <c r="AE329" s="143">
        <f>IFERROR(_xlfn.XLOOKUP($D329,'Modelling New'!$D:$D,'Modelling New'!O:O),"")</f>
        <v>0.64485168784471436</v>
      </c>
      <c r="AF329" s="145">
        <f>IFERROR(_xlfn.XLOOKUP($D329,'Modelling New'!$D:$D,'Modelling New'!W:W),"")</f>
        <v>0.17656653357652891</v>
      </c>
      <c r="AG329" s="145">
        <f>IFERROR(_xlfn.XLOOKUP($D329,'Modelling New'!$D:$D,'Modelling New'!AE:AE),"")</f>
        <v>0.98040000000000005</v>
      </c>
      <c r="AH329" s="167">
        <f>IFERROR(_xlfn.XLOOKUP($D329,'Modelling New'!$D:$D,'Modelling New'!AF:AF),"")</f>
        <v>0.98</v>
      </c>
      <c r="AN329" s="144"/>
      <c r="AO329" s="141"/>
      <c r="AP329" s="141"/>
      <c r="AQ329" s="141"/>
      <c r="AR329" s="133">
        <f>'Basic Data'!$B$98/1000</f>
        <v>8.0208999999999993</v>
      </c>
    </row>
    <row r="330" spans="1:44" x14ac:dyDescent="0.3">
      <c r="A330" s="132">
        <f t="shared" si="23"/>
        <v>46073</v>
      </c>
      <c r="B330" s="133">
        <f>YEAR(Table13[[#This Row],[Date]])+IF(MONTH(Table13[[#This Row],[Date]])&gt;=4,1,0)</f>
        <v>2026</v>
      </c>
      <c r="C330" s="134">
        <f>YEAR(Table13[[#This Row],[Date]])</f>
        <v>2026</v>
      </c>
      <c r="D330" s="135">
        <f>Table13[[#This Row],[Date]]-DAY(Table13[[#This Row],[Date]])+1</f>
        <v>46054</v>
      </c>
      <c r="E330" s="134">
        <f t="shared" si="20"/>
        <v>28</v>
      </c>
      <c r="F330" s="136" t="str">
        <f>IFERROR(_xlfn.XLOOKUP($A330,'Raw Data'!$G:$G,'Raw Data'!$AM:$AM),"")</f>
        <v/>
      </c>
      <c r="G330" s="137" t="str">
        <f>IFERROR(_xlfn.XLOOKUP($A330,'Raw Data'!$G:$G,'Raw Data'!$AB:$AB),"")</f>
        <v/>
      </c>
      <c r="H330" s="137"/>
      <c r="I330" s="137" t="str">
        <f>IFERROR(_xlfn.XLOOKUP($A330,'Raw Data'!$G:$G,'Raw Data'!$AC:$AC),"")</f>
        <v/>
      </c>
      <c r="J330" s="137"/>
      <c r="K330" s="137" t="str">
        <f>IFERROR(_xlfn.XLOOKUP($A330,'Raw Data'!$G:$G,'Raw Data'!AD:AD),"")</f>
        <v/>
      </c>
      <c r="L330" s="137" t="str">
        <f>IFERROR(_xlfn.XLOOKUP($A330,'Raw Data'!$G:$G,'Raw Data'!AE:AE),"")</f>
        <v/>
      </c>
      <c r="M330" s="137" t="str">
        <f>IFERROR(_xlfn.XLOOKUP($A330,'Raw Data'!$G:$G,'Raw Data'!AF:AF),"")</f>
        <v/>
      </c>
      <c r="N330" s="137" t="str">
        <f>IFERROR(_xlfn.XLOOKUP($A330,'Raw Data'!$G:$G,'Raw Data'!AG:AG),"")</f>
        <v/>
      </c>
      <c r="O330" s="138" t="str">
        <f>IFERROR(1-SUMIF('Plant BD'!$H:$H,$A330,'Plant BD'!$AE:$AE)/($AA330+SUMIF('Plant BD'!$H:$H,$A330,'Plant BD'!$AE:$AE)),"")</f>
        <v/>
      </c>
      <c r="P330" s="138"/>
      <c r="Q330" s="139"/>
      <c r="R330" s="138" t="str">
        <f>IFERROR(1-SUMIF('Grid BD'!$H:$H,$A330,'Grid BD'!$AD:$AD)/($AA330+SUMIF('Grid BD'!$H:$H,$A330,'Grid BD'!$AD:$AD)),"")</f>
        <v/>
      </c>
      <c r="T330" s="139"/>
      <c r="U330" s="140" t="str">
        <f t="shared" si="21"/>
        <v/>
      </c>
      <c r="V330" s="140"/>
      <c r="W330" s="141" t="str">
        <f t="shared" si="22"/>
        <v/>
      </c>
      <c r="X330" s="133" t="str">
        <f>IFERROR(_xlfn.XLOOKUP($A330,'Raw Data'!$G:$G,'Raw Data'!AI:AI),"")</f>
        <v/>
      </c>
      <c r="Y330" s="133" t="str">
        <f>IFERROR(_xlfn.XLOOKUP($A330,'Raw Data'!$G:$G,'Raw Data'!AJ:AJ),"")</f>
        <v/>
      </c>
      <c r="Z330" s="133" t="str">
        <f>IFERROR(_xlfn.XLOOKUP($A330,'Raw Data'!$G:$G,'Raw Data'!AK:AK),"")</f>
        <v/>
      </c>
      <c r="AA330" s="133" t="str">
        <f>IFERROR(_xlfn.XLOOKUP($A330,'Raw Data'!$G:$G,'Raw Data'!AL:AL),"")</f>
        <v/>
      </c>
      <c r="AB330" s="133" t="str">
        <f>IFERROR(_xlfn.XLOOKUP($A330,'Raw Data'!$G:$G,'Raw Data'!H:H),"")</f>
        <v/>
      </c>
      <c r="AC330" s="142">
        <f>IFERROR(_xlfn.XLOOKUP($D330,'Modelling New'!$D:$D,'Modelling New'!P:P),"")</f>
        <v>6.5714285714285712</v>
      </c>
      <c r="AD330" s="133">
        <f>IFERROR(_xlfn.XLOOKUP($D330,'Modelling New'!$D:$D,'Modelling New'!$T:$T)*1000,"")</f>
        <v>33989.340219935533</v>
      </c>
      <c r="AE330" s="143">
        <f>IFERROR(_xlfn.XLOOKUP($D330,'Modelling New'!$D:$D,'Modelling New'!O:O),"")</f>
        <v>0.64485168784471436</v>
      </c>
      <c r="AF330" s="145">
        <f>IFERROR(_xlfn.XLOOKUP($D330,'Modelling New'!$D:$D,'Modelling New'!W:W),"")</f>
        <v>0.17656653357652891</v>
      </c>
      <c r="AG330" s="145">
        <f>IFERROR(_xlfn.XLOOKUP($D330,'Modelling New'!$D:$D,'Modelling New'!AE:AE),"")</f>
        <v>0.98040000000000005</v>
      </c>
      <c r="AH330" s="167">
        <f>IFERROR(_xlfn.XLOOKUP($D330,'Modelling New'!$D:$D,'Modelling New'!AF:AF),"")</f>
        <v>0.98</v>
      </c>
      <c r="AN330" s="144"/>
      <c r="AO330" s="141"/>
      <c r="AP330" s="141"/>
      <c r="AQ330" s="141"/>
      <c r="AR330" s="133">
        <f>'Basic Data'!$B$98/1000</f>
        <v>8.0208999999999993</v>
      </c>
    </row>
    <row r="331" spans="1:44" x14ac:dyDescent="0.3">
      <c r="A331" s="132">
        <f t="shared" si="23"/>
        <v>46074</v>
      </c>
      <c r="B331" s="133">
        <f>YEAR(Table13[[#This Row],[Date]])+IF(MONTH(Table13[[#This Row],[Date]])&gt;=4,1,0)</f>
        <v>2026</v>
      </c>
      <c r="C331" s="134">
        <f>YEAR(Table13[[#This Row],[Date]])</f>
        <v>2026</v>
      </c>
      <c r="D331" s="135">
        <f>Table13[[#This Row],[Date]]-DAY(Table13[[#This Row],[Date]])+1</f>
        <v>46054</v>
      </c>
      <c r="E331" s="134">
        <f t="shared" si="20"/>
        <v>28</v>
      </c>
      <c r="F331" s="136" t="str">
        <f>IFERROR(_xlfn.XLOOKUP($A331,'Raw Data'!$G:$G,'Raw Data'!$AM:$AM),"")</f>
        <v/>
      </c>
      <c r="G331" s="137" t="str">
        <f>IFERROR(_xlfn.XLOOKUP($A331,'Raw Data'!$G:$G,'Raw Data'!$AB:$AB),"")</f>
        <v/>
      </c>
      <c r="H331" s="137"/>
      <c r="I331" s="137" t="str">
        <f>IFERROR(_xlfn.XLOOKUP($A331,'Raw Data'!$G:$G,'Raw Data'!$AC:$AC),"")</f>
        <v/>
      </c>
      <c r="J331" s="137"/>
      <c r="K331" s="137" t="str">
        <f>IFERROR(_xlfn.XLOOKUP($A331,'Raw Data'!$G:$G,'Raw Data'!AD:AD),"")</f>
        <v/>
      </c>
      <c r="L331" s="137" t="str">
        <f>IFERROR(_xlfn.XLOOKUP($A331,'Raw Data'!$G:$G,'Raw Data'!AE:AE),"")</f>
        <v/>
      </c>
      <c r="M331" s="137" t="str">
        <f>IFERROR(_xlfn.XLOOKUP($A331,'Raw Data'!$G:$G,'Raw Data'!AF:AF),"")</f>
        <v/>
      </c>
      <c r="N331" s="137" t="str">
        <f>IFERROR(_xlfn.XLOOKUP($A331,'Raw Data'!$G:$G,'Raw Data'!AG:AG),"")</f>
        <v/>
      </c>
      <c r="O331" s="138" t="str">
        <f>IFERROR(1-SUMIF('Plant BD'!$H:$H,$A331,'Plant BD'!$AE:$AE)/($AA331+SUMIF('Plant BD'!$H:$H,$A331,'Plant BD'!$AE:$AE)),"")</f>
        <v/>
      </c>
      <c r="P331" s="138"/>
      <c r="Q331" s="139"/>
      <c r="R331" s="138" t="str">
        <f>IFERROR(1-SUMIF('Grid BD'!$H:$H,$A331,'Grid BD'!$AD:$AD)/($AA331+SUMIF('Grid BD'!$H:$H,$A331,'Grid BD'!$AD:$AD)),"")</f>
        <v/>
      </c>
      <c r="T331" s="139"/>
      <c r="U331" s="140" t="str">
        <f t="shared" si="21"/>
        <v/>
      </c>
      <c r="V331" s="140"/>
      <c r="W331" s="141" t="str">
        <f t="shared" si="22"/>
        <v/>
      </c>
      <c r="X331" s="133" t="str">
        <f>IFERROR(_xlfn.XLOOKUP($A331,'Raw Data'!$G:$G,'Raw Data'!AI:AI),"")</f>
        <v/>
      </c>
      <c r="Y331" s="133" t="str">
        <f>IFERROR(_xlfn.XLOOKUP($A331,'Raw Data'!$G:$G,'Raw Data'!AJ:AJ),"")</f>
        <v/>
      </c>
      <c r="Z331" s="133" t="str">
        <f>IFERROR(_xlfn.XLOOKUP($A331,'Raw Data'!$G:$G,'Raw Data'!AK:AK),"")</f>
        <v/>
      </c>
      <c r="AA331" s="133" t="str">
        <f>IFERROR(_xlfn.XLOOKUP($A331,'Raw Data'!$G:$G,'Raw Data'!AL:AL),"")</f>
        <v/>
      </c>
      <c r="AB331" s="133" t="str">
        <f>IFERROR(_xlfn.XLOOKUP($A331,'Raw Data'!$G:$G,'Raw Data'!H:H),"")</f>
        <v/>
      </c>
      <c r="AC331" s="142">
        <f>IFERROR(_xlfn.XLOOKUP($D331,'Modelling New'!$D:$D,'Modelling New'!P:P),"")</f>
        <v>6.5714285714285712</v>
      </c>
      <c r="AD331" s="133">
        <f>IFERROR(_xlfn.XLOOKUP($D331,'Modelling New'!$D:$D,'Modelling New'!$T:$T)*1000,"")</f>
        <v>33989.340219935533</v>
      </c>
      <c r="AE331" s="143">
        <f>IFERROR(_xlfn.XLOOKUP($D331,'Modelling New'!$D:$D,'Modelling New'!O:O),"")</f>
        <v>0.64485168784471436</v>
      </c>
      <c r="AF331" s="145">
        <f>IFERROR(_xlfn.XLOOKUP($D331,'Modelling New'!$D:$D,'Modelling New'!W:W),"")</f>
        <v>0.17656653357652891</v>
      </c>
      <c r="AG331" s="145">
        <f>IFERROR(_xlfn.XLOOKUP($D331,'Modelling New'!$D:$D,'Modelling New'!AE:AE),"")</f>
        <v>0.98040000000000005</v>
      </c>
      <c r="AH331" s="167">
        <f>IFERROR(_xlfn.XLOOKUP($D331,'Modelling New'!$D:$D,'Modelling New'!AF:AF),"")</f>
        <v>0.98</v>
      </c>
      <c r="AN331" s="144"/>
      <c r="AO331" s="141"/>
      <c r="AP331" s="141"/>
      <c r="AQ331" s="141"/>
      <c r="AR331" s="133">
        <f>'Basic Data'!$B$98/1000</f>
        <v>8.0208999999999993</v>
      </c>
    </row>
    <row r="332" spans="1:44" x14ac:dyDescent="0.3">
      <c r="A332" s="132">
        <f t="shared" si="23"/>
        <v>46075</v>
      </c>
      <c r="B332" s="133">
        <f>YEAR(Table13[[#This Row],[Date]])+IF(MONTH(Table13[[#This Row],[Date]])&gt;=4,1,0)</f>
        <v>2026</v>
      </c>
      <c r="C332" s="134">
        <f>YEAR(Table13[[#This Row],[Date]])</f>
        <v>2026</v>
      </c>
      <c r="D332" s="135">
        <f>Table13[[#This Row],[Date]]-DAY(Table13[[#This Row],[Date]])+1</f>
        <v>46054</v>
      </c>
      <c r="E332" s="134">
        <f t="shared" si="20"/>
        <v>28</v>
      </c>
      <c r="F332" s="136" t="str">
        <f>IFERROR(_xlfn.XLOOKUP($A332,'Raw Data'!$G:$G,'Raw Data'!$AM:$AM),"")</f>
        <v/>
      </c>
      <c r="G332" s="137" t="str">
        <f>IFERROR(_xlfn.XLOOKUP($A332,'Raw Data'!$G:$G,'Raw Data'!$AB:$AB),"")</f>
        <v/>
      </c>
      <c r="H332" s="137"/>
      <c r="I332" s="137" t="str">
        <f>IFERROR(_xlfn.XLOOKUP($A332,'Raw Data'!$G:$G,'Raw Data'!$AC:$AC),"")</f>
        <v/>
      </c>
      <c r="J332" s="137"/>
      <c r="K332" s="137" t="str">
        <f>IFERROR(_xlfn.XLOOKUP($A332,'Raw Data'!$G:$G,'Raw Data'!AD:AD),"")</f>
        <v/>
      </c>
      <c r="L332" s="137" t="str">
        <f>IFERROR(_xlfn.XLOOKUP($A332,'Raw Data'!$G:$G,'Raw Data'!AE:AE),"")</f>
        <v/>
      </c>
      <c r="M332" s="137" t="str">
        <f>IFERROR(_xlfn.XLOOKUP($A332,'Raw Data'!$G:$G,'Raw Data'!AF:AF),"")</f>
        <v/>
      </c>
      <c r="N332" s="137" t="str">
        <f>IFERROR(_xlfn.XLOOKUP($A332,'Raw Data'!$G:$G,'Raw Data'!AG:AG),"")</f>
        <v/>
      </c>
      <c r="O332" s="138" t="str">
        <f>IFERROR(1-SUMIF('Plant BD'!$H:$H,$A332,'Plant BD'!$AE:$AE)/($AA332+SUMIF('Plant BD'!$H:$H,$A332,'Plant BD'!$AE:$AE)),"")</f>
        <v/>
      </c>
      <c r="P332" s="138"/>
      <c r="Q332" s="139"/>
      <c r="R332" s="138" t="str">
        <f>IFERROR(1-SUMIF('Grid BD'!$H:$H,$A332,'Grid BD'!$AD:$AD)/($AA332+SUMIF('Grid BD'!$H:$H,$A332,'Grid BD'!$AD:$AD)),"")</f>
        <v/>
      </c>
      <c r="T332" s="139"/>
      <c r="U332" s="140" t="str">
        <f t="shared" si="21"/>
        <v/>
      </c>
      <c r="V332" s="140"/>
      <c r="W332" s="141" t="str">
        <f t="shared" si="22"/>
        <v/>
      </c>
      <c r="X332" s="133" t="str">
        <f>IFERROR(_xlfn.XLOOKUP($A332,'Raw Data'!$G:$G,'Raw Data'!AI:AI),"")</f>
        <v/>
      </c>
      <c r="Y332" s="133" t="str">
        <f>IFERROR(_xlfn.XLOOKUP($A332,'Raw Data'!$G:$G,'Raw Data'!AJ:AJ),"")</f>
        <v/>
      </c>
      <c r="Z332" s="133" t="str">
        <f>IFERROR(_xlfn.XLOOKUP($A332,'Raw Data'!$G:$G,'Raw Data'!AK:AK),"")</f>
        <v/>
      </c>
      <c r="AA332" s="133" t="str">
        <f>IFERROR(_xlfn.XLOOKUP($A332,'Raw Data'!$G:$G,'Raw Data'!AL:AL),"")</f>
        <v/>
      </c>
      <c r="AB332" s="133" t="str">
        <f>IFERROR(_xlfn.XLOOKUP($A332,'Raw Data'!$G:$G,'Raw Data'!H:H),"")</f>
        <v/>
      </c>
      <c r="AC332" s="142">
        <f>IFERROR(_xlfn.XLOOKUP($D332,'Modelling New'!$D:$D,'Modelling New'!P:P),"")</f>
        <v>6.5714285714285712</v>
      </c>
      <c r="AD332" s="133">
        <f>IFERROR(_xlfn.XLOOKUP($D332,'Modelling New'!$D:$D,'Modelling New'!$T:$T)*1000,"")</f>
        <v>33989.340219935533</v>
      </c>
      <c r="AE332" s="143">
        <f>IFERROR(_xlfn.XLOOKUP($D332,'Modelling New'!$D:$D,'Modelling New'!O:O),"")</f>
        <v>0.64485168784471436</v>
      </c>
      <c r="AF332" s="145">
        <f>IFERROR(_xlfn.XLOOKUP($D332,'Modelling New'!$D:$D,'Modelling New'!W:W),"")</f>
        <v>0.17656653357652891</v>
      </c>
      <c r="AG332" s="145">
        <f>IFERROR(_xlfn.XLOOKUP($D332,'Modelling New'!$D:$D,'Modelling New'!AE:AE),"")</f>
        <v>0.98040000000000005</v>
      </c>
      <c r="AH332" s="167">
        <f>IFERROR(_xlfn.XLOOKUP($D332,'Modelling New'!$D:$D,'Modelling New'!AF:AF),"")</f>
        <v>0.98</v>
      </c>
      <c r="AN332" s="144"/>
      <c r="AO332" s="141"/>
      <c r="AP332" s="141"/>
      <c r="AQ332" s="141"/>
      <c r="AR332" s="133">
        <f>'Basic Data'!$B$98/1000</f>
        <v>8.0208999999999993</v>
      </c>
    </row>
    <row r="333" spans="1:44" x14ac:dyDescent="0.3">
      <c r="A333" s="132">
        <f t="shared" si="23"/>
        <v>46076</v>
      </c>
      <c r="B333" s="133">
        <f>YEAR(Table13[[#This Row],[Date]])+IF(MONTH(Table13[[#This Row],[Date]])&gt;=4,1,0)</f>
        <v>2026</v>
      </c>
      <c r="C333" s="134">
        <f>YEAR(Table13[[#This Row],[Date]])</f>
        <v>2026</v>
      </c>
      <c r="D333" s="135">
        <f>Table13[[#This Row],[Date]]-DAY(Table13[[#This Row],[Date]])+1</f>
        <v>46054</v>
      </c>
      <c r="E333" s="134">
        <f t="shared" si="20"/>
        <v>28</v>
      </c>
      <c r="F333" s="136" t="str">
        <f>IFERROR(_xlfn.XLOOKUP($A333,'Raw Data'!$G:$G,'Raw Data'!$AM:$AM),"")</f>
        <v/>
      </c>
      <c r="G333" s="137" t="str">
        <f>IFERROR(_xlfn.XLOOKUP($A333,'Raw Data'!$G:$G,'Raw Data'!$AB:$AB),"")</f>
        <v/>
      </c>
      <c r="H333" s="137"/>
      <c r="I333" s="137" t="str">
        <f>IFERROR(_xlfn.XLOOKUP($A333,'Raw Data'!$G:$G,'Raw Data'!$AC:$AC),"")</f>
        <v/>
      </c>
      <c r="J333" s="137"/>
      <c r="K333" s="137" t="str">
        <f>IFERROR(_xlfn.XLOOKUP($A333,'Raw Data'!$G:$G,'Raw Data'!AD:AD),"")</f>
        <v/>
      </c>
      <c r="L333" s="137" t="str">
        <f>IFERROR(_xlfn.XLOOKUP($A333,'Raw Data'!$G:$G,'Raw Data'!AE:AE),"")</f>
        <v/>
      </c>
      <c r="M333" s="137" t="str">
        <f>IFERROR(_xlfn.XLOOKUP($A333,'Raw Data'!$G:$G,'Raw Data'!AF:AF),"")</f>
        <v/>
      </c>
      <c r="N333" s="137" t="str">
        <f>IFERROR(_xlfn.XLOOKUP($A333,'Raw Data'!$G:$G,'Raw Data'!AG:AG),"")</f>
        <v/>
      </c>
      <c r="O333" s="138" t="str">
        <f>IFERROR(1-SUMIF('Plant BD'!$H:$H,$A333,'Plant BD'!$AE:$AE)/($AA333+SUMIF('Plant BD'!$H:$H,$A333,'Plant BD'!$AE:$AE)),"")</f>
        <v/>
      </c>
      <c r="P333" s="138"/>
      <c r="Q333" s="139"/>
      <c r="R333" s="138" t="str">
        <f>IFERROR(1-SUMIF('Grid BD'!$H:$H,$A333,'Grid BD'!$AD:$AD)/($AA333+SUMIF('Grid BD'!$H:$H,$A333,'Grid BD'!$AD:$AD)),"")</f>
        <v/>
      </c>
      <c r="T333" s="139"/>
      <c r="U333" s="140" t="str">
        <f t="shared" si="21"/>
        <v/>
      </c>
      <c r="V333" s="140"/>
      <c r="W333" s="141" t="str">
        <f t="shared" si="22"/>
        <v/>
      </c>
      <c r="X333" s="133" t="str">
        <f>IFERROR(_xlfn.XLOOKUP($A333,'Raw Data'!$G:$G,'Raw Data'!AI:AI),"")</f>
        <v/>
      </c>
      <c r="Y333" s="133" t="str">
        <f>IFERROR(_xlfn.XLOOKUP($A333,'Raw Data'!$G:$G,'Raw Data'!AJ:AJ),"")</f>
        <v/>
      </c>
      <c r="Z333" s="133" t="str">
        <f>IFERROR(_xlfn.XLOOKUP($A333,'Raw Data'!$G:$G,'Raw Data'!AK:AK),"")</f>
        <v/>
      </c>
      <c r="AA333" s="133" t="str">
        <f>IFERROR(_xlfn.XLOOKUP($A333,'Raw Data'!$G:$G,'Raw Data'!AL:AL),"")</f>
        <v/>
      </c>
      <c r="AB333" s="133" t="str">
        <f>IFERROR(_xlfn.XLOOKUP($A333,'Raw Data'!$G:$G,'Raw Data'!H:H),"")</f>
        <v/>
      </c>
      <c r="AC333" s="142">
        <f>IFERROR(_xlfn.XLOOKUP($D333,'Modelling New'!$D:$D,'Modelling New'!P:P),"")</f>
        <v>6.5714285714285712</v>
      </c>
      <c r="AD333" s="133">
        <f>IFERROR(_xlfn.XLOOKUP($D333,'Modelling New'!$D:$D,'Modelling New'!$T:$T)*1000,"")</f>
        <v>33989.340219935533</v>
      </c>
      <c r="AE333" s="143">
        <f>IFERROR(_xlfn.XLOOKUP($D333,'Modelling New'!$D:$D,'Modelling New'!O:O),"")</f>
        <v>0.64485168784471436</v>
      </c>
      <c r="AF333" s="145">
        <f>IFERROR(_xlfn.XLOOKUP($D333,'Modelling New'!$D:$D,'Modelling New'!W:W),"")</f>
        <v>0.17656653357652891</v>
      </c>
      <c r="AG333" s="145">
        <f>IFERROR(_xlfn.XLOOKUP($D333,'Modelling New'!$D:$D,'Modelling New'!AE:AE),"")</f>
        <v>0.98040000000000005</v>
      </c>
      <c r="AH333" s="167">
        <f>IFERROR(_xlfn.XLOOKUP($D333,'Modelling New'!$D:$D,'Modelling New'!AF:AF),"")</f>
        <v>0.98</v>
      </c>
      <c r="AN333" s="144"/>
      <c r="AO333" s="141"/>
      <c r="AP333" s="141"/>
      <c r="AQ333" s="141"/>
      <c r="AR333" s="133">
        <f>'Basic Data'!$B$98/1000</f>
        <v>8.0208999999999993</v>
      </c>
    </row>
    <row r="334" spans="1:44" x14ac:dyDescent="0.3">
      <c r="A334" s="132">
        <f t="shared" si="23"/>
        <v>46077</v>
      </c>
      <c r="B334" s="133">
        <f>YEAR(Table13[[#This Row],[Date]])+IF(MONTH(Table13[[#This Row],[Date]])&gt;=4,1,0)</f>
        <v>2026</v>
      </c>
      <c r="C334" s="134">
        <f>YEAR(Table13[[#This Row],[Date]])</f>
        <v>2026</v>
      </c>
      <c r="D334" s="135">
        <f>Table13[[#This Row],[Date]]-DAY(Table13[[#This Row],[Date]])+1</f>
        <v>46054</v>
      </c>
      <c r="E334" s="134">
        <f t="shared" si="20"/>
        <v>28</v>
      </c>
      <c r="F334" s="136" t="str">
        <f>IFERROR(_xlfn.XLOOKUP($A334,'Raw Data'!$G:$G,'Raw Data'!$AM:$AM),"")</f>
        <v/>
      </c>
      <c r="G334" s="137" t="str">
        <f>IFERROR(_xlfn.XLOOKUP($A334,'Raw Data'!$G:$G,'Raw Data'!$AB:$AB),"")</f>
        <v/>
      </c>
      <c r="H334" s="137"/>
      <c r="I334" s="137" t="str">
        <f>IFERROR(_xlfn.XLOOKUP($A334,'Raw Data'!$G:$G,'Raw Data'!$AC:$AC),"")</f>
        <v/>
      </c>
      <c r="J334" s="137"/>
      <c r="K334" s="137" t="str">
        <f>IFERROR(_xlfn.XLOOKUP($A334,'Raw Data'!$G:$G,'Raw Data'!AD:AD),"")</f>
        <v/>
      </c>
      <c r="L334" s="137" t="str">
        <f>IFERROR(_xlfn.XLOOKUP($A334,'Raw Data'!$G:$G,'Raw Data'!AE:AE),"")</f>
        <v/>
      </c>
      <c r="M334" s="137" t="str">
        <f>IFERROR(_xlfn.XLOOKUP($A334,'Raw Data'!$G:$G,'Raw Data'!AF:AF),"")</f>
        <v/>
      </c>
      <c r="N334" s="137" t="str">
        <f>IFERROR(_xlfn.XLOOKUP($A334,'Raw Data'!$G:$G,'Raw Data'!AG:AG),"")</f>
        <v/>
      </c>
      <c r="O334" s="138" t="str">
        <f>IFERROR(1-SUMIF('Plant BD'!$H:$H,$A334,'Plant BD'!$AE:$AE)/($AA334+SUMIF('Plant BD'!$H:$H,$A334,'Plant BD'!$AE:$AE)),"")</f>
        <v/>
      </c>
      <c r="P334" s="138"/>
      <c r="Q334" s="139"/>
      <c r="R334" s="138" t="str">
        <f>IFERROR(1-SUMIF('Grid BD'!$H:$H,$A334,'Grid BD'!$AD:$AD)/($AA334+SUMIF('Grid BD'!$H:$H,$A334,'Grid BD'!$AD:$AD)),"")</f>
        <v/>
      </c>
      <c r="T334" s="139"/>
      <c r="U334" s="140" t="str">
        <f t="shared" si="21"/>
        <v/>
      </c>
      <c r="V334" s="140"/>
      <c r="W334" s="141" t="str">
        <f t="shared" si="22"/>
        <v/>
      </c>
      <c r="X334" s="133" t="str">
        <f>IFERROR(_xlfn.XLOOKUP($A334,'Raw Data'!$G:$G,'Raw Data'!AI:AI),"")</f>
        <v/>
      </c>
      <c r="Y334" s="133" t="str">
        <f>IFERROR(_xlfn.XLOOKUP($A334,'Raw Data'!$G:$G,'Raw Data'!AJ:AJ),"")</f>
        <v/>
      </c>
      <c r="Z334" s="133" t="str">
        <f>IFERROR(_xlfn.XLOOKUP($A334,'Raw Data'!$G:$G,'Raw Data'!AK:AK),"")</f>
        <v/>
      </c>
      <c r="AA334" s="133" t="str">
        <f>IFERROR(_xlfn.XLOOKUP($A334,'Raw Data'!$G:$G,'Raw Data'!AL:AL),"")</f>
        <v/>
      </c>
      <c r="AB334" s="133" t="str">
        <f>IFERROR(_xlfn.XLOOKUP($A334,'Raw Data'!$G:$G,'Raw Data'!H:H),"")</f>
        <v/>
      </c>
      <c r="AC334" s="142">
        <f>IFERROR(_xlfn.XLOOKUP($D334,'Modelling New'!$D:$D,'Modelling New'!P:P),"")</f>
        <v>6.5714285714285712</v>
      </c>
      <c r="AD334" s="133">
        <f>IFERROR(_xlfn.XLOOKUP($D334,'Modelling New'!$D:$D,'Modelling New'!$T:$T)*1000,"")</f>
        <v>33989.340219935533</v>
      </c>
      <c r="AE334" s="143">
        <f>IFERROR(_xlfn.XLOOKUP($D334,'Modelling New'!$D:$D,'Modelling New'!O:O),"")</f>
        <v>0.64485168784471436</v>
      </c>
      <c r="AF334" s="145">
        <f>IFERROR(_xlfn.XLOOKUP($D334,'Modelling New'!$D:$D,'Modelling New'!W:W),"")</f>
        <v>0.17656653357652891</v>
      </c>
      <c r="AG334" s="145">
        <f>IFERROR(_xlfn.XLOOKUP($D334,'Modelling New'!$D:$D,'Modelling New'!AE:AE),"")</f>
        <v>0.98040000000000005</v>
      </c>
      <c r="AH334" s="167">
        <f>IFERROR(_xlfn.XLOOKUP($D334,'Modelling New'!$D:$D,'Modelling New'!AF:AF),"")</f>
        <v>0.98</v>
      </c>
      <c r="AN334" s="144"/>
      <c r="AO334" s="141"/>
      <c r="AP334" s="141"/>
      <c r="AQ334" s="141"/>
      <c r="AR334" s="133">
        <f>'Basic Data'!$B$98/1000</f>
        <v>8.0208999999999993</v>
      </c>
    </row>
    <row r="335" spans="1:44" x14ac:dyDescent="0.3">
      <c r="A335" s="132">
        <f t="shared" si="23"/>
        <v>46078</v>
      </c>
      <c r="B335" s="133">
        <f>YEAR(Table13[[#This Row],[Date]])+IF(MONTH(Table13[[#This Row],[Date]])&gt;=4,1,0)</f>
        <v>2026</v>
      </c>
      <c r="C335" s="134">
        <f>YEAR(Table13[[#This Row],[Date]])</f>
        <v>2026</v>
      </c>
      <c r="D335" s="135">
        <f>Table13[[#This Row],[Date]]-DAY(Table13[[#This Row],[Date]])+1</f>
        <v>46054</v>
      </c>
      <c r="E335" s="134">
        <f t="shared" si="20"/>
        <v>28</v>
      </c>
      <c r="F335" s="136" t="str">
        <f>IFERROR(_xlfn.XLOOKUP($A335,'Raw Data'!$G:$G,'Raw Data'!$AM:$AM),"")</f>
        <v/>
      </c>
      <c r="G335" s="137" t="str">
        <f>IFERROR(_xlfn.XLOOKUP($A335,'Raw Data'!$G:$G,'Raw Data'!$AB:$AB),"")</f>
        <v/>
      </c>
      <c r="H335" s="137"/>
      <c r="I335" s="137" t="str">
        <f>IFERROR(_xlfn.XLOOKUP($A335,'Raw Data'!$G:$G,'Raw Data'!$AC:$AC),"")</f>
        <v/>
      </c>
      <c r="J335" s="137"/>
      <c r="K335" s="137" t="str">
        <f>IFERROR(_xlfn.XLOOKUP($A335,'Raw Data'!$G:$G,'Raw Data'!AD:AD),"")</f>
        <v/>
      </c>
      <c r="L335" s="137" t="str">
        <f>IFERROR(_xlfn.XLOOKUP($A335,'Raw Data'!$G:$G,'Raw Data'!AE:AE),"")</f>
        <v/>
      </c>
      <c r="M335" s="137" t="str">
        <f>IFERROR(_xlfn.XLOOKUP($A335,'Raw Data'!$G:$G,'Raw Data'!AF:AF),"")</f>
        <v/>
      </c>
      <c r="N335" s="137" t="str">
        <f>IFERROR(_xlfn.XLOOKUP($A335,'Raw Data'!$G:$G,'Raw Data'!AG:AG),"")</f>
        <v/>
      </c>
      <c r="O335" s="138" t="str">
        <f>IFERROR(1-SUMIF('Plant BD'!$H:$H,$A335,'Plant BD'!$AE:$AE)/($AA335+SUMIF('Plant BD'!$H:$H,$A335,'Plant BD'!$AE:$AE)),"")</f>
        <v/>
      </c>
      <c r="P335" s="138"/>
      <c r="Q335" s="139"/>
      <c r="R335" s="138" t="str">
        <f>IFERROR(1-SUMIF('Grid BD'!$H:$H,$A335,'Grid BD'!$AD:$AD)/($AA335+SUMIF('Grid BD'!$H:$H,$A335,'Grid BD'!$AD:$AD)),"")</f>
        <v/>
      </c>
      <c r="T335" s="139"/>
      <c r="U335" s="140" t="str">
        <f t="shared" si="21"/>
        <v/>
      </c>
      <c r="V335" s="140"/>
      <c r="W335" s="141" t="str">
        <f t="shared" si="22"/>
        <v/>
      </c>
      <c r="X335" s="133" t="str">
        <f>IFERROR(_xlfn.XLOOKUP($A335,'Raw Data'!$G:$G,'Raw Data'!AI:AI),"")</f>
        <v/>
      </c>
      <c r="Y335" s="133" t="str">
        <f>IFERROR(_xlfn.XLOOKUP($A335,'Raw Data'!$G:$G,'Raw Data'!AJ:AJ),"")</f>
        <v/>
      </c>
      <c r="Z335" s="133" t="str">
        <f>IFERROR(_xlfn.XLOOKUP($A335,'Raw Data'!$G:$G,'Raw Data'!AK:AK),"")</f>
        <v/>
      </c>
      <c r="AA335" s="133" t="str">
        <f>IFERROR(_xlfn.XLOOKUP($A335,'Raw Data'!$G:$G,'Raw Data'!AL:AL),"")</f>
        <v/>
      </c>
      <c r="AB335" s="133" t="str">
        <f>IFERROR(_xlfn.XLOOKUP($A335,'Raw Data'!$G:$G,'Raw Data'!H:H),"")</f>
        <v/>
      </c>
      <c r="AC335" s="142">
        <f>IFERROR(_xlfn.XLOOKUP($D335,'Modelling New'!$D:$D,'Modelling New'!P:P),"")</f>
        <v>6.5714285714285712</v>
      </c>
      <c r="AD335" s="133">
        <f>IFERROR(_xlfn.XLOOKUP($D335,'Modelling New'!$D:$D,'Modelling New'!$T:$T)*1000,"")</f>
        <v>33989.340219935533</v>
      </c>
      <c r="AE335" s="143">
        <f>IFERROR(_xlfn.XLOOKUP($D335,'Modelling New'!$D:$D,'Modelling New'!O:O),"")</f>
        <v>0.64485168784471436</v>
      </c>
      <c r="AF335" s="145">
        <f>IFERROR(_xlfn.XLOOKUP($D335,'Modelling New'!$D:$D,'Modelling New'!W:W),"")</f>
        <v>0.17656653357652891</v>
      </c>
      <c r="AG335" s="145">
        <f>IFERROR(_xlfn.XLOOKUP($D335,'Modelling New'!$D:$D,'Modelling New'!AE:AE),"")</f>
        <v>0.98040000000000005</v>
      </c>
      <c r="AH335" s="167">
        <f>IFERROR(_xlfn.XLOOKUP($D335,'Modelling New'!$D:$D,'Modelling New'!AF:AF),"")</f>
        <v>0.98</v>
      </c>
      <c r="AN335" s="144"/>
      <c r="AO335" s="141"/>
      <c r="AP335" s="141"/>
      <c r="AQ335" s="141"/>
      <c r="AR335" s="133">
        <f>'Basic Data'!$B$98/1000</f>
        <v>8.0208999999999993</v>
      </c>
    </row>
    <row r="336" spans="1:44" x14ac:dyDescent="0.3">
      <c r="A336" s="132">
        <f t="shared" si="23"/>
        <v>46079</v>
      </c>
      <c r="B336" s="133">
        <f>YEAR(Table13[[#This Row],[Date]])+IF(MONTH(Table13[[#This Row],[Date]])&gt;=4,1,0)</f>
        <v>2026</v>
      </c>
      <c r="C336" s="134">
        <f>YEAR(Table13[[#This Row],[Date]])</f>
        <v>2026</v>
      </c>
      <c r="D336" s="135">
        <f>Table13[[#This Row],[Date]]-DAY(Table13[[#This Row],[Date]])+1</f>
        <v>46054</v>
      </c>
      <c r="E336" s="134">
        <f t="shared" si="20"/>
        <v>28</v>
      </c>
      <c r="F336" s="136" t="str">
        <f>IFERROR(_xlfn.XLOOKUP($A336,'Raw Data'!$G:$G,'Raw Data'!$AM:$AM),"")</f>
        <v/>
      </c>
      <c r="G336" s="137" t="str">
        <f>IFERROR(_xlfn.XLOOKUP($A336,'Raw Data'!$G:$G,'Raw Data'!$AB:$AB),"")</f>
        <v/>
      </c>
      <c r="H336" s="137"/>
      <c r="I336" s="137" t="str">
        <f>IFERROR(_xlfn.XLOOKUP($A336,'Raw Data'!$G:$G,'Raw Data'!$AC:$AC),"")</f>
        <v/>
      </c>
      <c r="J336" s="137"/>
      <c r="K336" s="137" t="str">
        <f>IFERROR(_xlfn.XLOOKUP($A336,'Raw Data'!$G:$G,'Raw Data'!AD:AD),"")</f>
        <v/>
      </c>
      <c r="L336" s="137" t="str">
        <f>IFERROR(_xlfn.XLOOKUP($A336,'Raw Data'!$G:$G,'Raw Data'!AE:AE),"")</f>
        <v/>
      </c>
      <c r="M336" s="137" t="str">
        <f>IFERROR(_xlfn.XLOOKUP($A336,'Raw Data'!$G:$G,'Raw Data'!AF:AF),"")</f>
        <v/>
      </c>
      <c r="N336" s="137" t="str">
        <f>IFERROR(_xlfn.XLOOKUP($A336,'Raw Data'!$G:$G,'Raw Data'!AG:AG),"")</f>
        <v/>
      </c>
      <c r="O336" s="138" t="str">
        <f>IFERROR(1-SUMIF('Plant BD'!$H:$H,$A336,'Plant BD'!$AE:$AE)/($AA336+SUMIF('Plant BD'!$H:$H,$A336,'Plant BD'!$AE:$AE)),"")</f>
        <v/>
      </c>
      <c r="P336" s="138"/>
      <c r="Q336" s="139"/>
      <c r="R336" s="138" t="str">
        <f>IFERROR(1-SUMIF('Grid BD'!$H:$H,$A336,'Grid BD'!$AD:$AD)/($AA336+SUMIF('Grid BD'!$H:$H,$A336,'Grid BD'!$AD:$AD)),"")</f>
        <v/>
      </c>
      <c r="T336" s="139"/>
      <c r="U336" s="140" t="str">
        <f t="shared" si="21"/>
        <v/>
      </c>
      <c r="V336" s="140"/>
      <c r="W336" s="141" t="str">
        <f t="shared" si="22"/>
        <v/>
      </c>
      <c r="X336" s="133" t="str">
        <f>IFERROR(_xlfn.XLOOKUP($A336,'Raw Data'!$G:$G,'Raw Data'!AI:AI),"")</f>
        <v/>
      </c>
      <c r="Y336" s="133" t="str">
        <f>IFERROR(_xlfn.XLOOKUP($A336,'Raw Data'!$G:$G,'Raw Data'!AJ:AJ),"")</f>
        <v/>
      </c>
      <c r="Z336" s="133" t="str">
        <f>IFERROR(_xlfn.XLOOKUP($A336,'Raw Data'!$G:$G,'Raw Data'!AK:AK),"")</f>
        <v/>
      </c>
      <c r="AA336" s="133" t="str">
        <f>IFERROR(_xlfn.XLOOKUP($A336,'Raw Data'!$G:$G,'Raw Data'!AL:AL),"")</f>
        <v/>
      </c>
      <c r="AB336" s="133" t="str">
        <f>IFERROR(_xlfn.XLOOKUP($A336,'Raw Data'!$G:$G,'Raw Data'!H:H),"")</f>
        <v/>
      </c>
      <c r="AC336" s="142">
        <f>IFERROR(_xlfn.XLOOKUP($D336,'Modelling New'!$D:$D,'Modelling New'!P:P),"")</f>
        <v>6.5714285714285712</v>
      </c>
      <c r="AD336" s="133">
        <f>IFERROR(_xlfn.XLOOKUP($D336,'Modelling New'!$D:$D,'Modelling New'!$T:$T)*1000,"")</f>
        <v>33989.340219935533</v>
      </c>
      <c r="AE336" s="143">
        <f>IFERROR(_xlfn.XLOOKUP($D336,'Modelling New'!$D:$D,'Modelling New'!O:O),"")</f>
        <v>0.64485168784471436</v>
      </c>
      <c r="AF336" s="145">
        <f>IFERROR(_xlfn.XLOOKUP($D336,'Modelling New'!$D:$D,'Modelling New'!W:W),"")</f>
        <v>0.17656653357652891</v>
      </c>
      <c r="AG336" s="145">
        <f>IFERROR(_xlfn.XLOOKUP($D336,'Modelling New'!$D:$D,'Modelling New'!AE:AE),"")</f>
        <v>0.98040000000000005</v>
      </c>
      <c r="AH336" s="167">
        <f>IFERROR(_xlfn.XLOOKUP($D336,'Modelling New'!$D:$D,'Modelling New'!AF:AF),"")</f>
        <v>0.98</v>
      </c>
      <c r="AN336" s="144"/>
      <c r="AO336" s="141"/>
      <c r="AP336" s="141"/>
      <c r="AQ336" s="141"/>
      <c r="AR336" s="133">
        <f>'Basic Data'!$B$98/1000</f>
        <v>8.0208999999999993</v>
      </c>
    </row>
    <row r="337" spans="1:44" x14ac:dyDescent="0.3">
      <c r="A337" s="132">
        <f t="shared" si="23"/>
        <v>46080</v>
      </c>
      <c r="B337" s="133">
        <f>YEAR(Table13[[#This Row],[Date]])+IF(MONTH(Table13[[#This Row],[Date]])&gt;=4,1,0)</f>
        <v>2026</v>
      </c>
      <c r="C337" s="134">
        <f>YEAR(Table13[[#This Row],[Date]])</f>
        <v>2026</v>
      </c>
      <c r="D337" s="135">
        <f>Table13[[#This Row],[Date]]-DAY(Table13[[#This Row],[Date]])+1</f>
        <v>46054</v>
      </c>
      <c r="E337" s="134">
        <f t="shared" si="20"/>
        <v>28</v>
      </c>
      <c r="F337" s="136" t="str">
        <f>IFERROR(_xlfn.XLOOKUP($A337,'Raw Data'!$G:$G,'Raw Data'!$AM:$AM),"")</f>
        <v/>
      </c>
      <c r="G337" s="137" t="str">
        <f>IFERROR(_xlfn.XLOOKUP($A337,'Raw Data'!$G:$G,'Raw Data'!$AB:$AB),"")</f>
        <v/>
      </c>
      <c r="H337" s="137"/>
      <c r="I337" s="137" t="str">
        <f>IFERROR(_xlfn.XLOOKUP($A337,'Raw Data'!$G:$G,'Raw Data'!$AC:$AC),"")</f>
        <v/>
      </c>
      <c r="J337" s="137"/>
      <c r="K337" s="137" t="str">
        <f>IFERROR(_xlfn.XLOOKUP($A337,'Raw Data'!$G:$G,'Raw Data'!AD:AD),"")</f>
        <v/>
      </c>
      <c r="L337" s="137" t="str">
        <f>IFERROR(_xlfn.XLOOKUP($A337,'Raw Data'!$G:$G,'Raw Data'!AE:AE),"")</f>
        <v/>
      </c>
      <c r="M337" s="137" t="str">
        <f>IFERROR(_xlfn.XLOOKUP($A337,'Raw Data'!$G:$G,'Raw Data'!AF:AF),"")</f>
        <v/>
      </c>
      <c r="N337" s="137" t="str">
        <f>IFERROR(_xlfn.XLOOKUP($A337,'Raw Data'!$G:$G,'Raw Data'!AG:AG),"")</f>
        <v/>
      </c>
      <c r="O337" s="138" t="str">
        <f>IFERROR(1-SUMIF('Plant BD'!$H:$H,$A337,'Plant BD'!$AE:$AE)/($AA337+SUMIF('Plant BD'!$H:$H,$A337,'Plant BD'!$AE:$AE)),"")</f>
        <v/>
      </c>
      <c r="P337" s="138"/>
      <c r="Q337" s="139"/>
      <c r="R337" s="138" t="str">
        <f>IFERROR(1-SUMIF('Grid BD'!$H:$H,$A337,'Grid BD'!$AD:$AD)/($AA337+SUMIF('Grid BD'!$H:$H,$A337,'Grid BD'!$AD:$AD)),"")</f>
        <v/>
      </c>
      <c r="T337" s="139"/>
      <c r="U337" s="140" t="str">
        <f t="shared" si="21"/>
        <v/>
      </c>
      <c r="V337" s="140"/>
      <c r="W337" s="141" t="str">
        <f t="shared" si="22"/>
        <v/>
      </c>
      <c r="X337" s="133" t="str">
        <f>IFERROR(_xlfn.XLOOKUP($A337,'Raw Data'!$G:$G,'Raw Data'!AI:AI),"")</f>
        <v/>
      </c>
      <c r="Y337" s="133" t="str">
        <f>IFERROR(_xlfn.XLOOKUP($A337,'Raw Data'!$G:$G,'Raw Data'!AJ:AJ),"")</f>
        <v/>
      </c>
      <c r="Z337" s="133" t="str">
        <f>IFERROR(_xlfn.XLOOKUP($A337,'Raw Data'!$G:$G,'Raw Data'!AK:AK),"")</f>
        <v/>
      </c>
      <c r="AA337" s="133" t="str">
        <f>IFERROR(_xlfn.XLOOKUP($A337,'Raw Data'!$G:$G,'Raw Data'!AL:AL),"")</f>
        <v/>
      </c>
      <c r="AB337" s="133" t="str">
        <f>IFERROR(_xlfn.XLOOKUP($A337,'Raw Data'!$G:$G,'Raw Data'!H:H),"")</f>
        <v/>
      </c>
      <c r="AC337" s="142">
        <f>IFERROR(_xlfn.XLOOKUP($D337,'Modelling New'!$D:$D,'Modelling New'!P:P),"")</f>
        <v>6.5714285714285712</v>
      </c>
      <c r="AD337" s="133">
        <f>IFERROR(_xlfn.XLOOKUP($D337,'Modelling New'!$D:$D,'Modelling New'!$T:$T)*1000,"")</f>
        <v>33989.340219935533</v>
      </c>
      <c r="AE337" s="143">
        <f>IFERROR(_xlfn.XLOOKUP($D337,'Modelling New'!$D:$D,'Modelling New'!O:O),"")</f>
        <v>0.64485168784471436</v>
      </c>
      <c r="AF337" s="145">
        <f>IFERROR(_xlfn.XLOOKUP($D337,'Modelling New'!$D:$D,'Modelling New'!W:W),"")</f>
        <v>0.17656653357652891</v>
      </c>
      <c r="AG337" s="145">
        <f>IFERROR(_xlfn.XLOOKUP($D337,'Modelling New'!$D:$D,'Modelling New'!AE:AE),"")</f>
        <v>0.98040000000000005</v>
      </c>
      <c r="AH337" s="167">
        <f>IFERROR(_xlfn.XLOOKUP($D337,'Modelling New'!$D:$D,'Modelling New'!AF:AF),"")</f>
        <v>0.98</v>
      </c>
      <c r="AN337" s="144"/>
      <c r="AO337" s="141"/>
      <c r="AP337" s="141"/>
      <c r="AQ337" s="141"/>
      <c r="AR337" s="133">
        <f>'Basic Data'!$B$98/1000</f>
        <v>8.0208999999999993</v>
      </c>
    </row>
    <row r="338" spans="1:44" x14ac:dyDescent="0.3">
      <c r="A338" s="132">
        <f t="shared" si="23"/>
        <v>46081</v>
      </c>
      <c r="B338" s="133">
        <f>YEAR(Table13[[#This Row],[Date]])+IF(MONTH(Table13[[#This Row],[Date]])&gt;=4,1,0)</f>
        <v>2026</v>
      </c>
      <c r="C338" s="134">
        <f>YEAR(Table13[[#This Row],[Date]])</f>
        <v>2026</v>
      </c>
      <c r="D338" s="135">
        <f>Table13[[#This Row],[Date]]-DAY(Table13[[#This Row],[Date]])+1</f>
        <v>46054</v>
      </c>
      <c r="E338" s="134">
        <f t="shared" si="20"/>
        <v>28</v>
      </c>
      <c r="F338" s="136" t="str">
        <f>IFERROR(_xlfn.XLOOKUP($A338,'Raw Data'!$G:$G,'Raw Data'!$AM:$AM),"")</f>
        <v/>
      </c>
      <c r="G338" s="137" t="str">
        <f>IFERROR(_xlfn.XLOOKUP($A338,'Raw Data'!$G:$G,'Raw Data'!$AB:$AB),"")</f>
        <v/>
      </c>
      <c r="H338" s="137"/>
      <c r="I338" s="137" t="str">
        <f>IFERROR(_xlfn.XLOOKUP($A338,'Raw Data'!$G:$G,'Raw Data'!$AC:$AC),"")</f>
        <v/>
      </c>
      <c r="J338" s="137"/>
      <c r="K338" s="137" t="str">
        <f>IFERROR(_xlfn.XLOOKUP($A338,'Raw Data'!$G:$G,'Raw Data'!AD:AD),"")</f>
        <v/>
      </c>
      <c r="L338" s="137" t="str">
        <f>IFERROR(_xlfn.XLOOKUP($A338,'Raw Data'!$G:$G,'Raw Data'!AE:AE),"")</f>
        <v/>
      </c>
      <c r="M338" s="137" t="str">
        <f>IFERROR(_xlfn.XLOOKUP($A338,'Raw Data'!$G:$G,'Raw Data'!AF:AF),"")</f>
        <v/>
      </c>
      <c r="N338" s="137" t="str">
        <f>IFERROR(_xlfn.XLOOKUP($A338,'Raw Data'!$G:$G,'Raw Data'!AG:AG),"")</f>
        <v/>
      </c>
      <c r="O338" s="138" t="str">
        <f>IFERROR(1-SUMIF('Plant BD'!$H:$H,$A338,'Plant BD'!$AE:$AE)/($AA338+SUMIF('Plant BD'!$H:$H,$A338,'Plant BD'!$AE:$AE)),"")</f>
        <v/>
      </c>
      <c r="P338" s="138"/>
      <c r="Q338" s="139"/>
      <c r="R338" s="138" t="str">
        <f>IFERROR(1-SUMIF('Grid BD'!$H:$H,$A338,'Grid BD'!$AD:$AD)/($AA338+SUMIF('Grid BD'!$H:$H,$A338,'Grid BD'!$AD:$AD)),"")</f>
        <v/>
      </c>
      <c r="T338" s="139"/>
      <c r="U338" s="140" t="str">
        <f t="shared" si="21"/>
        <v/>
      </c>
      <c r="V338" s="140"/>
      <c r="W338" s="141" t="str">
        <f t="shared" si="22"/>
        <v/>
      </c>
      <c r="X338" s="133" t="str">
        <f>IFERROR(_xlfn.XLOOKUP($A338,'Raw Data'!$G:$G,'Raw Data'!AI:AI),"")</f>
        <v/>
      </c>
      <c r="Y338" s="133" t="str">
        <f>IFERROR(_xlfn.XLOOKUP($A338,'Raw Data'!$G:$G,'Raw Data'!AJ:AJ),"")</f>
        <v/>
      </c>
      <c r="Z338" s="133" t="str">
        <f>IFERROR(_xlfn.XLOOKUP($A338,'Raw Data'!$G:$G,'Raw Data'!AK:AK),"")</f>
        <v/>
      </c>
      <c r="AA338" s="133" t="str">
        <f>IFERROR(_xlfn.XLOOKUP($A338,'Raw Data'!$G:$G,'Raw Data'!AL:AL),"")</f>
        <v/>
      </c>
      <c r="AB338" s="133" t="str">
        <f>IFERROR(_xlfn.XLOOKUP($A338,'Raw Data'!$G:$G,'Raw Data'!H:H),"")</f>
        <v/>
      </c>
      <c r="AC338" s="142">
        <f>IFERROR(_xlfn.XLOOKUP($D338,'Modelling New'!$D:$D,'Modelling New'!P:P),"")</f>
        <v>6.5714285714285712</v>
      </c>
      <c r="AD338" s="133">
        <f>IFERROR(_xlfn.XLOOKUP($D338,'Modelling New'!$D:$D,'Modelling New'!$T:$T)*1000,"")</f>
        <v>33989.340219935533</v>
      </c>
      <c r="AE338" s="143">
        <f>IFERROR(_xlfn.XLOOKUP($D338,'Modelling New'!$D:$D,'Modelling New'!O:O),"")</f>
        <v>0.64485168784471436</v>
      </c>
      <c r="AF338" s="145">
        <f>IFERROR(_xlfn.XLOOKUP($D338,'Modelling New'!$D:$D,'Modelling New'!W:W),"")</f>
        <v>0.17656653357652891</v>
      </c>
      <c r="AG338" s="145">
        <f>IFERROR(_xlfn.XLOOKUP($D338,'Modelling New'!$D:$D,'Modelling New'!AE:AE),"")</f>
        <v>0.98040000000000005</v>
      </c>
      <c r="AH338" s="167">
        <f>IFERROR(_xlfn.XLOOKUP($D338,'Modelling New'!$D:$D,'Modelling New'!AF:AF),"")</f>
        <v>0.98</v>
      </c>
      <c r="AN338" s="144"/>
      <c r="AO338" s="141"/>
      <c r="AP338" s="141"/>
      <c r="AQ338" s="141"/>
      <c r="AR338" s="133">
        <f>'Basic Data'!$B$98/1000</f>
        <v>8.0208999999999993</v>
      </c>
    </row>
    <row r="339" spans="1:44" x14ac:dyDescent="0.3">
      <c r="A339" s="132">
        <f t="shared" si="23"/>
        <v>46082</v>
      </c>
      <c r="B339" s="133">
        <f>YEAR(Table13[[#This Row],[Date]])+IF(MONTH(Table13[[#This Row],[Date]])&gt;=4,1,0)</f>
        <v>2026</v>
      </c>
      <c r="C339" s="134">
        <f>YEAR(Table13[[#This Row],[Date]])</f>
        <v>2026</v>
      </c>
      <c r="D339" s="135">
        <f>Table13[[#This Row],[Date]]-DAY(Table13[[#This Row],[Date]])+1</f>
        <v>46082</v>
      </c>
      <c r="E339" s="134">
        <f t="shared" si="20"/>
        <v>31</v>
      </c>
      <c r="F339" s="136" t="str">
        <f>IFERROR(_xlfn.XLOOKUP($A339,'Raw Data'!$G:$G,'Raw Data'!$AM:$AM),"")</f>
        <v/>
      </c>
      <c r="G339" s="137" t="str">
        <f>IFERROR(_xlfn.XLOOKUP($A339,'Raw Data'!$G:$G,'Raw Data'!$AB:$AB),"")</f>
        <v/>
      </c>
      <c r="H339" s="137"/>
      <c r="I339" s="137" t="str">
        <f>IFERROR(_xlfn.XLOOKUP($A339,'Raw Data'!$G:$G,'Raw Data'!$AC:$AC),"")</f>
        <v/>
      </c>
      <c r="J339" s="137"/>
      <c r="K339" s="137" t="str">
        <f>IFERROR(_xlfn.XLOOKUP($A339,'Raw Data'!$G:$G,'Raw Data'!AD:AD),"")</f>
        <v/>
      </c>
      <c r="L339" s="137" t="str">
        <f>IFERROR(_xlfn.XLOOKUP($A339,'Raw Data'!$G:$G,'Raw Data'!AE:AE),"")</f>
        <v/>
      </c>
      <c r="M339" s="137" t="str">
        <f>IFERROR(_xlfn.XLOOKUP($A339,'Raw Data'!$G:$G,'Raw Data'!AF:AF),"")</f>
        <v/>
      </c>
      <c r="N339" s="137" t="str">
        <f>IFERROR(_xlfn.XLOOKUP($A339,'Raw Data'!$G:$G,'Raw Data'!AG:AG),"")</f>
        <v/>
      </c>
      <c r="O339" s="138" t="str">
        <f>IFERROR(1-SUMIF('Plant BD'!$H:$H,$A339,'Plant BD'!$AE:$AE)/($AA339+SUMIF('Plant BD'!$H:$H,$A339,'Plant BD'!$AE:$AE)),"")</f>
        <v/>
      </c>
      <c r="P339" s="138"/>
      <c r="Q339" s="139"/>
      <c r="R339" s="138" t="str">
        <f>IFERROR(1-SUMIF('Grid BD'!$H:$H,$A339,'Grid BD'!$AD:$AD)/($AA339+SUMIF('Grid BD'!$H:$H,$A339,'Grid BD'!$AD:$AD)),"")</f>
        <v/>
      </c>
      <c r="T339" s="139"/>
      <c r="U339" s="140" t="str">
        <f t="shared" si="21"/>
        <v/>
      </c>
      <c r="V339" s="140"/>
      <c r="W339" s="141" t="str">
        <f t="shared" si="22"/>
        <v/>
      </c>
      <c r="X339" s="133" t="str">
        <f>IFERROR(_xlfn.XLOOKUP($A339,'Raw Data'!$G:$G,'Raw Data'!AI:AI),"")</f>
        <v/>
      </c>
      <c r="Y339" s="133" t="str">
        <f>IFERROR(_xlfn.XLOOKUP($A339,'Raw Data'!$G:$G,'Raw Data'!AJ:AJ),"")</f>
        <v/>
      </c>
      <c r="Z339" s="133" t="str">
        <f>IFERROR(_xlfn.XLOOKUP($A339,'Raw Data'!$G:$G,'Raw Data'!AK:AK),"")</f>
        <v/>
      </c>
      <c r="AA339" s="133" t="str">
        <f>IFERROR(_xlfn.XLOOKUP($A339,'Raw Data'!$G:$G,'Raw Data'!AL:AL),"")</f>
        <v/>
      </c>
      <c r="AB339" s="133" t="str">
        <f>IFERROR(_xlfn.XLOOKUP($A339,'Raw Data'!$G:$G,'Raw Data'!H:H),"")</f>
        <v/>
      </c>
      <c r="AC339" s="142">
        <f>IFERROR(_xlfn.XLOOKUP($D339,'Modelling New'!$D:$D,'Modelling New'!P:P),"")</f>
        <v>6.7870967741935484</v>
      </c>
      <c r="AD339" s="133">
        <f>IFERROR(_xlfn.XLOOKUP($D339,'Modelling New'!$D:$D,'Modelling New'!$T:$T)*1000,"")</f>
        <v>38219.028541703687</v>
      </c>
      <c r="AE339" s="143">
        <f>IFERROR(_xlfn.XLOOKUP($D339,'Modelling New'!$D:$D,'Modelling New'!O:O),"")</f>
        <v>0.70205720444645292</v>
      </c>
      <c r="AF339" s="145">
        <f>IFERROR(_xlfn.XLOOKUP($D339,'Modelling New'!$D:$D,'Modelling New'!W:W),"")</f>
        <v>0.19853875781657757</v>
      </c>
      <c r="AG339" s="145">
        <f>IFERROR(_xlfn.XLOOKUP($D339,'Modelling New'!$D:$D,'Modelling New'!AE:AE),"")</f>
        <v>0.98040000000000005</v>
      </c>
      <c r="AH339" s="167">
        <f>IFERROR(_xlfn.XLOOKUP($D339,'Modelling New'!$D:$D,'Modelling New'!AF:AF),"")</f>
        <v>0.98</v>
      </c>
      <c r="AN339" s="144"/>
      <c r="AO339" s="141"/>
      <c r="AP339" s="141"/>
      <c r="AQ339" s="141"/>
      <c r="AR339" s="133">
        <f>'Basic Data'!$B$98/1000</f>
        <v>8.0208999999999993</v>
      </c>
    </row>
    <row r="340" spans="1:44" x14ac:dyDescent="0.3">
      <c r="A340" s="132">
        <f t="shared" si="23"/>
        <v>46083</v>
      </c>
      <c r="B340" s="133">
        <f>YEAR(Table13[[#This Row],[Date]])+IF(MONTH(Table13[[#This Row],[Date]])&gt;=4,1,0)</f>
        <v>2026</v>
      </c>
      <c r="C340" s="134">
        <f>YEAR(Table13[[#This Row],[Date]])</f>
        <v>2026</v>
      </c>
      <c r="D340" s="135">
        <f>Table13[[#This Row],[Date]]-DAY(Table13[[#This Row],[Date]])+1</f>
        <v>46082</v>
      </c>
      <c r="E340" s="134">
        <f t="shared" si="20"/>
        <v>31</v>
      </c>
      <c r="F340" s="136" t="str">
        <f>IFERROR(_xlfn.XLOOKUP($A340,'Raw Data'!$G:$G,'Raw Data'!$AM:$AM),"")</f>
        <v/>
      </c>
      <c r="G340" s="137" t="str">
        <f>IFERROR(_xlfn.XLOOKUP($A340,'Raw Data'!$G:$G,'Raw Data'!$AB:$AB),"")</f>
        <v/>
      </c>
      <c r="H340" s="137"/>
      <c r="I340" s="137" t="str">
        <f>IFERROR(_xlfn.XLOOKUP($A340,'Raw Data'!$G:$G,'Raw Data'!$AC:$AC),"")</f>
        <v/>
      </c>
      <c r="J340" s="137"/>
      <c r="K340" s="137" t="str">
        <f>IFERROR(_xlfn.XLOOKUP($A340,'Raw Data'!$G:$G,'Raw Data'!AD:AD),"")</f>
        <v/>
      </c>
      <c r="L340" s="137" t="str">
        <f>IFERROR(_xlfn.XLOOKUP($A340,'Raw Data'!$G:$G,'Raw Data'!AE:AE),"")</f>
        <v/>
      </c>
      <c r="M340" s="137" t="str">
        <f>IFERROR(_xlfn.XLOOKUP($A340,'Raw Data'!$G:$G,'Raw Data'!AF:AF),"")</f>
        <v/>
      </c>
      <c r="N340" s="137" t="str">
        <f>IFERROR(_xlfn.XLOOKUP($A340,'Raw Data'!$G:$G,'Raw Data'!AG:AG),"")</f>
        <v/>
      </c>
      <c r="O340" s="138" t="str">
        <f>IFERROR(1-SUMIF('Plant BD'!$H:$H,$A340,'Plant BD'!$AE:$AE)/($AA340+SUMIF('Plant BD'!$H:$H,$A340,'Plant BD'!$AE:$AE)),"")</f>
        <v/>
      </c>
      <c r="P340" s="138"/>
      <c r="Q340" s="139"/>
      <c r="R340" s="138" t="str">
        <f>IFERROR(1-SUMIF('Grid BD'!$H:$H,$A340,'Grid BD'!$AD:$AD)/($AA340+SUMIF('Grid BD'!$H:$H,$A340,'Grid BD'!$AD:$AD)),"")</f>
        <v/>
      </c>
      <c r="T340" s="139"/>
      <c r="U340" s="140" t="str">
        <f t="shared" si="21"/>
        <v/>
      </c>
      <c r="V340" s="140"/>
      <c r="W340" s="141" t="str">
        <f t="shared" si="22"/>
        <v/>
      </c>
      <c r="X340" s="133" t="str">
        <f>IFERROR(_xlfn.XLOOKUP($A340,'Raw Data'!$G:$G,'Raw Data'!AI:AI),"")</f>
        <v/>
      </c>
      <c r="Y340" s="133" t="str">
        <f>IFERROR(_xlfn.XLOOKUP($A340,'Raw Data'!$G:$G,'Raw Data'!AJ:AJ),"")</f>
        <v/>
      </c>
      <c r="Z340" s="133" t="str">
        <f>IFERROR(_xlfn.XLOOKUP($A340,'Raw Data'!$G:$G,'Raw Data'!AK:AK),"")</f>
        <v/>
      </c>
      <c r="AA340" s="133" t="str">
        <f>IFERROR(_xlfn.XLOOKUP($A340,'Raw Data'!$G:$G,'Raw Data'!AL:AL),"")</f>
        <v/>
      </c>
      <c r="AB340" s="133" t="str">
        <f>IFERROR(_xlfn.XLOOKUP($A340,'Raw Data'!$G:$G,'Raw Data'!H:H),"")</f>
        <v/>
      </c>
      <c r="AC340" s="142">
        <f>IFERROR(_xlfn.XLOOKUP($D340,'Modelling New'!$D:$D,'Modelling New'!P:P),"")</f>
        <v>6.7870967741935484</v>
      </c>
      <c r="AD340" s="133">
        <f>IFERROR(_xlfn.XLOOKUP($D340,'Modelling New'!$D:$D,'Modelling New'!$T:$T)*1000,"")</f>
        <v>38219.028541703687</v>
      </c>
      <c r="AE340" s="143">
        <f>IFERROR(_xlfn.XLOOKUP($D340,'Modelling New'!$D:$D,'Modelling New'!O:O),"")</f>
        <v>0.70205720444645292</v>
      </c>
      <c r="AF340" s="145">
        <f>IFERROR(_xlfn.XLOOKUP($D340,'Modelling New'!$D:$D,'Modelling New'!W:W),"")</f>
        <v>0.19853875781657757</v>
      </c>
      <c r="AG340" s="145">
        <f>IFERROR(_xlfn.XLOOKUP($D340,'Modelling New'!$D:$D,'Modelling New'!AE:AE),"")</f>
        <v>0.98040000000000005</v>
      </c>
      <c r="AH340" s="167">
        <f>IFERROR(_xlfn.XLOOKUP($D340,'Modelling New'!$D:$D,'Modelling New'!AF:AF),"")</f>
        <v>0.98</v>
      </c>
      <c r="AN340" s="144"/>
      <c r="AO340" s="141"/>
      <c r="AP340" s="141"/>
      <c r="AQ340" s="141"/>
      <c r="AR340" s="133">
        <f>'Basic Data'!$B$98/1000</f>
        <v>8.0208999999999993</v>
      </c>
    </row>
    <row r="341" spans="1:44" x14ac:dyDescent="0.3">
      <c r="A341" s="132">
        <f t="shared" si="23"/>
        <v>46084</v>
      </c>
      <c r="B341" s="133">
        <f>YEAR(Table13[[#This Row],[Date]])+IF(MONTH(Table13[[#This Row],[Date]])&gt;=4,1,0)</f>
        <v>2026</v>
      </c>
      <c r="C341" s="134">
        <f>YEAR(Table13[[#This Row],[Date]])</f>
        <v>2026</v>
      </c>
      <c r="D341" s="135">
        <f>Table13[[#This Row],[Date]]-DAY(Table13[[#This Row],[Date]])+1</f>
        <v>46082</v>
      </c>
      <c r="E341" s="134">
        <f t="shared" si="20"/>
        <v>31</v>
      </c>
      <c r="F341" s="136" t="str">
        <f>IFERROR(_xlfn.XLOOKUP($A341,'Raw Data'!$G:$G,'Raw Data'!$AM:$AM),"")</f>
        <v/>
      </c>
      <c r="G341" s="137" t="str">
        <f>IFERROR(_xlfn.XLOOKUP($A341,'Raw Data'!$G:$G,'Raw Data'!$AB:$AB),"")</f>
        <v/>
      </c>
      <c r="H341" s="137"/>
      <c r="I341" s="137" t="str">
        <f>IFERROR(_xlfn.XLOOKUP($A341,'Raw Data'!$G:$G,'Raw Data'!$AC:$AC),"")</f>
        <v/>
      </c>
      <c r="J341" s="137"/>
      <c r="K341" s="137" t="str">
        <f>IFERROR(_xlfn.XLOOKUP($A341,'Raw Data'!$G:$G,'Raw Data'!AD:AD),"")</f>
        <v/>
      </c>
      <c r="L341" s="137" t="str">
        <f>IFERROR(_xlfn.XLOOKUP($A341,'Raw Data'!$G:$G,'Raw Data'!AE:AE),"")</f>
        <v/>
      </c>
      <c r="M341" s="137" t="str">
        <f>IFERROR(_xlfn.XLOOKUP($A341,'Raw Data'!$G:$G,'Raw Data'!AF:AF),"")</f>
        <v/>
      </c>
      <c r="N341" s="137" t="str">
        <f>IFERROR(_xlfn.XLOOKUP($A341,'Raw Data'!$G:$G,'Raw Data'!AG:AG),"")</f>
        <v/>
      </c>
      <c r="O341" s="138" t="str">
        <f>IFERROR(1-SUMIF('Plant BD'!$H:$H,$A341,'Plant BD'!$AE:$AE)/($AA341+SUMIF('Plant BD'!$H:$H,$A341,'Plant BD'!$AE:$AE)),"")</f>
        <v/>
      </c>
      <c r="P341" s="138"/>
      <c r="Q341" s="139"/>
      <c r="R341" s="138" t="str">
        <f>IFERROR(1-SUMIF('Grid BD'!$H:$H,$A341,'Grid BD'!$AD:$AD)/($AA341+SUMIF('Grid BD'!$H:$H,$A341,'Grid BD'!$AD:$AD)),"")</f>
        <v/>
      </c>
      <c r="T341" s="139"/>
      <c r="U341" s="140" t="str">
        <f t="shared" si="21"/>
        <v/>
      </c>
      <c r="V341" s="140"/>
      <c r="W341" s="141" t="str">
        <f t="shared" si="22"/>
        <v/>
      </c>
      <c r="X341" s="133" t="str">
        <f>IFERROR(_xlfn.XLOOKUP($A341,'Raw Data'!$G:$G,'Raw Data'!AI:AI),"")</f>
        <v/>
      </c>
      <c r="Y341" s="133" t="str">
        <f>IFERROR(_xlfn.XLOOKUP($A341,'Raw Data'!$G:$G,'Raw Data'!AJ:AJ),"")</f>
        <v/>
      </c>
      <c r="Z341" s="133" t="str">
        <f>IFERROR(_xlfn.XLOOKUP($A341,'Raw Data'!$G:$G,'Raw Data'!AK:AK),"")</f>
        <v/>
      </c>
      <c r="AA341" s="133" t="str">
        <f>IFERROR(_xlfn.XLOOKUP($A341,'Raw Data'!$G:$G,'Raw Data'!AL:AL),"")</f>
        <v/>
      </c>
      <c r="AB341" s="133" t="str">
        <f>IFERROR(_xlfn.XLOOKUP($A341,'Raw Data'!$G:$G,'Raw Data'!H:H),"")</f>
        <v/>
      </c>
      <c r="AC341" s="142">
        <f>IFERROR(_xlfn.XLOOKUP($D341,'Modelling New'!$D:$D,'Modelling New'!P:P),"")</f>
        <v>6.7870967741935484</v>
      </c>
      <c r="AD341" s="133">
        <f>IFERROR(_xlfn.XLOOKUP($D341,'Modelling New'!$D:$D,'Modelling New'!$T:$T)*1000,"")</f>
        <v>38219.028541703687</v>
      </c>
      <c r="AE341" s="143">
        <f>IFERROR(_xlfn.XLOOKUP($D341,'Modelling New'!$D:$D,'Modelling New'!O:O),"")</f>
        <v>0.70205720444645292</v>
      </c>
      <c r="AF341" s="145">
        <f>IFERROR(_xlfn.XLOOKUP($D341,'Modelling New'!$D:$D,'Modelling New'!W:W),"")</f>
        <v>0.19853875781657757</v>
      </c>
      <c r="AG341" s="145">
        <f>IFERROR(_xlfn.XLOOKUP($D341,'Modelling New'!$D:$D,'Modelling New'!AE:AE),"")</f>
        <v>0.98040000000000005</v>
      </c>
      <c r="AH341" s="167">
        <f>IFERROR(_xlfn.XLOOKUP($D341,'Modelling New'!$D:$D,'Modelling New'!AF:AF),"")</f>
        <v>0.98</v>
      </c>
      <c r="AN341" s="144"/>
      <c r="AO341" s="141"/>
      <c r="AP341" s="141"/>
      <c r="AQ341" s="141"/>
      <c r="AR341" s="133">
        <f>'Basic Data'!$B$98/1000</f>
        <v>8.0208999999999993</v>
      </c>
    </row>
    <row r="342" spans="1:44" x14ac:dyDescent="0.3">
      <c r="A342" s="132">
        <f t="shared" si="23"/>
        <v>46085</v>
      </c>
      <c r="B342" s="133">
        <f>YEAR(Table13[[#This Row],[Date]])+IF(MONTH(Table13[[#This Row],[Date]])&gt;=4,1,0)</f>
        <v>2026</v>
      </c>
      <c r="C342" s="134">
        <f>YEAR(Table13[[#This Row],[Date]])</f>
        <v>2026</v>
      </c>
      <c r="D342" s="135">
        <f>Table13[[#This Row],[Date]]-DAY(Table13[[#This Row],[Date]])+1</f>
        <v>46082</v>
      </c>
      <c r="E342" s="134">
        <f t="shared" si="20"/>
        <v>31</v>
      </c>
      <c r="F342" s="136" t="str">
        <f>IFERROR(_xlfn.XLOOKUP($A342,'Raw Data'!$G:$G,'Raw Data'!$AM:$AM),"")</f>
        <v/>
      </c>
      <c r="G342" s="137" t="str">
        <f>IFERROR(_xlfn.XLOOKUP($A342,'Raw Data'!$G:$G,'Raw Data'!$AB:$AB),"")</f>
        <v/>
      </c>
      <c r="H342" s="137"/>
      <c r="I342" s="137" t="str">
        <f>IFERROR(_xlfn.XLOOKUP($A342,'Raw Data'!$G:$G,'Raw Data'!$AC:$AC),"")</f>
        <v/>
      </c>
      <c r="J342" s="137"/>
      <c r="K342" s="137" t="str">
        <f>IFERROR(_xlfn.XLOOKUP($A342,'Raw Data'!$G:$G,'Raw Data'!AD:AD),"")</f>
        <v/>
      </c>
      <c r="L342" s="137" t="str">
        <f>IFERROR(_xlfn.XLOOKUP($A342,'Raw Data'!$G:$G,'Raw Data'!AE:AE),"")</f>
        <v/>
      </c>
      <c r="M342" s="137" t="str">
        <f>IFERROR(_xlfn.XLOOKUP($A342,'Raw Data'!$G:$G,'Raw Data'!AF:AF),"")</f>
        <v/>
      </c>
      <c r="N342" s="137" t="str">
        <f>IFERROR(_xlfn.XLOOKUP($A342,'Raw Data'!$G:$G,'Raw Data'!AG:AG),"")</f>
        <v/>
      </c>
      <c r="O342" s="138" t="str">
        <f>IFERROR(1-SUMIF('Plant BD'!$H:$H,$A342,'Plant BD'!$AE:$AE)/($AA342+SUMIF('Plant BD'!$H:$H,$A342,'Plant BD'!$AE:$AE)),"")</f>
        <v/>
      </c>
      <c r="P342" s="138"/>
      <c r="Q342" s="139"/>
      <c r="R342" s="138" t="str">
        <f>IFERROR(1-SUMIF('Grid BD'!$H:$H,$A342,'Grid BD'!$AD:$AD)/($AA342+SUMIF('Grid BD'!$H:$H,$A342,'Grid BD'!$AD:$AD)),"")</f>
        <v/>
      </c>
      <c r="T342" s="139"/>
      <c r="U342" s="140" t="str">
        <f t="shared" si="21"/>
        <v/>
      </c>
      <c r="V342" s="140"/>
      <c r="W342" s="141" t="str">
        <f t="shared" si="22"/>
        <v/>
      </c>
      <c r="X342" s="133" t="str">
        <f>IFERROR(_xlfn.XLOOKUP($A342,'Raw Data'!$G:$G,'Raw Data'!AI:AI),"")</f>
        <v/>
      </c>
      <c r="Y342" s="133" t="str">
        <f>IFERROR(_xlfn.XLOOKUP($A342,'Raw Data'!$G:$G,'Raw Data'!AJ:AJ),"")</f>
        <v/>
      </c>
      <c r="Z342" s="133" t="str">
        <f>IFERROR(_xlfn.XLOOKUP($A342,'Raw Data'!$G:$G,'Raw Data'!AK:AK),"")</f>
        <v/>
      </c>
      <c r="AA342" s="133" t="str">
        <f>IFERROR(_xlfn.XLOOKUP($A342,'Raw Data'!$G:$G,'Raw Data'!AL:AL),"")</f>
        <v/>
      </c>
      <c r="AB342" s="133" t="str">
        <f>IFERROR(_xlfn.XLOOKUP($A342,'Raw Data'!$G:$G,'Raw Data'!H:H),"")</f>
        <v/>
      </c>
      <c r="AC342" s="142">
        <f>IFERROR(_xlfn.XLOOKUP($D342,'Modelling New'!$D:$D,'Modelling New'!P:P),"")</f>
        <v>6.7870967741935484</v>
      </c>
      <c r="AD342" s="133">
        <f>IFERROR(_xlfn.XLOOKUP($D342,'Modelling New'!$D:$D,'Modelling New'!$T:$T)*1000,"")</f>
        <v>38219.028541703687</v>
      </c>
      <c r="AE342" s="143">
        <f>IFERROR(_xlfn.XLOOKUP($D342,'Modelling New'!$D:$D,'Modelling New'!O:O),"")</f>
        <v>0.70205720444645292</v>
      </c>
      <c r="AF342" s="145">
        <f>IFERROR(_xlfn.XLOOKUP($D342,'Modelling New'!$D:$D,'Modelling New'!W:W),"")</f>
        <v>0.19853875781657757</v>
      </c>
      <c r="AG342" s="145">
        <f>IFERROR(_xlfn.XLOOKUP($D342,'Modelling New'!$D:$D,'Modelling New'!AE:AE),"")</f>
        <v>0.98040000000000005</v>
      </c>
      <c r="AH342" s="167">
        <f>IFERROR(_xlfn.XLOOKUP($D342,'Modelling New'!$D:$D,'Modelling New'!AF:AF),"")</f>
        <v>0.98</v>
      </c>
      <c r="AN342" s="144"/>
      <c r="AO342" s="141"/>
      <c r="AP342" s="141"/>
      <c r="AQ342" s="141"/>
      <c r="AR342" s="133">
        <f>'Basic Data'!$B$98/1000</f>
        <v>8.0208999999999993</v>
      </c>
    </row>
    <row r="343" spans="1:44" x14ac:dyDescent="0.3">
      <c r="A343" s="132">
        <f t="shared" si="23"/>
        <v>46086</v>
      </c>
      <c r="B343" s="133">
        <f>YEAR(Table13[[#This Row],[Date]])+IF(MONTH(Table13[[#This Row],[Date]])&gt;=4,1,0)</f>
        <v>2026</v>
      </c>
      <c r="C343" s="134">
        <f>YEAR(Table13[[#This Row],[Date]])</f>
        <v>2026</v>
      </c>
      <c r="D343" s="135">
        <f>Table13[[#This Row],[Date]]-DAY(Table13[[#This Row],[Date]])+1</f>
        <v>46082</v>
      </c>
      <c r="E343" s="134">
        <f t="shared" si="20"/>
        <v>31</v>
      </c>
      <c r="F343" s="136" t="str">
        <f>IFERROR(_xlfn.XLOOKUP($A343,'Raw Data'!$G:$G,'Raw Data'!$AM:$AM),"")</f>
        <v/>
      </c>
      <c r="G343" s="137" t="str">
        <f>IFERROR(_xlfn.XLOOKUP($A343,'Raw Data'!$G:$G,'Raw Data'!$AB:$AB),"")</f>
        <v/>
      </c>
      <c r="H343" s="137"/>
      <c r="I343" s="137" t="str">
        <f>IFERROR(_xlfn.XLOOKUP($A343,'Raw Data'!$G:$G,'Raw Data'!$AC:$AC),"")</f>
        <v/>
      </c>
      <c r="J343" s="137"/>
      <c r="K343" s="137" t="str">
        <f>IFERROR(_xlfn.XLOOKUP($A343,'Raw Data'!$G:$G,'Raw Data'!AD:AD),"")</f>
        <v/>
      </c>
      <c r="L343" s="137" t="str">
        <f>IFERROR(_xlfn.XLOOKUP($A343,'Raw Data'!$G:$G,'Raw Data'!AE:AE),"")</f>
        <v/>
      </c>
      <c r="M343" s="137" t="str">
        <f>IFERROR(_xlfn.XLOOKUP($A343,'Raw Data'!$G:$G,'Raw Data'!AF:AF),"")</f>
        <v/>
      </c>
      <c r="N343" s="137" t="str">
        <f>IFERROR(_xlfn.XLOOKUP($A343,'Raw Data'!$G:$G,'Raw Data'!AG:AG),"")</f>
        <v/>
      </c>
      <c r="O343" s="138" t="str">
        <f>IFERROR(1-SUMIF('Plant BD'!$H:$H,$A343,'Plant BD'!$AE:$AE)/($AA343+SUMIF('Plant BD'!$H:$H,$A343,'Plant BD'!$AE:$AE)),"")</f>
        <v/>
      </c>
      <c r="P343" s="138"/>
      <c r="Q343" s="139"/>
      <c r="R343" s="138" t="str">
        <f>IFERROR(1-SUMIF('Grid BD'!$H:$H,$A343,'Grid BD'!$AD:$AD)/($AA343+SUMIF('Grid BD'!$H:$H,$A343,'Grid BD'!$AD:$AD)),"")</f>
        <v/>
      </c>
      <c r="T343" s="139"/>
      <c r="U343" s="140" t="str">
        <f t="shared" si="21"/>
        <v/>
      </c>
      <c r="V343" s="140"/>
      <c r="W343" s="141" t="str">
        <f t="shared" si="22"/>
        <v/>
      </c>
      <c r="X343" s="133" t="str">
        <f>IFERROR(_xlfn.XLOOKUP($A343,'Raw Data'!$G:$G,'Raw Data'!AI:AI),"")</f>
        <v/>
      </c>
      <c r="Y343" s="133" t="str">
        <f>IFERROR(_xlfn.XLOOKUP($A343,'Raw Data'!$G:$G,'Raw Data'!AJ:AJ),"")</f>
        <v/>
      </c>
      <c r="Z343" s="133" t="str">
        <f>IFERROR(_xlfn.XLOOKUP($A343,'Raw Data'!$G:$G,'Raw Data'!AK:AK),"")</f>
        <v/>
      </c>
      <c r="AA343" s="133" t="str">
        <f>IFERROR(_xlfn.XLOOKUP($A343,'Raw Data'!$G:$G,'Raw Data'!AL:AL),"")</f>
        <v/>
      </c>
      <c r="AB343" s="133" t="str">
        <f>IFERROR(_xlfn.XLOOKUP($A343,'Raw Data'!$G:$G,'Raw Data'!H:H),"")</f>
        <v/>
      </c>
      <c r="AC343" s="142">
        <f>IFERROR(_xlfn.XLOOKUP($D343,'Modelling New'!$D:$D,'Modelling New'!P:P),"")</f>
        <v>6.7870967741935484</v>
      </c>
      <c r="AD343" s="133">
        <f>IFERROR(_xlfn.XLOOKUP($D343,'Modelling New'!$D:$D,'Modelling New'!$T:$T)*1000,"")</f>
        <v>38219.028541703687</v>
      </c>
      <c r="AE343" s="143">
        <f>IFERROR(_xlfn.XLOOKUP($D343,'Modelling New'!$D:$D,'Modelling New'!O:O),"")</f>
        <v>0.70205720444645292</v>
      </c>
      <c r="AF343" s="145">
        <f>IFERROR(_xlfn.XLOOKUP($D343,'Modelling New'!$D:$D,'Modelling New'!W:W),"")</f>
        <v>0.19853875781657757</v>
      </c>
      <c r="AG343" s="145">
        <f>IFERROR(_xlfn.XLOOKUP($D343,'Modelling New'!$D:$D,'Modelling New'!AE:AE),"")</f>
        <v>0.98040000000000005</v>
      </c>
      <c r="AH343" s="167">
        <f>IFERROR(_xlfn.XLOOKUP($D343,'Modelling New'!$D:$D,'Modelling New'!AF:AF),"")</f>
        <v>0.98</v>
      </c>
      <c r="AN343" s="144"/>
      <c r="AO343" s="141"/>
      <c r="AP343" s="141"/>
      <c r="AQ343" s="141"/>
      <c r="AR343" s="133">
        <f>'Basic Data'!$B$98/1000</f>
        <v>8.0208999999999993</v>
      </c>
    </row>
    <row r="344" spans="1:44" x14ac:dyDescent="0.3">
      <c r="A344" s="132">
        <f t="shared" si="23"/>
        <v>46087</v>
      </c>
      <c r="B344" s="133">
        <f>YEAR(Table13[[#This Row],[Date]])+IF(MONTH(Table13[[#This Row],[Date]])&gt;=4,1,0)</f>
        <v>2026</v>
      </c>
      <c r="C344" s="134">
        <f>YEAR(Table13[[#This Row],[Date]])</f>
        <v>2026</v>
      </c>
      <c r="D344" s="135">
        <f>Table13[[#This Row],[Date]]-DAY(Table13[[#This Row],[Date]])+1</f>
        <v>46082</v>
      </c>
      <c r="E344" s="134">
        <f t="shared" si="20"/>
        <v>31</v>
      </c>
      <c r="F344" s="136" t="str">
        <f>IFERROR(_xlfn.XLOOKUP($A344,'Raw Data'!$G:$G,'Raw Data'!$AM:$AM),"")</f>
        <v/>
      </c>
      <c r="G344" s="137" t="str">
        <f>IFERROR(_xlfn.XLOOKUP($A344,'Raw Data'!$G:$G,'Raw Data'!$AB:$AB),"")</f>
        <v/>
      </c>
      <c r="H344" s="137"/>
      <c r="I344" s="137" t="str">
        <f>IFERROR(_xlfn.XLOOKUP($A344,'Raw Data'!$G:$G,'Raw Data'!$AC:$AC),"")</f>
        <v/>
      </c>
      <c r="J344" s="137"/>
      <c r="K344" s="137" t="str">
        <f>IFERROR(_xlfn.XLOOKUP($A344,'Raw Data'!$G:$G,'Raw Data'!AD:AD),"")</f>
        <v/>
      </c>
      <c r="L344" s="137" t="str">
        <f>IFERROR(_xlfn.XLOOKUP($A344,'Raw Data'!$G:$G,'Raw Data'!AE:AE),"")</f>
        <v/>
      </c>
      <c r="M344" s="137" t="str">
        <f>IFERROR(_xlfn.XLOOKUP($A344,'Raw Data'!$G:$G,'Raw Data'!AF:AF),"")</f>
        <v/>
      </c>
      <c r="N344" s="137" t="str">
        <f>IFERROR(_xlfn.XLOOKUP($A344,'Raw Data'!$G:$G,'Raw Data'!AG:AG),"")</f>
        <v/>
      </c>
      <c r="O344" s="138" t="str">
        <f>IFERROR(1-SUMIF('Plant BD'!$H:$H,$A344,'Plant BD'!$AE:$AE)/($AA344+SUMIF('Plant BD'!$H:$H,$A344,'Plant BD'!$AE:$AE)),"")</f>
        <v/>
      </c>
      <c r="P344" s="138"/>
      <c r="Q344" s="139"/>
      <c r="R344" s="138" t="str">
        <f>IFERROR(1-SUMIF('Grid BD'!$H:$H,$A344,'Grid BD'!$AD:$AD)/($AA344+SUMIF('Grid BD'!$H:$H,$A344,'Grid BD'!$AD:$AD)),"")</f>
        <v/>
      </c>
      <c r="T344" s="139"/>
      <c r="U344" s="140" t="str">
        <f t="shared" si="21"/>
        <v/>
      </c>
      <c r="V344" s="140"/>
      <c r="W344" s="141" t="str">
        <f t="shared" si="22"/>
        <v/>
      </c>
      <c r="X344" s="133" t="str">
        <f>IFERROR(_xlfn.XLOOKUP($A344,'Raw Data'!$G:$G,'Raw Data'!AI:AI),"")</f>
        <v/>
      </c>
      <c r="Y344" s="133" t="str">
        <f>IFERROR(_xlfn.XLOOKUP($A344,'Raw Data'!$G:$G,'Raw Data'!AJ:AJ),"")</f>
        <v/>
      </c>
      <c r="Z344" s="133" t="str">
        <f>IFERROR(_xlfn.XLOOKUP($A344,'Raw Data'!$G:$G,'Raw Data'!AK:AK),"")</f>
        <v/>
      </c>
      <c r="AA344" s="133" t="str">
        <f>IFERROR(_xlfn.XLOOKUP($A344,'Raw Data'!$G:$G,'Raw Data'!AL:AL),"")</f>
        <v/>
      </c>
      <c r="AB344" s="133" t="str">
        <f>IFERROR(_xlfn.XLOOKUP($A344,'Raw Data'!$G:$G,'Raw Data'!H:H),"")</f>
        <v/>
      </c>
      <c r="AC344" s="142">
        <f>IFERROR(_xlfn.XLOOKUP($D344,'Modelling New'!$D:$D,'Modelling New'!P:P),"")</f>
        <v>6.7870967741935484</v>
      </c>
      <c r="AD344" s="133">
        <f>IFERROR(_xlfn.XLOOKUP($D344,'Modelling New'!$D:$D,'Modelling New'!$T:$T)*1000,"")</f>
        <v>38219.028541703687</v>
      </c>
      <c r="AE344" s="143">
        <f>IFERROR(_xlfn.XLOOKUP($D344,'Modelling New'!$D:$D,'Modelling New'!O:O),"")</f>
        <v>0.70205720444645292</v>
      </c>
      <c r="AF344" s="145">
        <f>IFERROR(_xlfn.XLOOKUP($D344,'Modelling New'!$D:$D,'Modelling New'!W:W),"")</f>
        <v>0.19853875781657757</v>
      </c>
      <c r="AG344" s="145">
        <f>IFERROR(_xlfn.XLOOKUP($D344,'Modelling New'!$D:$D,'Modelling New'!AE:AE),"")</f>
        <v>0.98040000000000005</v>
      </c>
      <c r="AH344" s="167">
        <f>IFERROR(_xlfn.XLOOKUP($D344,'Modelling New'!$D:$D,'Modelling New'!AF:AF),"")</f>
        <v>0.98</v>
      </c>
      <c r="AN344" s="144"/>
      <c r="AO344" s="141"/>
      <c r="AP344" s="141"/>
      <c r="AQ344" s="141"/>
      <c r="AR344" s="133">
        <f>'Basic Data'!$B$98/1000</f>
        <v>8.0208999999999993</v>
      </c>
    </row>
    <row r="345" spans="1:44" x14ac:dyDescent="0.3">
      <c r="A345" s="132">
        <f t="shared" si="23"/>
        <v>46088</v>
      </c>
      <c r="B345" s="133">
        <f>YEAR(Table13[[#This Row],[Date]])+IF(MONTH(Table13[[#This Row],[Date]])&gt;=4,1,0)</f>
        <v>2026</v>
      </c>
      <c r="C345" s="134">
        <f>YEAR(Table13[[#This Row],[Date]])</f>
        <v>2026</v>
      </c>
      <c r="D345" s="135">
        <f>Table13[[#This Row],[Date]]-DAY(Table13[[#This Row],[Date]])+1</f>
        <v>46082</v>
      </c>
      <c r="E345" s="134">
        <f t="shared" si="20"/>
        <v>31</v>
      </c>
      <c r="F345" s="136" t="str">
        <f>IFERROR(_xlfn.XLOOKUP($A345,'Raw Data'!$G:$G,'Raw Data'!$AM:$AM),"")</f>
        <v/>
      </c>
      <c r="G345" s="137" t="str">
        <f>IFERROR(_xlfn.XLOOKUP($A345,'Raw Data'!$G:$G,'Raw Data'!$AB:$AB),"")</f>
        <v/>
      </c>
      <c r="H345" s="137"/>
      <c r="I345" s="137" t="str">
        <f>IFERROR(_xlfn.XLOOKUP($A345,'Raw Data'!$G:$G,'Raw Data'!$AC:$AC),"")</f>
        <v/>
      </c>
      <c r="J345" s="137"/>
      <c r="K345" s="137" t="str">
        <f>IFERROR(_xlfn.XLOOKUP($A345,'Raw Data'!$G:$G,'Raw Data'!AD:AD),"")</f>
        <v/>
      </c>
      <c r="L345" s="137" t="str">
        <f>IFERROR(_xlfn.XLOOKUP($A345,'Raw Data'!$G:$G,'Raw Data'!AE:AE),"")</f>
        <v/>
      </c>
      <c r="M345" s="137" t="str">
        <f>IFERROR(_xlfn.XLOOKUP($A345,'Raw Data'!$G:$G,'Raw Data'!AF:AF),"")</f>
        <v/>
      </c>
      <c r="N345" s="137" t="str">
        <f>IFERROR(_xlfn.XLOOKUP($A345,'Raw Data'!$G:$G,'Raw Data'!AG:AG),"")</f>
        <v/>
      </c>
      <c r="O345" s="138" t="str">
        <f>IFERROR(1-SUMIF('Plant BD'!$H:$H,$A345,'Plant BD'!$AE:$AE)/($AA345+SUMIF('Plant BD'!$H:$H,$A345,'Plant BD'!$AE:$AE)),"")</f>
        <v/>
      </c>
      <c r="P345" s="138"/>
      <c r="Q345" s="139"/>
      <c r="R345" s="138" t="str">
        <f>IFERROR(1-SUMIF('Grid BD'!$H:$H,$A345,'Grid BD'!$AD:$AD)/($AA345+SUMIF('Grid BD'!$H:$H,$A345,'Grid BD'!$AD:$AD)),"")</f>
        <v/>
      </c>
      <c r="T345" s="139"/>
      <c r="U345" s="140" t="str">
        <f t="shared" si="21"/>
        <v/>
      </c>
      <c r="V345" s="140"/>
      <c r="W345" s="141" t="str">
        <f t="shared" si="22"/>
        <v/>
      </c>
      <c r="X345" s="133" t="str">
        <f>IFERROR(_xlfn.XLOOKUP($A345,'Raw Data'!$G:$G,'Raw Data'!AI:AI),"")</f>
        <v/>
      </c>
      <c r="Y345" s="133" t="str">
        <f>IFERROR(_xlfn.XLOOKUP($A345,'Raw Data'!$G:$G,'Raw Data'!AJ:AJ),"")</f>
        <v/>
      </c>
      <c r="Z345" s="133" t="str">
        <f>IFERROR(_xlfn.XLOOKUP($A345,'Raw Data'!$G:$G,'Raw Data'!AK:AK),"")</f>
        <v/>
      </c>
      <c r="AA345" s="133" t="str">
        <f>IFERROR(_xlfn.XLOOKUP($A345,'Raw Data'!$G:$G,'Raw Data'!AL:AL),"")</f>
        <v/>
      </c>
      <c r="AB345" s="133" t="str">
        <f>IFERROR(_xlfn.XLOOKUP($A345,'Raw Data'!$G:$G,'Raw Data'!H:H),"")</f>
        <v/>
      </c>
      <c r="AC345" s="142">
        <f>IFERROR(_xlfn.XLOOKUP($D345,'Modelling New'!$D:$D,'Modelling New'!P:P),"")</f>
        <v>6.7870967741935484</v>
      </c>
      <c r="AD345" s="133">
        <f>IFERROR(_xlfn.XLOOKUP($D345,'Modelling New'!$D:$D,'Modelling New'!$T:$T)*1000,"")</f>
        <v>38219.028541703687</v>
      </c>
      <c r="AE345" s="143">
        <f>IFERROR(_xlfn.XLOOKUP($D345,'Modelling New'!$D:$D,'Modelling New'!O:O),"")</f>
        <v>0.70205720444645292</v>
      </c>
      <c r="AF345" s="145">
        <f>IFERROR(_xlfn.XLOOKUP($D345,'Modelling New'!$D:$D,'Modelling New'!W:W),"")</f>
        <v>0.19853875781657757</v>
      </c>
      <c r="AG345" s="145">
        <f>IFERROR(_xlfn.XLOOKUP($D345,'Modelling New'!$D:$D,'Modelling New'!AE:AE),"")</f>
        <v>0.98040000000000005</v>
      </c>
      <c r="AH345" s="167">
        <f>IFERROR(_xlfn.XLOOKUP($D345,'Modelling New'!$D:$D,'Modelling New'!AF:AF),"")</f>
        <v>0.98</v>
      </c>
      <c r="AN345" s="144"/>
      <c r="AO345" s="141"/>
      <c r="AP345" s="141"/>
      <c r="AQ345" s="141"/>
      <c r="AR345" s="133">
        <f>'Basic Data'!$B$98/1000</f>
        <v>8.0208999999999993</v>
      </c>
    </row>
    <row r="346" spans="1:44" x14ac:dyDescent="0.3">
      <c r="A346" s="132">
        <f t="shared" si="23"/>
        <v>46089</v>
      </c>
      <c r="B346" s="133">
        <f>YEAR(Table13[[#This Row],[Date]])+IF(MONTH(Table13[[#This Row],[Date]])&gt;=4,1,0)</f>
        <v>2026</v>
      </c>
      <c r="C346" s="134">
        <f>YEAR(Table13[[#This Row],[Date]])</f>
        <v>2026</v>
      </c>
      <c r="D346" s="135">
        <f>Table13[[#This Row],[Date]]-DAY(Table13[[#This Row],[Date]])+1</f>
        <v>46082</v>
      </c>
      <c r="E346" s="134">
        <f t="shared" si="20"/>
        <v>31</v>
      </c>
      <c r="F346" s="136" t="str">
        <f>IFERROR(_xlfn.XLOOKUP($A346,'Raw Data'!$G:$G,'Raw Data'!$AM:$AM),"")</f>
        <v/>
      </c>
      <c r="G346" s="137" t="str">
        <f>IFERROR(_xlfn.XLOOKUP($A346,'Raw Data'!$G:$G,'Raw Data'!$AB:$AB),"")</f>
        <v/>
      </c>
      <c r="H346" s="137"/>
      <c r="I346" s="137" t="str">
        <f>IFERROR(_xlfn.XLOOKUP($A346,'Raw Data'!$G:$G,'Raw Data'!$AC:$AC),"")</f>
        <v/>
      </c>
      <c r="J346" s="137"/>
      <c r="K346" s="137" t="str">
        <f>IFERROR(_xlfn.XLOOKUP($A346,'Raw Data'!$G:$G,'Raw Data'!AD:AD),"")</f>
        <v/>
      </c>
      <c r="L346" s="137" t="str">
        <f>IFERROR(_xlfn.XLOOKUP($A346,'Raw Data'!$G:$G,'Raw Data'!AE:AE),"")</f>
        <v/>
      </c>
      <c r="M346" s="137" t="str">
        <f>IFERROR(_xlfn.XLOOKUP($A346,'Raw Data'!$G:$G,'Raw Data'!AF:AF),"")</f>
        <v/>
      </c>
      <c r="N346" s="137" t="str">
        <f>IFERROR(_xlfn.XLOOKUP($A346,'Raw Data'!$G:$G,'Raw Data'!AG:AG),"")</f>
        <v/>
      </c>
      <c r="O346" s="138" t="str">
        <f>IFERROR(1-SUMIF('Plant BD'!$H:$H,$A346,'Plant BD'!$AE:$AE)/($AA346+SUMIF('Plant BD'!$H:$H,$A346,'Plant BD'!$AE:$AE)),"")</f>
        <v/>
      </c>
      <c r="P346" s="138"/>
      <c r="Q346" s="139"/>
      <c r="R346" s="138" t="str">
        <f>IFERROR(1-SUMIF('Grid BD'!$H:$H,$A346,'Grid BD'!$AD:$AD)/($AA346+SUMIF('Grid BD'!$H:$H,$A346,'Grid BD'!$AD:$AD)),"")</f>
        <v/>
      </c>
      <c r="T346" s="139"/>
      <c r="U346" s="140" t="str">
        <f t="shared" si="21"/>
        <v/>
      </c>
      <c r="V346" s="140"/>
      <c r="W346" s="141" t="str">
        <f t="shared" si="22"/>
        <v/>
      </c>
      <c r="X346" s="133" t="str">
        <f>IFERROR(_xlfn.XLOOKUP($A346,'Raw Data'!$G:$G,'Raw Data'!AI:AI),"")</f>
        <v/>
      </c>
      <c r="Y346" s="133" t="str">
        <f>IFERROR(_xlfn.XLOOKUP($A346,'Raw Data'!$G:$G,'Raw Data'!AJ:AJ),"")</f>
        <v/>
      </c>
      <c r="Z346" s="133" t="str">
        <f>IFERROR(_xlfn.XLOOKUP($A346,'Raw Data'!$G:$G,'Raw Data'!AK:AK),"")</f>
        <v/>
      </c>
      <c r="AA346" s="133" t="str">
        <f>IFERROR(_xlfn.XLOOKUP($A346,'Raw Data'!$G:$G,'Raw Data'!AL:AL),"")</f>
        <v/>
      </c>
      <c r="AB346" s="133" t="str">
        <f>IFERROR(_xlfn.XLOOKUP($A346,'Raw Data'!$G:$G,'Raw Data'!H:H),"")</f>
        <v/>
      </c>
      <c r="AC346" s="142">
        <f>IFERROR(_xlfn.XLOOKUP($D346,'Modelling New'!$D:$D,'Modelling New'!P:P),"")</f>
        <v>6.7870967741935484</v>
      </c>
      <c r="AD346" s="133">
        <f>IFERROR(_xlfn.XLOOKUP($D346,'Modelling New'!$D:$D,'Modelling New'!$T:$T)*1000,"")</f>
        <v>38219.028541703687</v>
      </c>
      <c r="AE346" s="143">
        <f>IFERROR(_xlfn.XLOOKUP($D346,'Modelling New'!$D:$D,'Modelling New'!O:O),"")</f>
        <v>0.70205720444645292</v>
      </c>
      <c r="AF346" s="145">
        <f>IFERROR(_xlfn.XLOOKUP($D346,'Modelling New'!$D:$D,'Modelling New'!W:W),"")</f>
        <v>0.19853875781657757</v>
      </c>
      <c r="AG346" s="145">
        <f>IFERROR(_xlfn.XLOOKUP($D346,'Modelling New'!$D:$D,'Modelling New'!AE:AE),"")</f>
        <v>0.98040000000000005</v>
      </c>
      <c r="AH346" s="167">
        <f>IFERROR(_xlfn.XLOOKUP($D346,'Modelling New'!$D:$D,'Modelling New'!AF:AF),"")</f>
        <v>0.98</v>
      </c>
      <c r="AN346" s="144"/>
      <c r="AO346" s="141"/>
      <c r="AP346" s="141"/>
      <c r="AQ346" s="141"/>
      <c r="AR346" s="133">
        <f>'Basic Data'!$B$98/1000</f>
        <v>8.0208999999999993</v>
      </c>
    </row>
    <row r="347" spans="1:44" x14ac:dyDescent="0.3">
      <c r="A347" s="132">
        <f t="shared" si="23"/>
        <v>46090</v>
      </c>
      <c r="B347" s="133">
        <f>YEAR(Table13[[#This Row],[Date]])+IF(MONTH(Table13[[#This Row],[Date]])&gt;=4,1,0)</f>
        <v>2026</v>
      </c>
      <c r="C347" s="134">
        <f>YEAR(Table13[[#This Row],[Date]])</f>
        <v>2026</v>
      </c>
      <c r="D347" s="135">
        <f>Table13[[#This Row],[Date]]-DAY(Table13[[#This Row],[Date]])+1</f>
        <v>46082</v>
      </c>
      <c r="E347" s="134">
        <f t="shared" si="20"/>
        <v>31</v>
      </c>
      <c r="F347" s="136" t="str">
        <f>IFERROR(_xlfn.XLOOKUP($A347,'Raw Data'!$G:$G,'Raw Data'!$AM:$AM),"")</f>
        <v/>
      </c>
      <c r="G347" s="137" t="str">
        <f>IFERROR(_xlfn.XLOOKUP($A347,'Raw Data'!$G:$G,'Raw Data'!$AB:$AB),"")</f>
        <v/>
      </c>
      <c r="H347" s="137"/>
      <c r="I347" s="137" t="str">
        <f>IFERROR(_xlfn.XLOOKUP($A347,'Raw Data'!$G:$G,'Raw Data'!$AC:$AC),"")</f>
        <v/>
      </c>
      <c r="J347" s="137"/>
      <c r="K347" s="137" t="str">
        <f>IFERROR(_xlfn.XLOOKUP($A347,'Raw Data'!$G:$G,'Raw Data'!AD:AD),"")</f>
        <v/>
      </c>
      <c r="L347" s="137" t="str">
        <f>IFERROR(_xlfn.XLOOKUP($A347,'Raw Data'!$G:$G,'Raw Data'!AE:AE),"")</f>
        <v/>
      </c>
      <c r="M347" s="137" t="str">
        <f>IFERROR(_xlfn.XLOOKUP($A347,'Raw Data'!$G:$G,'Raw Data'!AF:AF),"")</f>
        <v/>
      </c>
      <c r="N347" s="137" t="str">
        <f>IFERROR(_xlfn.XLOOKUP($A347,'Raw Data'!$G:$G,'Raw Data'!AG:AG),"")</f>
        <v/>
      </c>
      <c r="O347" s="138" t="str">
        <f>IFERROR(1-SUMIF('Plant BD'!$H:$H,$A347,'Plant BD'!$AE:$AE)/($AA347+SUMIF('Plant BD'!$H:$H,$A347,'Plant BD'!$AE:$AE)),"")</f>
        <v/>
      </c>
      <c r="P347" s="138"/>
      <c r="Q347" s="139"/>
      <c r="R347" s="138" t="str">
        <f>IFERROR(1-SUMIF('Grid BD'!$H:$H,$A347,'Grid BD'!$AD:$AD)/($AA347+SUMIF('Grid BD'!$H:$H,$A347,'Grid BD'!$AD:$AD)),"")</f>
        <v/>
      </c>
      <c r="T347" s="139"/>
      <c r="U347" s="140" t="str">
        <f t="shared" si="21"/>
        <v/>
      </c>
      <c r="V347" s="140"/>
      <c r="W347" s="141" t="str">
        <f t="shared" si="22"/>
        <v/>
      </c>
      <c r="X347" s="133" t="str">
        <f>IFERROR(_xlfn.XLOOKUP($A347,'Raw Data'!$G:$G,'Raw Data'!AI:AI),"")</f>
        <v/>
      </c>
      <c r="Y347" s="133" t="str">
        <f>IFERROR(_xlfn.XLOOKUP($A347,'Raw Data'!$G:$G,'Raw Data'!AJ:AJ),"")</f>
        <v/>
      </c>
      <c r="Z347" s="133" t="str">
        <f>IFERROR(_xlfn.XLOOKUP($A347,'Raw Data'!$G:$G,'Raw Data'!AK:AK),"")</f>
        <v/>
      </c>
      <c r="AA347" s="133" t="str">
        <f>IFERROR(_xlfn.XLOOKUP($A347,'Raw Data'!$G:$G,'Raw Data'!AL:AL),"")</f>
        <v/>
      </c>
      <c r="AB347" s="133" t="str">
        <f>IFERROR(_xlfn.XLOOKUP($A347,'Raw Data'!$G:$G,'Raw Data'!H:H),"")</f>
        <v/>
      </c>
      <c r="AC347" s="142">
        <f>IFERROR(_xlfn.XLOOKUP($D347,'Modelling New'!$D:$D,'Modelling New'!P:P),"")</f>
        <v>6.7870967741935484</v>
      </c>
      <c r="AD347" s="133">
        <f>IFERROR(_xlfn.XLOOKUP($D347,'Modelling New'!$D:$D,'Modelling New'!$T:$T)*1000,"")</f>
        <v>38219.028541703687</v>
      </c>
      <c r="AE347" s="143">
        <f>IFERROR(_xlfn.XLOOKUP($D347,'Modelling New'!$D:$D,'Modelling New'!O:O),"")</f>
        <v>0.70205720444645292</v>
      </c>
      <c r="AF347" s="145">
        <f>IFERROR(_xlfn.XLOOKUP($D347,'Modelling New'!$D:$D,'Modelling New'!W:W),"")</f>
        <v>0.19853875781657757</v>
      </c>
      <c r="AG347" s="145">
        <f>IFERROR(_xlfn.XLOOKUP($D347,'Modelling New'!$D:$D,'Modelling New'!AE:AE),"")</f>
        <v>0.98040000000000005</v>
      </c>
      <c r="AH347" s="167">
        <f>IFERROR(_xlfn.XLOOKUP($D347,'Modelling New'!$D:$D,'Modelling New'!AF:AF),"")</f>
        <v>0.98</v>
      </c>
      <c r="AN347" s="144"/>
      <c r="AO347" s="141"/>
      <c r="AP347" s="141"/>
      <c r="AQ347" s="141"/>
      <c r="AR347" s="133">
        <f>'Basic Data'!$B$98/1000</f>
        <v>8.0208999999999993</v>
      </c>
    </row>
    <row r="348" spans="1:44" x14ac:dyDescent="0.3">
      <c r="A348" s="132">
        <f t="shared" si="23"/>
        <v>46091</v>
      </c>
      <c r="B348" s="133">
        <f>YEAR(Table13[[#This Row],[Date]])+IF(MONTH(Table13[[#This Row],[Date]])&gt;=4,1,0)</f>
        <v>2026</v>
      </c>
      <c r="C348" s="134">
        <f>YEAR(Table13[[#This Row],[Date]])</f>
        <v>2026</v>
      </c>
      <c r="D348" s="135">
        <f>Table13[[#This Row],[Date]]-DAY(Table13[[#This Row],[Date]])+1</f>
        <v>46082</v>
      </c>
      <c r="E348" s="134">
        <f t="shared" si="20"/>
        <v>31</v>
      </c>
      <c r="F348" s="136" t="str">
        <f>IFERROR(_xlfn.XLOOKUP($A348,'Raw Data'!$G:$G,'Raw Data'!$AM:$AM),"")</f>
        <v/>
      </c>
      <c r="G348" s="137" t="str">
        <f>IFERROR(_xlfn.XLOOKUP($A348,'Raw Data'!$G:$G,'Raw Data'!$AB:$AB),"")</f>
        <v/>
      </c>
      <c r="H348" s="137"/>
      <c r="I348" s="137" t="str">
        <f>IFERROR(_xlfn.XLOOKUP($A348,'Raw Data'!$G:$G,'Raw Data'!$AC:$AC),"")</f>
        <v/>
      </c>
      <c r="J348" s="137"/>
      <c r="K348" s="137" t="str">
        <f>IFERROR(_xlfn.XLOOKUP($A348,'Raw Data'!$G:$G,'Raw Data'!AD:AD),"")</f>
        <v/>
      </c>
      <c r="L348" s="137" t="str">
        <f>IFERROR(_xlfn.XLOOKUP($A348,'Raw Data'!$G:$G,'Raw Data'!AE:AE),"")</f>
        <v/>
      </c>
      <c r="M348" s="137" t="str">
        <f>IFERROR(_xlfn.XLOOKUP($A348,'Raw Data'!$G:$G,'Raw Data'!AF:AF),"")</f>
        <v/>
      </c>
      <c r="N348" s="137" t="str">
        <f>IFERROR(_xlfn.XLOOKUP($A348,'Raw Data'!$G:$G,'Raw Data'!AG:AG),"")</f>
        <v/>
      </c>
      <c r="O348" s="138" t="str">
        <f>IFERROR(1-SUMIF('Plant BD'!$H:$H,$A348,'Plant BD'!$AE:$AE)/($AA348+SUMIF('Plant BD'!$H:$H,$A348,'Plant BD'!$AE:$AE)),"")</f>
        <v/>
      </c>
      <c r="P348" s="138"/>
      <c r="Q348" s="139"/>
      <c r="R348" s="138" t="str">
        <f>IFERROR(1-SUMIF('Grid BD'!$H:$H,$A348,'Grid BD'!$AD:$AD)/($AA348+SUMIF('Grid BD'!$H:$H,$A348,'Grid BD'!$AD:$AD)),"")</f>
        <v/>
      </c>
      <c r="T348" s="139"/>
      <c r="U348" s="140" t="str">
        <f t="shared" si="21"/>
        <v/>
      </c>
      <c r="V348" s="140"/>
      <c r="W348" s="141" t="str">
        <f t="shared" si="22"/>
        <v/>
      </c>
      <c r="X348" s="133" t="str">
        <f>IFERROR(_xlfn.XLOOKUP($A348,'Raw Data'!$G:$G,'Raw Data'!AI:AI),"")</f>
        <v/>
      </c>
      <c r="Y348" s="133" t="str">
        <f>IFERROR(_xlfn.XLOOKUP($A348,'Raw Data'!$G:$G,'Raw Data'!AJ:AJ),"")</f>
        <v/>
      </c>
      <c r="Z348" s="133" t="str">
        <f>IFERROR(_xlfn.XLOOKUP($A348,'Raw Data'!$G:$G,'Raw Data'!AK:AK),"")</f>
        <v/>
      </c>
      <c r="AA348" s="133" t="str">
        <f>IFERROR(_xlfn.XLOOKUP($A348,'Raw Data'!$G:$G,'Raw Data'!AL:AL),"")</f>
        <v/>
      </c>
      <c r="AB348" s="133" t="str">
        <f>IFERROR(_xlfn.XLOOKUP($A348,'Raw Data'!$G:$G,'Raw Data'!H:H),"")</f>
        <v/>
      </c>
      <c r="AC348" s="142">
        <f>IFERROR(_xlfn.XLOOKUP($D348,'Modelling New'!$D:$D,'Modelling New'!P:P),"")</f>
        <v>6.7870967741935484</v>
      </c>
      <c r="AD348" s="133">
        <f>IFERROR(_xlfn.XLOOKUP($D348,'Modelling New'!$D:$D,'Modelling New'!$T:$T)*1000,"")</f>
        <v>38219.028541703687</v>
      </c>
      <c r="AE348" s="143">
        <f>IFERROR(_xlfn.XLOOKUP($D348,'Modelling New'!$D:$D,'Modelling New'!O:O),"")</f>
        <v>0.70205720444645292</v>
      </c>
      <c r="AF348" s="145">
        <f>IFERROR(_xlfn.XLOOKUP($D348,'Modelling New'!$D:$D,'Modelling New'!W:W),"")</f>
        <v>0.19853875781657757</v>
      </c>
      <c r="AG348" s="145">
        <f>IFERROR(_xlfn.XLOOKUP($D348,'Modelling New'!$D:$D,'Modelling New'!AE:AE),"")</f>
        <v>0.98040000000000005</v>
      </c>
      <c r="AH348" s="167">
        <f>IFERROR(_xlfn.XLOOKUP($D348,'Modelling New'!$D:$D,'Modelling New'!AF:AF),"")</f>
        <v>0.98</v>
      </c>
      <c r="AN348" s="144"/>
      <c r="AO348" s="141"/>
      <c r="AP348" s="141"/>
      <c r="AQ348" s="141"/>
      <c r="AR348" s="133">
        <f>'Basic Data'!$B$98/1000</f>
        <v>8.0208999999999993</v>
      </c>
    </row>
    <row r="349" spans="1:44" x14ac:dyDescent="0.3">
      <c r="A349" s="132">
        <f t="shared" si="23"/>
        <v>46092</v>
      </c>
      <c r="B349" s="133">
        <f>YEAR(Table13[[#This Row],[Date]])+IF(MONTH(Table13[[#This Row],[Date]])&gt;=4,1,0)</f>
        <v>2026</v>
      </c>
      <c r="C349" s="134">
        <f>YEAR(Table13[[#This Row],[Date]])</f>
        <v>2026</v>
      </c>
      <c r="D349" s="135">
        <f>Table13[[#This Row],[Date]]-DAY(Table13[[#This Row],[Date]])+1</f>
        <v>46082</v>
      </c>
      <c r="E349" s="134">
        <f t="shared" si="20"/>
        <v>31</v>
      </c>
      <c r="F349" s="136" t="str">
        <f>IFERROR(_xlfn.XLOOKUP($A349,'Raw Data'!$G:$G,'Raw Data'!$AM:$AM),"")</f>
        <v/>
      </c>
      <c r="G349" s="137" t="str">
        <f>IFERROR(_xlfn.XLOOKUP($A349,'Raw Data'!$G:$G,'Raw Data'!$AB:$AB),"")</f>
        <v/>
      </c>
      <c r="H349" s="137"/>
      <c r="I349" s="137" t="str">
        <f>IFERROR(_xlfn.XLOOKUP($A349,'Raw Data'!$G:$G,'Raw Data'!$AC:$AC),"")</f>
        <v/>
      </c>
      <c r="J349" s="137"/>
      <c r="K349" s="137" t="str">
        <f>IFERROR(_xlfn.XLOOKUP($A349,'Raw Data'!$G:$G,'Raw Data'!AD:AD),"")</f>
        <v/>
      </c>
      <c r="L349" s="137" t="str">
        <f>IFERROR(_xlfn.XLOOKUP($A349,'Raw Data'!$G:$G,'Raw Data'!AE:AE),"")</f>
        <v/>
      </c>
      <c r="M349" s="137" t="str">
        <f>IFERROR(_xlfn.XLOOKUP($A349,'Raw Data'!$G:$G,'Raw Data'!AF:AF),"")</f>
        <v/>
      </c>
      <c r="N349" s="137" t="str">
        <f>IFERROR(_xlfn.XLOOKUP($A349,'Raw Data'!$G:$G,'Raw Data'!AG:AG),"")</f>
        <v/>
      </c>
      <c r="O349" s="138" t="str">
        <f>IFERROR(1-SUMIF('Plant BD'!$H:$H,$A349,'Plant BD'!$AE:$AE)/($AA349+SUMIF('Plant BD'!$H:$H,$A349,'Plant BD'!$AE:$AE)),"")</f>
        <v/>
      </c>
      <c r="P349" s="138"/>
      <c r="Q349" s="139"/>
      <c r="R349" s="138" t="str">
        <f>IFERROR(1-SUMIF('Grid BD'!$H:$H,$A349,'Grid BD'!$AD:$AD)/($AA349+SUMIF('Grid BD'!$H:$H,$A349,'Grid BD'!$AD:$AD)),"")</f>
        <v/>
      </c>
      <c r="T349" s="139"/>
      <c r="U349" s="140" t="str">
        <f t="shared" si="21"/>
        <v/>
      </c>
      <c r="V349" s="140"/>
      <c r="W349" s="141" t="str">
        <f t="shared" si="22"/>
        <v/>
      </c>
      <c r="X349" s="133" t="str">
        <f>IFERROR(_xlfn.XLOOKUP($A349,'Raw Data'!$G:$G,'Raw Data'!AI:AI),"")</f>
        <v/>
      </c>
      <c r="Y349" s="133" t="str">
        <f>IFERROR(_xlfn.XLOOKUP($A349,'Raw Data'!$G:$G,'Raw Data'!AJ:AJ),"")</f>
        <v/>
      </c>
      <c r="Z349" s="133" t="str">
        <f>IFERROR(_xlfn.XLOOKUP($A349,'Raw Data'!$G:$G,'Raw Data'!AK:AK),"")</f>
        <v/>
      </c>
      <c r="AA349" s="133" t="str">
        <f>IFERROR(_xlfn.XLOOKUP($A349,'Raw Data'!$G:$G,'Raw Data'!AL:AL),"")</f>
        <v/>
      </c>
      <c r="AB349" s="133" t="str">
        <f>IFERROR(_xlfn.XLOOKUP($A349,'Raw Data'!$G:$G,'Raw Data'!H:H),"")</f>
        <v/>
      </c>
      <c r="AC349" s="142">
        <f>IFERROR(_xlfn.XLOOKUP($D349,'Modelling New'!$D:$D,'Modelling New'!P:P),"")</f>
        <v>6.7870967741935484</v>
      </c>
      <c r="AD349" s="133">
        <f>IFERROR(_xlfn.XLOOKUP($D349,'Modelling New'!$D:$D,'Modelling New'!$T:$T)*1000,"")</f>
        <v>38219.028541703687</v>
      </c>
      <c r="AE349" s="143">
        <f>IFERROR(_xlfn.XLOOKUP($D349,'Modelling New'!$D:$D,'Modelling New'!O:O),"")</f>
        <v>0.70205720444645292</v>
      </c>
      <c r="AF349" s="145">
        <f>IFERROR(_xlfn.XLOOKUP($D349,'Modelling New'!$D:$D,'Modelling New'!W:W),"")</f>
        <v>0.19853875781657757</v>
      </c>
      <c r="AG349" s="145">
        <f>IFERROR(_xlfn.XLOOKUP($D349,'Modelling New'!$D:$D,'Modelling New'!AE:AE),"")</f>
        <v>0.98040000000000005</v>
      </c>
      <c r="AH349" s="167">
        <f>IFERROR(_xlfn.XLOOKUP($D349,'Modelling New'!$D:$D,'Modelling New'!AF:AF),"")</f>
        <v>0.98</v>
      </c>
      <c r="AN349" s="144"/>
      <c r="AO349" s="141"/>
      <c r="AP349" s="141"/>
      <c r="AQ349" s="141"/>
      <c r="AR349" s="133">
        <f>'Basic Data'!$B$98/1000</f>
        <v>8.0208999999999993</v>
      </c>
    </row>
    <row r="350" spans="1:44" x14ac:dyDescent="0.3">
      <c r="A350" s="132">
        <f t="shared" si="23"/>
        <v>46093</v>
      </c>
      <c r="B350" s="133">
        <f>YEAR(Table13[[#This Row],[Date]])+IF(MONTH(Table13[[#This Row],[Date]])&gt;=4,1,0)</f>
        <v>2026</v>
      </c>
      <c r="C350" s="134">
        <f>YEAR(Table13[[#This Row],[Date]])</f>
        <v>2026</v>
      </c>
      <c r="D350" s="135">
        <f>Table13[[#This Row],[Date]]-DAY(Table13[[#This Row],[Date]])+1</f>
        <v>46082</v>
      </c>
      <c r="E350" s="134">
        <f t="shared" si="20"/>
        <v>31</v>
      </c>
      <c r="F350" s="136" t="str">
        <f>IFERROR(_xlfn.XLOOKUP($A350,'Raw Data'!$G:$G,'Raw Data'!$AM:$AM),"")</f>
        <v/>
      </c>
      <c r="G350" s="137" t="str">
        <f>IFERROR(_xlfn.XLOOKUP($A350,'Raw Data'!$G:$G,'Raw Data'!$AB:$AB),"")</f>
        <v/>
      </c>
      <c r="H350" s="137"/>
      <c r="I350" s="137" t="str">
        <f>IFERROR(_xlfn.XLOOKUP($A350,'Raw Data'!$G:$G,'Raw Data'!$AC:$AC),"")</f>
        <v/>
      </c>
      <c r="J350" s="137"/>
      <c r="K350" s="137" t="str">
        <f>IFERROR(_xlfn.XLOOKUP($A350,'Raw Data'!$G:$G,'Raw Data'!AD:AD),"")</f>
        <v/>
      </c>
      <c r="L350" s="137" t="str">
        <f>IFERROR(_xlfn.XLOOKUP($A350,'Raw Data'!$G:$G,'Raw Data'!AE:AE),"")</f>
        <v/>
      </c>
      <c r="M350" s="137" t="str">
        <f>IFERROR(_xlfn.XLOOKUP($A350,'Raw Data'!$G:$G,'Raw Data'!AF:AF),"")</f>
        <v/>
      </c>
      <c r="N350" s="137" t="str">
        <f>IFERROR(_xlfn.XLOOKUP($A350,'Raw Data'!$G:$G,'Raw Data'!AG:AG),"")</f>
        <v/>
      </c>
      <c r="O350" s="138" t="str">
        <f>IFERROR(1-SUMIF('Plant BD'!$H:$H,$A350,'Plant BD'!$AE:$AE)/($AA350+SUMIF('Plant BD'!$H:$H,$A350,'Plant BD'!$AE:$AE)),"")</f>
        <v/>
      </c>
      <c r="P350" s="138"/>
      <c r="Q350" s="139"/>
      <c r="R350" s="138" t="str">
        <f>IFERROR(1-SUMIF('Grid BD'!$H:$H,$A350,'Grid BD'!$AD:$AD)/($AA350+SUMIF('Grid BD'!$H:$H,$A350,'Grid BD'!$AD:$AD)),"")</f>
        <v/>
      </c>
      <c r="T350" s="139"/>
      <c r="U350" s="140" t="str">
        <f t="shared" si="21"/>
        <v/>
      </c>
      <c r="V350" s="140"/>
      <c r="W350" s="141" t="str">
        <f t="shared" si="22"/>
        <v/>
      </c>
      <c r="X350" s="133" t="str">
        <f>IFERROR(_xlfn.XLOOKUP($A350,'Raw Data'!$G:$G,'Raw Data'!AI:AI),"")</f>
        <v/>
      </c>
      <c r="Y350" s="133" t="str">
        <f>IFERROR(_xlfn.XLOOKUP($A350,'Raw Data'!$G:$G,'Raw Data'!AJ:AJ),"")</f>
        <v/>
      </c>
      <c r="Z350" s="133" t="str">
        <f>IFERROR(_xlfn.XLOOKUP($A350,'Raw Data'!$G:$G,'Raw Data'!AK:AK),"")</f>
        <v/>
      </c>
      <c r="AA350" s="133" t="str">
        <f>IFERROR(_xlfn.XLOOKUP($A350,'Raw Data'!$G:$G,'Raw Data'!AL:AL),"")</f>
        <v/>
      </c>
      <c r="AB350" s="133" t="str">
        <f>IFERROR(_xlfn.XLOOKUP($A350,'Raw Data'!$G:$G,'Raw Data'!H:H),"")</f>
        <v/>
      </c>
      <c r="AC350" s="142">
        <f>IFERROR(_xlfn.XLOOKUP($D350,'Modelling New'!$D:$D,'Modelling New'!P:P),"")</f>
        <v>6.7870967741935484</v>
      </c>
      <c r="AD350" s="133">
        <f>IFERROR(_xlfn.XLOOKUP($D350,'Modelling New'!$D:$D,'Modelling New'!$T:$T)*1000,"")</f>
        <v>38219.028541703687</v>
      </c>
      <c r="AE350" s="143">
        <f>IFERROR(_xlfn.XLOOKUP($D350,'Modelling New'!$D:$D,'Modelling New'!O:O),"")</f>
        <v>0.70205720444645292</v>
      </c>
      <c r="AF350" s="145">
        <f>IFERROR(_xlfn.XLOOKUP($D350,'Modelling New'!$D:$D,'Modelling New'!W:W),"")</f>
        <v>0.19853875781657757</v>
      </c>
      <c r="AG350" s="145">
        <f>IFERROR(_xlfn.XLOOKUP($D350,'Modelling New'!$D:$D,'Modelling New'!AE:AE),"")</f>
        <v>0.98040000000000005</v>
      </c>
      <c r="AH350" s="167">
        <f>IFERROR(_xlfn.XLOOKUP($D350,'Modelling New'!$D:$D,'Modelling New'!AF:AF),"")</f>
        <v>0.98</v>
      </c>
      <c r="AN350" s="144"/>
      <c r="AO350" s="141"/>
      <c r="AP350" s="141"/>
      <c r="AQ350" s="141"/>
      <c r="AR350" s="133">
        <f>'Basic Data'!$B$98/1000</f>
        <v>8.0208999999999993</v>
      </c>
    </row>
    <row r="351" spans="1:44" x14ac:dyDescent="0.3">
      <c r="A351" s="132">
        <f t="shared" si="23"/>
        <v>46094</v>
      </c>
      <c r="B351" s="133">
        <f>YEAR(Table13[[#This Row],[Date]])+IF(MONTH(Table13[[#This Row],[Date]])&gt;=4,1,0)</f>
        <v>2026</v>
      </c>
      <c r="C351" s="134">
        <f>YEAR(Table13[[#This Row],[Date]])</f>
        <v>2026</v>
      </c>
      <c r="D351" s="135">
        <f>Table13[[#This Row],[Date]]-DAY(Table13[[#This Row],[Date]])+1</f>
        <v>46082</v>
      </c>
      <c r="E351" s="134">
        <f t="shared" si="20"/>
        <v>31</v>
      </c>
      <c r="F351" s="136" t="str">
        <f>IFERROR(_xlfn.XLOOKUP($A351,'Raw Data'!$G:$G,'Raw Data'!$AM:$AM),"")</f>
        <v/>
      </c>
      <c r="G351" s="137" t="str">
        <f>IFERROR(_xlfn.XLOOKUP($A351,'Raw Data'!$G:$G,'Raw Data'!$AB:$AB),"")</f>
        <v/>
      </c>
      <c r="H351" s="137"/>
      <c r="I351" s="137" t="str">
        <f>IFERROR(_xlfn.XLOOKUP($A351,'Raw Data'!$G:$G,'Raw Data'!$AC:$AC),"")</f>
        <v/>
      </c>
      <c r="J351" s="137"/>
      <c r="K351" s="137" t="str">
        <f>IFERROR(_xlfn.XLOOKUP($A351,'Raw Data'!$G:$G,'Raw Data'!AD:AD),"")</f>
        <v/>
      </c>
      <c r="L351" s="137" t="str">
        <f>IFERROR(_xlfn.XLOOKUP($A351,'Raw Data'!$G:$G,'Raw Data'!AE:AE),"")</f>
        <v/>
      </c>
      <c r="M351" s="137" t="str">
        <f>IFERROR(_xlfn.XLOOKUP($A351,'Raw Data'!$G:$G,'Raw Data'!AF:AF),"")</f>
        <v/>
      </c>
      <c r="N351" s="137" t="str">
        <f>IFERROR(_xlfn.XLOOKUP($A351,'Raw Data'!$G:$G,'Raw Data'!AG:AG),"")</f>
        <v/>
      </c>
      <c r="O351" s="138" t="str">
        <f>IFERROR(1-SUMIF('Plant BD'!$H:$H,$A351,'Plant BD'!$AE:$AE)/($AA351+SUMIF('Plant BD'!$H:$H,$A351,'Plant BD'!$AE:$AE)),"")</f>
        <v/>
      </c>
      <c r="P351" s="138"/>
      <c r="Q351" s="139"/>
      <c r="R351" s="138" t="str">
        <f>IFERROR(1-SUMIF('Grid BD'!$H:$H,$A351,'Grid BD'!$AD:$AD)/($AA351+SUMIF('Grid BD'!$H:$H,$A351,'Grid BD'!$AD:$AD)),"")</f>
        <v/>
      </c>
      <c r="T351" s="139"/>
      <c r="U351" s="140" t="str">
        <f t="shared" si="21"/>
        <v/>
      </c>
      <c r="V351" s="140"/>
      <c r="W351" s="141" t="str">
        <f t="shared" si="22"/>
        <v/>
      </c>
      <c r="X351" s="133" t="str">
        <f>IFERROR(_xlfn.XLOOKUP($A351,'Raw Data'!$G:$G,'Raw Data'!AI:AI),"")</f>
        <v/>
      </c>
      <c r="Y351" s="133" t="str">
        <f>IFERROR(_xlfn.XLOOKUP($A351,'Raw Data'!$G:$G,'Raw Data'!AJ:AJ),"")</f>
        <v/>
      </c>
      <c r="Z351" s="133" t="str">
        <f>IFERROR(_xlfn.XLOOKUP($A351,'Raw Data'!$G:$G,'Raw Data'!AK:AK),"")</f>
        <v/>
      </c>
      <c r="AA351" s="133" t="str">
        <f>IFERROR(_xlfn.XLOOKUP($A351,'Raw Data'!$G:$G,'Raw Data'!AL:AL),"")</f>
        <v/>
      </c>
      <c r="AB351" s="133" t="str">
        <f>IFERROR(_xlfn.XLOOKUP($A351,'Raw Data'!$G:$G,'Raw Data'!H:H),"")</f>
        <v/>
      </c>
      <c r="AC351" s="142">
        <f>IFERROR(_xlfn.XLOOKUP($D351,'Modelling New'!$D:$D,'Modelling New'!P:P),"")</f>
        <v>6.7870967741935484</v>
      </c>
      <c r="AD351" s="133">
        <f>IFERROR(_xlfn.XLOOKUP($D351,'Modelling New'!$D:$D,'Modelling New'!$T:$T)*1000,"")</f>
        <v>38219.028541703687</v>
      </c>
      <c r="AE351" s="143">
        <f>IFERROR(_xlfn.XLOOKUP($D351,'Modelling New'!$D:$D,'Modelling New'!O:O),"")</f>
        <v>0.70205720444645292</v>
      </c>
      <c r="AF351" s="145">
        <f>IFERROR(_xlfn.XLOOKUP($D351,'Modelling New'!$D:$D,'Modelling New'!W:W),"")</f>
        <v>0.19853875781657757</v>
      </c>
      <c r="AG351" s="145">
        <f>IFERROR(_xlfn.XLOOKUP($D351,'Modelling New'!$D:$D,'Modelling New'!AE:AE),"")</f>
        <v>0.98040000000000005</v>
      </c>
      <c r="AH351" s="167">
        <f>IFERROR(_xlfn.XLOOKUP($D351,'Modelling New'!$D:$D,'Modelling New'!AF:AF),"")</f>
        <v>0.98</v>
      </c>
      <c r="AN351" s="144"/>
      <c r="AO351" s="141"/>
      <c r="AP351" s="141"/>
      <c r="AQ351" s="141"/>
      <c r="AR351" s="133">
        <f>'Basic Data'!$B$98/1000</f>
        <v>8.0208999999999993</v>
      </c>
    </row>
    <row r="352" spans="1:44" x14ac:dyDescent="0.3">
      <c r="A352" s="132">
        <f t="shared" si="23"/>
        <v>46095</v>
      </c>
      <c r="B352" s="133">
        <f>YEAR(Table13[[#This Row],[Date]])+IF(MONTH(Table13[[#This Row],[Date]])&gt;=4,1,0)</f>
        <v>2026</v>
      </c>
      <c r="C352" s="134">
        <f>YEAR(Table13[[#This Row],[Date]])</f>
        <v>2026</v>
      </c>
      <c r="D352" s="135">
        <f>Table13[[#This Row],[Date]]-DAY(Table13[[#This Row],[Date]])+1</f>
        <v>46082</v>
      </c>
      <c r="E352" s="134">
        <f t="shared" si="20"/>
        <v>31</v>
      </c>
      <c r="F352" s="136" t="str">
        <f>IFERROR(_xlfn.XLOOKUP($A352,'Raw Data'!$G:$G,'Raw Data'!$AM:$AM),"")</f>
        <v/>
      </c>
      <c r="G352" s="137" t="str">
        <f>IFERROR(_xlfn.XLOOKUP($A352,'Raw Data'!$G:$G,'Raw Data'!$AB:$AB),"")</f>
        <v/>
      </c>
      <c r="H352" s="137"/>
      <c r="I352" s="137" t="str">
        <f>IFERROR(_xlfn.XLOOKUP($A352,'Raw Data'!$G:$G,'Raw Data'!$AC:$AC),"")</f>
        <v/>
      </c>
      <c r="J352" s="137"/>
      <c r="K352" s="137" t="str">
        <f>IFERROR(_xlfn.XLOOKUP($A352,'Raw Data'!$G:$G,'Raw Data'!AD:AD),"")</f>
        <v/>
      </c>
      <c r="L352" s="137" t="str">
        <f>IFERROR(_xlfn.XLOOKUP($A352,'Raw Data'!$G:$G,'Raw Data'!AE:AE),"")</f>
        <v/>
      </c>
      <c r="M352" s="137" t="str">
        <f>IFERROR(_xlfn.XLOOKUP($A352,'Raw Data'!$G:$G,'Raw Data'!AF:AF),"")</f>
        <v/>
      </c>
      <c r="N352" s="137" t="str">
        <f>IFERROR(_xlfn.XLOOKUP($A352,'Raw Data'!$G:$G,'Raw Data'!AG:AG),"")</f>
        <v/>
      </c>
      <c r="O352" s="138" t="str">
        <f>IFERROR(1-SUMIF('Plant BD'!$H:$H,$A352,'Plant BD'!$AE:$AE)/($AA352+SUMIF('Plant BD'!$H:$H,$A352,'Plant BD'!$AE:$AE)),"")</f>
        <v/>
      </c>
      <c r="P352" s="138"/>
      <c r="Q352" s="139"/>
      <c r="R352" s="138" t="str">
        <f>IFERROR(1-SUMIF('Grid BD'!$H:$H,$A352,'Grid BD'!$AD:$AD)/($AA352+SUMIF('Grid BD'!$H:$H,$A352,'Grid BD'!$AD:$AD)),"")</f>
        <v/>
      </c>
      <c r="T352" s="139"/>
      <c r="U352" s="140" t="str">
        <f t="shared" si="21"/>
        <v/>
      </c>
      <c r="V352" s="140"/>
      <c r="W352" s="141" t="str">
        <f t="shared" si="22"/>
        <v/>
      </c>
      <c r="X352" s="133" t="str">
        <f>IFERROR(_xlfn.XLOOKUP($A352,'Raw Data'!$G:$G,'Raw Data'!AI:AI),"")</f>
        <v/>
      </c>
      <c r="Y352" s="133" t="str">
        <f>IFERROR(_xlfn.XLOOKUP($A352,'Raw Data'!$G:$G,'Raw Data'!AJ:AJ),"")</f>
        <v/>
      </c>
      <c r="Z352" s="133" t="str">
        <f>IFERROR(_xlfn.XLOOKUP($A352,'Raw Data'!$G:$G,'Raw Data'!AK:AK),"")</f>
        <v/>
      </c>
      <c r="AA352" s="133" t="str">
        <f>IFERROR(_xlfn.XLOOKUP($A352,'Raw Data'!$G:$G,'Raw Data'!AL:AL),"")</f>
        <v/>
      </c>
      <c r="AB352" s="133" t="str">
        <f>IFERROR(_xlfn.XLOOKUP($A352,'Raw Data'!$G:$G,'Raw Data'!H:H),"")</f>
        <v/>
      </c>
      <c r="AC352" s="142">
        <f>IFERROR(_xlfn.XLOOKUP($D352,'Modelling New'!$D:$D,'Modelling New'!P:P),"")</f>
        <v>6.7870967741935484</v>
      </c>
      <c r="AD352" s="133">
        <f>IFERROR(_xlfn.XLOOKUP($D352,'Modelling New'!$D:$D,'Modelling New'!$T:$T)*1000,"")</f>
        <v>38219.028541703687</v>
      </c>
      <c r="AE352" s="143">
        <f>IFERROR(_xlfn.XLOOKUP($D352,'Modelling New'!$D:$D,'Modelling New'!O:O),"")</f>
        <v>0.70205720444645292</v>
      </c>
      <c r="AF352" s="145">
        <f>IFERROR(_xlfn.XLOOKUP($D352,'Modelling New'!$D:$D,'Modelling New'!W:W),"")</f>
        <v>0.19853875781657757</v>
      </c>
      <c r="AG352" s="145">
        <f>IFERROR(_xlfn.XLOOKUP($D352,'Modelling New'!$D:$D,'Modelling New'!AE:AE),"")</f>
        <v>0.98040000000000005</v>
      </c>
      <c r="AH352" s="167">
        <f>IFERROR(_xlfn.XLOOKUP($D352,'Modelling New'!$D:$D,'Modelling New'!AF:AF),"")</f>
        <v>0.98</v>
      </c>
      <c r="AN352" s="144"/>
      <c r="AO352" s="141"/>
      <c r="AP352" s="141"/>
      <c r="AQ352" s="141"/>
      <c r="AR352" s="133">
        <f>'Basic Data'!$B$98/1000</f>
        <v>8.0208999999999993</v>
      </c>
    </row>
    <row r="353" spans="1:44" x14ac:dyDescent="0.3">
      <c r="A353" s="132">
        <f t="shared" si="23"/>
        <v>46096</v>
      </c>
      <c r="B353" s="133">
        <f>YEAR(Table13[[#This Row],[Date]])+IF(MONTH(Table13[[#This Row],[Date]])&gt;=4,1,0)</f>
        <v>2026</v>
      </c>
      <c r="C353" s="134">
        <f>YEAR(Table13[[#This Row],[Date]])</f>
        <v>2026</v>
      </c>
      <c r="D353" s="135">
        <f>Table13[[#This Row],[Date]]-DAY(Table13[[#This Row],[Date]])+1</f>
        <v>46082</v>
      </c>
      <c r="E353" s="134">
        <f t="shared" si="20"/>
        <v>31</v>
      </c>
      <c r="F353" s="136" t="str">
        <f>IFERROR(_xlfn.XLOOKUP($A353,'Raw Data'!$G:$G,'Raw Data'!$AM:$AM),"")</f>
        <v/>
      </c>
      <c r="G353" s="137" t="str">
        <f>IFERROR(_xlfn.XLOOKUP($A353,'Raw Data'!$G:$G,'Raw Data'!$AB:$AB),"")</f>
        <v/>
      </c>
      <c r="H353" s="137"/>
      <c r="I353" s="137" t="str">
        <f>IFERROR(_xlfn.XLOOKUP($A353,'Raw Data'!$G:$G,'Raw Data'!$AC:$AC),"")</f>
        <v/>
      </c>
      <c r="J353" s="137"/>
      <c r="K353" s="137" t="str">
        <f>IFERROR(_xlfn.XLOOKUP($A353,'Raw Data'!$G:$G,'Raw Data'!AD:AD),"")</f>
        <v/>
      </c>
      <c r="L353" s="137" t="str">
        <f>IFERROR(_xlfn.XLOOKUP($A353,'Raw Data'!$G:$G,'Raw Data'!AE:AE),"")</f>
        <v/>
      </c>
      <c r="M353" s="137" t="str">
        <f>IFERROR(_xlfn.XLOOKUP($A353,'Raw Data'!$G:$G,'Raw Data'!AF:AF),"")</f>
        <v/>
      </c>
      <c r="N353" s="137" t="str">
        <f>IFERROR(_xlfn.XLOOKUP($A353,'Raw Data'!$G:$G,'Raw Data'!AG:AG),"")</f>
        <v/>
      </c>
      <c r="O353" s="138" t="str">
        <f>IFERROR(1-SUMIF('Plant BD'!$H:$H,$A353,'Plant BD'!$AE:$AE)/($AA353+SUMIF('Plant BD'!$H:$H,$A353,'Plant BD'!$AE:$AE)),"")</f>
        <v/>
      </c>
      <c r="P353" s="138"/>
      <c r="Q353" s="139"/>
      <c r="R353" s="138" t="str">
        <f>IFERROR(1-SUMIF('Grid BD'!$H:$H,$A353,'Grid BD'!$AD:$AD)/($AA353+SUMIF('Grid BD'!$H:$H,$A353,'Grid BD'!$AD:$AD)),"")</f>
        <v/>
      </c>
      <c r="T353" s="139"/>
      <c r="U353" s="140" t="str">
        <f t="shared" si="21"/>
        <v/>
      </c>
      <c r="V353" s="140"/>
      <c r="W353" s="141" t="str">
        <f t="shared" si="22"/>
        <v/>
      </c>
      <c r="X353" s="133" t="str">
        <f>IFERROR(_xlfn.XLOOKUP($A353,'Raw Data'!$G:$G,'Raw Data'!AI:AI),"")</f>
        <v/>
      </c>
      <c r="Y353" s="133" t="str">
        <f>IFERROR(_xlfn.XLOOKUP($A353,'Raw Data'!$G:$G,'Raw Data'!AJ:AJ),"")</f>
        <v/>
      </c>
      <c r="Z353" s="133" t="str">
        <f>IFERROR(_xlfn.XLOOKUP($A353,'Raw Data'!$G:$G,'Raw Data'!AK:AK),"")</f>
        <v/>
      </c>
      <c r="AA353" s="133" t="str">
        <f>IFERROR(_xlfn.XLOOKUP($A353,'Raw Data'!$G:$G,'Raw Data'!AL:AL),"")</f>
        <v/>
      </c>
      <c r="AB353" s="133" t="str">
        <f>IFERROR(_xlfn.XLOOKUP($A353,'Raw Data'!$G:$G,'Raw Data'!H:H),"")</f>
        <v/>
      </c>
      <c r="AC353" s="142">
        <f>IFERROR(_xlfn.XLOOKUP($D353,'Modelling New'!$D:$D,'Modelling New'!P:P),"")</f>
        <v>6.7870967741935484</v>
      </c>
      <c r="AD353" s="133">
        <f>IFERROR(_xlfn.XLOOKUP($D353,'Modelling New'!$D:$D,'Modelling New'!$T:$T)*1000,"")</f>
        <v>38219.028541703687</v>
      </c>
      <c r="AE353" s="143">
        <f>IFERROR(_xlfn.XLOOKUP($D353,'Modelling New'!$D:$D,'Modelling New'!O:O),"")</f>
        <v>0.70205720444645292</v>
      </c>
      <c r="AF353" s="145">
        <f>IFERROR(_xlfn.XLOOKUP($D353,'Modelling New'!$D:$D,'Modelling New'!W:W),"")</f>
        <v>0.19853875781657757</v>
      </c>
      <c r="AG353" s="145">
        <f>IFERROR(_xlfn.XLOOKUP($D353,'Modelling New'!$D:$D,'Modelling New'!AE:AE),"")</f>
        <v>0.98040000000000005</v>
      </c>
      <c r="AH353" s="167">
        <f>IFERROR(_xlfn.XLOOKUP($D353,'Modelling New'!$D:$D,'Modelling New'!AF:AF),"")</f>
        <v>0.98</v>
      </c>
      <c r="AN353" s="144"/>
      <c r="AO353" s="141"/>
      <c r="AP353" s="141"/>
      <c r="AQ353" s="141"/>
      <c r="AR353" s="133">
        <f>'Basic Data'!$B$98/1000</f>
        <v>8.0208999999999993</v>
      </c>
    </row>
    <row r="354" spans="1:44" x14ac:dyDescent="0.3">
      <c r="A354" s="132">
        <f t="shared" si="23"/>
        <v>46097</v>
      </c>
      <c r="B354" s="133">
        <f>YEAR(Table13[[#This Row],[Date]])+IF(MONTH(Table13[[#This Row],[Date]])&gt;=4,1,0)</f>
        <v>2026</v>
      </c>
      <c r="C354" s="134">
        <f>YEAR(Table13[[#This Row],[Date]])</f>
        <v>2026</v>
      </c>
      <c r="D354" s="135">
        <f>Table13[[#This Row],[Date]]-DAY(Table13[[#This Row],[Date]])+1</f>
        <v>46082</v>
      </c>
      <c r="E354" s="134">
        <f t="shared" si="20"/>
        <v>31</v>
      </c>
      <c r="F354" s="136" t="str">
        <f>IFERROR(_xlfn.XLOOKUP($A354,'Raw Data'!$G:$G,'Raw Data'!$AM:$AM),"")</f>
        <v/>
      </c>
      <c r="G354" s="137" t="str">
        <f>IFERROR(_xlfn.XLOOKUP($A354,'Raw Data'!$G:$G,'Raw Data'!$AB:$AB),"")</f>
        <v/>
      </c>
      <c r="H354" s="137"/>
      <c r="I354" s="137" t="str">
        <f>IFERROR(_xlfn.XLOOKUP($A354,'Raw Data'!$G:$G,'Raw Data'!$AC:$AC),"")</f>
        <v/>
      </c>
      <c r="J354" s="137"/>
      <c r="K354" s="137" t="str">
        <f>IFERROR(_xlfn.XLOOKUP($A354,'Raw Data'!$G:$G,'Raw Data'!AD:AD),"")</f>
        <v/>
      </c>
      <c r="L354" s="137" t="str">
        <f>IFERROR(_xlfn.XLOOKUP($A354,'Raw Data'!$G:$G,'Raw Data'!AE:AE),"")</f>
        <v/>
      </c>
      <c r="M354" s="137" t="str">
        <f>IFERROR(_xlfn.XLOOKUP($A354,'Raw Data'!$G:$G,'Raw Data'!AF:AF),"")</f>
        <v/>
      </c>
      <c r="N354" s="137" t="str">
        <f>IFERROR(_xlfn.XLOOKUP($A354,'Raw Data'!$G:$G,'Raw Data'!AG:AG),"")</f>
        <v/>
      </c>
      <c r="O354" s="138" t="str">
        <f>IFERROR(1-SUMIF('Plant BD'!$H:$H,$A354,'Plant BD'!$AE:$AE)/($AA354+SUMIF('Plant BD'!$H:$H,$A354,'Plant BD'!$AE:$AE)),"")</f>
        <v/>
      </c>
      <c r="P354" s="138"/>
      <c r="Q354" s="139"/>
      <c r="R354" s="138" t="str">
        <f>IFERROR(1-SUMIF('Grid BD'!$H:$H,$A354,'Grid BD'!$AD:$AD)/($AA354+SUMIF('Grid BD'!$H:$H,$A354,'Grid BD'!$AD:$AD)),"")</f>
        <v/>
      </c>
      <c r="T354" s="139"/>
      <c r="U354" s="140" t="str">
        <f t="shared" si="21"/>
        <v/>
      </c>
      <c r="V354" s="140"/>
      <c r="W354" s="141" t="str">
        <f t="shared" si="22"/>
        <v/>
      </c>
      <c r="X354" s="133" t="str">
        <f>IFERROR(_xlfn.XLOOKUP($A354,'Raw Data'!$G:$G,'Raw Data'!AI:AI),"")</f>
        <v/>
      </c>
      <c r="Y354" s="133" t="str">
        <f>IFERROR(_xlfn.XLOOKUP($A354,'Raw Data'!$G:$G,'Raw Data'!AJ:AJ),"")</f>
        <v/>
      </c>
      <c r="Z354" s="133" t="str">
        <f>IFERROR(_xlfn.XLOOKUP($A354,'Raw Data'!$G:$G,'Raw Data'!AK:AK),"")</f>
        <v/>
      </c>
      <c r="AA354" s="133" t="str">
        <f>IFERROR(_xlfn.XLOOKUP($A354,'Raw Data'!$G:$G,'Raw Data'!AL:AL),"")</f>
        <v/>
      </c>
      <c r="AB354" s="133" t="str">
        <f>IFERROR(_xlfn.XLOOKUP($A354,'Raw Data'!$G:$G,'Raw Data'!H:H),"")</f>
        <v/>
      </c>
      <c r="AC354" s="142">
        <f>IFERROR(_xlfn.XLOOKUP($D354,'Modelling New'!$D:$D,'Modelling New'!P:P),"")</f>
        <v>6.7870967741935484</v>
      </c>
      <c r="AD354" s="133">
        <f>IFERROR(_xlfn.XLOOKUP($D354,'Modelling New'!$D:$D,'Modelling New'!$T:$T)*1000,"")</f>
        <v>38219.028541703687</v>
      </c>
      <c r="AE354" s="143">
        <f>IFERROR(_xlfn.XLOOKUP($D354,'Modelling New'!$D:$D,'Modelling New'!O:O),"")</f>
        <v>0.70205720444645292</v>
      </c>
      <c r="AF354" s="145">
        <f>IFERROR(_xlfn.XLOOKUP($D354,'Modelling New'!$D:$D,'Modelling New'!W:W),"")</f>
        <v>0.19853875781657757</v>
      </c>
      <c r="AG354" s="145">
        <f>IFERROR(_xlfn.XLOOKUP($D354,'Modelling New'!$D:$D,'Modelling New'!AE:AE),"")</f>
        <v>0.98040000000000005</v>
      </c>
      <c r="AH354" s="167">
        <f>IFERROR(_xlfn.XLOOKUP($D354,'Modelling New'!$D:$D,'Modelling New'!AF:AF),"")</f>
        <v>0.98</v>
      </c>
      <c r="AN354" s="144"/>
      <c r="AO354" s="141"/>
      <c r="AP354" s="141"/>
      <c r="AQ354" s="141"/>
      <c r="AR354" s="133">
        <f>'Basic Data'!$B$98/1000</f>
        <v>8.0208999999999993</v>
      </c>
    </row>
    <row r="355" spans="1:44" x14ac:dyDescent="0.3">
      <c r="A355" s="132">
        <f t="shared" si="23"/>
        <v>46098</v>
      </c>
      <c r="B355" s="133">
        <f>YEAR(Table13[[#This Row],[Date]])+IF(MONTH(Table13[[#This Row],[Date]])&gt;=4,1,0)</f>
        <v>2026</v>
      </c>
      <c r="C355" s="134">
        <f>YEAR(Table13[[#This Row],[Date]])</f>
        <v>2026</v>
      </c>
      <c r="D355" s="135">
        <f>Table13[[#This Row],[Date]]-DAY(Table13[[#This Row],[Date]])+1</f>
        <v>46082</v>
      </c>
      <c r="E355" s="134">
        <f t="shared" si="20"/>
        <v>31</v>
      </c>
      <c r="F355" s="136" t="str">
        <f>IFERROR(_xlfn.XLOOKUP($A355,'Raw Data'!$G:$G,'Raw Data'!$AM:$AM),"")</f>
        <v/>
      </c>
      <c r="G355" s="137" t="str">
        <f>IFERROR(_xlfn.XLOOKUP($A355,'Raw Data'!$G:$G,'Raw Data'!$AB:$AB),"")</f>
        <v/>
      </c>
      <c r="H355" s="137"/>
      <c r="I355" s="137" t="str">
        <f>IFERROR(_xlfn.XLOOKUP($A355,'Raw Data'!$G:$G,'Raw Data'!$AC:$AC),"")</f>
        <v/>
      </c>
      <c r="J355" s="137"/>
      <c r="K355" s="137" t="str">
        <f>IFERROR(_xlfn.XLOOKUP($A355,'Raw Data'!$G:$G,'Raw Data'!AD:AD),"")</f>
        <v/>
      </c>
      <c r="L355" s="137" t="str">
        <f>IFERROR(_xlfn.XLOOKUP($A355,'Raw Data'!$G:$G,'Raw Data'!AE:AE),"")</f>
        <v/>
      </c>
      <c r="M355" s="137" t="str">
        <f>IFERROR(_xlfn.XLOOKUP($A355,'Raw Data'!$G:$G,'Raw Data'!AF:AF),"")</f>
        <v/>
      </c>
      <c r="N355" s="137" t="str">
        <f>IFERROR(_xlfn.XLOOKUP($A355,'Raw Data'!$G:$G,'Raw Data'!AG:AG),"")</f>
        <v/>
      </c>
      <c r="O355" s="138" t="str">
        <f>IFERROR(1-SUMIF('Plant BD'!$H:$H,$A355,'Plant BD'!$AE:$AE)/($AA355+SUMIF('Plant BD'!$H:$H,$A355,'Plant BD'!$AE:$AE)),"")</f>
        <v/>
      </c>
      <c r="P355" s="138"/>
      <c r="Q355" s="139"/>
      <c r="R355" s="138" t="str">
        <f>IFERROR(1-SUMIF('Grid BD'!$H:$H,$A355,'Grid BD'!$AD:$AD)/($AA355+SUMIF('Grid BD'!$H:$H,$A355,'Grid BD'!$AD:$AD)),"")</f>
        <v/>
      </c>
      <c r="T355" s="139"/>
      <c r="U355" s="140" t="str">
        <f t="shared" si="21"/>
        <v/>
      </c>
      <c r="V355" s="140"/>
      <c r="W355" s="141" t="str">
        <f t="shared" si="22"/>
        <v/>
      </c>
      <c r="X355" s="133" t="str">
        <f>IFERROR(_xlfn.XLOOKUP($A355,'Raw Data'!$G:$G,'Raw Data'!AI:AI),"")</f>
        <v/>
      </c>
      <c r="Y355" s="133" t="str">
        <f>IFERROR(_xlfn.XLOOKUP($A355,'Raw Data'!$G:$G,'Raw Data'!AJ:AJ),"")</f>
        <v/>
      </c>
      <c r="Z355" s="133" t="str">
        <f>IFERROR(_xlfn.XLOOKUP($A355,'Raw Data'!$G:$G,'Raw Data'!AK:AK),"")</f>
        <v/>
      </c>
      <c r="AA355" s="133" t="str">
        <f>IFERROR(_xlfn.XLOOKUP($A355,'Raw Data'!$G:$G,'Raw Data'!AL:AL),"")</f>
        <v/>
      </c>
      <c r="AB355" s="133" t="str">
        <f>IFERROR(_xlfn.XLOOKUP($A355,'Raw Data'!$G:$G,'Raw Data'!H:H),"")</f>
        <v/>
      </c>
      <c r="AC355" s="142">
        <f>IFERROR(_xlfn.XLOOKUP($D355,'Modelling New'!$D:$D,'Modelling New'!P:P),"")</f>
        <v>6.7870967741935484</v>
      </c>
      <c r="AD355" s="133">
        <f>IFERROR(_xlfn.XLOOKUP($D355,'Modelling New'!$D:$D,'Modelling New'!$T:$T)*1000,"")</f>
        <v>38219.028541703687</v>
      </c>
      <c r="AE355" s="143">
        <f>IFERROR(_xlfn.XLOOKUP($D355,'Modelling New'!$D:$D,'Modelling New'!O:O),"")</f>
        <v>0.70205720444645292</v>
      </c>
      <c r="AF355" s="145">
        <f>IFERROR(_xlfn.XLOOKUP($D355,'Modelling New'!$D:$D,'Modelling New'!W:W),"")</f>
        <v>0.19853875781657757</v>
      </c>
      <c r="AG355" s="145">
        <f>IFERROR(_xlfn.XLOOKUP($D355,'Modelling New'!$D:$D,'Modelling New'!AE:AE),"")</f>
        <v>0.98040000000000005</v>
      </c>
      <c r="AH355" s="167">
        <f>IFERROR(_xlfn.XLOOKUP($D355,'Modelling New'!$D:$D,'Modelling New'!AF:AF),"")</f>
        <v>0.98</v>
      </c>
      <c r="AN355" s="144"/>
      <c r="AO355" s="141"/>
      <c r="AP355" s="141"/>
      <c r="AQ355" s="141"/>
      <c r="AR355" s="133">
        <f>'Basic Data'!$B$98/1000</f>
        <v>8.0208999999999993</v>
      </c>
    </row>
    <row r="356" spans="1:44" x14ac:dyDescent="0.3">
      <c r="A356" s="132">
        <f t="shared" si="23"/>
        <v>46099</v>
      </c>
      <c r="B356" s="133">
        <f>YEAR(Table13[[#This Row],[Date]])+IF(MONTH(Table13[[#This Row],[Date]])&gt;=4,1,0)</f>
        <v>2026</v>
      </c>
      <c r="C356" s="134">
        <f>YEAR(Table13[[#This Row],[Date]])</f>
        <v>2026</v>
      </c>
      <c r="D356" s="135">
        <f>Table13[[#This Row],[Date]]-DAY(Table13[[#This Row],[Date]])+1</f>
        <v>46082</v>
      </c>
      <c r="E356" s="134">
        <f t="shared" si="20"/>
        <v>31</v>
      </c>
      <c r="F356" s="136" t="str">
        <f>IFERROR(_xlfn.XLOOKUP($A356,'Raw Data'!$G:$G,'Raw Data'!$AM:$AM),"")</f>
        <v/>
      </c>
      <c r="G356" s="137" t="str">
        <f>IFERROR(_xlfn.XLOOKUP($A356,'Raw Data'!$G:$G,'Raw Data'!$AB:$AB),"")</f>
        <v/>
      </c>
      <c r="H356" s="137"/>
      <c r="I356" s="137" t="str">
        <f>IFERROR(_xlfn.XLOOKUP($A356,'Raw Data'!$G:$G,'Raw Data'!$AC:$AC),"")</f>
        <v/>
      </c>
      <c r="J356" s="137"/>
      <c r="K356" s="137" t="str">
        <f>IFERROR(_xlfn.XLOOKUP($A356,'Raw Data'!$G:$G,'Raw Data'!AD:AD),"")</f>
        <v/>
      </c>
      <c r="L356" s="137" t="str">
        <f>IFERROR(_xlfn.XLOOKUP($A356,'Raw Data'!$G:$G,'Raw Data'!AE:AE),"")</f>
        <v/>
      </c>
      <c r="M356" s="137" t="str">
        <f>IFERROR(_xlfn.XLOOKUP($A356,'Raw Data'!$G:$G,'Raw Data'!AF:AF),"")</f>
        <v/>
      </c>
      <c r="N356" s="137" t="str">
        <f>IFERROR(_xlfn.XLOOKUP($A356,'Raw Data'!$G:$G,'Raw Data'!AG:AG),"")</f>
        <v/>
      </c>
      <c r="O356" s="138" t="str">
        <f>IFERROR(1-SUMIF('Plant BD'!$H:$H,$A356,'Plant BD'!$AE:$AE)/($AA356+SUMIF('Plant BD'!$H:$H,$A356,'Plant BD'!$AE:$AE)),"")</f>
        <v/>
      </c>
      <c r="P356" s="138"/>
      <c r="Q356" s="139"/>
      <c r="R356" s="138" t="str">
        <f>IFERROR(1-SUMIF('Grid BD'!$H:$H,$A356,'Grid BD'!$AD:$AD)/($AA356+SUMIF('Grid BD'!$H:$H,$A356,'Grid BD'!$AD:$AD)),"")</f>
        <v/>
      </c>
      <c r="T356" s="139"/>
      <c r="U356" s="140" t="str">
        <f t="shared" si="21"/>
        <v/>
      </c>
      <c r="V356" s="140"/>
      <c r="W356" s="141" t="str">
        <f t="shared" si="22"/>
        <v/>
      </c>
      <c r="X356" s="133" t="str">
        <f>IFERROR(_xlfn.XLOOKUP($A356,'Raw Data'!$G:$G,'Raw Data'!AI:AI),"")</f>
        <v/>
      </c>
      <c r="Y356" s="133" t="str">
        <f>IFERROR(_xlfn.XLOOKUP($A356,'Raw Data'!$G:$G,'Raw Data'!AJ:AJ),"")</f>
        <v/>
      </c>
      <c r="Z356" s="133" t="str">
        <f>IFERROR(_xlfn.XLOOKUP($A356,'Raw Data'!$G:$G,'Raw Data'!AK:AK),"")</f>
        <v/>
      </c>
      <c r="AA356" s="133" t="str">
        <f>IFERROR(_xlfn.XLOOKUP($A356,'Raw Data'!$G:$G,'Raw Data'!AL:AL),"")</f>
        <v/>
      </c>
      <c r="AB356" s="133" t="str">
        <f>IFERROR(_xlfn.XLOOKUP($A356,'Raw Data'!$G:$G,'Raw Data'!H:H),"")</f>
        <v/>
      </c>
      <c r="AC356" s="142">
        <f>IFERROR(_xlfn.XLOOKUP($D356,'Modelling New'!$D:$D,'Modelling New'!P:P),"")</f>
        <v>6.7870967741935484</v>
      </c>
      <c r="AD356" s="133">
        <f>IFERROR(_xlfn.XLOOKUP($D356,'Modelling New'!$D:$D,'Modelling New'!$T:$T)*1000,"")</f>
        <v>38219.028541703687</v>
      </c>
      <c r="AE356" s="143">
        <f>IFERROR(_xlfn.XLOOKUP($D356,'Modelling New'!$D:$D,'Modelling New'!O:O),"")</f>
        <v>0.70205720444645292</v>
      </c>
      <c r="AF356" s="145">
        <f>IFERROR(_xlfn.XLOOKUP($D356,'Modelling New'!$D:$D,'Modelling New'!W:W),"")</f>
        <v>0.19853875781657757</v>
      </c>
      <c r="AG356" s="145">
        <f>IFERROR(_xlfn.XLOOKUP($D356,'Modelling New'!$D:$D,'Modelling New'!AE:AE),"")</f>
        <v>0.98040000000000005</v>
      </c>
      <c r="AH356" s="167">
        <f>IFERROR(_xlfn.XLOOKUP($D356,'Modelling New'!$D:$D,'Modelling New'!AF:AF),"")</f>
        <v>0.98</v>
      </c>
      <c r="AN356" s="144"/>
      <c r="AO356" s="141"/>
      <c r="AP356" s="141"/>
      <c r="AQ356" s="141"/>
      <c r="AR356" s="133">
        <f>'Basic Data'!$B$98/1000</f>
        <v>8.0208999999999993</v>
      </c>
    </row>
    <row r="357" spans="1:44" x14ac:dyDescent="0.3">
      <c r="A357" s="132">
        <f t="shared" si="23"/>
        <v>46100</v>
      </c>
      <c r="B357" s="133">
        <f>YEAR(Table13[[#This Row],[Date]])+IF(MONTH(Table13[[#This Row],[Date]])&gt;=4,1,0)</f>
        <v>2026</v>
      </c>
      <c r="C357" s="134">
        <f>YEAR(Table13[[#This Row],[Date]])</f>
        <v>2026</v>
      </c>
      <c r="D357" s="135">
        <f>Table13[[#This Row],[Date]]-DAY(Table13[[#This Row],[Date]])+1</f>
        <v>46082</v>
      </c>
      <c r="E357" s="134">
        <f t="shared" si="20"/>
        <v>31</v>
      </c>
      <c r="F357" s="136" t="str">
        <f>IFERROR(_xlfn.XLOOKUP($A357,'Raw Data'!$G:$G,'Raw Data'!$AM:$AM),"")</f>
        <v/>
      </c>
      <c r="G357" s="137" t="str">
        <f>IFERROR(_xlfn.XLOOKUP($A357,'Raw Data'!$G:$G,'Raw Data'!$AB:$AB),"")</f>
        <v/>
      </c>
      <c r="H357" s="137"/>
      <c r="I357" s="137" t="str">
        <f>IFERROR(_xlfn.XLOOKUP($A357,'Raw Data'!$G:$G,'Raw Data'!$AC:$AC),"")</f>
        <v/>
      </c>
      <c r="J357" s="137"/>
      <c r="K357" s="137" t="str">
        <f>IFERROR(_xlfn.XLOOKUP($A357,'Raw Data'!$G:$G,'Raw Data'!AD:AD),"")</f>
        <v/>
      </c>
      <c r="L357" s="137" t="str">
        <f>IFERROR(_xlfn.XLOOKUP($A357,'Raw Data'!$G:$G,'Raw Data'!AE:AE),"")</f>
        <v/>
      </c>
      <c r="M357" s="137" t="str">
        <f>IFERROR(_xlfn.XLOOKUP($A357,'Raw Data'!$G:$G,'Raw Data'!AF:AF),"")</f>
        <v/>
      </c>
      <c r="N357" s="137" t="str">
        <f>IFERROR(_xlfn.XLOOKUP($A357,'Raw Data'!$G:$G,'Raw Data'!AG:AG),"")</f>
        <v/>
      </c>
      <c r="O357" s="138" t="str">
        <f>IFERROR(1-SUMIF('Plant BD'!$H:$H,$A357,'Plant BD'!$AE:$AE)/($AA357+SUMIF('Plant BD'!$H:$H,$A357,'Plant BD'!$AE:$AE)),"")</f>
        <v/>
      </c>
      <c r="P357" s="138"/>
      <c r="Q357" s="139"/>
      <c r="R357" s="138" t="str">
        <f>IFERROR(1-SUMIF('Grid BD'!$H:$H,$A357,'Grid BD'!$AD:$AD)/($AA357+SUMIF('Grid BD'!$H:$H,$A357,'Grid BD'!$AD:$AD)),"")</f>
        <v/>
      </c>
      <c r="T357" s="139"/>
      <c r="U357" s="140" t="str">
        <f t="shared" si="21"/>
        <v/>
      </c>
      <c r="V357" s="140"/>
      <c r="W357" s="141" t="str">
        <f t="shared" si="22"/>
        <v/>
      </c>
      <c r="X357" s="133" t="str">
        <f>IFERROR(_xlfn.XLOOKUP($A357,'Raw Data'!$G:$G,'Raw Data'!AI:AI),"")</f>
        <v/>
      </c>
      <c r="Y357" s="133" t="str">
        <f>IFERROR(_xlfn.XLOOKUP($A357,'Raw Data'!$G:$G,'Raw Data'!AJ:AJ),"")</f>
        <v/>
      </c>
      <c r="Z357" s="133" t="str">
        <f>IFERROR(_xlfn.XLOOKUP($A357,'Raw Data'!$G:$G,'Raw Data'!AK:AK),"")</f>
        <v/>
      </c>
      <c r="AA357" s="133" t="str">
        <f>IFERROR(_xlfn.XLOOKUP($A357,'Raw Data'!$G:$G,'Raw Data'!AL:AL),"")</f>
        <v/>
      </c>
      <c r="AB357" s="133" t="str">
        <f>IFERROR(_xlfn.XLOOKUP($A357,'Raw Data'!$G:$G,'Raw Data'!H:H),"")</f>
        <v/>
      </c>
      <c r="AC357" s="142">
        <f>IFERROR(_xlfn.XLOOKUP($D357,'Modelling New'!$D:$D,'Modelling New'!P:P),"")</f>
        <v>6.7870967741935484</v>
      </c>
      <c r="AD357" s="133">
        <f>IFERROR(_xlfn.XLOOKUP($D357,'Modelling New'!$D:$D,'Modelling New'!$T:$T)*1000,"")</f>
        <v>38219.028541703687</v>
      </c>
      <c r="AE357" s="143">
        <f>IFERROR(_xlfn.XLOOKUP($D357,'Modelling New'!$D:$D,'Modelling New'!O:O),"")</f>
        <v>0.70205720444645292</v>
      </c>
      <c r="AF357" s="145">
        <f>IFERROR(_xlfn.XLOOKUP($D357,'Modelling New'!$D:$D,'Modelling New'!W:W),"")</f>
        <v>0.19853875781657757</v>
      </c>
      <c r="AG357" s="145">
        <f>IFERROR(_xlfn.XLOOKUP($D357,'Modelling New'!$D:$D,'Modelling New'!AE:AE),"")</f>
        <v>0.98040000000000005</v>
      </c>
      <c r="AH357" s="167">
        <f>IFERROR(_xlfn.XLOOKUP($D357,'Modelling New'!$D:$D,'Modelling New'!AF:AF),"")</f>
        <v>0.98</v>
      </c>
      <c r="AN357" s="144"/>
      <c r="AO357" s="141"/>
      <c r="AP357" s="141"/>
      <c r="AQ357" s="141"/>
      <c r="AR357" s="133">
        <f>'Basic Data'!$B$98/1000</f>
        <v>8.0208999999999993</v>
      </c>
    </row>
    <row r="358" spans="1:44" x14ac:dyDescent="0.3">
      <c r="A358" s="132">
        <f t="shared" si="23"/>
        <v>46101</v>
      </c>
      <c r="B358" s="133">
        <f>YEAR(Table13[[#This Row],[Date]])+IF(MONTH(Table13[[#This Row],[Date]])&gt;=4,1,0)</f>
        <v>2026</v>
      </c>
      <c r="C358" s="134">
        <f>YEAR(Table13[[#This Row],[Date]])</f>
        <v>2026</v>
      </c>
      <c r="D358" s="135">
        <f>Table13[[#This Row],[Date]]-DAY(Table13[[#This Row],[Date]])+1</f>
        <v>46082</v>
      </c>
      <c r="E358" s="134">
        <f t="shared" si="20"/>
        <v>31</v>
      </c>
      <c r="F358" s="136" t="str">
        <f>IFERROR(_xlfn.XLOOKUP($A358,'Raw Data'!$G:$G,'Raw Data'!$AM:$AM),"")</f>
        <v/>
      </c>
      <c r="G358" s="137" t="str">
        <f>IFERROR(_xlfn.XLOOKUP($A358,'Raw Data'!$G:$G,'Raw Data'!$AB:$AB),"")</f>
        <v/>
      </c>
      <c r="H358" s="137"/>
      <c r="I358" s="137" t="str">
        <f>IFERROR(_xlfn.XLOOKUP($A358,'Raw Data'!$G:$G,'Raw Data'!$AC:$AC),"")</f>
        <v/>
      </c>
      <c r="J358" s="137"/>
      <c r="K358" s="137" t="str">
        <f>IFERROR(_xlfn.XLOOKUP($A358,'Raw Data'!$G:$G,'Raw Data'!AD:AD),"")</f>
        <v/>
      </c>
      <c r="L358" s="137" t="str">
        <f>IFERROR(_xlfn.XLOOKUP($A358,'Raw Data'!$G:$G,'Raw Data'!AE:AE),"")</f>
        <v/>
      </c>
      <c r="M358" s="137" t="str">
        <f>IFERROR(_xlfn.XLOOKUP($A358,'Raw Data'!$G:$G,'Raw Data'!AF:AF),"")</f>
        <v/>
      </c>
      <c r="N358" s="137" t="str">
        <f>IFERROR(_xlfn.XLOOKUP($A358,'Raw Data'!$G:$G,'Raw Data'!AG:AG),"")</f>
        <v/>
      </c>
      <c r="O358" s="138" t="str">
        <f>IFERROR(1-SUMIF('Plant BD'!$H:$H,$A358,'Plant BD'!$AE:$AE)/($AA358+SUMIF('Plant BD'!$H:$H,$A358,'Plant BD'!$AE:$AE)),"")</f>
        <v/>
      </c>
      <c r="P358" s="138"/>
      <c r="Q358" s="139"/>
      <c r="R358" s="138" t="str">
        <f>IFERROR(1-SUMIF('Grid BD'!$H:$H,$A358,'Grid BD'!$AD:$AD)/($AA358+SUMIF('Grid BD'!$H:$H,$A358,'Grid BD'!$AD:$AD)),"")</f>
        <v/>
      </c>
      <c r="T358" s="139"/>
      <c r="U358" s="140" t="str">
        <f t="shared" si="21"/>
        <v/>
      </c>
      <c r="V358" s="140"/>
      <c r="W358" s="141" t="str">
        <f t="shared" si="22"/>
        <v/>
      </c>
      <c r="X358" s="133" t="str">
        <f>IFERROR(_xlfn.XLOOKUP($A358,'Raw Data'!$G:$G,'Raw Data'!AI:AI),"")</f>
        <v/>
      </c>
      <c r="Y358" s="133" t="str">
        <f>IFERROR(_xlfn.XLOOKUP($A358,'Raw Data'!$G:$G,'Raw Data'!AJ:AJ),"")</f>
        <v/>
      </c>
      <c r="Z358" s="133" t="str">
        <f>IFERROR(_xlfn.XLOOKUP($A358,'Raw Data'!$G:$G,'Raw Data'!AK:AK),"")</f>
        <v/>
      </c>
      <c r="AA358" s="133" t="str">
        <f>IFERROR(_xlfn.XLOOKUP($A358,'Raw Data'!$G:$G,'Raw Data'!AL:AL),"")</f>
        <v/>
      </c>
      <c r="AB358" s="133" t="str">
        <f>IFERROR(_xlfn.XLOOKUP($A358,'Raw Data'!$G:$G,'Raw Data'!H:H),"")</f>
        <v/>
      </c>
      <c r="AC358" s="142">
        <f>IFERROR(_xlfn.XLOOKUP($D358,'Modelling New'!$D:$D,'Modelling New'!P:P),"")</f>
        <v>6.7870967741935484</v>
      </c>
      <c r="AD358" s="133">
        <f>IFERROR(_xlfn.XLOOKUP($D358,'Modelling New'!$D:$D,'Modelling New'!$T:$T)*1000,"")</f>
        <v>38219.028541703687</v>
      </c>
      <c r="AE358" s="143">
        <f>IFERROR(_xlfn.XLOOKUP($D358,'Modelling New'!$D:$D,'Modelling New'!O:O),"")</f>
        <v>0.70205720444645292</v>
      </c>
      <c r="AF358" s="145">
        <f>IFERROR(_xlfn.XLOOKUP($D358,'Modelling New'!$D:$D,'Modelling New'!W:W),"")</f>
        <v>0.19853875781657757</v>
      </c>
      <c r="AG358" s="145">
        <f>IFERROR(_xlfn.XLOOKUP($D358,'Modelling New'!$D:$D,'Modelling New'!AE:AE),"")</f>
        <v>0.98040000000000005</v>
      </c>
      <c r="AH358" s="167">
        <f>IFERROR(_xlfn.XLOOKUP($D358,'Modelling New'!$D:$D,'Modelling New'!AF:AF),"")</f>
        <v>0.98</v>
      </c>
      <c r="AN358" s="144"/>
      <c r="AO358" s="141"/>
      <c r="AP358" s="141"/>
      <c r="AQ358" s="141"/>
      <c r="AR358" s="133">
        <f>'Basic Data'!$B$98/1000</f>
        <v>8.0208999999999993</v>
      </c>
    </row>
    <row r="359" spans="1:44" x14ac:dyDescent="0.3">
      <c r="A359" s="132">
        <f t="shared" si="23"/>
        <v>46102</v>
      </c>
      <c r="B359" s="133">
        <f>YEAR(Table13[[#This Row],[Date]])+IF(MONTH(Table13[[#This Row],[Date]])&gt;=4,1,0)</f>
        <v>2026</v>
      </c>
      <c r="C359" s="134">
        <f>YEAR(Table13[[#This Row],[Date]])</f>
        <v>2026</v>
      </c>
      <c r="D359" s="135">
        <f>Table13[[#This Row],[Date]]-DAY(Table13[[#This Row],[Date]])+1</f>
        <v>46082</v>
      </c>
      <c r="E359" s="134">
        <f t="shared" si="20"/>
        <v>31</v>
      </c>
      <c r="F359" s="136" t="str">
        <f>IFERROR(_xlfn.XLOOKUP($A359,'Raw Data'!$G:$G,'Raw Data'!$AM:$AM),"")</f>
        <v/>
      </c>
      <c r="G359" s="137" t="str">
        <f>IFERROR(_xlfn.XLOOKUP($A359,'Raw Data'!$G:$G,'Raw Data'!$AB:$AB),"")</f>
        <v/>
      </c>
      <c r="H359" s="137"/>
      <c r="I359" s="137" t="str">
        <f>IFERROR(_xlfn.XLOOKUP($A359,'Raw Data'!$G:$G,'Raw Data'!$AC:$AC),"")</f>
        <v/>
      </c>
      <c r="J359" s="137"/>
      <c r="K359" s="137" t="str">
        <f>IFERROR(_xlfn.XLOOKUP($A359,'Raw Data'!$G:$G,'Raw Data'!AD:AD),"")</f>
        <v/>
      </c>
      <c r="L359" s="137" t="str">
        <f>IFERROR(_xlfn.XLOOKUP($A359,'Raw Data'!$G:$G,'Raw Data'!AE:AE),"")</f>
        <v/>
      </c>
      <c r="M359" s="137" t="str">
        <f>IFERROR(_xlfn.XLOOKUP($A359,'Raw Data'!$G:$G,'Raw Data'!AF:AF),"")</f>
        <v/>
      </c>
      <c r="N359" s="137" t="str">
        <f>IFERROR(_xlfn.XLOOKUP($A359,'Raw Data'!$G:$G,'Raw Data'!AG:AG),"")</f>
        <v/>
      </c>
      <c r="O359" s="138" t="str">
        <f>IFERROR(1-SUMIF('Plant BD'!$H:$H,$A359,'Plant BD'!$AE:$AE)/($AA359+SUMIF('Plant BD'!$H:$H,$A359,'Plant BD'!$AE:$AE)),"")</f>
        <v/>
      </c>
      <c r="P359" s="138"/>
      <c r="Q359" s="139"/>
      <c r="R359" s="138" t="str">
        <f>IFERROR(1-SUMIF('Grid BD'!$H:$H,$A359,'Grid BD'!$AD:$AD)/($AA359+SUMIF('Grid BD'!$H:$H,$A359,'Grid BD'!$AD:$AD)),"")</f>
        <v/>
      </c>
      <c r="T359" s="139"/>
      <c r="U359" s="140" t="str">
        <f t="shared" si="21"/>
        <v/>
      </c>
      <c r="V359" s="140"/>
      <c r="W359" s="141" t="str">
        <f t="shared" si="22"/>
        <v/>
      </c>
      <c r="X359" s="133" t="str">
        <f>IFERROR(_xlfn.XLOOKUP($A359,'Raw Data'!$G:$G,'Raw Data'!AI:AI),"")</f>
        <v/>
      </c>
      <c r="Y359" s="133" t="str">
        <f>IFERROR(_xlfn.XLOOKUP($A359,'Raw Data'!$G:$G,'Raw Data'!AJ:AJ),"")</f>
        <v/>
      </c>
      <c r="Z359" s="133" t="str">
        <f>IFERROR(_xlfn.XLOOKUP($A359,'Raw Data'!$G:$G,'Raw Data'!AK:AK),"")</f>
        <v/>
      </c>
      <c r="AA359" s="133" t="str">
        <f>IFERROR(_xlfn.XLOOKUP($A359,'Raw Data'!$G:$G,'Raw Data'!AL:AL),"")</f>
        <v/>
      </c>
      <c r="AB359" s="133" t="str">
        <f>IFERROR(_xlfn.XLOOKUP($A359,'Raw Data'!$G:$G,'Raw Data'!H:H),"")</f>
        <v/>
      </c>
      <c r="AC359" s="142">
        <f>IFERROR(_xlfn.XLOOKUP($D359,'Modelling New'!$D:$D,'Modelling New'!P:P),"")</f>
        <v>6.7870967741935484</v>
      </c>
      <c r="AD359" s="133">
        <f>IFERROR(_xlfn.XLOOKUP($D359,'Modelling New'!$D:$D,'Modelling New'!$T:$T)*1000,"")</f>
        <v>38219.028541703687</v>
      </c>
      <c r="AE359" s="143">
        <f>IFERROR(_xlfn.XLOOKUP($D359,'Modelling New'!$D:$D,'Modelling New'!O:O),"")</f>
        <v>0.70205720444645292</v>
      </c>
      <c r="AF359" s="145">
        <f>IFERROR(_xlfn.XLOOKUP($D359,'Modelling New'!$D:$D,'Modelling New'!W:W),"")</f>
        <v>0.19853875781657757</v>
      </c>
      <c r="AG359" s="145">
        <f>IFERROR(_xlfn.XLOOKUP($D359,'Modelling New'!$D:$D,'Modelling New'!AE:AE),"")</f>
        <v>0.98040000000000005</v>
      </c>
      <c r="AH359" s="167">
        <f>IFERROR(_xlfn.XLOOKUP($D359,'Modelling New'!$D:$D,'Modelling New'!AF:AF),"")</f>
        <v>0.98</v>
      </c>
      <c r="AN359" s="144"/>
      <c r="AO359" s="141"/>
      <c r="AP359" s="141"/>
      <c r="AQ359" s="141"/>
      <c r="AR359" s="133">
        <f>'Basic Data'!$B$98/1000</f>
        <v>8.0208999999999993</v>
      </c>
    </row>
    <row r="360" spans="1:44" x14ac:dyDescent="0.3">
      <c r="A360" s="132">
        <f t="shared" si="23"/>
        <v>46103</v>
      </c>
      <c r="B360" s="133">
        <f>YEAR(Table13[[#This Row],[Date]])+IF(MONTH(Table13[[#This Row],[Date]])&gt;=4,1,0)</f>
        <v>2026</v>
      </c>
      <c r="C360" s="134">
        <f>YEAR(Table13[[#This Row],[Date]])</f>
        <v>2026</v>
      </c>
      <c r="D360" s="135">
        <f>Table13[[#This Row],[Date]]-DAY(Table13[[#This Row],[Date]])+1</f>
        <v>46082</v>
      </c>
      <c r="E360" s="134">
        <f t="shared" si="20"/>
        <v>31</v>
      </c>
      <c r="F360" s="136" t="str">
        <f>IFERROR(_xlfn.XLOOKUP($A360,'Raw Data'!$G:$G,'Raw Data'!$AM:$AM),"")</f>
        <v/>
      </c>
      <c r="G360" s="137" t="str">
        <f>IFERROR(_xlfn.XLOOKUP($A360,'Raw Data'!$G:$G,'Raw Data'!$AB:$AB),"")</f>
        <v/>
      </c>
      <c r="H360" s="137"/>
      <c r="I360" s="137" t="str">
        <f>IFERROR(_xlfn.XLOOKUP($A360,'Raw Data'!$G:$G,'Raw Data'!$AC:$AC),"")</f>
        <v/>
      </c>
      <c r="J360" s="137"/>
      <c r="K360" s="137" t="str">
        <f>IFERROR(_xlfn.XLOOKUP($A360,'Raw Data'!$G:$G,'Raw Data'!AD:AD),"")</f>
        <v/>
      </c>
      <c r="L360" s="137" t="str">
        <f>IFERROR(_xlfn.XLOOKUP($A360,'Raw Data'!$G:$G,'Raw Data'!AE:AE),"")</f>
        <v/>
      </c>
      <c r="M360" s="137" t="str">
        <f>IFERROR(_xlfn.XLOOKUP($A360,'Raw Data'!$G:$G,'Raw Data'!AF:AF),"")</f>
        <v/>
      </c>
      <c r="N360" s="137" t="str">
        <f>IFERROR(_xlfn.XLOOKUP($A360,'Raw Data'!$G:$G,'Raw Data'!AG:AG),"")</f>
        <v/>
      </c>
      <c r="O360" s="138" t="str">
        <f>IFERROR(1-SUMIF('Plant BD'!$H:$H,$A360,'Plant BD'!$AE:$AE)/($AA360+SUMIF('Plant BD'!$H:$H,$A360,'Plant BD'!$AE:$AE)),"")</f>
        <v/>
      </c>
      <c r="P360" s="138"/>
      <c r="Q360" s="139"/>
      <c r="R360" s="138" t="str">
        <f>IFERROR(1-SUMIF('Grid BD'!$H:$H,$A360,'Grid BD'!$AD:$AD)/($AA360+SUMIF('Grid BD'!$H:$H,$A360,'Grid BD'!$AD:$AD)),"")</f>
        <v/>
      </c>
      <c r="T360" s="139"/>
      <c r="U360" s="140" t="str">
        <f t="shared" si="21"/>
        <v/>
      </c>
      <c r="V360" s="140"/>
      <c r="W360" s="141" t="str">
        <f t="shared" si="22"/>
        <v/>
      </c>
      <c r="X360" s="133" t="str">
        <f>IFERROR(_xlfn.XLOOKUP($A360,'Raw Data'!$G:$G,'Raw Data'!AI:AI),"")</f>
        <v/>
      </c>
      <c r="Y360" s="133" t="str">
        <f>IFERROR(_xlfn.XLOOKUP($A360,'Raw Data'!$G:$G,'Raw Data'!AJ:AJ),"")</f>
        <v/>
      </c>
      <c r="Z360" s="133" t="str">
        <f>IFERROR(_xlfn.XLOOKUP($A360,'Raw Data'!$G:$G,'Raw Data'!AK:AK),"")</f>
        <v/>
      </c>
      <c r="AA360" s="133" t="str">
        <f>IFERROR(_xlfn.XLOOKUP($A360,'Raw Data'!$G:$G,'Raw Data'!AL:AL),"")</f>
        <v/>
      </c>
      <c r="AB360" s="133" t="str">
        <f>IFERROR(_xlfn.XLOOKUP($A360,'Raw Data'!$G:$G,'Raw Data'!H:H),"")</f>
        <v/>
      </c>
      <c r="AC360" s="142">
        <f>IFERROR(_xlfn.XLOOKUP($D360,'Modelling New'!$D:$D,'Modelling New'!P:P),"")</f>
        <v>6.7870967741935484</v>
      </c>
      <c r="AD360" s="133">
        <f>IFERROR(_xlfn.XLOOKUP($D360,'Modelling New'!$D:$D,'Modelling New'!$T:$T)*1000,"")</f>
        <v>38219.028541703687</v>
      </c>
      <c r="AE360" s="143">
        <f>IFERROR(_xlfn.XLOOKUP($D360,'Modelling New'!$D:$D,'Modelling New'!O:O),"")</f>
        <v>0.70205720444645292</v>
      </c>
      <c r="AF360" s="145">
        <f>IFERROR(_xlfn.XLOOKUP($D360,'Modelling New'!$D:$D,'Modelling New'!W:W),"")</f>
        <v>0.19853875781657757</v>
      </c>
      <c r="AG360" s="145">
        <f>IFERROR(_xlfn.XLOOKUP($D360,'Modelling New'!$D:$D,'Modelling New'!AE:AE),"")</f>
        <v>0.98040000000000005</v>
      </c>
      <c r="AH360" s="167">
        <f>IFERROR(_xlfn.XLOOKUP($D360,'Modelling New'!$D:$D,'Modelling New'!AF:AF),"")</f>
        <v>0.98</v>
      </c>
      <c r="AN360" s="144"/>
      <c r="AO360" s="141"/>
      <c r="AP360" s="141"/>
      <c r="AQ360" s="141"/>
      <c r="AR360" s="133">
        <f>'Basic Data'!$B$98/1000</f>
        <v>8.0208999999999993</v>
      </c>
    </row>
    <row r="361" spans="1:44" x14ac:dyDescent="0.3">
      <c r="A361" s="132">
        <f t="shared" si="23"/>
        <v>46104</v>
      </c>
      <c r="B361" s="133">
        <f>YEAR(Table13[[#This Row],[Date]])+IF(MONTH(Table13[[#This Row],[Date]])&gt;=4,1,0)</f>
        <v>2026</v>
      </c>
      <c r="C361" s="134">
        <f>YEAR(Table13[[#This Row],[Date]])</f>
        <v>2026</v>
      </c>
      <c r="D361" s="135">
        <f>Table13[[#This Row],[Date]]-DAY(Table13[[#This Row],[Date]])+1</f>
        <v>46082</v>
      </c>
      <c r="E361" s="134">
        <f t="shared" si="20"/>
        <v>31</v>
      </c>
      <c r="F361" s="136" t="str">
        <f>IFERROR(_xlfn.XLOOKUP($A361,'Raw Data'!$G:$G,'Raw Data'!$AM:$AM),"")</f>
        <v/>
      </c>
      <c r="G361" s="137" t="str">
        <f>IFERROR(_xlfn.XLOOKUP($A361,'Raw Data'!$G:$G,'Raw Data'!$AB:$AB),"")</f>
        <v/>
      </c>
      <c r="H361" s="137"/>
      <c r="I361" s="137" t="str">
        <f>IFERROR(_xlfn.XLOOKUP($A361,'Raw Data'!$G:$G,'Raw Data'!$AC:$AC),"")</f>
        <v/>
      </c>
      <c r="J361" s="137"/>
      <c r="K361" s="137" t="str">
        <f>IFERROR(_xlfn.XLOOKUP($A361,'Raw Data'!$G:$G,'Raw Data'!AD:AD),"")</f>
        <v/>
      </c>
      <c r="L361" s="137" t="str">
        <f>IFERROR(_xlfn.XLOOKUP($A361,'Raw Data'!$G:$G,'Raw Data'!AE:AE),"")</f>
        <v/>
      </c>
      <c r="M361" s="137" t="str">
        <f>IFERROR(_xlfn.XLOOKUP($A361,'Raw Data'!$G:$G,'Raw Data'!AF:AF),"")</f>
        <v/>
      </c>
      <c r="N361" s="137" t="str">
        <f>IFERROR(_xlfn.XLOOKUP($A361,'Raw Data'!$G:$G,'Raw Data'!AG:AG),"")</f>
        <v/>
      </c>
      <c r="O361" s="138" t="str">
        <f>IFERROR(1-SUMIF('Plant BD'!$H:$H,$A361,'Plant BD'!$AE:$AE)/($AA361+SUMIF('Plant BD'!$H:$H,$A361,'Plant BD'!$AE:$AE)),"")</f>
        <v/>
      </c>
      <c r="P361" s="138"/>
      <c r="Q361" s="139"/>
      <c r="R361" s="138" t="str">
        <f>IFERROR(1-SUMIF('Grid BD'!$H:$H,$A361,'Grid BD'!$AD:$AD)/($AA361+SUMIF('Grid BD'!$H:$H,$A361,'Grid BD'!$AD:$AD)),"")</f>
        <v/>
      </c>
      <c r="T361" s="139"/>
      <c r="U361" s="140" t="str">
        <f t="shared" si="21"/>
        <v/>
      </c>
      <c r="V361" s="140"/>
      <c r="W361" s="141" t="str">
        <f t="shared" si="22"/>
        <v/>
      </c>
      <c r="X361" s="133" t="str">
        <f>IFERROR(_xlfn.XLOOKUP($A361,'Raw Data'!$G:$G,'Raw Data'!AI:AI),"")</f>
        <v/>
      </c>
      <c r="Y361" s="133" t="str">
        <f>IFERROR(_xlfn.XLOOKUP($A361,'Raw Data'!$G:$G,'Raw Data'!AJ:AJ),"")</f>
        <v/>
      </c>
      <c r="Z361" s="133" t="str">
        <f>IFERROR(_xlfn.XLOOKUP($A361,'Raw Data'!$G:$G,'Raw Data'!AK:AK),"")</f>
        <v/>
      </c>
      <c r="AA361" s="133" t="str">
        <f>IFERROR(_xlfn.XLOOKUP($A361,'Raw Data'!$G:$G,'Raw Data'!AL:AL),"")</f>
        <v/>
      </c>
      <c r="AB361" s="133" t="str">
        <f>IFERROR(_xlfn.XLOOKUP($A361,'Raw Data'!$G:$G,'Raw Data'!H:H),"")</f>
        <v/>
      </c>
      <c r="AC361" s="142">
        <f>IFERROR(_xlfn.XLOOKUP($D361,'Modelling New'!$D:$D,'Modelling New'!P:P),"")</f>
        <v>6.7870967741935484</v>
      </c>
      <c r="AD361" s="133">
        <f>IFERROR(_xlfn.XLOOKUP($D361,'Modelling New'!$D:$D,'Modelling New'!$T:$T)*1000,"")</f>
        <v>38219.028541703687</v>
      </c>
      <c r="AE361" s="143">
        <f>IFERROR(_xlfn.XLOOKUP($D361,'Modelling New'!$D:$D,'Modelling New'!O:O),"")</f>
        <v>0.70205720444645292</v>
      </c>
      <c r="AF361" s="145">
        <f>IFERROR(_xlfn.XLOOKUP($D361,'Modelling New'!$D:$D,'Modelling New'!W:W),"")</f>
        <v>0.19853875781657757</v>
      </c>
      <c r="AG361" s="145">
        <f>IFERROR(_xlfn.XLOOKUP($D361,'Modelling New'!$D:$D,'Modelling New'!AE:AE),"")</f>
        <v>0.98040000000000005</v>
      </c>
      <c r="AH361" s="167">
        <f>IFERROR(_xlfn.XLOOKUP($D361,'Modelling New'!$D:$D,'Modelling New'!AF:AF),"")</f>
        <v>0.98</v>
      </c>
      <c r="AN361" s="144"/>
      <c r="AO361" s="141"/>
      <c r="AP361" s="141"/>
      <c r="AQ361" s="141"/>
      <c r="AR361" s="133">
        <f>'Basic Data'!$B$98/1000</f>
        <v>8.0208999999999993</v>
      </c>
    </row>
    <row r="362" spans="1:44" x14ac:dyDescent="0.3">
      <c r="A362" s="132">
        <f t="shared" si="23"/>
        <v>46105</v>
      </c>
      <c r="B362" s="133">
        <f>YEAR(Table13[[#This Row],[Date]])+IF(MONTH(Table13[[#This Row],[Date]])&gt;=4,1,0)</f>
        <v>2026</v>
      </c>
      <c r="C362" s="134">
        <f>YEAR(Table13[[#This Row],[Date]])</f>
        <v>2026</v>
      </c>
      <c r="D362" s="135">
        <f>Table13[[#This Row],[Date]]-DAY(Table13[[#This Row],[Date]])+1</f>
        <v>46082</v>
      </c>
      <c r="E362" s="134">
        <f t="shared" si="20"/>
        <v>31</v>
      </c>
      <c r="F362" s="136" t="str">
        <f>IFERROR(_xlfn.XLOOKUP($A362,'Raw Data'!$G:$G,'Raw Data'!$AM:$AM),"")</f>
        <v/>
      </c>
      <c r="G362" s="137" t="str">
        <f>IFERROR(_xlfn.XLOOKUP($A362,'Raw Data'!$G:$G,'Raw Data'!$AB:$AB),"")</f>
        <v/>
      </c>
      <c r="H362" s="137"/>
      <c r="I362" s="137" t="str">
        <f>IFERROR(_xlfn.XLOOKUP($A362,'Raw Data'!$G:$G,'Raw Data'!$AC:$AC),"")</f>
        <v/>
      </c>
      <c r="J362" s="137"/>
      <c r="K362" s="137" t="str">
        <f>IFERROR(_xlfn.XLOOKUP($A362,'Raw Data'!$G:$G,'Raw Data'!AD:AD),"")</f>
        <v/>
      </c>
      <c r="L362" s="137" t="str">
        <f>IFERROR(_xlfn.XLOOKUP($A362,'Raw Data'!$G:$G,'Raw Data'!AE:AE),"")</f>
        <v/>
      </c>
      <c r="M362" s="137" t="str">
        <f>IFERROR(_xlfn.XLOOKUP($A362,'Raw Data'!$G:$G,'Raw Data'!AF:AF),"")</f>
        <v/>
      </c>
      <c r="N362" s="137" t="str">
        <f>IFERROR(_xlfn.XLOOKUP($A362,'Raw Data'!$G:$G,'Raw Data'!AG:AG),"")</f>
        <v/>
      </c>
      <c r="O362" s="138" t="str">
        <f>IFERROR(1-SUMIF('Plant BD'!$H:$H,$A362,'Plant BD'!$AE:$AE)/($AA362+SUMIF('Plant BD'!$H:$H,$A362,'Plant BD'!$AE:$AE)),"")</f>
        <v/>
      </c>
      <c r="P362" s="138"/>
      <c r="Q362" s="139"/>
      <c r="R362" s="138" t="str">
        <f>IFERROR(1-SUMIF('Grid BD'!$H:$H,$A362,'Grid BD'!$AD:$AD)/($AA362+SUMIF('Grid BD'!$H:$H,$A362,'Grid BD'!$AD:$AD)),"")</f>
        <v/>
      </c>
      <c r="T362" s="139"/>
      <c r="U362" s="140" t="str">
        <f t="shared" si="21"/>
        <v/>
      </c>
      <c r="V362" s="140"/>
      <c r="W362" s="141" t="str">
        <f t="shared" si="22"/>
        <v/>
      </c>
      <c r="X362" s="133" t="str">
        <f>IFERROR(_xlfn.XLOOKUP($A362,'Raw Data'!$G:$G,'Raw Data'!AI:AI),"")</f>
        <v/>
      </c>
      <c r="Y362" s="133" t="str">
        <f>IFERROR(_xlfn.XLOOKUP($A362,'Raw Data'!$G:$G,'Raw Data'!AJ:AJ),"")</f>
        <v/>
      </c>
      <c r="Z362" s="133" t="str">
        <f>IFERROR(_xlfn.XLOOKUP($A362,'Raw Data'!$G:$G,'Raw Data'!AK:AK),"")</f>
        <v/>
      </c>
      <c r="AA362" s="133" t="str">
        <f>IFERROR(_xlfn.XLOOKUP($A362,'Raw Data'!$G:$G,'Raw Data'!AL:AL),"")</f>
        <v/>
      </c>
      <c r="AB362" s="133" t="str">
        <f>IFERROR(_xlfn.XLOOKUP($A362,'Raw Data'!$G:$G,'Raw Data'!H:H),"")</f>
        <v/>
      </c>
      <c r="AC362" s="142">
        <f>IFERROR(_xlfn.XLOOKUP($D362,'Modelling New'!$D:$D,'Modelling New'!P:P),"")</f>
        <v>6.7870967741935484</v>
      </c>
      <c r="AD362" s="133">
        <f>IFERROR(_xlfn.XLOOKUP($D362,'Modelling New'!$D:$D,'Modelling New'!$T:$T)*1000,"")</f>
        <v>38219.028541703687</v>
      </c>
      <c r="AE362" s="143">
        <f>IFERROR(_xlfn.XLOOKUP($D362,'Modelling New'!$D:$D,'Modelling New'!O:O),"")</f>
        <v>0.70205720444645292</v>
      </c>
      <c r="AF362" s="145">
        <f>IFERROR(_xlfn.XLOOKUP($D362,'Modelling New'!$D:$D,'Modelling New'!W:W),"")</f>
        <v>0.19853875781657757</v>
      </c>
      <c r="AG362" s="145">
        <f>IFERROR(_xlfn.XLOOKUP($D362,'Modelling New'!$D:$D,'Modelling New'!AE:AE),"")</f>
        <v>0.98040000000000005</v>
      </c>
      <c r="AH362" s="167">
        <f>IFERROR(_xlfn.XLOOKUP($D362,'Modelling New'!$D:$D,'Modelling New'!AF:AF),"")</f>
        <v>0.98</v>
      </c>
      <c r="AN362" s="144"/>
      <c r="AO362" s="141"/>
      <c r="AP362" s="141"/>
      <c r="AQ362" s="141"/>
      <c r="AR362" s="133">
        <f>'Basic Data'!$B$98/1000</f>
        <v>8.0208999999999993</v>
      </c>
    </row>
    <row r="363" spans="1:44" x14ac:dyDescent="0.3">
      <c r="A363" s="132">
        <f t="shared" si="23"/>
        <v>46106</v>
      </c>
      <c r="B363" s="133">
        <f>YEAR(Table13[[#This Row],[Date]])+IF(MONTH(Table13[[#This Row],[Date]])&gt;=4,1,0)</f>
        <v>2026</v>
      </c>
      <c r="C363" s="134">
        <f>YEAR(Table13[[#This Row],[Date]])</f>
        <v>2026</v>
      </c>
      <c r="D363" s="135">
        <f>Table13[[#This Row],[Date]]-DAY(Table13[[#This Row],[Date]])+1</f>
        <v>46082</v>
      </c>
      <c r="E363" s="134">
        <f t="shared" si="20"/>
        <v>31</v>
      </c>
      <c r="F363" s="136" t="str">
        <f>IFERROR(_xlfn.XLOOKUP($A363,'Raw Data'!$G:$G,'Raw Data'!$AM:$AM),"")</f>
        <v/>
      </c>
      <c r="G363" s="137" t="str">
        <f>IFERROR(_xlfn.XLOOKUP($A363,'Raw Data'!$G:$G,'Raw Data'!$AB:$AB),"")</f>
        <v/>
      </c>
      <c r="H363" s="137"/>
      <c r="I363" s="137" t="str">
        <f>IFERROR(_xlfn.XLOOKUP($A363,'Raw Data'!$G:$G,'Raw Data'!$AC:$AC),"")</f>
        <v/>
      </c>
      <c r="J363" s="137"/>
      <c r="K363" s="137" t="str">
        <f>IFERROR(_xlfn.XLOOKUP($A363,'Raw Data'!$G:$G,'Raw Data'!AD:AD),"")</f>
        <v/>
      </c>
      <c r="L363" s="137" t="str">
        <f>IFERROR(_xlfn.XLOOKUP($A363,'Raw Data'!$G:$G,'Raw Data'!AE:AE),"")</f>
        <v/>
      </c>
      <c r="M363" s="137" t="str">
        <f>IFERROR(_xlfn.XLOOKUP($A363,'Raw Data'!$G:$G,'Raw Data'!AF:AF),"")</f>
        <v/>
      </c>
      <c r="N363" s="137" t="str">
        <f>IFERROR(_xlfn.XLOOKUP($A363,'Raw Data'!$G:$G,'Raw Data'!AG:AG),"")</f>
        <v/>
      </c>
      <c r="O363" s="138" t="str">
        <f>IFERROR(1-SUMIF('Plant BD'!$H:$H,$A363,'Plant BD'!$AE:$AE)/($AA363+SUMIF('Plant BD'!$H:$H,$A363,'Plant BD'!$AE:$AE)),"")</f>
        <v/>
      </c>
      <c r="P363" s="138"/>
      <c r="Q363" s="139"/>
      <c r="R363" s="138" t="str">
        <f>IFERROR(1-SUMIF('Grid BD'!$H:$H,$A363,'Grid BD'!$AD:$AD)/($AA363+SUMIF('Grid BD'!$H:$H,$A363,'Grid BD'!$AD:$AD)),"")</f>
        <v/>
      </c>
      <c r="T363" s="139"/>
      <c r="U363" s="140" t="str">
        <f t="shared" si="21"/>
        <v/>
      </c>
      <c r="V363" s="140"/>
      <c r="W363" s="141" t="str">
        <f t="shared" si="22"/>
        <v/>
      </c>
      <c r="X363" s="133" t="str">
        <f>IFERROR(_xlfn.XLOOKUP($A363,'Raw Data'!$G:$G,'Raw Data'!AI:AI),"")</f>
        <v/>
      </c>
      <c r="Y363" s="133" t="str">
        <f>IFERROR(_xlfn.XLOOKUP($A363,'Raw Data'!$G:$G,'Raw Data'!AJ:AJ),"")</f>
        <v/>
      </c>
      <c r="Z363" s="133" t="str">
        <f>IFERROR(_xlfn.XLOOKUP($A363,'Raw Data'!$G:$G,'Raw Data'!AK:AK),"")</f>
        <v/>
      </c>
      <c r="AA363" s="133" t="str">
        <f>IFERROR(_xlfn.XLOOKUP($A363,'Raw Data'!$G:$G,'Raw Data'!AL:AL),"")</f>
        <v/>
      </c>
      <c r="AB363" s="133" t="str">
        <f>IFERROR(_xlfn.XLOOKUP($A363,'Raw Data'!$G:$G,'Raw Data'!H:H),"")</f>
        <v/>
      </c>
      <c r="AC363" s="142">
        <f>IFERROR(_xlfn.XLOOKUP($D363,'Modelling New'!$D:$D,'Modelling New'!P:P),"")</f>
        <v>6.7870967741935484</v>
      </c>
      <c r="AD363" s="133">
        <f>IFERROR(_xlfn.XLOOKUP($D363,'Modelling New'!$D:$D,'Modelling New'!$T:$T)*1000,"")</f>
        <v>38219.028541703687</v>
      </c>
      <c r="AE363" s="143">
        <f>IFERROR(_xlfn.XLOOKUP($D363,'Modelling New'!$D:$D,'Modelling New'!O:O),"")</f>
        <v>0.70205720444645292</v>
      </c>
      <c r="AF363" s="145">
        <f>IFERROR(_xlfn.XLOOKUP($D363,'Modelling New'!$D:$D,'Modelling New'!W:W),"")</f>
        <v>0.19853875781657757</v>
      </c>
      <c r="AG363" s="145">
        <f>IFERROR(_xlfn.XLOOKUP($D363,'Modelling New'!$D:$D,'Modelling New'!AE:AE),"")</f>
        <v>0.98040000000000005</v>
      </c>
      <c r="AH363" s="167">
        <f>IFERROR(_xlfn.XLOOKUP($D363,'Modelling New'!$D:$D,'Modelling New'!AF:AF),"")</f>
        <v>0.98</v>
      </c>
      <c r="AN363" s="144"/>
      <c r="AO363" s="141"/>
      <c r="AP363" s="141"/>
      <c r="AQ363" s="141"/>
      <c r="AR363" s="133">
        <f>'Basic Data'!$B$98/1000</f>
        <v>8.0208999999999993</v>
      </c>
    </row>
    <row r="364" spans="1:44" x14ac:dyDescent="0.3">
      <c r="A364" s="132">
        <f t="shared" si="23"/>
        <v>46107</v>
      </c>
      <c r="B364" s="133">
        <f>YEAR(Table13[[#This Row],[Date]])+IF(MONTH(Table13[[#This Row],[Date]])&gt;=4,1,0)</f>
        <v>2026</v>
      </c>
      <c r="C364" s="134">
        <f>YEAR(Table13[[#This Row],[Date]])</f>
        <v>2026</v>
      </c>
      <c r="D364" s="135">
        <f>Table13[[#This Row],[Date]]-DAY(Table13[[#This Row],[Date]])+1</f>
        <v>46082</v>
      </c>
      <c r="E364" s="134">
        <f t="shared" si="20"/>
        <v>31</v>
      </c>
      <c r="F364" s="136" t="str">
        <f>IFERROR(_xlfn.XLOOKUP($A364,'Raw Data'!$G:$G,'Raw Data'!$AM:$AM),"")</f>
        <v/>
      </c>
      <c r="G364" s="137" t="str">
        <f>IFERROR(_xlfn.XLOOKUP($A364,'Raw Data'!$G:$G,'Raw Data'!$AB:$AB),"")</f>
        <v/>
      </c>
      <c r="H364" s="137"/>
      <c r="I364" s="137" t="str">
        <f>IFERROR(_xlfn.XLOOKUP($A364,'Raw Data'!$G:$G,'Raw Data'!$AC:$AC),"")</f>
        <v/>
      </c>
      <c r="J364" s="137"/>
      <c r="K364" s="137" t="str">
        <f>IFERROR(_xlfn.XLOOKUP($A364,'Raw Data'!$G:$G,'Raw Data'!AD:AD),"")</f>
        <v/>
      </c>
      <c r="L364" s="137" t="str">
        <f>IFERROR(_xlfn.XLOOKUP($A364,'Raw Data'!$G:$G,'Raw Data'!AE:AE),"")</f>
        <v/>
      </c>
      <c r="M364" s="137" t="str">
        <f>IFERROR(_xlfn.XLOOKUP($A364,'Raw Data'!$G:$G,'Raw Data'!AF:AF),"")</f>
        <v/>
      </c>
      <c r="N364" s="137" t="str">
        <f>IFERROR(_xlfn.XLOOKUP($A364,'Raw Data'!$G:$G,'Raw Data'!AG:AG),"")</f>
        <v/>
      </c>
      <c r="O364" s="138" t="str">
        <f>IFERROR(1-SUMIF('Plant BD'!$H:$H,$A364,'Plant BD'!$AE:$AE)/($AA364+SUMIF('Plant BD'!$H:$H,$A364,'Plant BD'!$AE:$AE)),"")</f>
        <v/>
      </c>
      <c r="P364" s="138"/>
      <c r="Q364" s="139"/>
      <c r="R364" s="138" t="str">
        <f>IFERROR(1-SUMIF('Grid BD'!$H:$H,$A364,'Grid BD'!$AD:$AD)/($AA364+SUMIF('Grid BD'!$H:$H,$A364,'Grid BD'!$AD:$AD)),"")</f>
        <v/>
      </c>
      <c r="T364" s="139"/>
      <c r="U364" s="140" t="str">
        <f t="shared" si="21"/>
        <v/>
      </c>
      <c r="V364" s="140"/>
      <c r="W364" s="141" t="str">
        <f t="shared" si="22"/>
        <v/>
      </c>
      <c r="X364" s="133" t="str">
        <f>IFERROR(_xlfn.XLOOKUP($A364,'Raw Data'!$G:$G,'Raw Data'!AI:AI),"")</f>
        <v/>
      </c>
      <c r="Y364" s="133" t="str">
        <f>IFERROR(_xlfn.XLOOKUP($A364,'Raw Data'!$G:$G,'Raw Data'!AJ:AJ),"")</f>
        <v/>
      </c>
      <c r="Z364" s="133" t="str">
        <f>IFERROR(_xlfn.XLOOKUP($A364,'Raw Data'!$G:$G,'Raw Data'!AK:AK),"")</f>
        <v/>
      </c>
      <c r="AA364" s="133" t="str">
        <f>IFERROR(_xlfn.XLOOKUP($A364,'Raw Data'!$G:$G,'Raw Data'!AL:AL),"")</f>
        <v/>
      </c>
      <c r="AB364" s="133" t="str">
        <f>IFERROR(_xlfn.XLOOKUP($A364,'Raw Data'!$G:$G,'Raw Data'!H:H),"")</f>
        <v/>
      </c>
      <c r="AC364" s="142">
        <f>IFERROR(_xlfn.XLOOKUP($D364,'Modelling New'!$D:$D,'Modelling New'!P:P),"")</f>
        <v>6.7870967741935484</v>
      </c>
      <c r="AD364" s="133">
        <f>IFERROR(_xlfn.XLOOKUP($D364,'Modelling New'!$D:$D,'Modelling New'!$T:$T)*1000,"")</f>
        <v>38219.028541703687</v>
      </c>
      <c r="AE364" s="143">
        <f>IFERROR(_xlfn.XLOOKUP($D364,'Modelling New'!$D:$D,'Modelling New'!O:O),"")</f>
        <v>0.70205720444645292</v>
      </c>
      <c r="AF364" s="145">
        <f>IFERROR(_xlfn.XLOOKUP($D364,'Modelling New'!$D:$D,'Modelling New'!W:W),"")</f>
        <v>0.19853875781657757</v>
      </c>
      <c r="AG364" s="145">
        <f>IFERROR(_xlfn.XLOOKUP($D364,'Modelling New'!$D:$D,'Modelling New'!AE:AE),"")</f>
        <v>0.98040000000000005</v>
      </c>
      <c r="AH364" s="167">
        <f>IFERROR(_xlfn.XLOOKUP($D364,'Modelling New'!$D:$D,'Modelling New'!AF:AF),"")</f>
        <v>0.98</v>
      </c>
      <c r="AN364" s="144"/>
      <c r="AO364" s="141"/>
      <c r="AP364" s="141"/>
      <c r="AQ364" s="141"/>
      <c r="AR364" s="133">
        <f>'Basic Data'!$B$98/1000</f>
        <v>8.0208999999999993</v>
      </c>
    </row>
    <row r="365" spans="1:44" x14ac:dyDescent="0.3">
      <c r="A365" s="132">
        <f t="shared" si="23"/>
        <v>46108</v>
      </c>
      <c r="B365" s="133">
        <f>YEAR(Table13[[#This Row],[Date]])+IF(MONTH(Table13[[#This Row],[Date]])&gt;=4,1,0)</f>
        <v>2026</v>
      </c>
      <c r="C365" s="134">
        <f>YEAR(Table13[[#This Row],[Date]])</f>
        <v>2026</v>
      </c>
      <c r="D365" s="135">
        <f>Table13[[#This Row],[Date]]-DAY(Table13[[#This Row],[Date]])+1</f>
        <v>46082</v>
      </c>
      <c r="E365" s="134">
        <f t="shared" si="20"/>
        <v>31</v>
      </c>
      <c r="F365" s="136" t="str">
        <f>IFERROR(_xlfn.XLOOKUP($A365,'Raw Data'!$G:$G,'Raw Data'!$AM:$AM),"")</f>
        <v/>
      </c>
      <c r="G365" s="137" t="str">
        <f>IFERROR(_xlfn.XLOOKUP($A365,'Raw Data'!$G:$G,'Raw Data'!$AB:$AB),"")</f>
        <v/>
      </c>
      <c r="H365" s="137"/>
      <c r="I365" s="137" t="str">
        <f>IFERROR(_xlfn.XLOOKUP($A365,'Raw Data'!$G:$G,'Raw Data'!$AC:$AC),"")</f>
        <v/>
      </c>
      <c r="J365" s="137"/>
      <c r="K365" s="137" t="str">
        <f>IFERROR(_xlfn.XLOOKUP($A365,'Raw Data'!$G:$G,'Raw Data'!AD:AD),"")</f>
        <v/>
      </c>
      <c r="L365" s="137" t="str">
        <f>IFERROR(_xlfn.XLOOKUP($A365,'Raw Data'!$G:$G,'Raw Data'!AE:AE),"")</f>
        <v/>
      </c>
      <c r="M365" s="137" t="str">
        <f>IFERROR(_xlfn.XLOOKUP($A365,'Raw Data'!$G:$G,'Raw Data'!AF:AF),"")</f>
        <v/>
      </c>
      <c r="N365" s="137" t="str">
        <f>IFERROR(_xlfn.XLOOKUP($A365,'Raw Data'!$G:$G,'Raw Data'!AG:AG),"")</f>
        <v/>
      </c>
      <c r="O365" s="138" t="str">
        <f>IFERROR(1-SUMIF('Plant BD'!$H:$H,$A365,'Plant BD'!$AE:$AE)/($AA365+SUMIF('Plant BD'!$H:$H,$A365,'Plant BD'!$AE:$AE)),"")</f>
        <v/>
      </c>
      <c r="P365" s="138"/>
      <c r="Q365" s="139"/>
      <c r="R365" s="138" t="str">
        <f>IFERROR(1-SUMIF('Grid BD'!$H:$H,$A365,'Grid BD'!$AD:$AD)/($AA365+SUMIF('Grid BD'!$H:$H,$A365,'Grid BD'!$AD:$AD)),"")</f>
        <v/>
      </c>
      <c r="T365" s="139"/>
      <c r="U365" s="140" t="str">
        <f t="shared" si="21"/>
        <v/>
      </c>
      <c r="V365" s="140"/>
      <c r="W365" s="141" t="str">
        <f t="shared" si="22"/>
        <v/>
      </c>
      <c r="X365" s="133" t="str">
        <f>IFERROR(_xlfn.XLOOKUP($A365,'Raw Data'!$G:$G,'Raw Data'!AI:AI),"")</f>
        <v/>
      </c>
      <c r="Y365" s="133" t="str">
        <f>IFERROR(_xlfn.XLOOKUP($A365,'Raw Data'!$G:$G,'Raw Data'!AJ:AJ),"")</f>
        <v/>
      </c>
      <c r="Z365" s="133" t="str">
        <f>IFERROR(_xlfn.XLOOKUP($A365,'Raw Data'!$G:$G,'Raw Data'!AK:AK),"")</f>
        <v/>
      </c>
      <c r="AA365" s="133" t="str">
        <f>IFERROR(_xlfn.XLOOKUP($A365,'Raw Data'!$G:$G,'Raw Data'!AL:AL),"")</f>
        <v/>
      </c>
      <c r="AB365" s="133" t="str">
        <f>IFERROR(_xlfn.XLOOKUP($A365,'Raw Data'!$G:$G,'Raw Data'!H:H),"")</f>
        <v/>
      </c>
      <c r="AC365" s="142">
        <f>IFERROR(_xlfn.XLOOKUP($D365,'Modelling New'!$D:$D,'Modelling New'!P:P),"")</f>
        <v>6.7870967741935484</v>
      </c>
      <c r="AD365" s="133">
        <f>IFERROR(_xlfn.XLOOKUP($D365,'Modelling New'!$D:$D,'Modelling New'!$T:$T)*1000,"")</f>
        <v>38219.028541703687</v>
      </c>
      <c r="AE365" s="143">
        <f>IFERROR(_xlfn.XLOOKUP($D365,'Modelling New'!$D:$D,'Modelling New'!O:O),"")</f>
        <v>0.70205720444645292</v>
      </c>
      <c r="AF365" s="145">
        <f>IFERROR(_xlfn.XLOOKUP($D365,'Modelling New'!$D:$D,'Modelling New'!W:W),"")</f>
        <v>0.19853875781657757</v>
      </c>
      <c r="AG365" s="145">
        <f>IFERROR(_xlfn.XLOOKUP($D365,'Modelling New'!$D:$D,'Modelling New'!AE:AE),"")</f>
        <v>0.98040000000000005</v>
      </c>
      <c r="AH365" s="167">
        <f>IFERROR(_xlfn.XLOOKUP($D365,'Modelling New'!$D:$D,'Modelling New'!AF:AF),"")</f>
        <v>0.98</v>
      </c>
      <c r="AN365" s="144"/>
      <c r="AO365" s="141"/>
      <c r="AP365" s="141"/>
      <c r="AQ365" s="141"/>
      <c r="AR365" s="133">
        <f>'Basic Data'!$B$98/1000</f>
        <v>8.0208999999999993</v>
      </c>
    </row>
    <row r="366" spans="1:44" x14ac:dyDescent="0.3">
      <c r="A366" s="132">
        <f t="shared" si="23"/>
        <v>46109</v>
      </c>
      <c r="B366" s="133">
        <f>YEAR(Table13[[#This Row],[Date]])+IF(MONTH(Table13[[#This Row],[Date]])&gt;=4,1,0)</f>
        <v>2026</v>
      </c>
      <c r="C366" s="134">
        <f>YEAR(Table13[[#This Row],[Date]])</f>
        <v>2026</v>
      </c>
      <c r="D366" s="135">
        <f>Table13[[#This Row],[Date]]-DAY(Table13[[#This Row],[Date]])+1</f>
        <v>46082</v>
      </c>
      <c r="E366" s="134">
        <f t="shared" si="20"/>
        <v>31</v>
      </c>
      <c r="F366" s="136" t="str">
        <f>IFERROR(_xlfn.XLOOKUP($A366,'Raw Data'!$G:$G,'Raw Data'!$AM:$AM),"")</f>
        <v/>
      </c>
      <c r="G366" s="137" t="str">
        <f>IFERROR(_xlfn.XLOOKUP($A366,'Raw Data'!$G:$G,'Raw Data'!$AB:$AB),"")</f>
        <v/>
      </c>
      <c r="H366" s="137"/>
      <c r="I366" s="137" t="str">
        <f>IFERROR(_xlfn.XLOOKUP($A366,'Raw Data'!$G:$G,'Raw Data'!$AC:$AC),"")</f>
        <v/>
      </c>
      <c r="J366" s="137"/>
      <c r="K366" s="137" t="str">
        <f>IFERROR(_xlfn.XLOOKUP($A366,'Raw Data'!$G:$G,'Raw Data'!AD:AD),"")</f>
        <v/>
      </c>
      <c r="L366" s="137" t="str">
        <f>IFERROR(_xlfn.XLOOKUP($A366,'Raw Data'!$G:$G,'Raw Data'!AE:AE),"")</f>
        <v/>
      </c>
      <c r="M366" s="137" t="str">
        <f>IFERROR(_xlfn.XLOOKUP($A366,'Raw Data'!$G:$G,'Raw Data'!AF:AF),"")</f>
        <v/>
      </c>
      <c r="N366" s="137" t="str">
        <f>IFERROR(_xlfn.XLOOKUP($A366,'Raw Data'!$G:$G,'Raw Data'!AG:AG),"")</f>
        <v/>
      </c>
      <c r="O366" s="138" t="str">
        <f>IFERROR(1-SUMIF('Plant BD'!$H:$H,$A366,'Plant BD'!$AE:$AE)/($AA366+SUMIF('Plant BD'!$H:$H,$A366,'Plant BD'!$AE:$AE)),"")</f>
        <v/>
      </c>
      <c r="P366" s="138"/>
      <c r="Q366" s="139"/>
      <c r="R366" s="138" t="str">
        <f>IFERROR(1-SUMIF('Grid BD'!$H:$H,$A366,'Grid BD'!$AD:$AD)/($AA366+SUMIF('Grid BD'!$H:$H,$A366,'Grid BD'!$AD:$AD)),"")</f>
        <v/>
      </c>
      <c r="T366" s="139"/>
      <c r="U366" s="140" t="str">
        <f t="shared" si="21"/>
        <v/>
      </c>
      <c r="V366" s="140"/>
      <c r="W366" s="141" t="str">
        <f t="shared" si="22"/>
        <v/>
      </c>
      <c r="X366" s="133" t="str">
        <f>IFERROR(_xlfn.XLOOKUP($A366,'Raw Data'!$G:$G,'Raw Data'!AI:AI),"")</f>
        <v/>
      </c>
      <c r="Y366" s="133" t="str">
        <f>IFERROR(_xlfn.XLOOKUP($A366,'Raw Data'!$G:$G,'Raw Data'!AJ:AJ),"")</f>
        <v/>
      </c>
      <c r="Z366" s="133" t="str">
        <f>IFERROR(_xlfn.XLOOKUP($A366,'Raw Data'!$G:$G,'Raw Data'!AK:AK),"")</f>
        <v/>
      </c>
      <c r="AA366" s="133" t="str">
        <f>IFERROR(_xlfn.XLOOKUP($A366,'Raw Data'!$G:$G,'Raw Data'!AL:AL),"")</f>
        <v/>
      </c>
      <c r="AB366" s="133" t="str">
        <f>IFERROR(_xlfn.XLOOKUP($A366,'Raw Data'!$G:$G,'Raw Data'!H:H),"")</f>
        <v/>
      </c>
      <c r="AC366" s="142">
        <f>IFERROR(_xlfn.XLOOKUP($D366,'Modelling New'!$D:$D,'Modelling New'!P:P),"")</f>
        <v>6.7870967741935484</v>
      </c>
      <c r="AD366" s="133">
        <f>IFERROR(_xlfn.XLOOKUP($D366,'Modelling New'!$D:$D,'Modelling New'!$T:$T)*1000,"")</f>
        <v>38219.028541703687</v>
      </c>
      <c r="AE366" s="143">
        <f>IFERROR(_xlfn.XLOOKUP($D366,'Modelling New'!$D:$D,'Modelling New'!O:O),"")</f>
        <v>0.70205720444645292</v>
      </c>
      <c r="AF366" s="145">
        <f>IFERROR(_xlfn.XLOOKUP($D366,'Modelling New'!$D:$D,'Modelling New'!W:W),"")</f>
        <v>0.19853875781657757</v>
      </c>
      <c r="AG366" s="145">
        <f>IFERROR(_xlfn.XLOOKUP($D366,'Modelling New'!$D:$D,'Modelling New'!AE:AE),"")</f>
        <v>0.98040000000000005</v>
      </c>
      <c r="AH366" s="167">
        <f>IFERROR(_xlfn.XLOOKUP($D366,'Modelling New'!$D:$D,'Modelling New'!AF:AF),"")</f>
        <v>0.98</v>
      </c>
      <c r="AN366" s="144"/>
      <c r="AO366" s="141"/>
      <c r="AP366" s="141"/>
      <c r="AQ366" s="141"/>
      <c r="AR366" s="133">
        <f>'Basic Data'!$B$98/1000</f>
        <v>8.0208999999999993</v>
      </c>
    </row>
    <row r="367" spans="1:44" x14ac:dyDescent="0.3">
      <c r="A367" s="132">
        <f t="shared" si="23"/>
        <v>46110</v>
      </c>
      <c r="B367" s="133">
        <f>YEAR(Table13[[#This Row],[Date]])+IF(MONTH(Table13[[#This Row],[Date]])&gt;=4,1,0)</f>
        <v>2026</v>
      </c>
      <c r="C367" s="134">
        <f>YEAR(Table13[[#This Row],[Date]])</f>
        <v>2026</v>
      </c>
      <c r="D367" s="135">
        <f>Table13[[#This Row],[Date]]-DAY(Table13[[#This Row],[Date]])+1</f>
        <v>46082</v>
      </c>
      <c r="E367" s="134">
        <f t="shared" si="20"/>
        <v>31</v>
      </c>
      <c r="F367" s="136" t="str">
        <f>IFERROR(_xlfn.XLOOKUP($A367,'Raw Data'!$G:$G,'Raw Data'!$AM:$AM),"")</f>
        <v/>
      </c>
      <c r="G367" s="137" t="str">
        <f>IFERROR(_xlfn.XLOOKUP($A367,'Raw Data'!$G:$G,'Raw Data'!$AB:$AB),"")</f>
        <v/>
      </c>
      <c r="H367" s="137"/>
      <c r="I367" s="137" t="str">
        <f>IFERROR(_xlfn.XLOOKUP($A367,'Raw Data'!$G:$G,'Raw Data'!$AC:$AC),"")</f>
        <v/>
      </c>
      <c r="J367" s="137"/>
      <c r="K367" s="137" t="str">
        <f>IFERROR(_xlfn.XLOOKUP($A367,'Raw Data'!$G:$G,'Raw Data'!AD:AD),"")</f>
        <v/>
      </c>
      <c r="L367" s="137" t="str">
        <f>IFERROR(_xlfn.XLOOKUP($A367,'Raw Data'!$G:$G,'Raw Data'!AE:AE),"")</f>
        <v/>
      </c>
      <c r="M367" s="137" t="str">
        <f>IFERROR(_xlfn.XLOOKUP($A367,'Raw Data'!$G:$G,'Raw Data'!AF:AF),"")</f>
        <v/>
      </c>
      <c r="N367" s="137" t="str">
        <f>IFERROR(_xlfn.XLOOKUP($A367,'Raw Data'!$G:$G,'Raw Data'!AG:AG),"")</f>
        <v/>
      </c>
      <c r="O367" s="138" t="str">
        <f>IFERROR(1-SUMIF('Plant BD'!$H:$H,$A367,'Plant BD'!$AE:$AE)/($AA367+SUMIF('Plant BD'!$H:$H,$A367,'Plant BD'!$AE:$AE)),"")</f>
        <v/>
      </c>
      <c r="P367" s="138"/>
      <c r="Q367" s="139"/>
      <c r="R367" s="138" t="str">
        <f>IFERROR(1-SUMIF('Grid BD'!$H:$H,$A367,'Grid BD'!$AD:$AD)/($AA367+SUMIF('Grid BD'!$H:$H,$A367,'Grid BD'!$AD:$AD)),"")</f>
        <v/>
      </c>
      <c r="T367" s="139"/>
      <c r="U367" s="140" t="str">
        <f t="shared" si="21"/>
        <v/>
      </c>
      <c r="V367" s="140"/>
      <c r="W367" s="141" t="str">
        <f t="shared" si="22"/>
        <v/>
      </c>
      <c r="X367" s="133" t="str">
        <f>IFERROR(_xlfn.XLOOKUP($A367,'Raw Data'!$G:$G,'Raw Data'!AI:AI),"")</f>
        <v/>
      </c>
      <c r="Y367" s="133" t="str">
        <f>IFERROR(_xlfn.XLOOKUP($A367,'Raw Data'!$G:$G,'Raw Data'!AJ:AJ),"")</f>
        <v/>
      </c>
      <c r="Z367" s="133" t="str">
        <f>IFERROR(_xlfn.XLOOKUP($A367,'Raw Data'!$G:$G,'Raw Data'!AK:AK),"")</f>
        <v/>
      </c>
      <c r="AA367" s="133" t="str">
        <f>IFERROR(_xlfn.XLOOKUP($A367,'Raw Data'!$G:$G,'Raw Data'!AL:AL),"")</f>
        <v/>
      </c>
      <c r="AB367" s="133" t="str">
        <f>IFERROR(_xlfn.XLOOKUP($A367,'Raw Data'!$G:$G,'Raw Data'!H:H),"")</f>
        <v/>
      </c>
      <c r="AC367" s="142">
        <f>IFERROR(_xlfn.XLOOKUP($D367,'Modelling New'!$D:$D,'Modelling New'!P:P),"")</f>
        <v>6.7870967741935484</v>
      </c>
      <c r="AD367" s="133">
        <f>IFERROR(_xlfn.XLOOKUP($D367,'Modelling New'!$D:$D,'Modelling New'!$T:$T)*1000,"")</f>
        <v>38219.028541703687</v>
      </c>
      <c r="AE367" s="143">
        <f>IFERROR(_xlfn.XLOOKUP($D367,'Modelling New'!$D:$D,'Modelling New'!O:O),"")</f>
        <v>0.70205720444645292</v>
      </c>
      <c r="AF367" s="145">
        <f>IFERROR(_xlfn.XLOOKUP($D367,'Modelling New'!$D:$D,'Modelling New'!W:W),"")</f>
        <v>0.19853875781657757</v>
      </c>
      <c r="AG367" s="145">
        <f>IFERROR(_xlfn.XLOOKUP($D367,'Modelling New'!$D:$D,'Modelling New'!AE:AE),"")</f>
        <v>0.98040000000000005</v>
      </c>
      <c r="AH367" s="167">
        <f>IFERROR(_xlfn.XLOOKUP($D367,'Modelling New'!$D:$D,'Modelling New'!AF:AF),"")</f>
        <v>0.98</v>
      </c>
      <c r="AN367" s="144"/>
      <c r="AO367" s="141"/>
      <c r="AP367" s="141"/>
      <c r="AQ367" s="141"/>
      <c r="AR367" s="133">
        <f>'Basic Data'!$B$98/1000</f>
        <v>8.0208999999999993</v>
      </c>
    </row>
    <row r="368" spans="1:44" x14ac:dyDescent="0.3">
      <c r="A368" s="132">
        <f t="shared" si="23"/>
        <v>46111</v>
      </c>
      <c r="B368" s="133">
        <f>YEAR(Table13[[#This Row],[Date]])+IF(MONTH(Table13[[#This Row],[Date]])&gt;=4,1,0)</f>
        <v>2026</v>
      </c>
      <c r="C368" s="134">
        <f>YEAR(Table13[[#This Row],[Date]])</f>
        <v>2026</v>
      </c>
      <c r="D368" s="135">
        <f>Table13[[#This Row],[Date]]-DAY(Table13[[#This Row],[Date]])+1</f>
        <v>46082</v>
      </c>
      <c r="E368" s="134">
        <f t="shared" si="20"/>
        <v>31</v>
      </c>
      <c r="F368" s="136" t="str">
        <f>IFERROR(_xlfn.XLOOKUP($A368,'Raw Data'!$G:$G,'Raw Data'!$AM:$AM),"")</f>
        <v/>
      </c>
      <c r="G368" s="137" t="str">
        <f>IFERROR(_xlfn.XLOOKUP($A368,'Raw Data'!$G:$G,'Raw Data'!$AB:$AB),"")</f>
        <v/>
      </c>
      <c r="H368" s="137"/>
      <c r="I368" s="137" t="str">
        <f>IFERROR(_xlfn.XLOOKUP($A368,'Raw Data'!$G:$G,'Raw Data'!$AC:$AC),"")</f>
        <v/>
      </c>
      <c r="J368" s="137"/>
      <c r="K368" s="137" t="str">
        <f>IFERROR(_xlfn.XLOOKUP($A368,'Raw Data'!$G:$G,'Raw Data'!AD:AD),"")</f>
        <v/>
      </c>
      <c r="L368" s="137" t="str">
        <f>IFERROR(_xlfn.XLOOKUP($A368,'Raw Data'!$G:$G,'Raw Data'!AE:AE),"")</f>
        <v/>
      </c>
      <c r="M368" s="137" t="str">
        <f>IFERROR(_xlfn.XLOOKUP($A368,'Raw Data'!$G:$G,'Raw Data'!AF:AF),"")</f>
        <v/>
      </c>
      <c r="N368" s="137" t="str">
        <f>IFERROR(_xlfn.XLOOKUP($A368,'Raw Data'!$G:$G,'Raw Data'!AG:AG),"")</f>
        <v/>
      </c>
      <c r="O368" s="138" t="str">
        <f>IFERROR(1-SUMIF('Plant BD'!$H:$H,$A368,'Plant BD'!$AE:$AE)/($AA368+SUMIF('Plant BD'!$H:$H,$A368,'Plant BD'!$AE:$AE)),"")</f>
        <v/>
      </c>
      <c r="P368" s="138"/>
      <c r="Q368" s="139"/>
      <c r="R368" s="138" t="str">
        <f>IFERROR(1-SUMIF('Grid BD'!$H:$H,$A368,'Grid BD'!$AD:$AD)/($AA368+SUMIF('Grid BD'!$H:$H,$A368,'Grid BD'!$AD:$AD)),"")</f>
        <v/>
      </c>
      <c r="T368" s="139"/>
      <c r="U368" s="140" t="str">
        <f t="shared" si="21"/>
        <v/>
      </c>
      <c r="V368" s="140"/>
      <c r="W368" s="141" t="str">
        <f t="shared" si="22"/>
        <v/>
      </c>
      <c r="X368" s="133" t="str">
        <f>IFERROR(_xlfn.XLOOKUP($A368,'Raw Data'!$G:$G,'Raw Data'!AI:AI),"")</f>
        <v/>
      </c>
      <c r="Y368" s="133" t="str">
        <f>IFERROR(_xlfn.XLOOKUP($A368,'Raw Data'!$G:$G,'Raw Data'!AJ:AJ),"")</f>
        <v/>
      </c>
      <c r="Z368" s="133" t="str">
        <f>IFERROR(_xlfn.XLOOKUP($A368,'Raw Data'!$G:$G,'Raw Data'!AK:AK),"")</f>
        <v/>
      </c>
      <c r="AA368" s="133" t="str">
        <f>IFERROR(_xlfn.XLOOKUP($A368,'Raw Data'!$G:$G,'Raw Data'!AL:AL),"")</f>
        <v/>
      </c>
      <c r="AB368" s="133" t="str">
        <f>IFERROR(_xlfn.XLOOKUP($A368,'Raw Data'!$G:$G,'Raw Data'!H:H),"")</f>
        <v/>
      </c>
      <c r="AC368" s="142">
        <f>IFERROR(_xlfn.XLOOKUP($D368,'Modelling New'!$D:$D,'Modelling New'!P:P),"")</f>
        <v>6.7870967741935484</v>
      </c>
      <c r="AD368" s="133">
        <f>IFERROR(_xlfn.XLOOKUP($D368,'Modelling New'!$D:$D,'Modelling New'!$T:$T)*1000,"")</f>
        <v>38219.028541703687</v>
      </c>
      <c r="AE368" s="143">
        <f>IFERROR(_xlfn.XLOOKUP($D368,'Modelling New'!$D:$D,'Modelling New'!O:O),"")</f>
        <v>0.70205720444645292</v>
      </c>
      <c r="AF368" s="145">
        <f>IFERROR(_xlfn.XLOOKUP($D368,'Modelling New'!$D:$D,'Modelling New'!W:W),"")</f>
        <v>0.19853875781657757</v>
      </c>
      <c r="AG368" s="145">
        <f>IFERROR(_xlfn.XLOOKUP($D368,'Modelling New'!$D:$D,'Modelling New'!AE:AE),"")</f>
        <v>0.98040000000000005</v>
      </c>
      <c r="AH368" s="167">
        <f>IFERROR(_xlfn.XLOOKUP($D368,'Modelling New'!$D:$D,'Modelling New'!AF:AF),"")</f>
        <v>0.98</v>
      </c>
      <c r="AN368" s="144"/>
      <c r="AO368" s="141"/>
      <c r="AP368" s="141"/>
      <c r="AQ368" s="141"/>
      <c r="AR368" s="133">
        <f>'Basic Data'!$B$98/1000</f>
        <v>8.0208999999999993</v>
      </c>
    </row>
    <row r="369" spans="1:44" x14ac:dyDescent="0.3">
      <c r="A369" s="132">
        <f t="shared" si="23"/>
        <v>46112</v>
      </c>
      <c r="B369" s="133">
        <f>YEAR(Table13[[#This Row],[Date]])+IF(MONTH(Table13[[#This Row],[Date]])&gt;=4,1,0)</f>
        <v>2026</v>
      </c>
      <c r="C369" s="134">
        <f>YEAR(Table13[[#This Row],[Date]])</f>
        <v>2026</v>
      </c>
      <c r="D369" s="135">
        <f>Table13[[#This Row],[Date]]-DAY(Table13[[#This Row],[Date]])+1</f>
        <v>46082</v>
      </c>
      <c r="E369" s="134">
        <f t="shared" si="20"/>
        <v>31</v>
      </c>
      <c r="F369" s="136" t="str">
        <f>IFERROR(_xlfn.XLOOKUP($A369,'Raw Data'!$G:$G,'Raw Data'!$AM:$AM),"")</f>
        <v/>
      </c>
      <c r="G369" s="137" t="str">
        <f>IFERROR(_xlfn.XLOOKUP($A369,'Raw Data'!$G:$G,'Raw Data'!$AB:$AB),"")</f>
        <v/>
      </c>
      <c r="H369" s="137"/>
      <c r="I369" s="137" t="str">
        <f>IFERROR(_xlfn.XLOOKUP($A369,'Raw Data'!$G:$G,'Raw Data'!$AC:$AC),"")</f>
        <v/>
      </c>
      <c r="J369" s="137"/>
      <c r="K369" s="137" t="str">
        <f>IFERROR(_xlfn.XLOOKUP($A369,'Raw Data'!$G:$G,'Raw Data'!AD:AD),"")</f>
        <v/>
      </c>
      <c r="L369" s="137" t="str">
        <f>IFERROR(_xlfn.XLOOKUP($A369,'Raw Data'!$G:$G,'Raw Data'!AE:AE),"")</f>
        <v/>
      </c>
      <c r="M369" s="137" t="str">
        <f>IFERROR(_xlfn.XLOOKUP($A369,'Raw Data'!$G:$G,'Raw Data'!AF:AF),"")</f>
        <v/>
      </c>
      <c r="N369" s="137" t="str">
        <f>IFERROR(_xlfn.XLOOKUP($A369,'Raw Data'!$G:$G,'Raw Data'!AG:AG),"")</f>
        <v/>
      </c>
      <c r="O369" s="138" t="str">
        <f>IFERROR(1-SUMIF('Plant BD'!$H:$H,$A369,'Plant BD'!$AE:$AE)/($AA369+SUMIF('Plant BD'!$H:$H,$A369,'Plant BD'!$AE:$AE)),"")</f>
        <v/>
      </c>
      <c r="P369" s="138"/>
      <c r="Q369" s="139"/>
      <c r="R369" s="138" t="str">
        <f>IFERROR(1-SUMIF('Grid BD'!$H:$H,$A369,'Grid BD'!$AD:$AD)/($AA369+SUMIF('Grid BD'!$H:$H,$A369,'Grid BD'!$AD:$AD)),"")</f>
        <v/>
      </c>
      <c r="T369" s="139"/>
      <c r="U369" s="140" t="str">
        <f t="shared" si="21"/>
        <v/>
      </c>
      <c r="V369" s="140"/>
      <c r="W369" s="141" t="str">
        <f t="shared" si="22"/>
        <v/>
      </c>
      <c r="X369" s="133" t="str">
        <f>IFERROR(_xlfn.XLOOKUP($A369,'Raw Data'!$G:$G,'Raw Data'!AI:AI),"")</f>
        <v/>
      </c>
      <c r="Y369" s="133" t="str">
        <f>IFERROR(_xlfn.XLOOKUP($A369,'Raw Data'!$G:$G,'Raw Data'!AJ:AJ),"")</f>
        <v/>
      </c>
      <c r="Z369" s="133" t="str">
        <f>IFERROR(_xlfn.XLOOKUP($A369,'Raw Data'!$G:$G,'Raw Data'!AK:AK),"")</f>
        <v/>
      </c>
      <c r="AA369" s="133" t="str">
        <f>IFERROR(_xlfn.XLOOKUP($A369,'Raw Data'!$G:$G,'Raw Data'!AL:AL),"")</f>
        <v/>
      </c>
      <c r="AB369" s="133" t="str">
        <f>IFERROR(_xlfn.XLOOKUP($A369,'Raw Data'!$G:$G,'Raw Data'!H:H),"")</f>
        <v/>
      </c>
      <c r="AC369" s="142">
        <f>IFERROR(_xlfn.XLOOKUP($D369,'Modelling New'!$D:$D,'Modelling New'!P:P),"")</f>
        <v>6.7870967741935484</v>
      </c>
      <c r="AD369" s="133">
        <f>IFERROR(_xlfn.XLOOKUP($D369,'Modelling New'!$D:$D,'Modelling New'!$T:$T)*1000,"")</f>
        <v>38219.028541703687</v>
      </c>
      <c r="AE369" s="143">
        <f>IFERROR(_xlfn.XLOOKUP($D369,'Modelling New'!$D:$D,'Modelling New'!O:O),"")</f>
        <v>0.70205720444645292</v>
      </c>
      <c r="AF369" s="145">
        <f>IFERROR(_xlfn.XLOOKUP($D369,'Modelling New'!$D:$D,'Modelling New'!W:W),"")</f>
        <v>0.19853875781657757</v>
      </c>
      <c r="AG369" s="145">
        <f>IFERROR(_xlfn.XLOOKUP($D369,'Modelling New'!$D:$D,'Modelling New'!AE:AE),"")</f>
        <v>0.98040000000000005</v>
      </c>
      <c r="AH369" s="167">
        <f>IFERROR(_xlfn.XLOOKUP($D369,'Modelling New'!$D:$D,'Modelling New'!AF:AF),"")</f>
        <v>0.98</v>
      </c>
      <c r="AN369" s="144"/>
      <c r="AO369" s="141"/>
      <c r="AP369" s="141"/>
      <c r="AQ369" s="141"/>
      <c r="AR369" s="133">
        <f>'Basic Data'!$B$98/1000</f>
        <v>8.0208999999999993</v>
      </c>
    </row>
  </sheetData>
  <sheetProtection algorithmName="SHA-512" hashValue="zHZqPaVCPgUjXmQbeaDXTArw60YB7F7hI+l7WIDx664xvwEljUr+KFPmPTuc5WoGBS/Vlg9GAES5W4xyLvtWTQ==" saltValue="Fh1xxHwHnlja1J1e1ag4fQ==" spinCount="100000" sheet="1" objects="1" scenarios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111"/>
  <sheetViews>
    <sheetView topLeftCell="A3" zoomScaleNormal="100" workbookViewId="0">
      <pane xSplit="7" ySplit="1" topLeftCell="J96" activePane="bottomRight" state="frozen"/>
      <selection activeCell="A3" sqref="A3"/>
      <selection pane="topRight" activeCell="H3" sqref="H3"/>
      <selection pane="bottomLeft" activeCell="A4" sqref="A4"/>
      <selection pane="bottomRight" activeCell="A110" sqref="A110"/>
    </sheetView>
  </sheetViews>
  <sheetFormatPr defaultRowHeight="14.4" x14ac:dyDescent="0.3"/>
  <cols>
    <col min="1" max="1" width="11.109375" style="2" bestFit="1" customWidth="1"/>
    <col min="2" max="2" width="12.5546875" style="2" bestFit="1" customWidth="1"/>
    <col min="3" max="4" width="12.109375" style="2" customWidth="1"/>
    <col min="5" max="6" width="9" style="2" customWidth="1"/>
    <col min="7" max="7" width="12" customWidth="1"/>
    <col min="8" max="8" width="9" style="2" customWidth="1"/>
    <col min="9" max="9" width="9.6640625" customWidth="1"/>
    <col min="10" max="22" width="10.88671875" customWidth="1"/>
    <col min="23" max="25" width="9.88671875" style="2" customWidth="1"/>
    <col min="26" max="26" width="10.109375" style="2" customWidth="1"/>
    <col min="27" max="30" width="9.88671875" style="2" customWidth="1"/>
    <col min="31" max="32" width="10.5546875" style="2" customWidth="1"/>
    <col min="33" max="38" width="9.88671875" style="2" customWidth="1"/>
    <col min="39" max="39" width="16.109375" style="2" customWidth="1"/>
    <col min="40" max="40" width="76" bestFit="1" customWidth="1"/>
  </cols>
  <sheetData>
    <row r="1" spans="1:40" hidden="1" x14ac:dyDescent="0.3"/>
    <row r="2" spans="1:40" hidden="1" x14ac:dyDescent="0.3">
      <c r="H2" s="2">
        <v>2</v>
      </c>
      <c r="I2">
        <f>H2+1</f>
        <v>3</v>
      </c>
      <c r="J2">
        <f t="shared" ref="J2:AL2" si="0">I2+1</f>
        <v>4</v>
      </c>
      <c r="W2">
        <f>J2+1</f>
        <v>5</v>
      </c>
      <c r="X2">
        <f t="shared" si="0"/>
        <v>6</v>
      </c>
      <c r="Y2">
        <f t="shared" si="0"/>
        <v>7</v>
      </c>
      <c r="Z2" t="e">
        <f>#REF!+1</f>
        <v>#REF!</v>
      </c>
      <c r="AA2" t="e">
        <f t="shared" si="0"/>
        <v>#REF!</v>
      </c>
      <c r="AB2" t="e">
        <f t="shared" si="0"/>
        <v>#REF!</v>
      </c>
      <c r="AC2" t="e">
        <f t="shared" si="0"/>
        <v>#REF!</v>
      </c>
      <c r="AD2" t="e">
        <f>#REF!+1</f>
        <v>#REF!</v>
      </c>
      <c r="AE2" t="e">
        <f t="shared" si="0"/>
        <v>#REF!</v>
      </c>
      <c r="AF2" t="e">
        <f t="shared" si="0"/>
        <v>#REF!</v>
      </c>
      <c r="AG2" t="e">
        <f t="shared" si="0"/>
        <v>#REF!</v>
      </c>
      <c r="AH2" t="e">
        <f t="shared" si="0"/>
        <v>#REF!</v>
      </c>
      <c r="AI2" t="e">
        <f t="shared" si="0"/>
        <v>#REF!</v>
      </c>
      <c r="AJ2" t="e">
        <f t="shared" si="0"/>
        <v>#REF!</v>
      </c>
      <c r="AK2" t="e">
        <f t="shared" si="0"/>
        <v>#REF!</v>
      </c>
      <c r="AL2" t="e">
        <f t="shared" si="0"/>
        <v>#REF!</v>
      </c>
      <c r="AM2" t="e">
        <f>#REF!+1</f>
        <v>#REF!</v>
      </c>
    </row>
    <row r="3" spans="1:40" ht="60" x14ac:dyDescent="0.3">
      <c r="A3" s="19" t="s">
        <v>52</v>
      </c>
      <c r="B3" s="20" t="s">
        <v>53</v>
      </c>
      <c r="C3" s="20" t="s">
        <v>54</v>
      </c>
      <c r="D3" s="20" t="s">
        <v>57</v>
      </c>
      <c r="E3" s="20" t="s">
        <v>40</v>
      </c>
      <c r="F3" s="20" t="s">
        <v>55</v>
      </c>
      <c r="G3" s="62" t="s">
        <v>41</v>
      </c>
      <c r="H3" s="62" t="s">
        <v>56</v>
      </c>
      <c r="I3" s="20" t="s">
        <v>42</v>
      </c>
      <c r="J3" s="20" t="s">
        <v>43</v>
      </c>
      <c r="K3" s="20" t="s">
        <v>307</v>
      </c>
      <c r="L3" s="20" t="s">
        <v>308</v>
      </c>
      <c r="M3" s="20" t="s">
        <v>309</v>
      </c>
      <c r="N3" s="20" t="s">
        <v>310</v>
      </c>
      <c r="O3" s="20" t="s">
        <v>311</v>
      </c>
      <c r="P3" s="20" t="s">
        <v>312</v>
      </c>
      <c r="Q3" s="20" t="s">
        <v>313</v>
      </c>
      <c r="R3" s="20" t="s">
        <v>314</v>
      </c>
      <c r="S3" s="20" t="s">
        <v>315</v>
      </c>
      <c r="T3" s="20" t="s">
        <v>316</v>
      </c>
      <c r="U3" s="20" t="s">
        <v>317</v>
      </c>
      <c r="V3" s="20" t="s">
        <v>318</v>
      </c>
      <c r="W3" s="20" t="s">
        <v>180</v>
      </c>
      <c r="X3" s="20" t="s">
        <v>181</v>
      </c>
      <c r="Y3" s="20" t="s">
        <v>182</v>
      </c>
      <c r="Z3" s="20" t="s">
        <v>44</v>
      </c>
      <c r="AA3" s="20" t="s">
        <v>45</v>
      </c>
      <c r="AB3" s="20" t="s">
        <v>46</v>
      </c>
      <c r="AC3" s="20" t="s">
        <v>319</v>
      </c>
      <c r="AD3" s="20" t="s">
        <v>47</v>
      </c>
      <c r="AE3" s="20" t="s">
        <v>48</v>
      </c>
      <c r="AF3" s="20" t="s">
        <v>49</v>
      </c>
      <c r="AG3" s="20" t="s">
        <v>50</v>
      </c>
      <c r="AH3" s="20" t="s">
        <v>51</v>
      </c>
      <c r="AI3" s="20" t="s">
        <v>91</v>
      </c>
      <c r="AJ3" s="20" t="s">
        <v>90</v>
      </c>
      <c r="AK3" s="20" t="s">
        <v>89</v>
      </c>
      <c r="AL3" s="20" t="s">
        <v>88</v>
      </c>
      <c r="AM3" s="166" t="s">
        <v>1183</v>
      </c>
      <c r="AN3" s="20" t="s">
        <v>75</v>
      </c>
    </row>
    <row r="4" spans="1:40" x14ac:dyDescent="0.3">
      <c r="A4" s="60">
        <f>YEAR(Table3[[#This Row],[Date]])+IF(MONTH(Table3[[#This Row],[Date]])&gt;=4,1,0)</f>
        <v>2025</v>
      </c>
      <c r="B4" s="60">
        <f>YEAR(Table3[[#This Row],[Date]])</f>
        <v>2025</v>
      </c>
      <c r="C4" s="60" t="s">
        <v>1082</v>
      </c>
      <c r="D4" s="60" t="s">
        <v>1082</v>
      </c>
      <c r="E4" s="6" t="str">
        <f>TEXT(Table3[[#This Row],[Date]],"mmm-yy")</f>
        <v>Mar-25</v>
      </c>
      <c r="F4" s="60">
        <f>DAY(EOMONTH(Table3[[#This Row],[Month Year]],0))</f>
        <v>31</v>
      </c>
      <c r="G4" s="63">
        <v>45745</v>
      </c>
      <c r="H4" s="18">
        <f>'Modelling New'!$AR$1</f>
        <v>8.0208999999999993</v>
      </c>
      <c r="I4" s="120">
        <v>0.2638888888888889</v>
      </c>
      <c r="J4" s="120">
        <v>0.76736111111111116</v>
      </c>
      <c r="K4" s="3">
        <v>1933.8</v>
      </c>
      <c r="L4" s="3">
        <v>2016.7</v>
      </c>
      <c r="M4" s="3">
        <v>0</v>
      </c>
      <c r="N4" s="3">
        <v>1936</v>
      </c>
      <c r="O4" s="3">
        <v>2747.8</v>
      </c>
      <c r="P4" s="3">
        <v>2648.6</v>
      </c>
      <c r="Q4" s="3">
        <v>2650.9</v>
      </c>
      <c r="R4" s="3">
        <v>0</v>
      </c>
      <c r="S4" s="3">
        <v>2806.3</v>
      </c>
      <c r="T4" s="3">
        <v>2812.7</v>
      </c>
      <c r="U4" s="3">
        <v>2801.6</v>
      </c>
      <c r="V4" s="3">
        <v>2846.6</v>
      </c>
      <c r="W4" s="96">
        <f>SUM(Table3[[#This Row],[Inv1_U1]:[Inv1_U4]])</f>
        <v>5886.5</v>
      </c>
      <c r="X4" s="97">
        <f>SUM(Table3[[#This Row],[Inv2_U1]:[Inv2_U4]])</f>
        <v>8047.2999999999993</v>
      </c>
      <c r="Y4" s="98">
        <f>SUM(Table3[[#This Row],[Inv3_U1]:[Inv3_U4]])</f>
        <v>11267.2</v>
      </c>
      <c r="Z4" s="64">
        <v>87507.7</v>
      </c>
      <c r="AA4" s="64">
        <v>396.05</v>
      </c>
      <c r="AB4" s="60"/>
      <c r="AC4" s="88">
        <v>5.53</v>
      </c>
      <c r="AD4" s="95">
        <v>0</v>
      </c>
      <c r="AE4" s="88">
        <v>45.37</v>
      </c>
      <c r="AF4" s="88">
        <v>0</v>
      </c>
      <c r="AG4" s="88">
        <v>0</v>
      </c>
      <c r="AH4" s="60"/>
      <c r="AI4" s="17">
        <f>SUM(Table3[[#This Row],[Inv1]:[Inv3]])</f>
        <v>25201</v>
      </c>
      <c r="AJ4" s="17" t="e">
        <f>IF((Table3[[#This Row],[33 kV Outgoinng Export Reading]]-#REF!)*1000&gt;0,(Table3[[#This Row],[33 kV Outgoinng Export Reading]]-#REF!)*1000,0)</f>
        <v>#REF!</v>
      </c>
      <c r="AK4" s="17" t="e">
        <f>IF((Table3[[#This Row],[33 kV Outgoinng Import Reading]]-#REF!)*1000&gt;0,(Table3[[#This Row],[33 kV Outgoinng Import Reading]]-#REF!)*1000,0)</f>
        <v>#REF!</v>
      </c>
      <c r="AL4" s="6" t="e">
        <f>Table3[[#This Row],[Export  (kWh)]]-Table3[[#This Row],[Import (kWh)]]</f>
        <v>#REF!</v>
      </c>
      <c r="AM4" s="77">
        <f t="shared" ref="AM4:AM9" si="1">IFERROR((J4-I4)*24,"")</f>
        <v>12.083333333333336</v>
      </c>
    </row>
    <row r="5" spans="1:40" x14ac:dyDescent="0.3">
      <c r="A5" s="60">
        <f>YEAR(Table3[[#This Row],[Date]])+IF(MONTH(Table3[[#This Row],[Date]])&gt;=4,1,0)</f>
        <v>2025</v>
      </c>
      <c r="B5" s="60">
        <f>YEAR(Table3[[#This Row],[Date]])</f>
        <v>2025</v>
      </c>
      <c r="C5" s="60" t="s">
        <v>1082</v>
      </c>
      <c r="D5" s="60" t="s">
        <v>1082</v>
      </c>
      <c r="E5" s="6" t="str">
        <f>TEXT(Table3[[#This Row],[Date]],"mmm-yy")</f>
        <v>Mar-25</v>
      </c>
      <c r="F5" s="60">
        <f>DAY(EOMONTH(Table3[[#This Row],[Month Year]],0))</f>
        <v>31</v>
      </c>
      <c r="G5" s="63">
        <f>G4+1</f>
        <v>45746</v>
      </c>
      <c r="H5" s="18">
        <f>'Modelling New'!$AR$1</f>
        <v>8.0208999999999993</v>
      </c>
      <c r="I5" s="120">
        <v>0.2638888888888889</v>
      </c>
      <c r="J5" s="120">
        <v>0.7680555555555556</v>
      </c>
      <c r="K5" s="3">
        <v>2170.1999999999998</v>
      </c>
      <c r="L5" s="3">
        <v>2173</v>
      </c>
      <c r="M5" s="3">
        <v>0</v>
      </c>
      <c r="N5" s="3">
        <v>2259.9</v>
      </c>
      <c r="O5" s="3">
        <v>2967.5</v>
      </c>
      <c r="P5" s="3">
        <v>2865.8</v>
      </c>
      <c r="Q5" s="3">
        <v>2866.5</v>
      </c>
      <c r="R5" s="3">
        <v>0</v>
      </c>
      <c r="S5" s="3">
        <v>3098.3</v>
      </c>
      <c r="T5" s="3">
        <v>3030.7</v>
      </c>
      <c r="U5" s="3">
        <v>3023.5</v>
      </c>
      <c r="V5" s="3">
        <v>2998.6</v>
      </c>
      <c r="W5" s="96">
        <f>SUM(Table3[[#This Row],[Inv1_U1]:[Inv1_U4]])</f>
        <v>6603.1</v>
      </c>
      <c r="X5" s="97">
        <f>SUM(Table3[[#This Row],[Inv2_U1]:[Inv2_U4]])</f>
        <v>8699.7999999999993</v>
      </c>
      <c r="Y5" s="98">
        <f>SUM(Table3[[#This Row],[Inv3_U1]:[Inv3_U4]])</f>
        <v>12151.1</v>
      </c>
      <c r="Z5" s="64">
        <v>87534.9</v>
      </c>
      <c r="AA5" s="64">
        <v>396.15</v>
      </c>
      <c r="AB5" s="60"/>
      <c r="AC5" s="88">
        <v>5.95</v>
      </c>
      <c r="AD5" s="95">
        <v>0</v>
      </c>
      <c r="AE5" s="88">
        <v>45.2</v>
      </c>
      <c r="AF5" s="88">
        <v>0</v>
      </c>
      <c r="AG5" s="88">
        <v>0</v>
      </c>
      <c r="AH5" s="60"/>
      <c r="AI5" s="17">
        <f>SUM(Table3[[#This Row],[Inv1]:[Inv3]])</f>
        <v>27454</v>
      </c>
      <c r="AJ5" s="17">
        <f>IF((Table3[[#This Row],[33 kV Outgoinng Export Reading]]-Z4)*1000&gt;0,(Table3[[#This Row],[33 kV Outgoinng Export Reading]]-Z4)*1000,0)</f>
        <v>27199.99999999709</v>
      </c>
      <c r="AK5" s="17">
        <f>IF((Table3[[#This Row],[33 kV Outgoinng Import Reading]]-AA4)*1000&gt;0,(Table3[[#This Row],[33 kV Outgoinng Import Reading]]-AA4)*1000,0)</f>
        <v>99.999999999965894</v>
      </c>
      <c r="AL5" s="6">
        <f>Table3[[#This Row],[Export  (kWh)]]-Table3[[#This Row],[Import (kWh)]]</f>
        <v>27099.999999997122</v>
      </c>
      <c r="AM5" s="77">
        <f t="shared" si="1"/>
        <v>12.1</v>
      </c>
    </row>
    <row r="6" spans="1:40" x14ac:dyDescent="0.3">
      <c r="A6" s="60">
        <f>YEAR(Table3[[#This Row],[Date]])+IF(MONTH(Table3[[#This Row],[Date]])&gt;=4,1,0)</f>
        <v>2025</v>
      </c>
      <c r="B6" s="60">
        <f>YEAR(Table3[[#This Row],[Date]])</f>
        <v>2025</v>
      </c>
      <c r="C6" s="60" t="s">
        <v>1082</v>
      </c>
      <c r="D6" s="60" t="s">
        <v>1082</v>
      </c>
      <c r="E6" s="6" t="str">
        <f>TEXT(Table3[[#This Row],[Date]],"mmm-yy")</f>
        <v>Mar-25</v>
      </c>
      <c r="F6" s="60">
        <f>DAY(EOMONTH(Table3[[#This Row],[Month Year]],0))</f>
        <v>31</v>
      </c>
      <c r="G6" s="63">
        <f t="shared" ref="G6:G68" si="2">G5+1</f>
        <v>45747</v>
      </c>
      <c r="H6" s="18">
        <f>'Modelling New'!$AR$1</f>
        <v>8.0208999999999993</v>
      </c>
      <c r="I6" s="120">
        <v>0.2638888888888889</v>
      </c>
      <c r="J6" s="120">
        <v>0.77013888888888893</v>
      </c>
      <c r="K6" s="3">
        <v>2297</v>
      </c>
      <c r="L6" s="3">
        <v>2214</v>
      </c>
      <c r="M6" s="3">
        <v>0</v>
      </c>
      <c r="N6" s="3">
        <v>2215</v>
      </c>
      <c r="O6" s="3">
        <v>2897</v>
      </c>
      <c r="P6" s="3">
        <v>2877.3</v>
      </c>
      <c r="Q6" s="3">
        <v>2966.3</v>
      </c>
      <c r="R6" s="3">
        <v>0</v>
      </c>
      <c r="S6" s="3">
        <v>3044.5</v>
      </c>
      <c r="T6" s="3">
        <v>3047.9</v>
      </c>
      <c r="U6" s="3">
        <v>3105.3</v>
      </c>
      <c r="V6" s="3">
        <v>3011.9</v>
      </c>
      <c r="W6" s="96">
        <f>SUM(Table3[[#This Row],[Inv1_U1]:[Inv1_U4]])</f>
        <v>6726</v>
      </c>
      <c r="X6" s="97">
        <f>SUM(Table3[[#This Row],[Inv2_U1]:[Inv2_U4]])</f>
        <v>8740.6</v>
      </c>
      <c r="Y6" s="98">
        <f>SUM(Table3[[#This Row],[Inv3_U1]:[Inv3_U4]])</f>
        <v>12209.6</v>
      </c>
      <c r="Z6" s="64">
        <v>87562.3</v>
      </c>
      <c r="AA6" s="64">
        <v>396.25</v>
      </c>
      <c r="AB6" s="60"/>
      <c r="AC6" s="88">
        <v>5.99</v>
      </c>
      <c r="AD6" s="95">
        <v>0</v>
      </c>
      <c r="AE6" s="88">
        <v>44.04</v>
      </c>
      <c r="AF6" s="88">
        <v>0</v>
      </c>
      <c r="AG6" s="88">
        <v>0</v>
      </c>
      <c r="AH6" s="60"/>
      <c r="AI6" s="17">
        <f>SUM(Table3[[#This Row],[Inv1]:[Inv3]])</f>
        <v>27676.2</v>
      </c>
      <c r="AJ6" s="17">
        <f>IF((Table3[[#This Row],[33 kV Outgoinng Export Reading]]-Z5)*1000&gt;0,(Table3[[#This Row],[33 kV Outgoinng Export Reading]]-Z5)*1000,0)</f>
        <v>27400.000000008731</v>
      </c>
      <c r="AK6" s="17">
        <f>IF((Table3[[#This Row],[33 kV Outgoinng Import Reading]]-AA5)*1000&gt;0,(Table3[[#This Row],[33 kV Outgoinng Import Reading]]-AA5)*1000,0)</f>
        <v>100.00000000002274</v>
      </c>
      <c r="AL6" s="6">
        <f>Table3[[#This Row],[Export  (kWh)]]-Table3[[#This Row],[Import (kWh)]]</f>
        <v>27300.000000008709</v>
      </c>
      <c r="AM6" s="77">
        <f t="shared" si="1"/>
        <v>12.150000000000002</v>
      </c>
    </row>
    <row r="7" spans="1:40" x14ac:dyDescent="0.3">
      <c r="A7" s="60">
        <f>YEAR(Table3[[#This Row],[Date]])+IF(MONTH(Table3[[#This Row],[Date]])&gt;=4,1,0)</f>
        <v>2026</v>
      </c>
      <c r="B7" s="60">
        <f>YEAR(Table3[[#This Row],[Date]])</f>
        <v>2025</v>
      </c>
      <c r="C7" s="60" t="s">
        <v>1082</v>
      </c>
      <c r="D7" s="60" t="s">
        <v>1082</v>
      </c>
      <c r="E7" s="6" t="str">
        <f>TEXT(Table3[[#This Row],[Date]],"mmm-yy")</f>
        <v>Apr-25</v>
      </c>
      <c r="F7" s="60">
        <f>DAY(EOMONTH(Table3[[#This Row],[Month Year]],0))</f>
        <v>30</v>
      </c>
      <c r="G7" s="63">
        <f t="shared" si="2"/>
        <v>45748</v>
      </c>
      <c r="H7" s="18">
        <f>'Modelling New'!$AR$1</f>
        <v>8.0208999999999993</v>
      </c>
      <c r="I7" s="120">
        <v>0.2638888888888889</v>
      </c>
      <c r="J7" s="120">
        <v>0.76597222222222228</v>
      </c>
      <c r="K7" s="3">
        <v>2241.5</v>
      </c>
      <c r="L7" s="3">
        <v>2332.1</v>
      </c>
      <c r="M7" s="3">
        <v>0</v>
      </c>
      <c r="N7" s="3">
        <v>2244.3000000000002</v>
      </c>
      <c r="O7" s="3">
        <v>3001.1</v>
      </c>
      <c r="P7" s="3">
        <v>2891.7</v>
      </c>
      <c r="Q7" s="3">
        <v>2895.1</v>
      </c>
      <c r="R7" s="3">
        <v>0</v>
      </c>
      <c r="S7" s="3">
        <v>3062.7</v>
      </c>
      <c r="T7" s="3">
        <v>3066.2</v>
      </c>
      <c r="U7" s="3">
        <v>3053.9</v>
      </c>
      <c r="V7" s="3">
        <v>3094</v>
      </c>
      <c r="W7" s="96">
        <f>SUM(Table3[[#This Row],[Inv1_U1]:[Inv1_U4]])</f>
        <v>6817.9000000000005</v>
      </c>
      <c r="X7" s="97">
        <f>SUM(Table3[[#This Row],[Inv2_U1]:[Inv2_U4]])</f>
        <v>8787.9</v>
      </c>
      <c r="Y7" s="98">
        <f>SUM(Table3[[#This Row],[Inv3_U1]:[Inv3_U4]])</f>
        <v>12276.8</v>
      </c>
      <c r="Z7" s="64">
        <v>87589.95</v>
      </c>
      <c r="AA7" s="64">
        <v>396.35</v>
      </c>
      <c r="AB7" s="60"/>
      <c r="AC7" s="88">
        <v>6.04</v>
      </c>
      <c r="AD7" s="95">
        <v>0</v>
      </c>
      <c r="AE7" s="88">
        <v>45.06</v>
      </c>
      <c r="AF7" s="88">
        <v>0</v>
      </c>
      <c r="AG7" s="88">
        <v>0</v>
      </c>
      <c r="AH7" s="60"/>
      <c r="AI7" s="17">
        <f>SUM(Table3[[#This Row],[Inv1]:[Inv3]])</f>
        <v>27882.6</v>
      </c>
      <c r="AJ7" s="17">
        <f>IF((Table3[[#This Row],[33 kV Outgoinng Export Reading]]-Z6)*1000&gt;0,(Table3[[#This Row],[33 kV Outgoinng Export Reading]]-Z6)*1000,0)</f>
        <v>27649.999999994179</v>
      </c>
      <c r="AK7" s="17">
        <f>IF((Table3[[#This Row],[33 kV Outgoinng Import Reading]]-AA6)*1000&gt;0,(Table3[[#This Row],[33 kV Outgoinng Import Reading]]-AA6)*1000,0)</f>
        <v>100.00000000002274</v>
      </c>
      <c r="AL7" s="6">
        <f>Table3[[#This Row],[Export  (kWh)]]-Table3[[#This Row],[Import (kWh)]]</f>
        <v>27549.999999994157</v>
      </c>
      <c r="AM7" s="77">
        <f t="shared" si="1"/>
        <v>12.050000000000002</v>
      </c>
    </row>
    <row r="8" spans="1:40" x14ac:dyDescent="0.3">
      <c r="A8" s="60">
        <f>YEAR(Table3[[#This Row],[Date]])+IF(MONTH(Table3[[#This Row],[Date]])&gt;=4,1,0)</f>
        <v>2026</v>
      </c>
      <c r="B8" s="60">
        <f>YEAR(Table3[[#This Row],[Date]])</f>
        <v>2025</v>
      </c>
      <c r="C8" s="60" t="s">
        <v>1082</v>
      </c>
      <c r="D8" s="60" t="s">
        <v>1082</v>
      </c>
      <c r="E8" s="6" t="str">
        <f>TEXT(Table3[[#This Row],[Date]],"mmm-yy")</f>
        <v>Apr-25</v>
      </c>
      <c r="F8" s="60">
        <f>DAY(EOMONTH(Table3[[#This Row],[Month Year]],0))</f>
        <v>30</v>
      </c>
      <c r="G8" s="63">
        <f t="shared" si="2"/>
        <v>45749</v>
      </c>
      <c r="H8" s="18">
        <f>'Modelling New'!$AR$1</f>
        <v>8.0208999999999993</v>
      </c>
      <c r="I8" s="120">
        <v>0.26319444444444445</v>
      </c>
      <c r="J8" s="120">
        <v>0.7729166666666667</v>
      </c>
      <c r="K8" s="3">
        <v>1871.4</v>
      </c>
      <c r="L8" s="3">
        <v>1873.4</v>
      </c>
      <c r="M8" s="3">
        <v>0</v>
      </c>
      <c r="N8" s="3">
        <v>1962.2</v>
      </c>
      <c r="O8" s="3">
        <v>3313.2</v>
      </c>
      <c r="P8" s="3">
        <v>3198.2</v>
      </c>
      <c r="Q8" s="3">
        <v>3202.5</v>
      </c>
      <c r="R8" s="3">
        <v>0</v>
      </c>
      <c r="S8" s="3">
        <v>3474.5</v>
      </c>
      <c r="T8" s="3">
        <v>3406.2</v>
      </c>
      <c r="U8" s="3">
        <v>3392.8</v>
      </c>
      <c r="V8" s="3">
        <v>3366.5</v>
      </c>
      <c r="W8" s="96">
        <f>SUM(Table3[[#This Row],[Inv1_U1]:[Inv1_U4]])</f>
        <v>5707</v>
      </c>
      <c r="X8" s="97">
        <f>SUM(Table3[[#This Row],[Inv2_U1]:[Inv2_U4]])</f>
        <v>9713.9</v>
      </c>
      <c r="Y8" s="98">
        <f>SUM(Table3[[#This Row],[Inv3_U1]:[Inv3_U4]])</f>
        <v>13640</v>
      </c>
      <c r="Z8" s="64">
        <v>87618.75</v>
      </c>
      <c r="AA8" s="64">
        <v>396.45</v>
      </c>
      <c r="AB8" s="60"/>
      <c r="AC8" s="88">
        <v>6.71</v>
      </c>
      <c r="AD8" s="95">
        <v>0</v>
      </c>
      <c r="AE8" s="88">
        <v>44.65</v>
      </c>
      <c r="AF8" s="88">
        <v>0</v>
      </c>
      <c r="AG8" s="88">
        <v>0</v>
      </c>
      <c r="AH8" s="60"/>
      <c r="AI8" s="17">
        <f>SUM(Table3[[#This Row],[Inv1]:[Inv3]])</f>
        <v>29060.9</v>
      </c>
      <c r="AJ8" s="17">
        <f>IF((Table3[[#This Row],[33 kV Outgoinng Export Reading]]-Z7)*1000&gt;0,(Table3[[#This Row],[33 kV Outgoinng Export Reading]]-Z7)*1000,0)</f>
        <v>28800.00000000291</v>
      </c>
      <c r="AK8" s="17">
        <f>IF((Table3[[#This Row],[33 kV Outgoinng Import Reading]]-AA7)*1000&gt;0,(Table3[[#This Row],[33 kV Outgoinng Import Reading]]-AA7)*1000,0)</f>
        <v>99.999999999965894</v>
      </c>
      <c r="AL8" s="6">
        <f>Table3[[#This Row],[Export  (kWh)]]-Table3[[#This Row],[Import (kWh)]]</f>
        <v>28700.000000002943</v>
      </c>
      <c r="AM8" s="77">
        <f t="shared" si="1"/>
        <v>12.233333333333333</v>
      </c>
    </row>
    <row r="9" spans="1:40" x14ac:dyDescent="0.3">
      <c r="A9" s="60">
        <f>YEAR(Table3[[#This Row],[Date]])+IF(MONTH(Table3[[#This Row],[Date]])&gt;=4,1,0)</f>
        <v>2026</v>
      </c>
      <c r="B9" s="60">
        <f>YEAR(Table3[[#This Row],[Date]])</f>
        <v>2025</v>
      </c>
      <c r="C9" s="60" t="s">
        <v>1082</v>
      </c>
      <c r="D9" s="60" t="s">
        <v>1082</v>
      </c>
      <c r="E9" s="6" t="str">
        <f>TEXT(Table3[[#This Row],[Date]],"mmm-yy")</f>
        <v>Apr-25</v>
      </c>
      <c r="F9" s="60">
        <f>DAY(EOMONTH(Table3[[#This Row],[Month Year]],0))</f>
        <v>30</v>
      </c>
      <c r="G9" s="63">
        <f t="shared" si="2"/>
        <v>45750</v>
      </c>
      <c r="H9" s="18">
        <f>'Modelling New'!$AR$1</f>
        <v>8.0208999999999993</v>
      </c>
      <c r="I9" s="120">
        <v>0.26319444444444445</v>
      </c>
      <c r="J9" s="120">
        <v>0.74027777777777781</v>
      </c>
      <c r="K9" s="3">
        <v>1305.5999999999999</v>
      </c>
      <c r="L9" s="3">
        <v>1299.4000000000001</v>
      </c>
      <c r="M9" s="3">
        <v>0</v>
      </c>
      <c r="N9" s="3">
        <v>1230.0999999999999</v>
      </c>
      <c r="O9" s="3">
        <v>1525.9</v>
      </c>
      <c r="P9" s="3">
        <v>1646.2</v>
      </c>
      <c r="Q9" s="3">
        <v>1517.1</v>
      </c>
      <c r="R9" s="3">
        <v>0</v>
      </c>
      <c r="S9" s="3">
        <v>1600</v>
      </c>
      <c r="T9" s="3">
        <v>1793</v>
      </c>
      <c r="U9" s="3">
        <v>1598.9</v>
      </c>
      <c r="V9" s="3">
        <v>1587.1</v>
      </c>
      <c r="W9" s="96">
        <f>SUM(Table3[[#This Row],[Inv1_U1]:[Inv1_U4]])</f>
        <v>3835.1</v>
      </c>
      <c r="X9" s="97">
        <f>SUM(Table3[[#This Row],[Inv2_U1]:[Inv2_U4]])</f>
        <v>4689.2000000000007</v>
      </c>
      <c r="Y9" s="98">
        <f>SUM(Table3[[#This Row],[Inv3_U1]:[Inv3_U4]])</f>
        <v>6579</v>
      </c>
      <c r="Z9" s="64">
        <v>87633.7</v>
      </c>
      <c r="AA9" s="64">
        <v>396.55</v>
      </c>
      <c r="AB9" s="60"/>
      <c r="AC9" s="88">
        <v>3.79</v>
      </c>
      <c r="AD9" s="95">
        <v>0</v>
      </c>
      <c r="AE9" s="88">
        <v>36.42</v>
      </c>
      <c r="AF9" s="88">
        <v>0</v>
      </c>
      <c r="AG9" s="88">
        <v>0</v>
      </c>
      <c r="AH9" s="60"/>
      <c r="AI9" s="17">
        <f>SUM(Table3[[#This Row],[Inv1]:[Inv3]])</f>
        <v>15103.300000000001</v>
      </c>
      <c r="AJ9" s="17">
        <f>IF((Table3[[#This Row],[33 kV Outgoinng Export Reading]]-Z8)*1000&gt;0,(Table3[[#This Row],[33 kV Outgoinng Export Reading]]-Z8)*1000,0)</f>
        <v>14949.99999999709</v>
      </c>
      <c r="AK9" s="17">
        <f>IF((Table3[[#This Row],[33 kV Outgoinng Import Reading]]-AA8)*1000&gt;0,(Table3[[#This Row],[33 kV Outgoinng Import Reading]]-AA8)*1000,0)</f>
        <v>100.00000000002274</v>
      </c>
      <c r="AL9" s="6">
        <f>Table3[[#This Row],[Export  (kWh)]]-Table3[[#This Row],[Import (kWh)]]</f>
        <v>14849.999999997068</v>
      </c>
      <c r="AM9" s="77">
        <f t="shared" si="1"/>
        <v>11.450000000000001</v>
      </c>
    </row>
    <row r="10" spans="1:40" x14ac:dyDescent="0.3">
      <c r="A10" s="60">
        <f>YEAR(Table3[[#This Row],[Date]])+IF(MONTH(Table3[[#This Row],[Date]])&gt;=4,1,0)</f>
        <v>2026</v>
      </c>
      <c r="B10" s="60">
        <f>YEAR(Table3[[#This Row],[Date]])</f>
        <v>2025</v>
      </c>
      <c r="C10" s="60" t="s">
        <v>1082</v>
      </c>
      <c r="D10" s="60" t="s">
        <v>1082</v>
      </c>
      <c r="E10" s="6" t="str">
        <f>TEXT(Table3[[#This Row],[Date]],"mmm-yy")</f>
        <v>Apr-25</v>
      </c>
      <c r="F10" s="60">
        <f>DAY(EOMONTH(Table3[[#This Row],[Month Year]],0))</f>
        <v>30</v>
      </c>
      <c r="G10" s="63">
        <f t="shared" si="2"/>
        <v>45751</v>
      </c>
      <c r="H10" s="18">
        <f>'Modelling New'!$AR$1</f>
        <v>8.0208999999999993</v>
      </c>
      <c r="I10" s="120">
        <v>0.25624999999999998</v>
      </c>
      <c r="J10" s="120">
        <v>0.77083333333333337</v>
      </c>
      <c r="K10" s="3">
        <v>1897</v>
      </c>
      <c r="L10" s="3">
        <v>1939.6</v>
      </c>
      <c r="M10" s="3">
        <v>0</v>
      </c>
      <c r="N10" s="3">
        <v>1919</v>
      </c>
      <c r="O10" s="3">
        <v>4131</v>
      </c>
      <c r="P10" s="3">
        <v>4185.2</v>
      </c>
      <c r="Q10" s="3">
        <v>4108</v>
      </c>
      <c r="R10" s="3">
        <v>0</v>
      </c>
      <c r="S10" s="3">
        <v>3620.8</v>
      </c>
      <c r="T10" s="3">
        <v>3534.5</v>
      </c>
      <c r="U10" s="3">
        <v>3520.7</v>
      </c>
      <c r="V10" s="3">
        <v>3494.1</v>
      </c>
      <c r="W10" s="96">
        <f>SUM(Table3[[#This Row],[Inv1_U1]:[Inv1_U4]])</f>
        <v>5755.6</v>
      </c>
      <c r="X10" s="97">
        <f>SUM(Table3[[#This Row],[Inv2_U1]:[Inv2_U4]])</f>
        <v>12424.2</v>
      </c>
      <c r="Y10" s="98">
        <f>SUM(Table3[[#This Row],[Inv3_U1]:[Inv3_U4]])</f>
        <v>14170.1</v>
      </c>
      <c r="Z10" s="64">
        <v>87665.75</v>
      </c>
      <c r="AA10" s="64">
        <v>396.65</v>
      </c>
      <c r="AB10" s="60"/>
      <c r="AC10" s="88">
        <v>6.83</v>
      </c>
      <c r="AD10" s="95">
        <v>0</v>
      </c>
      <c r="AE10" s="88">
        <v>44.06</v>
      </c>
      <c r="AF10" s="88">
        <v>0</v>
      </c>
      <c r="AG10" s="88">
        <v>0</v>
      </c>
      <c r="AH10" s="60"/>
      <c r="AI10" s="17">
        <f>SUM(Table3[[#This Row],[Inv1]:[Inv3]])</f>
        <v>32349.9</v>
      </c>
      <c r="AJ10" s="17">
        <f>IF((Table3[[#This Row],[33 kV Outgoinng Export Reading]]-Z9)*1000&gt;0,(Table3[[#This Row],[33 kV Outgoinng Export Reading]]-Z9)*1000,0)</f>
        <v>32050.00000000291</v>
      </c>
      <c r="AK10" s="17">
        <f>IF((Table3[[#This Row],[33 kV Outgoinng Import Reading]]-AA9)*1000&gt;0,(Table3[[#This Row],[33 kV Outgoinng Import Reading]]-AA9)*1000,0)</f>
        <v>99.999999999965894</v>
      </c>
      <c r="AL10" s="6">
        <f>Table3[[#This Row],[Export  (kWh)]]-Table3[[#This Row],[Import (kWh)]]</f>
        <v>31950.000000002943</v>
      </c>
      <c r="AM10" s="77">
        <f t="shared" ref="AM10:AM55" si="3">IFERROR((J10-I10)*24,"")</f>
        <v>12.350000000000001</v>
      </c>
    </row>
    <row r="11" spans="1:40" x14ac:dyDescent="0.3">
      <c r="A11" s="60">
        <f>YEAR(Table3[[#This Row],[Date]])+IF(MONTH(Table3[[#This Row],[Date]])&gt;=4,1,0)</f>
        <v>2026</v>
      </c>
      <c r="B11" s="60">
        <f>YEAR(Table3[[#This Row],[Date]])</f>
        <v>2025</v>
      </c>
      <c r="C11" s="60" t="s">
        <v>1082</v>
      </c>
      <c r="D11" s="60" t="s">
        <v>1082</v>
      </c>
      <c r="E11" s="6" t="str">
        <f>TEXT(Table3[[#This Row],[Date]],"mmm-yy")</f>
        <v>Apr-25</v>
      </c>
      <c r="F11" s="60">
        <f>DAY(EOMONTH(Table3[[#This Row],[Month Year]],0))</f>
        <v>30</v>
      </c>
      <c r="G11" s="63">
        <f t="shared" si="2"/>
        <v>45752</v>
      </c>
      <c r="H11" s="18">
        <f>'Modelling New'!$AR$1</f>
        <v>8.0208999999999993</v>
      </c>
      <c r="I11" s="120">
        <v>0.25833333333333336</v>
      </c>
      <c r="J11" s="120">
        <v>0.76875000000000004</v>
      </c>
      <c r="K11" s="3">
        <v>1634.8</v>
      </c>
      <c r="L11" s="3">
        <v>1638.1</v>
      </c>
      <c r="M11" s="3">
        <v>0</v>
      </c>
      <c r="N11" s="3">
        <v>1708.3</v>
      </c>
      <c r="O11" s="3">
        <v>4161</v>
      </c>
      <c r="P11" s="3">
        <v>4130.8</v>
      </c>
      <c r="Q11" s="3">
        <v>4204.3</v>
      </c>
      <c r="R11" s="3">
        <v>0</v>
      </c>
      <c r="S11" s="3">
        <v>3583.4</v>
      </c>
      <c r="T11" s="3">
        <v>3647.3</v>
      </c>
      <c r="U11" s="3">
        <v>3569.8</v>
      </c>
      <c r="V11" s="3">
        <v>3541.2</v>
      </c>
      <c r="W11" s="96">
        <f>SUM(Table3[[#This Row],[Inv1_U1]:[Inv1_U4]])</f>
        <v>4981.2</v>
      </c>
      <c r="X11" s="97">
        <f>SUM(Table3[[#This Row],[Inv2_U1]:[Inv2_U4]])</f>
        <v>12496.099999999999</v>
      </c>
      <c r="Y11" s="98">
        <f>SUM(Table3[[#This Row],[Inv3_U1]:[Inv3_U4]])</f>
        <v>14341.7</v>
      </c>
      <c r="Z11" s="64">
        <v>87697.35</v>
      </c>
      <c r="AA11" s="64">
        <v>396.75</v>
      </c>
      <c r="AB11" s="60"/>
      <c r="AC11" s="88">
        <v>6.96</v>
      </c>
      <c r="AD11" s="95">
        <v>0</v>
      </c>
      <c r="AE11" s="88">
        <v>46.18</v>
      </c>
      <c r="AF11" s="88">
        <v>0</v>
      </c>
      <c r="AG11" s="88">
        <v>0</v>
      </c>
      <c r="AH11" s="60"/>
      <c r="AI11" s="17">
        <f>SUM(Table3[[#This Row],[Inv1]:[Inv3]])</f>
        <v>31819</v>
      </c>
      <c r="AJ11" s="17">
        <f>IF((Table3[[#This Row],[33 kV Outgoinng Export Reading]]-Z10)*1000&gt;0,(Table3[[#This Row],[33 kV Outgoinng Export Reading]]-Z10)*1000,0)</f>
        <v>31600.000000005821</v>
      </c>
      <c r="AK11" s="17">
        <f>IF((Table3[[#This Row],[33 kV Outgoinng Import Reading]]-AA10)*1000&gt;0,(Table3[[#This Row],[33 kV Outgoinng Import Reading]]-AA10)*1000,0)</f>
        <v>100.00000000002274</v>
      </c>
      <c r="AL11" s="6">
        <f>Table3[[#This Row],[Export  (kWh)]]-Table3[[#This Row],[Import (kWh)]]</f>
        <v>31500.000000005799</v>
      </c>
      <c r="AM11" s="77">
        <f t="shared" si="3"/>
        <v>12.250000000000002</v>
      </c>
    </row>
    <row r="12" spans="1:40" x14ac:dyDescent="0.3">
      <c r="A12" s="60">
        <f>YEAR(Table3[[#This Row],[Date]])+IF(MONTH(Table3[[#This Row],[Date]])&gt;=4,1,0)</f>
        <v>2026</v>
      </c>
      <c r="B12" s="60">
        <f>YEAR(Table3[[#This Row],[Date]])</f>
        <v>2025</v>
      </c>
      <c r="C12" s="60" t="s">
        <v>1082</v>
      </c>
      <c r="D12" s="60" t="s">
        <v>1082</v>
      </c>
      <c r="E12" s="6" t="str">
        <f>TEXT(Table3[[#This Row],[Date]],"mmm-yy")</f>
        <v>Apr-25</v>
      </c>
      <c r="F12" s="60">
        <f>DAY(EOMONTH(Table3[[#This Row],[Month Year]],0))</f>
        <v>30</v>
      </c>
      <c r="G12" s="63">
        <f t="shared" si="2"/>
        <v>45753</v>
      </c>
      <c r="H12" s="18">
        <f>'Modelling New'!$AR$1</f>
        <v>8.0208999999999993</v>
      </c>
      <c r="I12" s="120">
        <v>0.26111111111111113</v>
      </c>
      <c r="J12" s="120">
        <v>0.76944444444444449</v>
      </c>
      <c r="K12" s="3">
        <v>2178.1999999999998</v>
      </c>
      <c r="L12" s="3">
        <v>2181.8000000000002</v>
      </c>
      <c r="M12" s="3">
        <v>0</v>
      </c>
      <c r="N12" s="3">
        <v>2243</v>
      </c>
      <c r="O12" s="3">
        <v>4543.8</v>
      </c>
      <c r="P12" s="3">
        <v>4462.8999999999996</v>
      </c>
      <c r="Q12" s="3">
        <v>4472</v>
      </c>
      <c r="R12" s="3">
        <v>0</v>
      </c>
      <c r="S12" s="3">
        <v>3545</v>
      </c>
      <c r="T12" s="3">
        <v>3550</v>
      </c>
      <c r="U12" s="3">
        <v>3581.7</v>
      </c>
      <c r="V12" s="3">
        <v>3506.5</v>
      </c>
      <c r="W12" s="96">
        <f>SUM(Table3[[#This Row],[Inv1_U1]:[Inv1_U4]])</f>
        <v>6603</v>
      </c>
      <c r="X12" s="97">
        <f>SUM(Table3[[#This Row],[Inv2_U1]:[Inv2_U4]])</f>
        <v>13478.7</v>
      </c>
      <c r="Y12" s="98">
        <f>SUM(Table3[[#This Row],[Inv3_U1]:[Inv3_U4]])</f>
        <v>14183.2</v>
      </c>
      <c r="Z12" s="64">
        <v>87731.35</v>
      </c>
      <c r="AA12" s="64">
        <v>396.85</v>
      </c>
      <c r="AB12" s="60"/>
      <c r="AC12" s="88">
        <v>6.77</v>
      </c>
      <c r="AD12" s="95">
        <v>0</v>
      </c>
      <c r="AE12" s="88">
        <v>45.22</v>
      </c>
      <c r="AF12" s="88">
        <v>0</v>
      </c>
      <c r="AG12" s="88">
        <v>0</v>
      </c>
      <c r="AH12" s="60"/>
      <c r="AI12" s="17">
        <f>SUM(Table3[[#This Row],[Inv1]:[Inv3]])</f>
        <v>34264.9</v>
      </c>
      <c r="AJ12" s="17">
        <f>IF((Table3[[#This Row],[33 kV Outgoinng Export Reading]]-Z11)*1000&gt;0,(Table3[[#This Row],[33 kV Outgoinng Export Reading]]-Z11)*1000,0)</f>
        <v>34000</v>
      </c>
      <c r="AK12" s="17">
        <f>IF((Table3[[#This Row],[33 kV Outgoinng Import Reading]]-AA11)*1000&gt;0,(Table3[[#This Row],[33 kV Outgoinng Import Reading]]-AA11)*1000,0)</f>
        <v>100.00000000002274</v>
      </c>
      <c r="AL12" s="6">
        <f>Table3[[#This Row],[Export  (kWh)]]-Table3[[#This Row],[Import (kWh)]]</f>
        <v>33899.999999999978</v>
      </c>
      <c r="AM12" s="77">
        <f t="shared" si="3"/>
        <v>12.2</v>
      </c>
    </row>
    <row r="13" spans="1:40" x14ac:dyDescent="0.3">
      <c r="A13" s="60">
        <f>YEAR(Table3[[#This Row],[Date]])+IF(MONTH(Table3[[#This Row],[Date]])&gt;=4,1,0)</f>
        <v>2026</v>
      </c>
      <c r="B13" s="60">
        <f>YEAR(Table3[[#This Row],[Date]])</f>
        <v>2025</v>
      </c>
      <c r="C13" s="60" t="s">
        <v>1082</v>
      </c>
      <c r="D13" s="60" t="s">
        <v>1082</v>
      </c>
      <c r="E13" s="6" t="str">
        <f>TEXT(Table3[[#This Row],[Date]],"mmm-yy")</f>
        <v>Apr-25</v>
      </c>
      <c r="F13" s="60">
        <f>DAY(EOMONTH(Table3[[#This Row],[Month Year]],0))</f>
        <v>30</v>
      </c>
      <c r="G13" s="63">
        <f t="shared" si="2"/>
        <v>45754</v>
      </c>
      <c r="H13" s="18">
        <f>'Modelling New'!$AR$1</f>
        <v>8.0208999999999993</v>
      </c>
      <c r="I13" s="120">
        <v>0.25833333333333336</v>
      </c>
      <c r="J13" s="120">
        <v>0.76875000000000004</v>
      </c>
      <c r="K13" s="3">
        <v>3305</v>
      </c>
      <c r="L13" s="3">
        <v>3239.4</v>
      </c>
      <c r="M13" s="3">
        <v>0</v>
      </c>
      <c r="N13" s="3">
        <v>3239.2</v>
      </c>
      <c r="O13" s="3">
        <v>4057.7</v>
      </c>
      <c r="P13" s="3">
        <v>3964.9</v>
      </c>
      <c r="Q13" s="3">
        <v>3971</v>
      </c>
      <c r="R13" s="3">
        <v>0</v>
      </c>
      <c r="S13" s="3">
        <v>3450.2</v>
      </c>
      <c r="T13" s="3">
        <v>3452.7</v>
      </c>
      <c r="U13" s="3">
        <v>3437.5</v>
      </c>
      <c r="V13" s="3">
        <v>3467.4</v>
      </c>
      <c r="W13" s="96">
        <f>SUM(Table3[[#This Row],[Inv1_U1]:[Inv1_U4]])</f>
        <v>9783.5999999999985</v>
      </c>
      <c r="X13" s="97">
        <f>SUM(Table3[[#This Row],[Inv2_U1]:[Inv2_U4]])</f>
        <v>11993.6</v>
      </c>
      <c r="Y13" s="98">
        <f>SUM(Table3[[#This Row],[Inv3_U1]:[Inv3_U4]])</f>
        <v>13807.8</v>
      </c>
      <c r="Z13" s="64">
        <v>87766.65</v>
      </c>
      <c r="AA13" s="64">
        <v>396.95</v>
      </c>
      <c r="AB13" s="60"/>
      <c r="AC13" s="88">
        <v>5.97</v>
      </c>
      <c r="AD13" s="95">
        <v>0</v>
      </c>
      <c r="AE13" s="88">
        <v>45.66</v>
      </c>
      <c r="AF13" s="88">
        <v>0</v>
      </c>
      <c r="AG13" s="88">
        <v>0</v>
      </c>
      <c r="AH13" s="60"/>
      <c r="AI13" s="17">
        <f>SUM(Table3[[#This Row],[Inv1]:[Inv3]])</f>
        <v>35585</v>
      </c>
      <c r="AJ13" s="17">
        <f>IF((Table3[[#This Row],[33 kV Outgoinng Export Reading]]-Z12)*1000&gt;0,(Table3[[#This Row],[33 kV Outgoinng Export Reading]]-Z12)*1000,0)</f>
        <v>35299.999999988358</v>
      </c>
      <c r="AK13" s="17">
        <f>IF((Table3[[#This Row],[33 kV Outgoinng Import Reading]]-AA12)*1000&gt;0,(Table3[[#This Row],[33 kV Outgoinng Import Reading]]-AA12)*1000,0)</f>
        <v>99.999999999965894</v>
      </c>
      <c r="AL13" s="6">
        <f>Table3[[#This Row],[Export  (kWh)]]-Table3[[#This Row],[Import (kWh)]]</f>
        <v>35199.999999988395</v>
      </c>
      <c r="AM13" s="77">
        <f t="shared" si="3"/>
        <v>12.250000000000002</v>
      </c>
    </row>
    <row r="14" spans="1:40" x14ac:dyDescent="0.3">
      <c r="A14" s="60">
        <f>YEAR(Table3[[#This Row],[Date]])+IF(MONTH(Table3[[#This Row],[Date]])&gt;=4,1,0)</f>
        <v>2026</v>
      </c>
      <c r="B14" s="60">
        <f>YEAR(Table3[[#This Row],[Date]])</f>
        <v>2025</v>
      </c>
      <c r="C14" s="60" t="s">
        <v>1082</v>
      </c>
      <c r="D14" s="60" t="s">
        <v>1082</v>
      </c>
      <c r="E14" s="6" t="str">
        <f>TEXT(Table3[[#This Row],[Date]],"mmm-yy")</f>
        <v>Apr-25</v>
      </c>
      <c r="F14" s="60">
        <f>DAY(EOMONTH(Table3[[#This Row],[Month Year]],0))</f>
        <v>30</v>
      </c>
      <c r="G14" s="63">
        <f t="shared" si="2"/>
        <v>45755</v>
      </c>
      <c r="H14" s="18">
        <f>'Modelling New'!$AR$1</f>
        <v>8.0208999999999993</v>
      </c>
      <c r="I14" s="120">
        <v>0.25763888888888886</v>
      </c>
      <c r="J14" s="120">
        <v>0.76597222222222228</v>
      </c>
      <c r="K14" s="3">
        <v>3922.9</v>
      </c>
      <c r="L14" s="3">
        <v>3922.4</v>
      </c>
      <c r="M14" s="3">
        <v>0</v>
      </c>
      <c r="N14" s="3">
        <v>4007.1</v>
      </c>
      <c r="O14" s="3">
        <v>3889.5</v>
      </c>
      <c r="P14" s="3">
        <v>3789.1</v>
      </c>
      <c r="Q14" s="3">
        <v>3795.7</v>
      </c>
      <c r="R14" s="3">
        <v>0</v>
      </c>
      <c r="S14" s="3">
        <v>3096.5</v>
      </c>
      <c r="T14" s="3">
        <v>3020.9</v>
      </c>
      <c r="U14" s="3">
        <v>3009.4</v>
      </c>
      <c r="V14" s="3">
        <v>2984.3</v>
      </c>
      <c r="W14" s="96">
        <f>SUM(Table3[[#This Row],[Inv1_U1]:[Inv1_U4]])</f>
        <v>11852.4</v>
      </c>
      <c r="X14" s="97">
        <f>SUM(Table3[[#This Row],[Inv2_U1]:[Inv2_U4]])</f>
        <v>11474.3</v>
      </c>
      <c r="Y14" s="98">
        <f>SUM(Table3[[#This Row],[Inv3_U1]:[Inv3_U4]])</f>
        <v>12111.099999999999</v>
      </c>
      <c r="Z14" s="64">
        <v>87801.8</v>
      </c>
      <c r="AA14" s="64">
        <v>397.05</v>
      </c>
      <c r="AB14" s="60"/>
      <c r="AC14" s="88">
        <v>5.83</v>
      </c>
      <c r="AD14" s="95">
        <v>0</v>
      </c>
      <c r="AE14" s="88">
        <v>43.19</v>
      </c>
      <c r="AF14" s="88">
        <v>0</v>
      </c>
      <c r="AG14" s="88">
        <v>0</v>
      </c>
      <c r="AH14" s="60"/>
      <c r="AI14" s="17">
        <f>SUM(Table3[[#This Row],[Inv1]:[Inv3]])</f>
        <v>35437.799999999996</v>
      </c>
      <c r="AJ14" s="17">
        <f>IF((Table3[[#This Row],[33 kV Outgoinng Export Reading]]-Z13)*1000&gt;0,(Table3[[#This Row],[33 kV Outgoinng Export Reading]]-Z13)*1000,0)</f>
        <v>35150.000000008731</v>
      </c>
      <c r="AK14" s="17">
        <f>IF((Table3[[#This Row],[33 kV Outgoinng Import Reading]]-AA13)*1000&gt;0,(Table3[[#This Row],[33 kV Outgoinng Import Reading]]-AA13)*1000,0)</f>
        <v>100.00000000002274</v>
      </c>
      <c r="AL14" s="6">
        <f>Table3[[#This Row],[Export  (kWh)]]-Table3[[#This Row],[Import (kWh)]]</f>
        <v>35050.000000008709</v>
      </c>
      <c r="AM14" s="77">
        <f t="shared" si="3"/>
        <v>12.200000000000003</v>
      </c>
    </row>
    <row r="15" spans="1:40" x14ac:dyDescent="0.3">
      <c r="A15" s="60">
        <f>YEAR(Table3[[#This Row],[Date]])+IF(MONTH(Table3[[#This Row],[Date]])&gt;=4,1,0)</f>
        <v>2026</v>
      </c>
      <c r="B15" s="60">
        <f>YEAR(Table3[[#This Row],[Date]])</f>
        <v>2025</v>
      </c>
      <c r="C15" s="60" t="s">
        <v>1082</v>
      </c>
      <c r="D15" s="60" t="s">
        <v>1082</v>
      </c>
      <c r="E15" s="6" t="str">
        <f>TEXT(Table3[[#This Row],[Date]],"mmm-yy")</f>
        <v>Apr-25</v>
      </c>
      <c r="F15" s="60">
        <f>DAY(EOMONTH(Table3[[#This Row],[Month Year]],0))</f>
        <v>30</v>
      </c>
      <c r="G15" s="63">
        <f t="shared" si="2"/>
        <v>45756</v>
      </c>
      <c r="H15" s="18">
        <f>'Modelling New'!$AR$1</f>
        <v>8.0208999999999993</v>
      </c>
      <c r="I15" s="120">
        <v>0.25694444444444442</v>
      </c>
      <c r="J15" s="120">
        <v>0.76666666666666672</v>
      </c>
      <c r="K15" s="3">
        <v>4071.2</v>
      </c>
      <c r="L15" s="3">
        <v>4162.8</v>
      </c>
      <c r="M15" s="3">
        <v>0</v>
      </c>
      <c r="N15" s="3">
        <v>4079.7</v>
      </c>
      <c r="O15" s="3">
        <v>3828.1</v>
      </c>
      <c r="P15" s="3">
        <v>3895.3</v>
      </c>
      <c r="Q15" s="3">
        <v>3811.2</v>
      </c>
      <c r="R15" s="3">
        <v>0</v>
      </c>
      <c r="S15" s="3">
        <v>3274.5</v>
      </c>
      <c r="T15" s="3">
        <v>3354.9</v>
      </c>
      <c r="U15" s="3">
        <v>3264.9</v>
      </c>
      <c r="V15" s="3">
        <v>3237.4</v>
      </c>
      <c r="W15" s="96">
        <f>SUM(Table3[[#This Row],[Inv1_U1]:[Inv1_U4]])</f>
        <v>12313.7</v>
      </c>
      <c r="X15" s="97">
        <f>SUM(Table3[[#This Row],[Inv2_U1]:[Inv2_U4]])</f>
        <v>11534.599999999999</v>
      </c>
      <c r="Y15" s="98">
        <f>SUM(Table3[[#This Row],[Inv3_U1]:[Inv3_U4]])</f>
        <v>13131.699999999999</v>
      </c>
      <c r="Z15" s="64">
        <v>87838.5</v>
      </c>
      <c r="AA15" s="64">
        <v>397.15</v>
      </c>
      <c r="AB15" s="60"/>
      <c r="AC15" s="88">
        <v>6.34</v>
      </c>
      <c r="AD15" s="95">
        <v>0</v>
      </c>
      <c r="AE15" s="88">
        <v>44.41</v>
      </c>
      <c r="AF15" s="88">
        <v>0</v>
      </c>
      <c r="AG15" s="88">
        <v>0</v>
      </c>
      <c r="AH15" s="60"/>
      <c r="AI15" s="17">
        <f>SUM(Table3[[#This Row],[Inv1]:[Inv3]])</f>
        <v>36980</v>
      </c>
      <c r="AJ15" s="17">
        <f>IF((Table3[[#This Row],[33 kV Outgoinng Export Reading]]-Z14)*1000&gt;0,(Table3[[#This Row],[33 kV Outgoinng Export Reading]]-Z14)*1000,0)</f>
        <v>36699.99999999709</v>
      </c>
      <c r="AK15" s="17">
        <f>IF((Table3[[#This Row],[33 kV Outgoinng Import Reading]]-AA14)*1000&gt;0,(Table3[[#This Row],[33 kV Outgoinng Import Reading]]-AA14)*1000,0)</f>
        <v>99.999999999965894</v>
      </c>
      <c r="AL15" s="6">
        <f>Table3[[#This Row],[Export  (kWh)]]-Table3[[#This Row],[Import (kWh)]]</f>
        <v>36599.999999997126</v>
      </c>
      <c r="AM15" s="77">
        <f t="shared" si="3"/>
        <v>12.233333333333334</v>
      </c>
    </row>
    <row r="16" spans="1:40" x14ac:dyDescent="0.3">
      <c r="A16" s="60">
        <f>YEAR(Table3[[#This Row],[Date]])+IF(MONTH(Table3[[#This Row],[Date]])&gt;=4,1,0)</f>
        <v>2026</v>
      </c>
      <c r="B16" s="60">
        <f>YEAR(Table3[[#This Row],[Date]])</f>
        <v>2025</v>
      </c>
      <c r="C16" s="60" t="s">
        <v>1082</v>
      </c>
      <c r="D16" s="60" t="s">
        <v>1082</v>
      </c>
      <c r="E16" s="6" t="str">
        <f>TEXT(Table3[[#This Row],[Date]],"mmm-yy")</f>
        <v>Apr-25</v>
      </c>
      <c r="F16" s="60">
        <f>DAY(EOMONTH(Table3[[#This Row],[Month Year]],0))</f>
        <v>30</v>
      </c>
      <c r="G16" s="63">
        <f t="shared" si="2"/>
        <v>45757</v>
      </c>
      <c r="H16" s="18">
        <f>'Modelling New'!$AR$1</f>
        <v>8.0208999999999993</v>
      </c>
      <c r="I16" s="120">
        <v>0.25833333333333336</v>
      </c>
      <c r="J16" s="120">
        <v>0.75</v>
      </c>
      <c r="K16" s="3">
        <v>3679.6</v>
      </c>
      <c r="L16" s="3">
        <v>3680</v>
      </c>
      <c r="M16" s="3">
        <v>0</v>
      </c>
      <c r="N16" s="3">
        <v>3757</v>
      </c>
      <c r="O16" s="3">
        <v>3539.7</v>
      </c>
      <c r="P16" s="3">
        <v>3519</v>
      </c>
      <c r="Q16" s="3">
        <v>3602.9</v>
      </c>
      <c r="R16" s="3">
        <v>0</v>
      </c>
      <c r="S16" s="3">
        <v>2800.5</v>
      </c>
      <c r="T16" s="3">
        <v>2805.8</v>
      </c>
      <c r="U16" s="3">
        <v>2868.5</v>
      </c>
      <c r="V16" s="3">
        <v>2772</v>
      </c>
      <c r="W16" s="96">
        <f>SUM(Table3[[#This Row],[Inv1_U1]:[Inv1_U4]])</f>
        <v>11116.6</v>
      </c>
      <c r="X16" s="97">
        <f>SUM(Table3[[#This Row],[Inv2_U1]:[Inv2_U4]])</f>
        <v>10661.6</v>
      </c>
      <c r="Y16" s="98">
        <f>SUM(Table3[[#This Row],[Inv3_U1]:[Inv3_U4]])</f>
        <v>11246.8</v>
      </c>
      <c r="Z16" s="64">
        <v>87871.25</v>
      </c>
      <c r="AA16" s="64">
        <v>397.25</v>
      </c>
      <c r="AB16" s="60"/>
      <c r="AC16" s="88">
        <v>4.8499999999999996</v>
      </c>
      <c r="AD16" s="95">
        <v>0</v>
      </c>
      <c r="AE16" s="88">
        <v>40.22</v>
      </c>
      <c r="AF16" s="88">
        <v>0</v>
      </c>
      <c r="AG16" s="88">
        <v>0</v>
      </c>
      <c r="AH16" s="60"/>
      <c r="AI16" s="17">
        <f>SUM(Table3[[#This Row],[Inv1]:[Inv3]])</f>
        <v>33025</v>
      </c>
      <c r="AJ16" s="17">
        <f>IF((Table3[[#This Row],[33 kV Outgoinng Export Reading]]-Z15)*1000&gt;0,(Table3[[#This Row],[33 kV Outgoinng Export Reading]]-Z15)*1000,0)</f>
        <v>32750</v>
      </c>
      <c r="AK16" s="17">
        <f>IF((Table3[[#This Row],[33 kV Outgoinng Import Reading]]-AA15)*1000&gt;0,(Table3[[#This Row],[33 kV Outgoinng Import Reading]]-AA15)*1000,0)</f>
        <v>100.00000000002274</v>
      </c>
      <c r="AL16" s="6">
        <f>Table3[[#This Row],[Export  (kWh)]]-Table3[[#This Row],[Import (kWh)]]</f>
        <v>32649.999999999978</v>
      </c>
      <c r="AM16" s="77">
        <f t="shared" si="3"/>
        <v>11.799999999999999</v>
      </c>
      <c r="AN16" t="s">
        <v>1189</v>
      </c>
    </row>
    <row r="17" spans="1:40" x14ac:dyDescent="0.3">
      <c r="A17" s="60">
        <f>YEAR(Table3[[#This Row],[Date]])+IF(MONTH(Table3[[#This Row],[Date]])&gt;=4,1,0)</f>
        <v>2026</v>
      </c>
      <c r="B17" s="60">
        <f>YEAR(Table3[[#This Row],[Date]])</f>
        <v>2025</v>
      </c>
      <c r="C17" s="60" t="s">
        <v>1082</v>
      </c>
      <c r="D17" s="60" t="s">
        <v>1082</v>
      </c>
      <c r="E17" s="6" t="str">
        <f>TEXT(Table3[[#This Row],[Date]],"mmm-yy")</f>
        <v>Apr-25</v>
      </c>
      <c r="F17" s="60">
        <f>DAY(EOMONTH(Table3[[#This Row],[Month Year]],0))</f>
        <v>30</v>
      </c>
      <c r="G17" s="63">
        <f t="shared" si="2"/>
        <v>45758</v>
      </c>
      <c r="H17" s="18">
        <f>'Modelling New'!$AR$1</f>
        <v>8.0208999999999993</v>
      </c>
      <c r="I17" s="120">
        <v>0.24861111111111112</v>
      </c>
      <c r="J17" s="120">
        <v>0.7680555555555556</v>
      </c>
      <c r="K17" s="3">
        <v>4387.2</v>
      </c>
      <c r="L17" s="3">
        <v>4389.2</v>
      </c>
      <c r="M17" s="3">
        <v>0</v>
      </c>
      <c r="N17" s="3">
        <v>4454.8999999999996</v>
      </c>
      <c r="O17" s="3">
        <v>4209.5</v>
      </c>
      <c r="P17" s="3">
        <v>4119.8</v>
      </c>
      <c r="Q17" s="3">
        <v>4126.1000000000004</v>
      </c>
      <c r="R17" s="3">
        <v>0</v>
      </c>
      <c r="S17" s="3">
        <v>3499.3</v>
      </c>
      <c r="T17" s="3">
        <v>3504.2</v>
      </c>
      <c r="U17" s="3">
        <v>3490.8</v>
      </c>
      <c r="V17" s="3">
        <v>3521.3</v>
      </c>
      <c r="W17" s="96">
        <f>SUM(Table3[[#This Row],[Inv1_U1]:[Inv1_U4]])</f>
        <v>13231.3</v>
      </c>
      <c r="X17" s="97">
        <f>SUM(Table3[[#This Row],[Inv2_U1]:[Inv2_U4]])</f>
        <v>12455.4</v>
      </c>
      <c r="Y17" s="98">
        <f>SUM(Table3[[#This Row],[Inv3_U1]:[Inv3_U4]])</f>
        <v>14015.599999999999</v>
      </c>
      <c r="Z17" s="64">
        <v>87910.65</v>
      </c>
      <c r="AA17" s="64">
        <v>397.35</v>
      </c>
      <c r="AB17" s="60"/>
      <c r="AC17" s="88">
        <v>6.33</v>
      </c>
      <c r="AD17" s="95">
        <v>0</v>
      </c>
      <c r="AE17" s="88">
        <v>41.85</v>
      </c>
      <c r="AF17" s="88">
        <v>0</v>
      </c>
      <c r="AG17" s="88">
        <v>0</v>
      </c>
      <c r="AH17" s="60"/>
      <c r="AI17" s="17">
        <f>SUM(Table3[[#This Row],[Inv1]:[Inv3]])</f>
        <v>39702.299999999996</v>
      </c>
      <c r="AJ17" s="17">
        <f>IF((Table3[[#This Row],[33 kV Outgoinng Export Reading]]-Z16)*1000&gt;0,(Table3[[#This Row],[33 kV Outgoinng Export Reading]]-Z16)*1000,0)</f>
        <v>39399.999999994179</v>
      </c>
      <c r="AK17" s="17">
        <f>IF((Table3[[#This Row],[33 kV Outgoinng Import Reading]]-AA16)*1000&gt;0,(Table3[[#This Row],[33 kV Outgoinng Import Reading]]-AA16)*1000,0)</f>
        <v>100.00000000002274</v>
      </c>
      <c r="AL17" s="6">
        <f>Table3[[#This Row],[Export  (kWh)]]-Table3[[#This Row],[Import (kWh)]]</f>
        <v>39299.999999994157</v>
      </c>
      <c r="AM17" s="77">
        <f t="shared" si="3"/>
        <v>12.466666666666669</v>
      </c>
      <c r="AN17" t="s">
        <v>1189</v>
      </c>
    </row>
    <row r="18" spans="1:40" x14ac:dyDescent="0.3">
      <c r="A18" s="60">
        <f>YEAR(Table3[[#This Row],[Date]])+IF(MONTH(Table3[[#This Row],[Date]])&gt;=4,1,0)</f>
        <v>2026</v>
      </c>
      <c r="B18" s="60">
        <f>YEAR(Table3[[#This Row],[Date]])</f>
        <v>2025</v>
      </c>
      <c r="C18" s="60" t="s">
        <v>1082</v>
      </c>
      <c r="D18" s="60" t="s">
        <v>1082</v>
      </c>
      <c r="E18" s="6" t="str">
        <f>TEXT(Table3[[#This Row],[Date]],"mmm-yy")</f>
        <v>Apr-25</v>
      </c>
      <c r="F18" s="60">
        <f>DAY(EOMONTH(Table3[[#This Row],[Month Year]],0))</f>
        <v>30</v>
      </c>
      <c r="G18" s="63">
        <f t="shared" si="2"/>
        <v>45759</v>
      </c>
      <c r="H18" s="18">
        <f>'Modelling New'!$AR$1</f>
        <v>8.0208999999999993</v>
      </c>
      <c r="I18" s="120">
        <v>0.25347222222222221</v>
      </c>
      <c r="J18" s="120">
        <v>0.76736111111111116</v>
      </c>
      <c r="K18" s="3">
        <v>4404.2</v>
      </c>
      <c r="L18" s="3">
        <v>4455.3</v>
      </c>
      <c r="M18" s="3">
        <v>0</v>
      </c>
      <c r="N18" s="3">
        <v>4412.2</v>
      </c>
      <c r="O18" s="3">
        <v>3896.2</v>
      </c>
      <c r="P18" s="3">
        <v>3921.6</v>
      </c>
      <c r="Q18" s="3">
        <v>3876.4</v>
      </c>
      <c r="R18" s="3">
        <v>0</v>
      </c>
      <c r="S18" s="3">
        <v>3548.7</v>
      </c>
      <c r="T18" s="3">
        <v>3597.4</v>
      </c>
      <c r="U18" s="3">
        <v>3540.1</v>
      </c>
      <c r="V18" s="3">
        <v>3512.9</v>
      </c>
      <c r="W18" s="96">
        <f>SUM(Table3[[#This Row],[Inv1_U1]:[Inv1_U4]])</f>
        <v>13271.7</v>
      </c>
      <c r="X18" s="97">
        <f>SUM(Table3[[#This Row],[Inv2_U1]:[Inv2_U4]])</f>
        <v>11694.199999999999</v>
      </c>
      <c r="Y18" s="98">
        <f>SUM(Table3[[#This Row],[Inv3_U1]:[Inv3_U4]])</f>
        <v>14199.1</v>
      </c>
      <c r="Z18" s="64">
        <v>87949.55</v>
      </c>
      <c r="AA18" s="64">
        <v>397.45</v>
      </c>
      <c r="AB18" s="60"/>
      <c r="AC18" s="88">
        <v>6.54</v>
      </c>
      <c r="AD18" s="95">
        <v>0</v>
      </c>
      <c r="AE18" s="88">
        <v>43.84</v>
      </c>
      <c r="AF18" s="88">
        <v>0</v>
      </c>
      <c r="AG18" s="88">
        <v>0</v>
      </c>
      <c r="AH18" s="60"/>
      <c r="AI18" s="17">
        <f>SUM(Table3[[#This Row],[Inv1]:[Inv3]])</f>
        <v>39165</v>
      </c>
      <c r="AJ18" s="17">
        <f>IF((Table3[[#This Row],[33 kV Outgoinng Export Reading]]-Z17)*1000&gt;0,(Table3[[#This Row],[33 kV Outgoinng Export Reading]]-Z17)*1000,0)</f>
        <v>38900.000000008731</v>
      </c>
      <c r="AK18" s="17">
        <f>IF((Table3[[#This Row],[33 kV Outgoinng Import Reading]]-AA17)*1000&gt;0,(Table3[[#This Row],[33 kV Outgoinng Import Reading]]-AA17)*1000,0)</f>
        <v>99.999999999965894</v>
      </c>
      <c r="AL18" s="6">
        <f>Table3[[#This Row],[Export  (kWh)]]-Table3[[#This Row],[Import (kWh)]]</f>
        <v>38800.000000008768</v>
      </c>
      <c r="AM18" s="77">
        <f t="shared" si="3"/>
        <v>12.333333333333336</v>
      </c>
      <c r="AN18" t="s">
        <v>1189</v>
      </c>
    </row>
    <row r="19" spans="1:40" x14ac:dyDescent="0.3">
      <c r="A19" s="60">
        <f>YEAR(Table3[[#This Row],[Date]])+IF(MONTH(Table3[[#This Row],[Date]])&gt;=4,1,0)</f>
        <v>2026</v>
      </c>
      <c r="B19" s="60">
        <f>YEAR(Table3[[#This Row],[Date]])</f>
        <v>2025</v>
      </c>
      <c r="C19" s="60" t="s">
        <v>1082</v>
      </c>
      <c r="D19" s="60" t="s">
        <v>1082</v>
      </c>
      <c r="E19" s="6" t="str">
        <f>TEXT(Table3[[#This Row],[Date]],"mmm-yy")</f>
        <v>Apr-25</v>
      </c>
      <c r="F19" s="60">
        <f>DAY(EOMONTH(Table3[[#This Row],[Month Year]],0))</f>
        <v>30</v>
      </c>
      <c r="G19" s="63">
        <f t="shared" si="2"/>
        <v>45760</v>
      </c>
      <c r="H19" s="18">
        <f>'Modelling New'!$AR$1</f>
        <v>8.0208999999999993</v>
      </c>
      <c r="I19" s="120">
        <v>0.25138888888888888</v>
      </c>
      <c r="J19" s="120">
        <v>0.76875000000000004</v>
      </c>
      <c r="K19" s="3">
        <v>4147.2</v>
      </c>
      <c r="L19" s="3">
        <v>4149.3999999999996</v>
      </c>
      <c r="M19" s="3">
        <v>0</v>
      </c>
      <c r="N19" s="3">
        <v>4214.5</v>
      </c>
      <c r="O19" s="3">
        <v>3709</v>
      </c>
      <c r="P19" s="3">
        <v>3625.1</v>
      </c>
      <c r="Q19" s="3">
        <v>3630.6</v>
      </c>
      <c r="R19" s="3">
        <v>0</v>
      </c>
      <c r="S19" s="3">
        <v>3303.9</v>
      </c>
      <c r="T19" s="3">
        <v>3311</v>
      </c>
      <c r="U19" s="3">
        <v>3297.7</v>
      </c>
      <c r="V19" s="3">
        <v>3332</v>
      </c>
      <c r="W19" s="96">
        <f>SUM(Table3[[#This Row],[Inv1_U1]:[Inv1_U4]])</f>
        <v>12511.099999999999</v>
      </c>
      <c r="X19" s="97">
        <f>SUM(Table3[[#This Row],[Inv2_U1]:[Inv2_U4]])</f>
        <v>10964.7</v>
      </c>
      <c r="Y19" s="98">
        <f>SUM(Table3[[#This Row],[Inv3_U1]:[Inv3_U4]])</f>
        <v>13244.599999999999</v>
      </c>
      <c r="Z19" s="64">
        <v>87986</v>
      </c>
      <c r="AA19" s="64">
        <v>397.55</v>
      </c>
      <c r="AB19" s="60"/>
      <c r="AC19" s="88">
        <v>6.35</v>
      </c>
      <c r="AD19" s="95">
        <v>0</v>
      </c>
      <c r="AE19" s="88">
        <v>45.16</v>
      </c>
      <c r="AF19" s="88">
        <v>0</v>
      </c>
      <c r="AG19" s="88">
        <v>0</v>
      </c>
      <c r="AH19" s="60"/>
      <c r="AI19" s="17">
        <f>SUM(Table3[[#This Row],[Inv1]:[Inv3]])</f>
        <v>36720.399999999994</v>
      </c>
      <c r="AJ19" s="17">
        <f>IF((Table3[[#This Row],[33 kV Outgoinng Export Reading]]-Z18)*1000&gt;0,(Table3[[#This Row],[33 kV Outgoinng Export Reading]]-Z18)*1000,0)</f>
        <v>36449.99999999709</v>
      </c>
      <c r="AK19" s="17">
        <f>IF((Table3[[#This Row],[33 kV Outgoinng Import Reading]]-AA18)*1000&gt;0,(Table3[[#This Row],[33 kV Outgoinng Import Reading]]-AA18)*1000,0)</f>
        <v>100.00000000002274</v>
      </c>
      <c r="AL19" s="6">
        <f>Table3[[#This Row],[Export  (kWh)]]-Table3[[#This Row],[Import (kWh)]]</f>
        <v>36349.999999997068</v>
      </c>
      <c r="AM19" s="77">
        <f t="shared" si="3"/>
        <v>12.416666666666668</v>
      </c>
      <c r="AN19" t="s">
        <v>1189</v>
      </c>
    </row>
    <row r="20" spans="1:40" x14ac:dyDescent="0.3">
      <c r="A20" s="60">
        <f>YEAR(Table3[[#This Row],[Date]])+IF(MONTH(Table3[[#This Row],[Date]])&gt;=4,1,0)</f>
        <v>2026</v>
      </c>
      <c r="B20" s="60">
        <f>YEAR(Table3[[#This Row],[Date]])</f>
        <v>2025</v>
      </c>
      <c r="C20" s="60" t="s">
        <v>1082</v>
      </c>
      <c r="D20" s="60" t="s">
        <v>1082</v>
      </c>
      <c r="E20" s="6" t="str">
        <f>TEXT(Table3[[#This Row],[Date]],"mmm-yy")</f>
        <v>Apr-25</v>
      </c>
      <c r="F20" s="60">
        <f>DAY(EOMONTH(Table3[[#This Row],[Month Year]],0))</f>
        <v>30</v>
      </c>
      <c r="G20" s="63">
        <f t="shared" si="2"/>
        <v>45761</v>
      </c>
      <c r="H20" s="18">
        <f>'Modelling New'!$AR$1</f>
        <v>8.0208999999999993</v>
      </c>
      <c r="I20" s="120">
        <v>0.25069444444444444</v>
      </c>
      <c r="J20" s="120">
        <v>0.77013888888888893</v>
      </c>
      <c r="K20" s="3">
        <v>4387.7</v>
      </c>
      <c r="L20" s="3">
        <v>4311.6000000000004</v>
      </c>
      <c r="M20" s="3">
        <v>0</v>
      </c>
      <c r="N20" s="3">
        <v>4309.5</v>
      </c>
      <c r="O20" s="3">
        <v>4036.7</v>
      </c>
      <c r="P20" s="3">
        <v>4090.1</v>
      </c>
      <c r="Q20" s="3">
        <v>4017</v>
      </c>
      <c r="R20" s="3">
        <v>0</v>
      </c>
      <c r="S20" s="3">
        <v>3543.1</v>
      </c>
      <c r="T20" s="3">
        <v>3464.9</v>
      </c>
      <c r="U20" s="3">
        <v>3449.9</v>
      </c>
      <c r="V20" s="3">
        <v>3421.5</v>
      </c>
      <c r="W20" s="96">
        <f>SUM(Table3[[#This Row],[Inv1_U1]:[Inv1_U4]])</f>
        <v>13008.8</v>
      </c>
      <c r="X20" s="97">
        <f>SUM(Table3[[#This Row],[Inv2_U1]:[Inv2_U4]])</f>
        <v>12143.8</v>
      </c>
      <c r="Y20" s="98">
        <f>SUM(Table3[[#This Row],[Inv3_U1]:[Inv3_U4]])</f>
        <v>13879.4</v>
      </c>
      <c r="Z20" s="64">
        <v>88024.75</v>
      </c>
      <c r="AA20" s="64">
        <v>397.65</v>
      </c>
      <c r="AB20" s="60"/>
      <c r="AC20" s="88">
        <v>6.09</v>
      </c>
      <c r="AD20" s="95">
        <v>0</v>
      </c>
      <c r="AE20" s="88">
        <v>43.95</v>
      </c>
      <c r="AF20" s="88">
        <v>0</v>
      </c>
      <c r="AG20" s="88">
        <v>0</v>
      </c>
      <c r="AH20" s="60"/>
      <c r="AI20" s="17">
        <f>SUM(Table3[[#This Row],[Inv1]:[Inv3]])</f>
        <v>39032</v>
      </c>
      <c r="AJ20" s="17">
        <f>IF((Table3[[#This Row],[33 kV Outgoinng Export Reading]]-Z19)*1000&gt;0,(Table3[[#This Row],[33 kV Outgoinng Export Reading]]-Z19)*1000,0)</f>
        <v>38750</v>
      </c>
      <c r="AK20" s="17">
        <f>IF((Table3[[#This Row],[33 kV Outgoinng Import Reading]]-AA19)*1000&gt;0,(Table3[[#This Row],[33 kV Outgoinng Import Reading]]-AA19)*1000,0)</f>
        <v>99.999999999965894</v>
      </c>
      <c r="AL20" s="6">
        <f>Table3[[#This Row],[Export  (kWh)]]-Table3[[#This Row],[Import (kWh)]]</f>
        <v>38650.000000000036</v>
      </c>
      <c r="AM20" s="77">
        <f t="shared" si="3"/>
        <v>12.466666666666669</v>
      </c>
      <c r="AN20" t="s">
        <v>1189</v>
      </c>
    </row>
    <row r="21" spans="1:40" x14ac:dyDescent="0.3">
      <c r="A21" s="60">
        <f>YEAR(Table3[[#This Row],[Date]])+IF(MONTH(Table3[[#This Row],[Date]])&gt;=4,1,0)</f>
        <v>2026</v>
      </c>
      <c r="B21" s="60">
        <f>YEAR(Table3[[#This Row],[Date]])</f>
        <v>2025</v>
      </c>
      <c r="C21" s="60" t="s">
        <v>1082</v>
      </c>
      <c r="D21" s="60" t="s">
        <v>1082</v>
      </c>
      <c r="E21" s="6" t="str">
        <f>TEXT(Table3[[#This Row],[Date]],"mmm-yy")</f>
        <v>Apr-25</v>
      </c>
      <c r="F21" s="60">
        <f>DAY(EOMONTH(Table3[[#This Row],[Month Year]],0))</f>
        <v>30</v>
      </c>
      <c r="G21" s="63">
        <f t="shared" si="2"/>
        <v>45762</v>
      </c>
      <c r="H21" s="18">
        <f>'Modelling New'!$AR$1</f>
        <v>8.0208999999999993</v>
      </c>
      <c r="I21" s="120">
        <v>0.25069444444444444</v>
      </c>
      <c r="J21" s="120">
        <v>0.77569444444444446</v>
      </c>
      <c r="K21" s="3">
        <v>3868.8</v>
      </c>
      <c r="L21" s="3">
        <v>3934</v>
      </c>
      <c r="M21" s="3">
        <v>0</v>
      </c>
      <c r="N21" s="3">
        <v>3869.6</v>
      </c>
      <c r="O21" s="3">
        <v>3670.1</v>
      </c>
      <c r="P21" s="3">
        <v>3581</v>
      </c>
      <c r="Q21" s="3">
        <v>3585</v>
      </c>
      <c r="R21" s="3">
        <v>0</v>
      </c>
      <c r="S21" s="3">
        <v>2948.9</v>
      </c>
      <c r="T21" s="3">
        <v>3019.8</v>
      </c>
      <c r="U21" s="3">
        <v>2943.8</v>
      </c>
      <c r="V21" s="3">
        <v>2919</v>
      </c>
      <c r="W21" s="96">
        <f>SUM(Table3[[#This Row],[Inv1_U1]:[Inv1_U4]])</f>
        <v>11672.4</v>
      </c>
      <c r="X21" s="97">
        <f>SUM(Table3[[#This Row],[Inv2_U1]:[Inv2_U4]])</f>
        <v>10836.1</v>
      </c>
      <c r="Y21" s="98">
        <f>SUM(Table3[[#This Row],[Inv3_U1]:[Inv3_U4]])</f>
        <v>11831.5</v>
      </c>
      <c r="Z21" s="64">
        <v>88058.75</v>
      </c>
      <c r="AA21" s="64">
        <v>397.75</v>
      </c>
      <c r="AB21" s="60"/>
      <c r="AC21" s="88">
        <v>5.28</v>
      </c>
      <c r="AD21" s="95">
        <v>0</v>
      </c>
      <c r="AE21" s="88">
        <v>42.86</v>
      </c>
      <c r="AF21" s="88">
        <v>0</v>
      </c>
      <c r="AG21" s="88">
        <v>0</v>
      </c>
      <c r="AH21" s="60"/>
      <c r="AI21" s="17">
        <f>SUM(Table3[[#This Row],[Inv1]:[Inv3]])</f>
        <v>34340</v>
      </c>
      <c r="AJ21" s="17">
        <f>IF((Table3[[#This Row],[33 kV Outgoinng Export Reading]]-Z20)*1000&gt;0,(Table3[[#This Row],[33 kV Outgoinng Export Reading]]-Z20)*1000,0)</f>
        <v>34000</v>
      </c>
      <c r="AK21" s="17">
        <f>IF((Table3[[#This Row],[33 kV Outgoinng Import Reading]]-AA20)*1000&gt;0,(Table3[[#This Row],[33 kV Outgoinng Import Reading]]-AA20)*1000,0)</f>
        <v>100.00000000002274</v>
      </c>
      <c r="AL21" s="6">
        <f>Table3[[#This Row],[Export  (kWh)]]-Table3[[#This Row],[Import (kWh)]]</f>
        <v>33899.999999999978</v>
      </c>
      <c r="AM21" s="77">
        <f t="shared" si="3"/>
        <v>12.600000000000001</v>
      </c>
      <c r="AN21" t="s">
        <v>1189</v>
      </c>
    </row>
    <row r="22" spans="1:40" x14ac:dyDescent="0.3">
      <c r="A22" s="60">
        <f>YEAR(Table3[[#This Row],[Date]])+IF(MONTH(Table3[[#This Row],[Date]])&gt;=4,1,0)</f>
        <v>2026</v>
      </c>
      <c r="B22" s="60">
        <f>YEAR(Table3[[#This Row],[Date]])</f>
        <v>2025</v>
      </c>
      <c r="C22" s="60" t="s">
        <v>1082</v>
      </c>
      <c r="D22" s="60" t="s">
        <v>1082</v>
      </c>
      <c r="E22" s="6" t="str">
        <f>TEXT(Table3[[#This Row],[Date]],"mmm-yy")</f>
        <v>Apr-25</v>
      </c>
      <c r="F22" s="60">
        <f>DAY(EOMONTH(Table3[[#This Row],[Month Year]],0))</f>
        <v>30</v>
      </c>
      <c r="G22" s="63">
        <f t="shared" si="2"/>
        <v>45763</v>
      </c>
      <c r="H22" s="18">
        <f>'Modelling New'!$AR$1</f>
        <v>8.0208999999999993</v>
      </c>
      <c r="I22" s="120">
        <v>0.25</v>
      </c>
      <c r="J22" s="120">
        <v>0.77083333333333337</v>
      </c>
      <c r="K22" s="3">
        <v>3292.4</v>
      </c>
      <c r="L22" s="3">
        <v>3290.2</v>
      </c>
      <c r="M22" s="3">
        <v>0</v>
      </c>
      <c r="N22" s="3">
        <v>3424.3</v>
      </c>
      <c r="O22" s="3">
        <v>3186.3</v>
      </c>
      <c r="P22" s="3">
        <v>3250.3</v>
      </c>
      <c r="Q22" s="3">
        <v>3172.5</v>
      </c>
      <c r="R22" s="3">
        <v>0</v>
      </c>
      <c r="S22" s="3">
        <v>2549.3000000000002</v>
      </c>
      <c r="T22" s="3">
        <v>2554</v>
      </c>
      <c r="U22" s="3">
        <v>2615.1999999999998</v>
      </c>
      <c r="V22" s="3">
        <v>2524.9</v>
      </c>
      <c r="W22" s="96">
        <f>SUM(Table3[[#This Row],[Inv1_U1]:[Inv1_U4]])</f>
        <v>10006.900000000001</v>
      </c>
      <c r="X22" s="97">
        <f>SUM(Table3[[#This Row],[Inv2_U1]:[Inv2_U4]])</f>
        <v>9609.1</v>
      </c>
      <c r="Y22" s="98">
        <f>SUM(Table3[[#This Row],[Inv3_U1]:[Inv3_U4]])</f>
        <v>10243.4</v>
      </c>
      <c r="Z22" s="64">
        <v>88088.35</v>
      </c>
      <c r="AA22" s="64">
        <v>397.85</v>
      </c>
      <c r="AB22" s="60"/>
      <c r="AC22" s="88">
        <v>5.92</v>
      </c>
      <c r="AD22" s="95">
        <v>0</v>
      </c>
      <c r="AE22" s="88">
        <v>42.54</v>
      </c>
      <c r="AF22" s="88">
        <v>0</v>
      </c>
      <c r="AG22" s="88">
        <v>0</v>
      </c>
      <c r="AH22" s="60"/>
      <c r="AI22" s="17">
        <f>SUM(Table3[[#This Row],[Inv1]:[Inv3]])</f>
        <v>29859.4</v>
      </c>
      <c r="AJ22" s="17">
        <f>IF((Table3[[#This Row],[33 kV Outgoinng Export Reading]]-Z21)*1000&gt;0,(Table3[[#This Row],[33 kV Outgoinng Export Reading]]-Z21)*1000,0)</f>
        <v>29600.000000005821</v>
      </c>
      <c r="AK22" s="17">
        <f>IF((Table3[[#This Row],[33 kV Outgoinng Import Reading]]-AA21)*1000&gt;0,(Table3[[#This Row],[33 kV Outgoinng Import Reading]]-AA21)*1000,0)</f>
        <v>100.00000000002274</v>
      </c>
      <c r="AL22" s="6">
        <f>Table3[[#This Row],[Export  (kWh)]]-Table3[[#This Row],[Import (kWh)]]</f>
        <v>29500.000000005799</v>
      </c>
      <c r="AM22" s="77">
        <f t="shared" si="3"/>
        <v>12.5</v>
      </c>
      <c r="AN22" t="s">
        <v>1189</v>
      </c>
    </row>
    <row r="23" spans="1:40" x14ac:dyDescent="0.3">
      <c r="A23" s="60">
        <f>YEAR(Table3[[#This Row],[Date]])+IF(MONTH(Table3[[#This Row],[Date]])&gt;=4,1,0)</f>
        <v>2026</v>
      </c>
      <c r="B23" s="60">
        <f>YEAR(Table3[[#This Row],[Date]])</f>
        <v>2025</v>
      </c>
      <c r="C23" s="60" t="s">
        <v>1082</v>
      </c>
      <c r="D23" s="60" t="s">
        <v>1082</v>
      </c>
      <c r="E23" s="6" t="str">
        <f>TEXT(Table3[[#This Row],[Date]],"mmm-yy")</f>
        <v>Apr-25</v>
      </c>
      <c r="F23" s="60">
        <f>DAY(EOMONTH(Table3[[#This Row],[Month Year]],0))</f>
        <v>30</v>
      </c>
      <c r="G23" s="63">
        <f t="shared" si="2"/>
        <v>45764</v>
      </c>
      <c r="H23" s="18">
        <f>'Modelling New'!$AR$1</f>
        <v>8.0208999999999993</v>
      </c>
      <c r="I23" s="120">
        <v>0.25</v>
      </c>
      <c r="J23" s="120">
        <v>0.77083333333333337</v>
      </c>
      <c r="K23" s="3">
        <v>4005.4</v>
      </c>
      <c r="L23" s="3">
        <v>4005.6</v>
      </c>
      <c r="M23" s="3">
        <v>0</v>
      </c>
      <c r="N23" s="3">
        <v>4075.2</v>
      </c>
      <c r="O23" s="3">
        <v>3898.3</v>
      </c>
      <c r="P23" s="3">
        <v>3875.5</v>
      </c>
      <c r="Q23" s="3">
        <v>3953.3</v>
      </c>
      <c r="R23" s="3">
        <v>0</v>
      </c>
      <c r="S23" s="3">
        <v>3075.7</v>
      </c>
      <c r="T23" s="3">
        <v>3082.8</v>
      </c>
      <c r="U23" s="3">
        <v>3071.7</v>
      </c>
      <c r="V23" s="3">
        <v>3110.9</v>
      </c>
      <c r="W23" s="96">
        <f>SUM(Table3[[#This Row],[Inv1_U1]:[Inv1_U4]])</f>
        <v>12086.2</v>
      </c>
      <c r="X23" s="97">
        <f>SUM(Table3[[#This Row],[Inv2_U1]:[Inv2_U4]])</f>
        <v>11727.1</v>
      </c>
      <c r="Y23" s="98">
        <f>SUM(Table3[[#This Row],[Inv3_U1]:[Inv3_U4]])</f>
        <v>12341.1</v>
      </c>
      <c r="Z23" s="64">
        <v>88124.2</v>
      </c>
      <c r="AA23" s="64">
        <v>397.95</v>
      </c>
      <c r="AB23" s="60"/>
      <c r="AC23" s="88">
        <v>5.66</v>
      </c>
      <c r="AD23" s="95">
        <v>0</v>
      </c>
      <c r="AE23" s="88">
        <v>43.35</v>
      </c>
      <c r="AF23" s="88">
        <v>0</v>
      </c>
      <c r="AG23" s="88">
        <v>0</v>
      </c>
      <c r="AH23" s="60"/>
      <c r="AI23" s="17">
        <f>SUM(Table3[[#This Row],[Inv1]:[Inv3]])</f>
        <v>36154.400000000001</v>
      </c>
      <c r="AJ23" s="17">
        <f>IF((Table3[[#This Row],[33 kV Outgoinng Export Reading]]-Z22)*1000&gt;0,(Table3[[#This Row],[33 kV Outgoinng Export Reading]]-Z22)*1000,0)</f>
        <v>35849.999999991269</v>
      </c>
      <c r="AK23" s="17">
        <f>IF((Table3[[#This Row],[33 kV Outgoinng Import Reading]]-AA22)*1000&gt;0,(Table3[[#This Row],[33 kV Outgoinng Import Reading]]-AA22)*1000,0)</f>
        <v>99.999999999965894</v>
      </c>
      <c r="AL23" s="6">
        <f>Table3[[#This Row],[Export  (kWh)]]-Table3[[#This Row],[Import (kWh)]]</f>
        <v>35749.999999991305</v>
      </c>
      <c r="AM23" s="77">
        <f t="shared" si="3"/>
        <v>12.5</v>
      </c>
      <c r="AN23" t="s">
        <v>1189</v>
      </c>
    </row>
    <row r="24" spans="1:40" x14ac:dyDescent="0.3">
      <c r="A24" s="60">
        <f>YEAR(Table3[[#This Row],[Date]])+IF(MONTH(Table3[[#This Row],[Date]])&gt;=4,1,0)</f>
        <v>2026</v>
      </c>
      <c r="B24" s="60">
        <f>YEAR(Table3[[#This Row],[Date]])</f>
        <v>2025</v>
      </c>
      <c r="C24" s="60" t="s">
        <v>1082</v>
      </c>
      <c r="D24" s="60" t="s">
        <v>1082</v>
      </c>
      <c r="E24" s="6" t="str">
        <f>TEXT(Table3[[#This Row],[Date]],"mmm-yy")</f>
        <v>Apr-25</v>
      </c>
      <c r="F24" s="60">
        <f>DAY(EOMONTH(Table3[[#This Row],[Month Year]],0))</f>
        <v>30</v>
      </c>
      <c r="G24" s="63">
        <f t="shared" si="2"/>
        <v>45765</v>
      </c>
      <c r="H24" s="18">
        <f>'Modelling New'!$AR$1</f>
        <v>8.0208999999999993</v>
      </c>
      <c r="I24" s="120">
        <v>0.25416666666666665</v>
      </c>
      <c r="J24" s="120">
        <v>0.77569444444444446</v>
      </c>
      <c r="K24" s="3">
        <v>3006.8</v>
      </c>
      <c r="L24" s="3">
        <v>3069.8</v>
      </c>
      <c r="M24" s="3">
        <v>0</v>
      </c>
      <c r="N24" s="3">
        <v>3036.6</v>
      </c>
      <c r="O24" s="3">
        <v>3017.2</v>
      </c>
      <c r="P24" s="3">
        <v>2920.6</v>
      </c>
      <c r="Q24" s="3">
        <v>2926</v>
      </c>
      <c r="R24" s="3">
        <v>0</v>
      </c>
      <c r="S24" s="3">
        <v>2360.1</v>
      </c>
      <c r="T24" s="3">
        <v>2304.9</v>
      </c>
      <c r="U24" s="3">
        <v>2314.5</v>
      </c>
      <c r="V24" s="3">
        <v>2283</v>
      </c>
      <c r="W24" s="96">
        <f>SUM(Table3[[#This Row],[Inv1_U1]:[Inv1_U4]])</f>
        <v>9113.2000000000007</v>
      </c>
      <c r="X24" s="97">
        <f>SUM(Table3[[#This Row],[Inv2_U1]:[Inv2_U4]])</f>
        <v>8863.7999999999993</v>
      </c>
      <c r="Y24" s="98">
        <f>SUM(Table3[[#This Row],[Inv3_U1]:[Inv3_U4]])</f>
        <v>9262.5</v>
      </c>
      <c r="Z24" s="64">
        <v>88151.2</v>
      </c>
      <c r="AA24" s="64">
        <v>398.05</v>
      </c>
      <c r="AB24" s="60"/>
      <c r="AC24" s="88">
        <v>5.38</v>
      </c>
      <c r="AD24" s="95">
        <v>0</v>
      </c>
      <c r="AE24" s="88">
        <v>43.02</v>
      </c>
      <c r="AF24" s="88">
        <v>0</v>
      </c>
      <c r="AG24" s="88">
        <v>0</v>
      </c>
      <c r="AH24" s="60"/>
      <c r="AI24" s="17">
        <f>SUM(Table3[[#This Row],[Inv1]:[Inv3]])</f>
        <v>27239.5</v>
      </c>
      <c r="AJ24" s="17">
        <f>IF((Table3[[#This Row],[33 kV Outgoinng Export Reading]]-Z23)*1000&gt;0,(Table3[[#This Row],[33 kV Outgoinng Export Reading]]-Z23)*1000,0)</f>
        <v>27000</v>
      </c>
      <c r="AK24" s="17">
        <f>IF((Table3[[#This Row],[33 kV Outgoinng Import Reading]]-AA23)*1000&gt;0,(Table3[[#This Row],[33 kV Outgoinng Import Reading]]-AA23)*1000,0)</f>
        <v>100.00000000002274</v>
      </c>
      <c r="AL24" s="6">
        <f>Table3[[#This Row],[Export  (kWh)]]-Table3[[#This Row],[Import (kWh)]]</f>
        <v>26899.999999999978</v>
      </c>
      <c r="AM24" s="77">
        <f t="shared" si="3"/>
        <v>12.516666666666667</v>
      </c>
      <c r="AN24" t="s">
        <v>1189</v>
      </c>
    </row>
    <row r="25" spans="1:40" x14ac:dyDescent="0.3">
      <c r="A25" s="60">
        <f>YEAR(Table3[[#This Row],[Date]])+IF(MONTH(Table3[[#This Row],[Date]])&gt;=4,1,0)</f>
        <v>2026</v>
      </c>
      <c r="B25" s="60">
        <f>YEAR(Table3[[#This Row],[Date]])</f>
        <v>2025</v>
      </c>
      <c r="C25" s="60" t="s">
        <v>1082</v>
      </c>
      <c r="D25" s="60" t="s">
        <v>1082</v>
      </c>
      <c r="E25" s="6" t="str">
        <f>TEXT(Table3[[#This Row],[Date]],"mmm-yy")</f>
        <v>Apr-25</v>
      </c>
      <c r="F25" s="60">
        <f>DAY(EOMONTH(Table3[[#This Row],[Month Year]],0))</f>
        <v>30</v>
      </c>
      <c r="G25" s="63">
        <f t="shared" si="2"/>
        <v>45766</v>
      </c>
      <c r="H25" s="18">
        <f>'Modelling New'!$AR$1</f>
        <v>8.0208999999999993</v>
      </c>
      <c r="I25" s="120">
        <v>0.25624999999999998</v>
      </c>
      <c r="J25" s="120">
        <v>0.77361111111111114</v>
      </c>
      <c r="K25" s="3">
        <v>3762.1</v>
      </c>
      <c r="L25" s="3">
        <v>3761</v>
      </c>
      <c r="M25" s="3">
        <v>0</v>
      </c>
      <c r="N25" s="3">
        <v>3834.3</v>
      </c>
      <c r="O25" s="3">
        <v>3622</v>
      </c>
      <c r="P25" s="3">
        <v>3718.5</v>
      </c>
      <c r="Q25" s="3">
        <v>3605.2</v>
      </c>
      <c r="R25" s="3">
        <v>0</v>
      </c>
      <c r="S25" s="3">
        <v>2839.8</v>
      </c>
      <c r="T25" s="3">
        <v>2918.6</v>
      </c>
      <c r="U25" s="3">
        <v>2842.7</v>
      </c>
      <c r="V25" s="3">
        <v>2817.3</v>
      </c>
      <c r="W25" s="96">
        <f>SUM(Table3[[#This Row],[Inv1_U1]:[Inv1_U4]])</f>
        <v>11357.400000000001</v>
      </c>
      <c r="X25" s="97">
        <f>SUM(Table3[[#This Row],[Inv2_U1]:[Inv2_U4]])</f>
        <v>10945.7</v>
      </c>
      <c r="Y25" s="98">
        <f>SUM(Table3[[#This Row],[Inv3_U1]:[Inv3_U4]])</f>
        <v>11418.399999999998</v>
      </c>
      <c r="Z25" s="64">
        <v>88184.6</v>
      </c>
      <c r="AA25" s="64">
        <v>398.15</v>
      </c>
      <c r="AB25" s="60"/>
      <c r="AC25" s="88">
        <v>5.54</v>
      </c>
      <c r="AD25" s="95">
        <v>0</v>
      </c>
      <c r="AE25" s="88">
        <v>43.31</v>
      </c>
      <c r="AF25" s="88">
        <v>0</v>
      </c>
      <c r="AG25" s="88">
        <v>0</v>
      </c>
      <c r="AH25" s="60"/>
      <c r="AI25" s="17">
        <f>SUM(Table3[[#This Row],[Inv1]:[Inv3]])</f>
        <v>33721.5</v>
      </c>
      <c r="AJ25" s="17">
        <f>IF((Table3[[#This Row],[33 kV Outgoinng Export Reading]]-Z24)*1000&gt;0,(Table3[[#This Row],[33 kV Outgoinng Export Reading]]-Z24)*1000,0)</f>
        <v>33400.000000008731</v>
      </c>
      <c r="AK25" s="17">
        <f>IF((Table3[[#This Row],[33 kV Outgoinng Import Reading]]-AA24)*1000&gt;0,(Table3[[#This Row],[33 kV Outgoinng Import Reading]]-AA24)*1000,0)</f>
        <v>99.999999999965894</v>
      </c>
      <c r="AL25" s="6">
        <f>Table3[[#This Row],[Export  (kWh)]]-Table3[[#This Row],[Import (kWh)]]</f>
        <v>33300.000000008768</v>
      </c>
      <c r="AM25" s="77">
        <f t="shared" si="3"/>
        <v>12.416666666666668</v>
      </c>
      <c r="AN25" t="s">
        <v>1189</v>
      </c>
    </row>
    <row r="26" spans="1:40" x14ac:dyDescent="0.3">
      <c r="A26" s="60">
        <f>YEAR(Table3[[#This Row],[Date]])+IF(MONTH(Table3[[#This Row],[Date]])&gt;=4,1,0)</f>
        <v>2026</v>
      </c>
      <c r="B26" s="60">
        <f>YEAR(Table3[[#This Row],[Date]])</f>
        <v>2025</v>
      </c>
      <c r="C26" s="60" t="s">
        <v>1082</v>
      </c>
      <c r="D26" s="60" t="s">
        <v>1082</v>
      </c>
      <c r="E26" s="6" t="str">
        <f>TEXT(Table3[[#This Row],[Date]],"mmm-yy")</f>
        <v>Apr-25</v>
      </c>
      <c r="F26" s="60">
        <f>DAY(EOMONTH(Table3[[#This Row],[Month Year]],0))</f>
        <v>30</v>
      </c>
      <c r="G26" s="63">
        <f t="shared" si="2"/>
        <v>45767</v>
      </c>
      <c r="H26" s="18">
        <f>'Modelling New'!$AR$1</f>
        <v>8.0208999999999993</v>
      </c>
      <c r="I26" s="120">
        <v>0.25347222222222221</v>
      </c>
      <c r="J26" s="120">
        <v>0.77430555555555558</v>
      </c>
      <c r="K26" s="3">
        <v>4569.8</v>
      </c>
      <c r="L26" s="3">
        <v>4570</v>
      </c>
      <c r="M26" s="3">
        <v>0</v>
      </c>
      <c r="N26" s="3">
        <v>4636.8999999999996</v>
      </c>
      <c r="O26" s="3">
        <v>4310.2</v>
      </c>
      <c r="P26" s="3">
        <v>4279.6000000000004</v>
      </c>
      <c r="Q26" s="3">
        <v>4358.8</v>
      </c>
      <c r="R26" s="3">
        <v>0</v>
      </c>
      <c r="S26" s="3">
        <v>3469.6</v>
      </c>
      <c r="T26" s="3">
        <v>3471.7</v>
      </c>
      <c r="U26" s="3">
        <v>3527.1</v>
      </c>
      <c r="V26" s="3">
        <v>3432.2</v>
      </c>
      <c r="W26" s="96">
        <f>SUM(Table3[[#This Row],[Inv1_U1]:[Inv1_U4]])</f>
        <v>13776.699999999999</v>
      </c>
      <c r="X26" s="97">
        <f>SUM(Table3[[#This Row],[Inv2_U1]:[Inv2_U4]])</f>
        <v>12948.599999999999</v>
      </c>
      <c r="Y26" s="98">
        <f>SUM(Table3[[#This Row],[Inv3_U1]:[Inv3_U4]])</f>
        <v>13900.599999999999</v>
      </c>
      <c r="Z26" s="64">
        <v>88224.85</v>
      </c>
      <c r="AA26" s="64">
        <v>398.25</v>
      </c>
      <c r="AB26" s="60"/>
      <c r="AC26" s="88">
        <v>5.12</v>
      </c>
      <c r="AD26" s="95">
        <v>0</v>
      </c>
      <c r="AE26" s="88">
        <v>45.39</v>
      </c>
      <c r="AF26" s="88">
        <v>0</v>
      </c>
      <c r="AG26" s="88">
        <v>0</v>
      </c>
      <c r="AH26" s="60"/>
      <c r="AI26" s="17">
        <f>SUM(Table3[[#This Row],[Inv1]:[Inv3]])</f>
        <v>40625.899999999994</v>
      </c>
      <c r="AJ26" s="17">
        <f>IF((Table3[[#This Row],[33 kV Outgoinng Export Reading]]-Z25)*1000&gt;0,(Table3[[#This Row],[33 kV Outgoinng Export Reading]]-Z25)*1000,0)</f>
        <v>40250</v>
      </c>
      <c r="AK26" s="17">
        <f>IF((Table3[[#This Row],[33 kV Outgoinng Import Reading]]-AA25)*1000&gt;0,(Table3[[#This Row],[33 kV Outgoinng Import Reading]]-AA25)*1000,0)</f>
        <v>100.00000000002274</v>
      </c>
      <c r="AL26" s="6">
        <f>Table3[[#This Row],[Export  (kWh)]]-Table3[[#This Row],[Import (kWh)]]</f>
        <v>40149.999999999978</v>
      </c>
      <c r="AM26" s="77">
        <f t="shared" si="3"/>
        <v>12.5</v>
      </c>
      <c r="AN26" t="s">
        <v>1189</v>
      </c>
    </row>
    <row r="27" spans="1:40" x14ac:dyDescent="0.3">
      <c r="A27" s="60">
        <f>YEAR(Table3[[#This Row],[Date]])+IF(MONTH(Table3[[#This Row],[Date]])&gt;=4,1,0)</f>
        <v>2026</v>
      </c>
      <c r="B27" s="60">
        <f>YEAR(Table3[[#This Row],[Date]])</f>
        <v>2025</v>
      </c>
      <c r="C27" s="60" t="s">
        <v>1082</v>
      </c>
      <c r="D27" s="60" t="s">
        <v>1082</v>
      </c>
      <c r="E27" s="6" t="str">
        <f>TEXT(Table3[[#This Row],[Date]],"mmm-yy")</f>
        <v>Apr-25</v>
      </c>
      <c r="F27" s="60">
        <f>DAY(EOMONTH(Table3[[#This Row],[Month Year]],0))</f>
        <v>30</v>
      </c>
      <c r="G27" s="63">
        <f t="shared" si="2"/>
        <v>45768</v>
      </c>
      <c r="H27" s="18">
        <f>'Modelling New'!$AR$1</f>
        <v>8.0208999999999993</v>
      </c>
      <c r="I27" s="120">
        <v>0.25069444444444444</v>
      </c>
      <c r="J27" s="120">
        <v>0.76944444444444449</v>
      </c>
      <c r="K27" s="3">
        <v>3283.1</v>
      </c>
      <c r="L27" s="3">
        <v>3253.7</v>
      </c>
      <c r="M27" s="3">
        <v>0</v>
      </c>
      <c r="N27" s="3">
        <v>3284.3</v>
      </c>
      <c r="O27" s="3">
        <v>3215</v>
      </c>
      <c r="P27" s="3">
        <v>3123.7</v>
      </c>
      <c r="Q27" s="3">
        <v>3126.7</v>
      </c>
      <c r="R27" s="3">
        <v>0</v>
      </c>
      <c r="S27" s="3">
        <v>2572.1999999999998</v>
      </c>
      <c r="T27" s="3">
        <v>2507.6999999999998</v>
      </c>
      <c r="U27" s="3">
        <v>2498.1</v>
      </c>
      <c r="V27" s="3">
        <v>2477.4</v>
      </c>
      <c r="W27" s="96">
        <f>SUM(Table3[[#This Row],[Inv1_U1]:[Inv1_U4]])</f>
        <v>9821.0999999999985</v>
      </c>
      <c r="X27" s="97">
        <f>SUM(Table3[[#This Row],[Inv2_U1]:[Inv2_U4]])</f>
        <v>9465.4</v>
      </c>
      <c r="Y27" s="98">
        <f>SUM(Table3[[#This Row],[Inv3_U1]:[Inv3_U4]])</f>
        <v>10055.4</v>
      </c>
      <c r="Z27" s="64">
        <v>88253.95</v>
      </c>
      <c r="AA27" s="64">
        <v>398.35</v>
      </c>
      <c r="AB27" s="60"/>
      <c r="AC27" s="88">
        <v>5.26</v>
      </c>
      <c r="AD27" s="95">
        <v>0</v>
      </c>
      <c r="AE27" s="88">
        <v>43.8</v>
      </c>
      <c r="AF27" s="88">
        <v>0</v>
      </c>
      <c r="AG27" s="88">
        <v>0</v>
      </c>
      <c r="AH27" s="60"/>
      <c r="AI27" s="17">
        <f>SUM(Table3[[#This Row],[Inv1]:[Inv3]])</f>
        <v>29341.9</v>
      </c>
      <c r="AJ27" s="17">
        <f>IF((Table3[[#This Row],[33 kV Outgoinng Export Reading]]-Z26)*1000&gt;0,(Table3[[#This Row],[33 kV Outgoinng Export Reading]]-Z26)*1000,0)</f>
        <v>29099.999999991269</v>
      </c>
      <c r="AK27" s="17">
        <f>IF((Table3[[#This Row],[33 kV Outgoinng Import Reading]]-AA26)*1000&gt;0,(Table3[[#This Row],[33 kV Outgoinng Import Reading]]-AA26)*1000,0)</f>
        <v>100.00000000002274</v>
      </c>
      <c r="AL27" s="6">
        <f>Table3[[#This Row],[Export  (kWh)]]-Table3[[#This Row],[Import (kWh)]]</f>
        <v>28999.999999991247</v>
      </c>
      <c r="AM27" s="77">
        <f t="shared" si="3"/>
        <v>12.450000000000001</v>
      </c>
      <c r="AN27" t="s">
        <v>1189</v>
      </c>
    </row>
    <row r="28" spans="1:40" x14ac:dyDescent="0.3">
      <c r="A28" s="60">
        <f>YEAR(Table3[[#This Row],[Date]])+IF(MONTH(Table3[[#This Row],[Date]])&gt;=4,1,0)</f>
        <v>2026</v>
      </c>
      <c r="B28" s="60">
        <f>YEAR(Table3[[#This Row],[Date]])</f>
        <v>2025</v>
      </c>
      <c r="C28" s="60" t="s">
        <v>1082</v>
      </c>
      <c r="D28" s="60" t="s">
        <v>1082</v>
      </c>
      <c r="E28" s="6" t="str">
        <f>TEXT(Table3[[#This Row],[Date]],"mmm-yy")</f>
        <v>Apr-25</v>
      </c>
      <c r="F28" s="60">
        <f>DAY(EOMONTH(Table3[[#This Row],[Month Year]],0))</f>
        <v>30</v>
      </c>
      <c r="G28" s="63">
        <f t="shared" si="2"/>
        <v>45769</v>
      </c>
      <c r="H28" s="18">
        <f>'Modelling New'!$AR$1</f>
        <v>8.0208999999999993</v>
      </c>
      <c r="I28" s="120">
        <v>0.25</v>
      </c>
      <c r="J28" s="120">
        <v>0.77083333333333337</v>
      </c>
      <c r="K28" s="3">
        <v>3821.5</v>
      </c>
      <c r="L28" s="3">
        <v>3819.7</v>
      </c>
      <c r="M28" s="3">
        <v>0</v>
      </c>
      <c r="N28" s="3">
        <v>3868.1</v>
      </c>
      <c r="O28" s="3">
        <v>3776.1</v>
      </c>
      <c r="P28" s="3">
        <v>3684</v>
      </c>
      <c r="Q28" s="3">
        <v>3690.2</v>
      </c>
      <c r="R28" s="3">
        <v>0</v>
      </c>
      <c r="S28" s="3">
        <v>2906.3</v>
      </c>
      <c r="T28" s="3">
        <v>2929.4</v>
      </c>
      <c r="U28" s="3">
        <v>2959.1</v>
      </c>
      <c r="V28" s="3">
        <v>2876.9</v>
      </c>
      <c r="W28" s="96">
        <f>SUM(Table3[[#This Row],[Inv1_U1]:[Inv1_U4]])</f>
        <v>11509.3</v>
      </c>
      <c r="X28" s="97">
        <f>SUM(Table3[[#This Row],[Inv2_U1]:[Inv2_U4]])</f>
        <v>11150.3</v>
      </c>
      <c r="Y28" s="98">
        <f>SUM(Table3[[#This Row],[Inv3_U1]:[Inv3_U4]])</f>
        <v>11671.7</v>
      </c>
      <c r="Z28" s="64">
        <v>88287.95</v>
      </c>
      <c r="AA28" s="64">
        <v>398.45</v>
      </c>
      <c r="AB28" s="60"/>
      <c r="AC28" s="88">
        <v>5.79</v>
      </c>
      <c r="AD28" s="95">
        <v>0</v>
      </c>
      <c r="AE28" s="88">
        <v>46.12</v>
      </c>
      <c r="AF28" s="88">
        <v>0</v>
      </c>
      <c r="AG28" s="88">
        <v>0</v>
      </c>
      <c r="AH28" s="60"/>
      <c r="AI28" s="17">
        <f>SUM(Table3[[#This Row],[Inv1]:[Inv3]])</f>
        <v>34331.300000000003</v>
      </c>
      <c r="AJ28" s="17">
        <f>IF((Table3[[#This Row],[33 kV Outgoinng Export Reading]]-Z27)*1000&gt;0,(Table3[[#This Row],[33 kV Outgoinng Export Reading]]-Z27)*1000,0)</f>
        <v>34000</v>
      </c>
      <c r="AK28" s="17">
        <f>IF((Table3[[#This Row],[33 kV Outgoinng Import Reading]]-AA27)*1000&gt;0,(Table3[[#This Row],[33 kV Outgoinng Import Reading]]-AA27)*1000,0)</f>
        <v>99.999999999965894</v>
      </c>
      <c r="AL28" s="6">
        <f>Table3[[#This Row],[Export  (kWh)]]-Table3[[#This Row],[Import (kWh)]]</f>
        <v>33900.000000000036</v>
      </c>
      <c r="AM28" s="77">
        <f t="shared" si="3"/>
        <v>12.5</v>
      </c>
      <c r="AN28" t="s">
        <v>1189</v>
      </c>
    </row>
    <row r="29" spans="1:40" x14ac:dyDescent="0.3">
      <c r="A29" s="60">
        <f>YEAR(Table3[[#This Row],[Date]])+IF(MONTH(Table3[[#This Row],[Date]])&gt;=4,1,0)</f>
        <v>2026</v>
      </c>
      <c r="B29" s="60">
        <f>YEAR(Table3[[#This Row],[Date]])</f>
        <v>2025</v>
      </c>
      <c r="C29" s="60" t="s">
        <v>1082</v>
      </c>
      <c r="D29" s="60" t="s">
        <v>1082</v>
      </c>
      <c r="E29" s="6" t="str">
        <f>TEXT(Table3[[#This Row],[Date]],"mmm-yy")</f>
        <v>Apr-25</v>
      </c>
      <c r="F29" s="60">
        <f>DAY(EOMONTH(Table3[[#This Row],[Month Year]],0))</f>
        <v>30</v>
      </c>
      <c r="G29" s="63">
        <f t="shared" si="2"/>
        <v>45770</v>
      </c>
      <c r="H29" s="18">
        <f>'Modelling New'!$AR$1</f>
        <v>8.0208999999999993</v>
      </c>
      <c r="I29" s="120">
        <v>0.25069444444444444</v>
      </c>
      <c r="J29" s="120">
        <v>0.76666666666666672</v>
      </c>
      <c r="K29" s="3">
        <v>3684</v>
      </c>
      <c r="L29" s="3">
        <v>3682.6</v>
      </c>
      <c r="M29" s="3">
        <v>0</v>
      </c>
      <c r="N29" s="3">
        <v>3753.7</v>
      </c>
      <c r="O29" s="3">
        <v>3556.6</v>
      </c>
      <c r="P29" s="3">
        <v>3608.5</v>
      </c>
      <c r="Q29" s="3">
        <v>3542.9</v>
      </c>
      <c r="R29" s="3">
        <v>0</v>
      </c>
      <c r="S29" s="3">
        <v>2798.7</v>
      </c>
      <c r="T29" s="3">
        <v>2803.6</v>
      </c>
      <c r="U29" s="3">
        <v>2862.4</v>
      </c>
      <c r="V29" s="3">
        <v>2768.4</v>
      </c>
      <c r="W29" s="96">
        <f>SUM(Table3[[#This Row],[Inv1_U1]:[Inv1_U4]])</f>
        <v>11120.3</v>
      </c>
      <c r="X29" s="97">
        <f>SUM(Table3[[#This Row],[Inv2_U1]:[Inv2_U4]])</f>
        <v>10708</v>
      </c>
      <c r="Y29" s="98">
        <f>SUM(Table3[[#This Row],[Inv3_U1]:[Inv3_U4]])</f>
        <v>11233.099999999999</v>
      </c>
      <c r="Z29" s="64">
        <v>88320.65</v>
      </c>
      <c r="AA29" s="64">
        <v>398.55</v>
      </c>
      <c r="AB29" s="60"/>
      <c r="AC29" s="88">
        <v>5.92</v>
      </c>
      <c r="AD29" s="95">
        <v>0</v>
      </c>
      <c r="AE29" s="88">
        <v>47.02</v>
      </c>
      <c r="AF29" s="88">
        <v>0</v>
      </c>
      <c r="AG29" s="88">
        <v>0</v>
      </c>
      <c r="AH29" s="60"/>
      <c r="AI29" s="17">
        <f>SUM(Table3[[#This Row],[Inv1]:[Inv3]])</f>
        <v>33061.399999999994</v>
      </c>
      <c r="AJ29" s="17">
        <f>IF((Table3[[#This Row],[33 kV Outgoinng Export Reading]]-Z28)*1000&gt;0,(Table3[[#This Row],[33 kV Outgoinng Export Reading]]-Z28)*1000,0)</f>
        <v>32699.99999999709</v>
      </c>
      <c r="AK29" s="17">
        <f>IF((Table3[[#This Row],[33 kV Outgoinng Import Reading]]-AA28)*1000&gt;0,(Table3[[#This Row],[33 kV Outgoinng Import Reading]]-AA28)*1000,0)</f>
        <v>100.00000000002274</v>
      </c>
      <c r="AL29" s="6">
        <f>Table3[[#This Row],[Export  (kWh)]]-Table3[[#This Row],[Import (kWh)]]</f>
        <v>32599.999999997068</v>
      </c>
      <c r="AM29" s="77">
        <f t="shared" si="3"/>
        <v>12.383333333333335</v>
      </c>
      <c r="AN29" t="s">
        <v>1189</v>
      </c>
    </row>
    <row r="30" spans="1:40" x14ac:dyDescent="0.3">
      <c r="A30" s="60">
        <f>YEAR(Table3[[#This Row],[Date]])+IF(MONTH(Table3[[#This Row],[Date]])&gt;=4,1,0)</f>
        <v>2026</v>
      </c>
      <c r="B30" s="60">
        <f>YEAR(Table3[[#This Row],[Date]])</f>
        <v>2025</v>
      </c>
      <c r="C30" s="60" t="s">
        <v>1082</v>
      </c>
      <c r="D30" s="60" t="s">
        <v>1082</v>
      </c>
      <c r="E30" s="6" t="str">
        <f>TEXT(Table3[[#This Row],[Date]],"mmm-yy")</f>
        <v>Apr-25</v>
      </c>
      <c r="F30" s="60">
        <f>DAY(EOMONTH(Table3[[#This Row],[Month Year]],0))</f>
        <v>30</v>
      </c>
      <c r="G30" s="63">
        <f t="shared" si="2"/>
        <v>45771</v>
      </c>
      <c r="H30" s="18">
        <f>'Modelling New'!$AR$1</f>
        <v>8.0208999999999993</v>
      </c>
      <c r="I30" s="120">
        <v>0.25277777777777777</v>
      </c>
      <c r="J30" s="120">
        <v>0.76249999999999996</v>
      </c>
      <c r="K30" s="3">
        <v>4045.7</v>
      </c>
      <c r="L30" s="3">
        <v>3970.5</v>
      </c>
      <c r="M30" s="3">
        <v>0</v>
      </c>
      <c r="N30" s="3">
        <v>3968.8</v>
      </c>
      <c r="O30" s="3">
        <v>3826.9</v>
      </c>
      <c r="P30" s="3">
        <v>3805</v>
      </c>
      <c r="Q30" s="3">
        <v>3888.8</v>
      </c>
      <c r="R30" s="3">
        <v>0</v>
      </c>
      <c r="S30" s="3">
        <v>3016.6</v>
      </c>
      <c r="T30" s="3">
        <v>3019.6</v>
      </c>
      <c r="U30" s="3">
        <v>3008.8</v>
      </c>
      <c r="V30" s="3">
        <v>3049.7</v>
      </c>
      <c r="W30" s="96">
        <v>11985</v>
      </c>
      <c r="X30" s="97">
        <v>11520.7</v>
      </c>
      <c r="Y30" s="98">
        <v>12094.7</v>
      </c>
      <c r="Z30" s="64">
        <v>88355.95</v>
      </c>
      <c r="AA30" s="64">
        <v>398.65</v>
      </c>
      <c r="AB30" s="60"/>
      <c r="AC30" s="88">
        <v>5.6</v>
      </c>
      <c r="AD30" s="95">
        <v>0</v>
      </c>
      <c r="AE30" s="88">
        <v>46.38</v>
      </c>
      <c r="AF30" s="88">
        <v>0</v>
      </c>
      <c r="AG30" s="88">
        <v>0</v>
      </c>
      <c r="AH30" s="60"/>
      <c r="AI30" s="17">
        <f>SUM(Table3[[#This Row],[Inv1]:[Inv3]])</f>
        <v>35600.400000000001</v>
      </c>
      <c r="AJ30" s="17">
        <f>IF((Table3[[#This Row],[33 kV Outgoinng Export Reading]]-Z29)*1000&gt;0,(Table3[[#This Row],[33 kV Outgoinng Export Reading]]-Z29)*1000,0)</f>
        <v>35300.00000000291</v>
      </c>
      <c r="AK30" s="17">
        <f>IF((Table3[[#This Row],[33 kV Outgoinng Import Reading]]-AA29)*1000&gt;0,(Table3[[#This Row],[33 kV Outgoinng Import Reading]]-AA29)*1000,0)</f>
        <v>99.999999999965894</v>
      </c>
      <c r="AL30" s="6">
        <f>Table3[[#This Row],[Export  (kWh)]]-Table3[[#This Row],[Import (kWh)]]</f>
        <v>35200.000000002947</v>
      </c>
      <c r="AM30" s="77">
        <f t="shared" si="3"/>
        <v>12.233333333333333</v>
      </c>
      <c r="AN30" t="s">
        <v>1189</v>
      </c>
    </row>
    <row r="31" spans="1:40" x14ac:dyDescent="0.3">
      <c r="A31" s="60">
        <f>YEAR(Table3[[#This Row],[Date]])+IF(MONTH(Table3[[#This Row],[Date]])&gt;=4,1,0)</f>
        <v>2026</v>
      </c>
      <c r="B31" s="60">
        <f>YEAR(Table3[[#This Row],[Date]])</f>
        <v>2025</v>
      </c>
      <c r="C31" s="60" t="s">
        <v>1082</v>
      </c>
      <c r="D31" s="60" t="s">
        <v>1082</v>
      </c>
      <c r="E31" s="6" t="str">
        <f>TEXT(Table3[[#This Row],[Date]],"mmm-yy")</f>
        <v>Apr-25</v>
      </c>
      <c r="F31" s="60">
        <f>DAY(EOMONTH(Table3[[#This Row],[Month Year]],0))</f>
        <v>30</v>
      </c>
      <c r="G31" s="63">
        <f t="shared" si="2"/>
        <v>45772</v>
      </c>
      <c r="H31" s="18">
        <f>'Modelling New'!$AR$1</f>
        <v>8.0208999999999993</v>
      </c>
      <c r="I31" s="120">
        <v>0.25347222222222221</v>
      </c>
      <c r="J31" s="120">
        <v>0.75694444444444442</v>
      </c>
      <c r="K31" s="3">
        <v>3589</v>
      </c>
      <c r="L31" s="3">
        <v>3572</v>
      </c>
      <c r="M31" s="3">
        <v>0</v>
      </c>
      <c r="N31" s="3">
        <v>3643</v>
      </c>
      <c r="O31" s="3">
        <v>3524</v>
      </c>
      <c r="P31" s="3">
        <v>3433</v>
      </c>
      <c r="Q31" s="3">
        <v>3444</v>
      </c>
      <c r="R31" s="3">
        <v>0</v>
      </c>
      <c r="S31" s="3">
        <v>2778</v>
      </c>
      <c r="T31" s="3">
        <v>2706</v>
      </c>
      <c r="U31" s="3">
        <v>2715</v>
      </c>
      <c r="V31" s="3">
        <v>2677</v>
      </c>
      <c r="W31" s="96">
        <f>SUM(Table3[[#This Row],[Inv1_U1]:[Inv1_U4]])</f>
        <v>10804</v>
      </c>
      <c r="X31" s="97">
        <f>SUM(Table3[[#This Row],[Inv2_U1]:[Inv2_U4]])</f>
        <v>10401</v>
      </c>
      <c r="Y31" s="98">
        <f>SUM(Table3[[#This Row],[Inv3_U1]:[Inv3_U4]])</f>
        <v>10876</v>
      </c>
      <c r="Z31" s="64">
        <v>88387.75</v>
      </c>
      <c r="AA31" s="64">
        <v>398.75</v>
      </c>
      <c r="AB31" s="60"/>
      <c r="AC31" s="88">
        <v>5.72</v>
      </c>
      <c r="AD31" s="95">
        <v>0</v>
      </c>
      <c r="AE31" s="88">
        <v>46.34</v>
      </c>
      <c r="AF31" s="88">
        <v>0</v>
      </c>
      <c r="AG31" s="88">
        <v>0</v>
      </c>
      <c r="AH31" s="60"/>
      <c r="AI31" s="17">
        <f>SUM(Table3[[#This Row],[Inv1]:[Inv3]])</f>
        <v>32081</v>
      </c>
      <c r="AJ31" s="17">
        <f>IF((Table3[[#This Row],[33 kV Outgoinng Export Reading]]-Z30)*1000&gt;0,(Table3[[#This Row],[33 kV Outgoinng Export Reading]]-Z30)*1000,0)</f>
        <v>31800.00000000291</v>
      </c>
      <c r="AK31" s="17">
        <f>IF((Table3[[#This Row],[33 kV Outgoinng Import Reading]]-AA30)*1000&gt;0,(Table3[[#This Row],[33 kV Outgoinng Import Reading]]-AA30)*1000,0)</f>
        <v>100.00000000002274</v>
      </c>
      <c r="AL31" s="6">
        <f>Table3[[#This Row],[Export  (kWh)]]-Table3[[#This Row],[Import (kWh)]]</f>
        <v>31700.000000002889</v>
      </c>
      <c r="AM31" s="77">
        <f t="shared" si="3"/>
        <v>12.083333333333332</v>
      </c>
      <c r="AN31" t="s">
        <v>1189</v>
      </c>
    </row>
    <row r="32" spans="1:40" x14ac:dyDescent="0.3">
      <c r="A32" s="60">
        <f>YEAR(Table3[[#This Row],[Date]])+IF(MONTH(Table3[[#This Row],[Date]])&gt;=4,1,0)</f>
        <v>2026</v>
      </c>
      <c r="B32" s="60">
        <f>YEAR(Table3[[#This Row],[Date]])</f>
        <v>2025</v>
      </c>
      <c r="C32" s="60" t="s">
        <v>1082</v>
      </c>
      <c r="D32" s="60" t="s">
        <v>1082</v>
      </c>
      <c r="E32" s="6" t="str">
        <f>TEXT(Table3[[#This Row],[Date]],"mmm-yy")</f>
        <v>Apr-25</v>
      </c>
      <c r="F32" s="60">
        <f>DAY(EOMONTH(Table3[[#This Row],[Month Year]],0))</f>
        <v>30</v>
      </c>
      <c r="G32" s="63">
        <f t="shared" si="2"/>
        <v>45773</v>
      </c>
      <c r="H32" s="18">
        <f>'Modelling New'!$AR$1</f>
        <v>8.0208999999999993</v>
      </c>
      <c r="I32" s="120">
        <v>0.25</v>
      </c>
      <c r="J32" s="120">
        <v>0.76736111111111116</v>
      </c>
      <c r="K32" s="3">
        <v>4210</v>
      </c>
      <c r="L32" s="3">
        <v>4153.7</v>
      </c>
      <c r="M32" s="3">
        <v>0</v>
      </c>
      <c r="N32" s="3">
        <v>4150.3999999999996</v>
      </c>
      <c r="O32" s="3">
        <v>4020.1</v>
      </c>
      <c r="P32" s="3">
        <v>3995.5</v>
      </c>
      <c r="Q32" s="3">
        <v>4060.2</v>
      </c>
      <c r="R32" s="3">
        <v>0</v>
      </c>
      <c r="S32" s="3">
        <v>3154</v>
      </c>
      <c r="T32" s="3">
        <v>3160.6</v>
      </c>
      <c r="U32" s="3">
        <v>3205.2</v>
      </c>
      <c r="V32" s="3">
        <v>3123.5</v>
      </c>
      <c r="W32" s="96">
        <f>SUM(Table3[[#This Row],[Inv1_U1]:[Inv1_U4]])</f>
        <v>12514.1</v>
      </c>
      <c r="X32" s="97">
        <f>SUM(Table3[[#This Row],[Inv2_U1]:[Inv2_U4]])</f>
        <v>12075.8</v>
      </c>
      <c r="Y32" s="98">
        <f>SUM(Table3[[#This Row],[Inv3_U1]:[Inv3_U4]])</f>
        <v>12643.3</v>
      </c>
      <c r="Z32" s="64">
        <v>88424.65</v>
      </c>
      <c r="AA32" s="64">
        <v>398.8</v>
      </c>
      <c r="AB32" s="60"/>
      <c r="AC32" s="88">
        <v>5.2</v>
      </c>
      <c r="AD32" s="95">
        <v>0</v>
      </c>
      <c r="AE32" s="88">
        <v>45.56</v>
      </c>
      <c r="AF32" s="88">
        <v>0</v>
      </c>
      <c r="AG32" s="88">
        <v>0</v>
      </c>
      <c r="AH32" s="60"/>
      <c r="AI32" s="17">
        <f>SUM(Table3[[#This Row],[Inv1]:[Inv3]])</f>
        <v>37233.199999999997</v>
      </c>
      <c r="AJ32" s="17">
        <f>IF((Table3[[#This Row],[33 kV Outgoinng Export Reading]]-Z31)*1000&gt;0,(Table3[[#This Row],[33 kV Outgoinng Export Reading]]-Z31)*1000,0)</f>
        <v>36899.999999994179</v>
      </c>
      <c r="AK32" s="17">
        <f>IF((Table3[[#This Row],[33 kV Outgoinng Import Reading]]-AA31)*1000&gt;0,(Table3[[#This Row],[33 kV Outgoinng Import Reading]]-AA31)*1000,0)</f>
        <v>50.000000000011369</v>
      </c>
      <c r="AL32" s="6">
        <f>Table3[[#This Row],[Export  (kWh)]]-Table3[[#This Row],[Import (kWh)]]</f>
        <v>36849.999999994165</v>
      </c>
      <c r="AM32" s="77">
        <f t="shared" si="3"/>
        <v>12.416666666666668</v>
      </c>
      <c r="AN32" t="s">
        <v>1189</v>
      </c>
    </row>
    <row r="33" spans="1:40" x14ac:dyDescent="0.3">
      <c r="A33" s="60">
        <f>YEAR(Table3[[#This Row],[Date]])+IF(MONTH(Table3[[#This Row],[Date]])&gt;=4,1,0)</f>
        <v>2026</v>
      </c>
      <c r="B33" s="60">
        <f>YEAR(Table3[[#This Row],[Date]])</f>
        <v>2025</v>
      </c>
      <c r="C33" s="60" t="s">
        <v>1082</v>
      </c>
      <c r="D33" s="60" t="s">
        <v>1082</v>
      </c>
      <c r="E33" s="6" t="str">
        <f>TEXT(Table3[[#This Row],[Date]],"mmm-yy")</f>
        <v>Apr-25</v>
      </c>
      <c r="F33" s="60">
        <f>DAY(EOMONTH(Table3[[#This Row],[Month Year]],0))</f>
        <v>30</v>
      </c>
      <c r="G33" s="63">
        <f t="shared" si="2"/>
        <v>45774</v>
      </c>
      <c r="H33" s="18">
        <f>'Modelling New'!$AR$1</f>
        <v>8.0208999999999993</v>
      </c>
      <c r="I33" s="120">
        <v>0.25</v>
      </c>
      <c r="J33" s="120">
        <v>0.7729166666666667</v>
      </c>
      <c r="K33" s="3">
        <v>3066.2</v>
      </c>
      <c r="L33" s="3">
        <v>3152.6</v>
      </c>
      <c r="M33" s="3">
        <v>0</v>
      </c>
      <c r="N33" s="3">
        <v>3092.5</v>
      </c>
      <c r="O33" s="3">
        <v>3046.7</v>
      </c>
      <c r="P33" s="3">
        <v>2965.5</v>
      </c>
      <c r="Q33" s="3">
        <v>2942</v>
      </c>
      <c r="R33" s="3">
        <v>0</v>
      </c>
      <c r="S33" s="3">
        <v>2351.4</v>
      </c>
      <c r="T33" s="3">
        <v>2326.6999999999998</v>
      </c>
      <c r="U33" s="3">
        <v>2326.5</v>
      </c>
      <c r="V33" s="3">
        <v>2398.1999999999998</v>
      </c>
      <c r="W33" s="96">
        <f>SUM(Table3[[#This Row],[Inv1_U1]:[Inv1_U4]])</f>
        <v>9311.2999999999993</v>
      </c>
      <c r="X33" s="97">
        <f>SUM(Table3[[#This Row],[Inv2_U1]:[Inv2_U4]])</f>
        <v>8954.2000000000007</v>
      </c>
      <c r="Y33" s="98">
        <f>SUM(Table3[[#This Row],[Inv3_U1]:[Inv3_U4]])</f>
        <v>9402.7999999999993</v>
      </c>
      <c r="Z33" s="64">
        <v>88452.05</v>
      </c>
      <c r="AA33" s="64">
        <v>398.9</v>
      </c>
      <c r="AB33" s="60"/>
      <c r="AC33" s="88">
        <v>4.6900000000000004</v>
      </c>
      <c r="AD33" s="95">
        <v>0</v>
      </c>
      <c r="AE33" s="88">
        <v>41.92</v>
      </c>
      <c r="AF33" s="88">
        <v>0</v>
      </c>
      <c r="AG33" s="88">
        <v>0</v>
      </c>
      <c r="AH33" s="60"/>
      <c r="AI33" s="17">
        <f>SUM(Table3[[#This Row],[Inv1]:[Inv3]])</f>
        <v>27668.3</v>
      </c>
      <c r="AJ33" s="17">
        <f>IF((Table3[[#This Row],[33 kV Outgoinng Export Reading]]-Z32)*1000&gt;0,(Table3[[#This Row],[33 kV Outgoinng Export Reading]]-Z32)*1000,0)</f>
        <v>27400.000000008731</v>
      </c>
      <c r="AK33" s="17">
        <f>IF((Table3[[#This Row],[33 kV Outgoinng Import Reading]]-AA32)*1000&gt;0,(Table3[[#This Row],[33 kV Outgoinng Import Reading]]-AA32)*1000,0)</f>
        <v>99.999999999965894</v>
      </c>
      <c r="AL33" s="6">
        <f>Table3[[#This Row],[Export  (kWh)]]-Table3[[#This Row],[Import (kWh)]]</f>
        <v>27300.000000008764</v>
      </c>
      <c r="AM33" s="77">
        <f t="shared" si="3"/>
        <v>12.55</v>
      </c>
      <c r="AN33" t="s">
        <v>1189</v>
      </c>
    </row>
    <row r="34" spans="1:40" x14ac:dyDescent="0.3">
      <c r="A34" s="60">
        <f>YEAR(Table3[[#This Row],[Date]])+IF(MONTH(Table3[[#This Row],[Date]])&gt;=4,1,0)</f>
        <v>2026</v>
      </c>
      <c r="B34" s="60">
        <f>YEAR(Table3[[#This Row],[Date]])</f>
        <v>2025</v>
      </c>
      <c r="C34" s="60" t="s">
        <v>1082</v>
      </c>
      <c r="D34" s="60" t="s">
        <v>1082</v>
      </c>
      <c r="E34" s="6" t="str">
        <f>TEXT(Table3[[#This Row],[Date]],"mmm-yy")</f>
        <v>Apr-25</v>
      </c>
      <c r="F34" s="60">
        <f>DAY(EOMONTH(Table3[[#This Row],[Month Year]],0))</f>
        <v>30</v>
      </c>
      <c r="G34" s="63">
        <f t="shared" si="2"/>
        <v>45775</v>
      </c>
      <c r="H34" s="18">
        <f>'Modelling New'!$AR$1</f>
        <v>8.0208999999999993</v>
      </c>
      <c r="I34" s="120">
        <v>0.25</v>
      </c>
      <c r="J34" s="120">
        <v>0.77638888888888891</v>
      </c>
      <c r="K34" s="3">
        <v>4545.8</v>
      </c>
      <c r="L34" s="3">
        <v>4544.1000000000004</v>
      </c>
      <c r="M34" s="3">
        <v>0</v>
      </c>
      <c r="N34" s="3">
        <v>4607.8999999999996</v>
      </c>
      <c r="O34" s="3">
        <v>4449</v>
      </c>
      <c r="P34" s="3">
        <v>4357</v>
      </c>
      <c r="Q34" s="3">
        <v>4361.6000000000004</v>
      </c>
      <c r="R34" s="3">
        <v>0</v>
      </c>
      <c r="S34" s="3">
        <v>3460.5</v>
      </c>
      <c r="T34" s="3">
        <v>3527.9</v>
      </c>
      <c r="U34" s="3">
        <v>3455.5</v>
      </c>
      <c r="V34" s="3">
        <v>3426</v>
      </c>
      <c r="W34" s="96">
        <f>SUM(Table3[[#This Row],[Inv1_U1]:[Inv1_U4]])</f>
        <v>13697.800000000001</v>
      </c>
      <c r="X34" s="97">
        <f>SUM(Table3[[#This Row],[Inv2_U1]:[Inv2_U4]])</f>
        <v>13167.6</v>
      </c>
      <c r="Y34" s="98">
        <f>SUM(Table3[[#This Row],[Inv3_U1]:[Inv3_U4]])</f>
        <v>13869.9</v>
      </c>
      <c r="Z34" s="64">
        <v>88492.45</v>
      </c>
      <c r="AA34" s="64">
        <v>399</v>
      </c>
      <c r="AB34" s="60"/>
      <c r="AC34" s="88">
        <v>6.33</v>
      </c>
      <c r="AD34" s="95">
        <v>0</v>
      </c>
      <c r="AE34" s="88">
        <v>44.84</v>
      </c>
      <c r="AF34" s="88">
        <v>0</v>
      </c>
      <c r="AG34" s="88">
        <v>0</v>
      </c>
      <c r="AH34" s="60"/>
      <c r="AI34" s="17">
        <f>SUM(Table3[[#This Row],[Inv1]:[Inv3]])</f>
        <v>40735.300000000003</v>
      </c>
      <c r="AJ34" s="17">
        <f>IF((Table3[[#This Row],[33 kV Outgoinng Export Reading]]-Z33)*1000&gt;0,(Table3[[#This Row],[33 kV Outgoinng Export Reading]]-Z33)*1000,0)</f>
        <v>40399.999999994179</v>
      </c>
      <c r="AK34" s="17">
        <f>IF((Table3[[#This Row],[33 kV Outgoinng Import Reading]]-AA33)*1000&gt;0,(Table3[[#This Row],[33 kV Outgoinng Import Reading]]-AA33)*1000,0)</f>
        <v>100.00000000002274</v>
      </c>
      <c r="AL34" s="6">
        <f>Table3[[#This Row],[Export  (kWh)]]-Table3[[#This Row],[Import (kWh)]]</f>
        <v>40299.999999994157</v>
      </c>
      <c r="AM34" s="77">
        <f t="shared" si="3"/>
        <v>12.633333333333333</v>
      </c>
      <c r="AN34" t="s">
        <v>1189</v>
      </c>
    </row>
    <row r="35" spans="1:40" x14ac:dyDescent="0.3">
      <c r="A35" s="60">
        <f>YEAR(Table3[[#This Row],[Date]])+IF(MONTH(Table3[[#This Row],[Date]])&gt;=4,1,0)</f>
        <v>2026</v>
      </c>
      <c r="B35" s="60">
        <f>YEAR(Table3[[#This Row],[Date]])</f>
        <v>2025</v>
      </c>
      <c r="C35" s="60" t="s">
        <v>1082</v>
      </c>
      <c r="D35" s="60" t="s">
        <v>1082</v>
      </c>
      <c r="E35" s="6" t="str">
        <f>TEXT(Table3[[#This Row],[Date]],"mmm-yy")</f>
        <v>Apr-25</v>
      </c>
      <c r="F35" s="60">
        <f>DAY(EOMONTH(Table3[[#This Row],[Month Year]],0))</f>
        <v>30</v>
      </c>
      <c r="G35" s="63">
        <f t="shared" si="2"/>
        <v>45776</v>
      </c>
      <c r="H35" s="18">
        <f>'Modelling New'!$AR$1</f>
        <v>8.0208999999999993</v>
      </c>
      <c r="I35" s="120">
        <v>0.25208333333333333</v>
      </c>
      <c r="J35" s="120">
        <v>0.77708333333333335</v>
      </c>
      <c r="K35" s="3">
        <v>3928</v>
      </c>
      <c r="L35" s="3">
        <v>3859.3</v>
      </c>
      <c r="M35" s="3">
        <v>0</v>
      </c>
      <c r="N35" s="3">
        <v>3860.2</v>
      </c>
      <c r="O35" s="3">
        <v>3633</v>
      </c>
      <c r="P35" s="3">
        <v>3611.9</v>
      </c>
      <c r="Q35" s="3">
        <v>3681.9</v>
      </c>
      <c r="R35" s="3">
        <v>0</v>
      </c>
      <c r="S35" s="3">
        <v>2929.8</v>
      </c>
      <c r="T35" s="3">
        <v>2927.6</v>
      </c>
      <c r="U35" s="3">
        <v>2989.4</v>
      </c>
      <c r="V35" s="3">
        <v>2901.3</v>
      </c>
      <c r="W35" s="96">
        <f>SUM(Table3[[#This Row],[Inv1_U1]:[Inv1_U4]])</f>
        <v>11647.5</v>
      </c>
      <c r="X35" s="97">
        <f>SUM(Table3[[#This Row],[Inv2_U1]:[Inv2_U4]])</f>
        <v>10926.8</v>
      </c>
      <c r="Y35" s="98">
        <f>SUM(Table3[[#This Row],[Inv3_U1]:[Inv3_U4]])</f>
        <v>11748.099999999999</v>
      </c>
      <c r="Z35" s="64">
        <v>88526.5</v>
      </c>
      <c r="AA35" s="64">
        <v>399.1</v>
      </c>
      <c r="AB35" s="60"/>
      <c r="AC35" s="88">
        <v>5.62</v>
      </c>
      <c r="AD35" s="95">
        <v>0</v>
      </c>
      <c r="AE35" s="88">
        <v>44.35</v>
      </c>
      <c r="AF35" s="88">
        <v>0</v>
      </c>
      <c r="AG35" s="88">
        <v>0</v>
      </c>
      <c r="AH35" s="60"/>
      <c r="AI35" s="17">
        <f>SUM(Table3[[#This Row],[Inv1]:[Inv3]])</f>
        <v>34322.399999999994</v>
      </c>
      <c r="AJ35" s="17">
        <f>IF((Table3[[#This Row],[33 kV Outgoinng Export Reading]]-Z34)*1000&gt;0,(Table3[[#This Row],[33 kV Outgoinng Export Reading]]-Z34)*1000,0)</f>
        <v>34050.00000000291</v>
      </c>
      <c r="AK35" s="17">
        <f>IF((Table3[[#This Row],[33 kV Outgoinng Import Reading]]-AA34)*1000&gt;0,(Table3[[#This Row],[33 kV Outgoinng Import Reading]]-AA34)*1000,0)</f>
        <v>100.00000000002274</v>
      </c>
      <c r="AL35" s="6">
        <f>Table3[[#This Row],[Export  (kWh)]]-Table3[[#This Row],[Import (kWh)]]</f>
        <v>33950.000000002889</v>
      </c>
      <c r="AM35" s="77">
        <f t="shared" si="3"/>
        <v>12.600000000000001</v>
      </c>
      <c r="AN35" t="s">
        <v>1189</v>
      </c>
    </row>
    <row r="36" spans="1:40" x14ac:dyDescent="0.3">
      <c r="A36" s="60">
        <f>YEAR(Table3[[#This Row],[Date]])+IF(MONTH(Table3[[#This Row],[Date]])&gt;=4,1,0)</f>
        <v>2026</v>
      </c>
      <c r="B36" s="60">
        <f>YEAR(Table3[[#This Row],[Date]])</f>
        <v>2025</v>
      </c>
      <c r="C36" s="60" t="s">
        <v>1082</v>
      </c>
      <c r="D36" s="60" t="s">
        <v>1082</v>
      </c>
      <c r="E36" s="6" t="str">
        <f>TEXT(Table3[[#This Row],[Date]],"mmm-yy")</f>
        <v>Apr-25</v>
      </c>
      <c r="F36" s="60">
        <f>DAY(EOMONTH(Table3[[#This Row],[Month Year]],0))</f>
        <v>30</v>
      </c>
      <c r="G36" s="63">
        <f t="shared" si="2"/>
        <v>45777</v>
      </c>
      <c r="H36" s="18">
        <f>'Modelling New'!$AR$1</f>
        <v>8.0208999999999993</v>
      </c>
      <c r="I36" s="120">
        <v>0.25</v>
      </c>
      <c r="J36" s="120">
        <v>0.77500000000000002</v>
      </c>
      <c r="K36" s="3">
        <v>4484.5</v>
      </c>
      <c r="L36" s="3">
        <v>4555.3999999999996</v>
      </c>
      <c r="M36" s="3">
        <v>0</v>
      </c>
      <c r="N36" s="3">
        <v>4481.6000000000004</v>
      </c>
      <c r="O36" s="3">
        <v>4397.8999999999996</v>
      </c>
      <c r="P36" s="3">
        <v>4290.8</v>
      </c>
      <c r="Q36" s="3">
        <v>4299.3999999999996</v>
      </c>
      <c r="R36" s="3">
        <v>0</v>
      </c>
      <c r="S36" s="3">
        <v>3388.4</v>
      </c>
      <c r="T36" s="3">
        <v>3394.8</v>
      </c>
      <c r="U36" s="3">
        <v>3379.8</v>
      </c>
      <c r="V36" s="3">
        <v>3420.9</v>
      </c>
      <c r="W36" s="96">
        <f>SUM(Table3[[#This Row],[Inv1_U1]:[Inv1_U4]])</f>
        <v>13521.5</v>
      </c>
      <c r="X36" s="97">
        <f>SUM(Table3[[#This Row],[Inv2_U1]:[Inv2_U4]])</f>
        <v>12988.1</v>
      </c>
      <c r="Y36" s="98">
        <f>SUM(Table3[[#This Row],[Inv3_U1]:[Inv3_U4]])</f>
        <v>13583.9</v>
      </c>
      <c r="Z36" s="64">
        <v>88566.25</v>
      </c>
      <c r="AA36" s="64">
        <v>399.2</v>
      </c>
      <c r="AB36" s="60"/>
      <c r="AC36" s="88">
        <v>5.77</v>
      </c>
      <c r="AD36" s="95">
        <v>0</v>
      </c>
      <c r="AE36" s="88">
        <v>46.33</v>
      </c>
      <c r="AF36" s="88">
        <v>0</v>
      </c>
      <c r="AG36" s="88">
        <v>0</v>
      </c>
      <c r="AH36" s="60"/>
      <c r="AI36" s="17">
        <f>SUM(Table3[[#This Row],[Inv1]:[Inv3]])</f>
        <v>40093.5</v>
      </c>
      <c r="AJ36" s="17">
        <f>IF((Table3[[#This Row],[33 kV Outgoinng Export Reading]]-Z35)*1000&gt;0,(Table3[[#This Row],[33 kV Outgoinng Export Reading]]-Z35)*1000,0)</f>
        <v>39750</v>
      </c>
      <c r="AK36" s="17">
        <f>IF((Table3[[#This Row],[33 kV Outgoinng Import Reading]]-AA35)*1000&gt;0,(Table3[[#This Row],[33 kV Outgoinng Import Reading]]-AA35)*1000,0)</f>
        <v>99.999999999965894</v>
      </c>
      <c r="AL36" s="6">
        <f>Table3[[#This Row],[Export  (kWh)]]-Table3[[#This Row],[Import (kWh)]]</f>
        <v>39650.000000000036</v>
      </c>
      <c r="AM36" s="77">
        <f t="shared" si="3"/>
        <v>12.600000000000001</v>
      </c>
      <c r="AN36" t="s">
        <v>1189</v>
      </c>
    </row>
    <row r="37" spans="1:40" x14ac:dyDescent="0.3">
      <c r="A37" s="60">
        <f>YEAR(Table3[[#This Row],[Date]])+IF(MONTH(Table3[[#This Row],[Date]])&gt;=4,1,0)</f>
        <v>2026</v>
      </c>
      <c r="B37" s="60">
        <f>YEAR(Table3[[#This Row],[Date]])</f>
        <v>2025</v>
      </c>
      <c r="C37" s="60" t="s">
        <v>1082</v>
      </c>
      <c r="D37" s="60" t="s">
        <v>1082</v>
      </c>
      <c r="E37" s="6" t="str">
        <f>TEXT(Table3[[#This Row],[Date]],"mmm-yy")</f>
        <v>May-25</v>
      </c>
      <c r="F37" s="60">
        <f>DAY(EOMONTH(Table3[[#This Row],[Month Year]],0))</f>
        <v>31</v>
      </c>
      <c r="G37" s="63">
        <f t="shared" si="2"/>
        <v>45778</v>
      </c>
      <c r="H37" s="18">
        <f>'Modelling New'!$AR$1</f>
        <v>8.0208999999999993</v>
      </c>
      <c r="I37" s="120">
        <v>0.25069444444444444</v>
      </c>
      <c r="J37" s="120">
        <v>0.77708333333333335</v>
      </c>
      <c r="K37" s="3">
        <v>4221.6000000000004</v>
      </c>
      <c r="L37" s="3">
        <v>4219.5</v>
      </c>
      <c r="M37" s="3">
        <v>0</v>
      </c>
      <c r="N37" s="3">
        <v>4291.2</v>
      </c>
      <c r="O37" s="3">
        <v>4074.6</v>
      </c>
      <c r="P37" s="3">
        <v>4129.1000000000004</v>
      </c>
      <c r="Q37" s="3">
        <v>4058.6</v>
      </c>
      <c r="R37" s="3">
        <v>0</v>
      </c>
      <c r="S37" s="3">
        <v>3258.8</v>
      </c>
      <c r="T37" s="3">
        <v>3197.3</v>
      </c>
      <c r="U37" s="3">
        <v>3188.6</v>
      </c>
      <c r="V37" s="3">
        <v>3163.1</v>
      </c>
      <c r="W37" s="96">
        <f>SUM(Table3[[#This Row],[Inv1_U1]:[Inv1_U4]])</f>
        <v>12732.3</v>
      </c>
      <c r="X37" s="97">
        <f>SUM(Table3[[#This Row],[Inv2_U1]:[Inv2_U4]])</f>
        <v>12262.300000000001</v>
      </c>
      <c r="Y37" s="98">
        <f>SUM(Table3[[#This Row],[Inv3_U1]:[Inv3_U4]])</f>
        <v>12807.800000000001</v>
      </c>
      <c r="Z37" s="64">
        <v>88603.7</v>
      </c>
      <c r="AA37" s="64">
        <v>399.3</v>
      </c>
      <c r="AB37" s="60"/>
      <c r="AC37" s="88">
        <v>5.52</v>
      </c>
      <c r="AD37" s="95">
        <v>0</v>
      </c>
      <c r="AE37" s="88">
        <v>45.19</v>
      </c>
      <c r="AF37" s="88">
        <v>0</v>
      </c>
      <c r="AG37" s="88">
        <v>0</v>
      </c>
      <c r="AH37" s="60"/>
      <c r="AI37" s="17">
        <f>SUM(Table3[[#This Row],[Inv1]:[Inv3]])</f>
        <v>37802.400000000001</v>
      </c>
      <c r="AJ37" s="17">
        <f>IF((Table3[[#This Row],[33 kV Outgoinng Export Reading]]-Z36)*1000&gt;0,(Table3[[#This Row],[33 kV Outgoinng Export Reading]]-Z36)*1000,0)</f>
        <v>37449.99999999709</v>
      </c>
      <c r="AK37" s="17">
        <f>IF((Table3[[#This Row],[33 kV Outgoinng Import Reading]]-AA36)*1000&gt;0,(Table3[[#This Row],[33 kV Outgoinng Import Reading]]-AA36)*1000,0)</f>
        <v>100.00000000002274</v>
      </c>
      <c r="AL37" s="6">
        <f>Table3[[#This Row],[Export  (kWh)]]-Table3[[#This Row],[Import (kWh)]]</f>
        <v>37349.999999997068</v>
      </c>
      <c r="AM37" s="77">
        <f t="shared" si="3"/>
        <v>12.633333333333333</v>
      </c>
      <c r="AN37" t="s">
        <v>1189</v>
      </c>
    </row>
    <row r="38" spans="1:40" x14ac:dyDescent="0.3">
      <c r="A38" s="60">
        <f>YEAR(Table3[[#This Row],[Date]])+IF(MONTH(Table3[[#This Row],[Date]])&gt;=4,1,0)</f>
        <v>2026</v>
      </c>
      <c r="B38" s="60">
        <f>YEAR(Table3[[#This Row],[Date]])</f>
        <v>2025</v>
      </c>
      <c r="C38" s="60" t="s">
        <v>1082</v>
      </c>
      <c r="D38" s="60" t="s">
        <v>1082</v>
      </c>
      <c r="E38" s="6" t="str">
        <f>TEXT(Table3[[#This Row],[Date]],"mmm-yy")</f>
        <v>May-25</v>
      </c>
      <c r="F38" s="60">
        <f>DAY(EOMONTH(Table3[[#This Row],[Month Year]],0))</f>
        <v>31</v>
      </c>
      <c r="G38" s="63">
        <f t="shared" si="2"/>
        <v>45779</v>
      </c>
      <c r="H38" s="18">
        <f>'Modelling New'!$AR$1</f>
        <v>8.0208999999999993</v>
      </c>
      <c r="I38" s="120">
        <v>0.25069444444444444</v>
      </c>
      <c r="J38" s="120">
        <v>0.77569444444444446</v>
      </c>
      <c r="K38" s="3">
        <v>3549.1</v>
      </c>
      <c r="L38" s="3">
        <v>3509.5</v>
      </c>
      <c r="M38" s="3">
        <v>0</v>
      </c>
      <c r="N38" s="3">
        <v>3509.7</v>
      </c>
      <c r="O38" s="3">
        <v>3429.8</v>
      </c>
      <c r="P38" s="3">
        <v>3371.7</v>
      </c>
      <c r="Q38" s="3">
        <v>3376.2</v>
      </c>
      <c r="R38" s="3">
        <v>0</v>
      </c>
      <c r="S38" s="3">
        <v>2647.7</v>
      </c>
      <c r="T38" s="3">
        <v>2652</v>
      </c>
      <c r="U38" s="3">
        <v>2681.3</v>
      </c>
      <c r="V38" s="3">
        <v>2620.6999999999998</v>
      </c>
      <c r="W38" s="96">
        <f>SUM(Table3[[#This Row],[Inv1_U1]:[Inv1_U4]])</f>
        <v>10568.3</v>
      </c>
      <c r="X38" s="97">
        <f>SUM(Table3[[#This Row],[Inv2_U1]:[Inv2_U4]])</f>
        <v>10177.700000000001</v>
      </c>
      <c r="Y38" s="98">
        <f>SUM(Table3[[#This Row],[Inv3_U1]:[Inv3_U4]])</f>
        <v>10601.7</v>
      </c>
      <c r="Z38" s="64">
        <v>88634.75</v>
      </c>
      <c r="AA38" s="64">
        <v>399.4</v>
      </c>
      <c r="AB38" s="60"/>
      <c r="AC38" s="88">
        <v>6.17</v>
      </c>
      <c r="AD38" s="95">
        <v>0</v>
      </c>
      <c r="AE38" s="88">
        <v>45.19</v>
      </c>
      <c r="AF38" s="88">
        <v>0</v>
      </c>
      <c r="AG38" s="88">
        <v>0</v>
      </c>
      <c r="AH38" s="60"/>
      <c r="AI38" s="17">
        <f>SUM(Table3[[#This Row],[Inv1]:[Inv3]])</f>
        <v>31347.7</v>
      </c>
      <c r="AJ38" s="17">
        <f>IF((Table3[[#This Row],[33 kV Outgoinng Export Reading]]-Z37)*1000&gt;0,(Table3[[#This Row],[33 kV Outgoinng Export Reading]]-Z37)*1000,0)</f>
        <v>31050.00000000291</v>
      </c>
      <c r="AK38" s="17">
        <f>IF((Table3[[#This Row],[33 kV Outgoinng Import Reading]]-AA37)*1000&gt;0,(Table3[[#This Row],[33 kV Outgoinng Import Reading]]-AA37)*1000,0)</f>
        <v>99.999999999965894</v>
      </c>
      <c r="AL38" s="6">
        <f>Table3[[#This Row],[Export  (kWh)]]-Table3[[#This Row],[Import (kWh)]]</f>
        <v>30950.000000002943</v>
      </c>
      <c r="AM38" s="77">
        <f t="shared" si="3"/>
        <v>12.600000000000001</v>
      </c>
      <c r="AN38" t="s">
        <v>1189</v>
      </c>
    </row>
    <row r="39" spans="1:40" x14ac:dyDescent="0.3">
      <c r="A39" s="60">
        <f>YEAR(Table3[[#This Row],[Date]])+IF(MONTH(Table3[[#This Row],[Date]])&gt;=4,1,0)</f>
        <v>2026</v>
      </c>
      <c r="B39" s="60">
        <f>YEAR(Table3[[#This Row],[Date]])</f>
        <v>2025</v>
      </c>
      <c r="C39" s="60" t="s">
        <v>1082</v>
      </c>
      <c r="D39" s="60" t="s">
        <v>1082</v>
      </c>
      <c r="E39" s="6" t="str">
        <f>TEXT(Table3[[#This Row],[Date]],"mmm-yy")</f>
        <v>May-25</v>
      </c>
      <c r="F39" s="60">
        <f>DAY(EOMONTH(Table3[[#This Row],[Month Year]],0))</f>
        <v>31</v>
      </c>
      <c r="G39" s="63">
        <f t="shared" si="2"/>
        <v>45780</v>
      </c>
      <c r="H39" s="18">
        <f>'Modelling New'!$AR$1</f>
        <v>8.0208999999999993</v>
      </c>
      <c r="I39" s="120">
        <v>0.25486111111111109</v>
      </c>
      <c r="J39" s="120">
        <v>0.77916666666666667</v>
      </c>
      <c r="K39" s="3">
        <v>4313.5</v>
      </c>
      <c r="L39" s="3">
        <v>4385.3</v>
      </c>
      <c r="M39" s="3">
        <v>0</v>
      </c>
      <c r="N39" s="3">
        <v>4311.3</v>
      </c>
      <c r="O39" s="3">
        <v>4250.5</v>
      </c>
      <c r="P39" s="3">
        <v>4146.5</v>
      </c>
      <c r="Q39" s="3">
        <v>4153.8</v>
      </c>
      <c r="R39" s="3">
        <v>0</v>
      </c>
      <c r="S39" s="3">
        <v>3268.8</v>
      </c>
      <c r="T39" s="3">
        <v>3274.5</v>
      </c>
      <c r="U39" s="3">
        <v>3263</v>
      </c>
      <c r="V39" s="3">
        <v>3305.7</v>
      </c>
      <c r="W39" s="96">
        <v>13010.099999999999</v>
      </c>
      <c r="X39" s="97">
        <v>12550.8</v>
      </c>
      <c r="Y39" s="98">
        <v>13112</v>
      </c>
      <c r="Z39" s="64">
        <v>88673.1</v>
      </c>
      <c r="AA39" s="64">
        <v>399.5</v>
      </c>
      <c r="AB39" s="60"/>
      <c r="AC39" s="88">
        <v>5.93</v>
      </c>
      <c r="AD39" s="95">
        <v>0</v>
      </c>
      <c r="AE39" s="88">
        <v>45.51</v>
      </c>
      <c r="AF39" s="88">
        <v>0</v>
      </c>
      <c r="AG39" s="88">
        <v>0</v>
      </c>
      <c r="AH39" s="60"/>
      <c r="AI39" s="17">
        <f>SUM(Table3[[#This Row],[Inv1]:[Inv3]])</f>
        <v>38672.899999999994</v>
      </c>
      <c r="AJ39" s="17">
        <f>IF((Table3[[#This Row],[33 kV Outgoinng Export Reading]]-Z38)*1000&gt;0,(Table3[[#This Row],[33 kV Outgoinng Export Reading]]-Z38)*1000,0)</f>
        <v>38350.000000005821</v>
      </c>
      <c r="AK39" s="17">
        <f>IF((Table3[[#This Row],[33 kV Outgoinng Import Reading]]-AA38)*1000&gt;0,(Table3[[#This Row],[33 kV Outgoinng Import Reading]]-AA38)*1000,0)</f>
        <v>100.00000000002274</v>
      </c>
      <c r="AL39" s="6">
        <f>Table3[[#This Row],[Export  (kWh)]]-Table3[[#This Row],[Import (kWh)]]</f>
        <v>38250.000000005799</v>
      </c>
      <c r="AM39" s="77">
        <f t="shared" si="3"/>
        <v>12.583333333333334</v>
      </c>
      <c r="AN39" t="s">
        <v>1189</v>
      </c>
    </row>
    <row r="40" spans="1:40" x14ac:dyDescent="0.3">
      <c r="A40" s="60">
        <f>YEAR(Table3[[#This Row],[Date]])+IF(MONTH(Table3[[#This Row],[Date]])&gt;=4,1,0)</f>
        <v>2026</v>
      </c>
      <c r="B40" s="60">
        <f>YEAR(Table3[[#This Row],[Date]])</f>
        <v>2025</v>
      </c>
      <c r="C40" s="60" t="s">
        <v>1082</v>
      </c>
      <c r="D40" s="60" t="s">
        <v>1082</v>
      </c>
      <c r="E40" s="6" t="str">
        <f>TEXT(Table3[[#This Row],[Date]],"mmm-yy")</f>
        <v>May-25</v>
      </c>
      <c r="F40" s="60">
        <f>DAY(EOMONTH(Table3[[#This Row],[Month Year]],0))</f>
        <v>31</v>
      </c>
      <c r="G40" s="63">
        <f t="shared" si="2"/>
        <v>45781</v>
      </c>
      <c r="H40" s="18">
        <f>'Modelling New'!$AR$1</f>
        <v>8.0208999999999993</v>
      </c>
      <c r="I40" s="120">
        <v>0.24930555555555556</v>
      </c>
      <c r="J40" s="120">
        <v>0.77916666666666667</v>
      </c>
      <c r="K40" s="3">
        <v>2298.8000000000002</v>
      </c>
      <c r="L40" s="3">
        <v>2298.6999999999998</v>
      </c>
      <c r="M40" s="3">
        <v>0</v>
      </c>
      <c r="N40" s="3">
        <v>2402.6</v>
      </c>
      <c r="O40" s="3">
        <v>2203.1</v>
      </c>
      <c r="P40" s="3">
        <v>2284.1</v>
      </c>
      <c r="Q40" s="3">
        <v>2194</v>
      </c>
      <c r="R40" s="3">
        <v>0</v>
      </c>
      <c r="S40" s="3">
        <v>1854.1</v>
      </c>
      <c r="T40" s="3">
        <v>1755.2</v>
      </c>
      <c r="U40" s="3">
        <v>1750</v>
      </c>
      <c r="V40" s="3">
        <v>1737.4</v>
      </c>
      <c r="W40" s="96">
        <f>SUM(Table3[[#This Row],[Inv1_U1]:[Inv1_U4]])</f>
        <v>7000.1</v>
      </c>
      <c r="X40" s="97">
        <f>SUM(Table3[[#This Row],[Inv2_U1]:[Inv2_U4]])</f>
        <v>6681.2</v>
      </c>
      <c r="Y40" s="98">
        <f>SUM(Table3[[#This Row],[Inv3_U1]:[Inv3_U4]])</f>
        <v>7096.7000000000007</v>
      </c>
      <c r="Z40" s="64">
        <v>88693.7</v>
      </c>
      <c r="AA40" s="64">
        <v>399.6</v>
      </c>
      <c r="AB40" s="60"/>
      <c r="AC40" s="88">
        <v>5.27</v>
      </c>
      <c r="AD40" s="95">
        <v>0</v>
      </c>
      <c r="AE40" s="88">
        <v>42.88</v>
      </c>
      <c r="AF40" s="88">
        <v>0</v>
      </c>
      <c r="AG40" s="88">
        <v>0</v>
      </c>
      <c r="AH40" s="60"/>
      <c r="AI40" s="17">
        <f>SUM(Table3[[#This Row],[Inv1]:[Inv3]])</f>
        <v>20778</v>
      </c>
      <c r="AJ40" s="17">
        <f>IF((Table3[[#This Row],[33 kV Outgoinng Export Reading]]-Z39)*1000&gt;0,(Table3[[#This Row],[33 kV Outgoinng Export Reading]]-Z39)*1000,0)</f>
        <v>20599.999999991269</v>
      </c>
      <c r="AK40" s="17">
        <f>IF((Table3[[#This Row],[33 kV Outgoinng Import Reading]]-AA39)*1000&gt;0,(Table3[[#This Row],[33 kV Outgoinng Import Reading]]-AA39)*1000,0)</f>
        <v>100.00000000002274</v>
      </c>
      <c r="AL40" s="6">
        <f>Table3[[#This Row],[Export  (kWh)]]-Table3[[#This Row],[Import (kWh)]]</f>
        <v>20499.999999991247</v>
      </c>
      <c r="AM40" s="77">
        <f t="shared" si="3"/>
        <v>12.716666666666667</v>
      </c>
      <c r="AN40" t="s">
        <v>1189</v>
      </c>
    </row>
    <row r="41" spans="1:40" x14ac:dyDescent="0.3">
      <c r="A41" s="60">
        <f>YEAR(Table3[[#This Row],[Date]])+IF(MONTH(Table3[[#This Row],[Date]])&gt;=4,1,0)</f>
        <v>2026</v>
      </c>
      <c r="B41" s="60">
        <f>YEAR(Table3[[#This Row],[Date]])</f>
        <v>2025</v>
      </c>
      <c r="C41" s="60" t="s">
        <v>1082</v>
      </c>
      <c r="D41" s="60" t="s">
        <v>1082</v>
      </c>
      <c r="E41" s="6" t="str">
        <f>TEXT(Table3[[#This Row],[Date]],"mmm-yy")</f>
        <v>May-25</v>
      </c>
      <c r="F41" s="60">
        <f>DAY(EOMONTH(Table3[[#This Row],[Month Year]],0))</f>
        <v>31</v>
      </c>
      <c r="G41" s="63">
        <f t="shared" si="2"/>
        <v>45782</v>
      </c>
      <c r="H41" s="18">
        <f>'Modelling New'!$AR$1</f>
        <v>8.0208999999999993</v>
      </c>
      <c r="I41" s="120">
        <v>0.25347222222222221</v>
      </c>
      <c r="J41" s="120">
        <v>0.76666666666666672</v>
      </c>
      <c r="K41" s="3">
        <v>4560.8999999999996</v>
      </c>
      <c r="L41" s="3">
        <v>4560.8</v>
      </c>
      <c r="M41" s="3">
        <v>0</v>
      </c>
      <c r="N41" s="3">
        <v>4633.8</v>
      </c>
      <c r="O41" s="3">
        <v>4392.7</v>
      </c>
      <c r="P41" s="3">
        <v>4367.1000000000004</v>
      </c>
      <c r="Q41" s="3">
        <v>4452.3</v>
      </c>
      <c r="R41" s="3">
        <v>0</v>
      </c>
      <c r="S41" s="3">
        <v>3467.1</v>
      </c>
      <c r="T41" s="3">
        <v>3543.1</v>
      </c>
      <c r="U41" s="3">
        <v>3458.8</v>
      </c>
      <c r="V41" s="3">
        <v>3427.9</v>
      </c>
      <c r="W41" s="96">
        <f>SUM(Table3[[#This Row],[Inv1_U1]:[Inv1_U4]])</f>
        <v>13755.5</v>
      </c>
      <c r="X41" s="97">
        <f>SUM(Table3[[#This Row],[Inv2_U1]:[Inv2_U4]])</f>
        <v>13212.099999999999</v>
      </c>
      <c r="Y41" s="98">
        <f>SUM(Table3[[#This Row],[Inv3_U1]:[Inv3_U4]])</f>
        <v>13896.9</v>
      </c>
      <c r="Z41" s="64">
        <v>88734.2</v>
      </c>
      <c r="AA41" s="64">
        <v>399.7</v>
      </c>
      <c r="AB41" s="60"/>
      <c r="AC41" s="88">
        <v>6.52</v>
      </c>
      <c r="AD41" s="95">
        <v>0</v>
      </c>
      <c r="AE41" s="88">
        <v>45.43</v>
      </c>
      <c r="AF41" s="88">
        <v>0</v>
      </c>
      <c r="AG41" s="88">
        <v>0</v>
      </c>
      <c r="AH41" s="60"/>
      <c r="AI41" s="17">
        <f>SUM(Table3[[#This Row],[Inv1]:[Inv3]])</f>
        <v>40864.5</v>
      </c>
      <c r="AJ41" s="17">
        <f>IF((Table3[[#This Row],[33 kV Outgoinng Export Reading]]-Z40)*1000&gt;0,(Table3[[#This Row],[33 kV Outgoinng Export Reading]]-Z40)*1000,0)</f>
        <v>40500</v>
      </c>
      <c r="AK41" s="17">
        <f>IF((Table3[[#This Row],[33 kV Outgoinng Import Reading]]-AA40)*1000&gt;0,(Table3[[#This Row],[33 kV Outgoinng Import Reading]]-AA40)*1000,0)</f>
        <v>99.999999999965894</v>
      </c>
      <c r="AL41" s="6">
        <f>Table3[[#This Row],[Export  (kWh)]]-Table3[[#This Row],[Import (kWh)]]</f>
        <v>40400.000000000036</v>
      </c>
      <c r="AM41" s="77">
        <f t="shared" si="3"/>
        <v>12.316666666666668</v>
      </c>
      <c r="AN41" t="s">
        <v>1189</v>
      </c>
    </row>
    <row r="42" spans="1:40" x14ac:dyDescent="0.3">
      <c r="A42" s="60">
        <f>YEAR(Table3[[#This Row],[Date]])+IF(MONTH(Table3[[#This Row],[Date]])&gt;=4,1,0)</f>
        <v>2026</v>
      </c>
      <c r="B42" s="60">
        <f>YEAR(Table3[[#This Row],[Date]])</f>
        <v>2025</v>
      </c>
      <c r="C42" s="60" t="s">
        <v>1082</v>
      </c>
      <c r="D42" s="60" t="s">
        <v>1082</v>
      </c>
      <c r="E42" s="6" t="str">
        <f>TEXT(Table3[[#This Row],[Date]],"mmm-yy")</f>
        <v>May-25</v>
      </c>
      <c r="F42" s="60">
        <f>DAY(EOMONTH(Table3[[#This Row],[Month Year]],0))</f>
        <v>31</v>
      </c>
      <c r="G42" s="63">
        <f t="shared" si="2"/>
        <v>45783</v>
      </c>
      <c r="H42" s="18">
        <f>'Modelling New'!$AR$1</f>
        <v>8.0208999999999993</v>
      </c>
      <c r="I42" s="120">
        <v>0.25</v>
      </c>
      <c r="J42" s="120">
        <v>0.77083333333333337</v>
      </c>
      <c r="K42" s="3">
        <v>4418.6000000000004</v>
      </c>
      <c r="L42" s="3">
        <v>4338.2</v>
      </c>
      <c r="M42" s="3">
        <v>0</v>
      </c>
      <c r="N42" s="3">
        <v>4337.5</v>
      </c>
      <c r="O42" s="3">
        <v>4278.3</v>
      </c>
      <c r="P42" s="3">
        <v>4175.2</v>
      </c>
      <c r="Q42" s="3">
        <v>4181.8999999999996</v>
      </c>
      <c r="R42" s="3">
        <v>0</v>
      </c>
      <c r="S42" s="3">
        <v>3304</v>
      </c>
      <c r="T42" s="3">
        <v>3310.5</v>
      </c>
      <c r="U42" s="3">
        <v>3368.7</v>
      </c>
      <c r="V42" s="3">
        <v>3271.8</v>
      </c>
      <c r="W42" s="96">
        <f>SUM(Table3[[#This Row],[Inv1_U1]:[Inv1_U4]])</f>
        <v>13094.3</v>
      </c>
      <c r="X42" s="97">
        <f>SUM(Table3[[#This Row],[Inv2_U1]:[Inv2_U4]])</f>
        <v>12635.4</v>
      </c>
      <c r="Y42" s="98">
        <f>SUM(Table3[[#This Row],[Inv3_U1]:[Inv3_U4]])</f>
        <v>13255</v>
      </c>
      <c r="Z42" s="64">
        <v>88772.85</v>
      </c>
      <c r="AA42" s="64">
        <v>399.8</v>
      </c>
      <c r="AB42" s="60"/>
      <c r="AC42" s="88">
        <v>6.2</v>
      </c>
      <c r="AD42" s="95">
        <v>0</v>
      </c>
      <c r="AE42" s="88">
        <v>44.26</v>
      </c>
      <c r="AF42" s="88">
        <v>0</v>
      </c>
      <c r="AG42" s="88">
        <v>0</v>
      </c>
      <c r="AH42" s="60"/>
      <c r="AI42" s="17">
        <f>SUM(Table3[[#This Row],[Inv1]:[Inv3]])</f>
        <v>38984.699999999997</v>
      </c>
      <c r="AJ42" s="17">
        <f>IF((Table3[[#This Row],[33 kV Outgoinng Export Reading]]-Z41)*1000&gt;0,(Table3[[#This Row],[33 kV Outgoinng Export Reading]]-Z41)*1000,0)</f>
        <v>38650.000000008731</v>
      </c>
      <c r="AK42" s="17">
        <f>IF((Table3[[#This Row],[33 kV Outgoinng Import Reading]]-AA41)*1000&gt;0,(Table3[[#This Row],[33 kV Outgoinng Import Reading]]-AA41)*1000,0)</f>
        <v>100.00000000002274</v>
      </c>
      <c r="AL42" s="6">
        <f>Table3[[#This Row],[Export  (kWh)]]-Table3[[#This Row],[Import (kWh)]]</f>
        <v>38550.000000008709</v>
      </c>
      <c r="AM42" s="77">
        <f t="shared" si="3"/>
        <v>12.5</v>
      </c>
      <c r="AN42" t="s">
        <v>1189</v>
      </c>
    </row>
    <row r="43" spans="1:40" x14ac:dyDescent="0.3">
      <c r="A43" s="60">
        <f>YEAR(Table3[[#This Row],[Date]])+IF(MONTH(Table3[[#This Row],[Date]])&gt;=4,1,0)</f>
        <v>2026</v>
      </c>
      <c r="B43" s="60">
        <f>YEAR(Table3[[#This Row],[Date]])</f>
        <v>2025</v>
      </c>
      <c r="C43" s="60" t="s">
        <v>1082</v>
      </c>
      <c r="D43" s="60" t="s">
        <v>1082</v>
      </c>
      <c r="E43" s="6" t="str">
        <f>TEXT(Table3[[#This Row],[Date]],"mmm-yy")</f>
        <v>May-25</v>
      </c>
      <c r="F43" s="60">
        <f>DAY(EOMONTH(Table3[[#This Row],[Month Year]],0))</f>
        <v>31</v>
      </c>
      <c r="G43" s="63">
        <f t="shared" si="2"/>
        <v>45784</v>
      </c>
      <c r="H43" s="18">
        <f>'Modelling New'!$AR$1</f>
        <v>8.0208999999999993</v>
      </c>
      <c r="I43" s="120">
        <v>0.24444444444444444</v>
      </c>
      <c r="J43" s="120">
        <v>0.77638888888888891</v>
      </c>
      <c r="K43" s="3">
        <v>4366.3999999999996</v>
      </c>
      <c r="L43" s="3">
        <v>4440.8999999999996</v>
      </c>
      <c r="M43" s="3">
        <v>0</v>
      </c>
      <c r="N43" s="3">
        <v>4368.3</v>
      </c>
      <c r="O43" s="3">
        <v>4351.3</v>
      </c>
      <c r="P43" s="3">
        <v>4244</v>
      </c>
      <c r="Q43" s="3">
        <v>4252.6000000000004</v>
      </c>
      <c r="R43" s="3">
        <v>0</v>
      </c>
      <c r="S43" s="3">
        <v>3345.9</v>
      </c>
      <c r="T43" s="3">
        <v>3354</v>
      </c>
      <c r="U43" s="3">
        <v>3341</v>
      </c>
      <c r="V43" s="3">
        <v>3385</v>
      </c>
      <c r="W43" s="96">
        <f>SUM(Table3[[#This Row],[Inv1_U1]:[Inv1_U4]])</f>
        <v>13175.599999999999</v>
      </c>
      <c r="X43" s="97">
        <f>SUM(Table3[[#This Row],[Inv2_U1]:[Inv2_U4]])</f>
        <v>12847.9</v>
      </c>
      <c r="Y43" s="98">
        <f>SUM(Table3[[#This Row],[Inv3_U1]:[Inv3_U4]])</f>
        <v>13425.9</v>
      </c>
      <c r="Z43" s="64">
        <v>88811.95</v>
      </c>
      <c r="AA43" s="64">
        <v>399.9</v>
      </c>
      <c r="AB43" s="60"/>
      <c r="AC43" s="88">
        <v>6.58</v>
      </c>
      <c r="AD43" s="95">
        <v>0</v>
      </c>
      <c r="AE43" s="88">
        <v>43.99</v>
      </c>
      <c r="AF43" s="88">
        <v>0</v>
      </c>
      <c r="AG43" s="88">
        <v>0</v>
      </c>
      <c r="AH43" s="60"/>
      <c r="AI43" s="17">
        <f>SUM(Table3[[#This Row],[Inv1]:[Inv3]])</f>
        <v>39449.4</v>
      </c>
      <c r="AJ43" s="17">
        <f>IF((Table3[[#This Row],[33 kV Outgoinng Export Reading]]-Z42)*1000&gt;0,(Table3[[#This Row],[33 kV Outgoinng Export Reading]]-Z42)*1000,0)</f>
        <v>39099.999999991269</v>
      </c>
      <c r="AK43" s="17">
        <f>IF((Table3[[#This Row],[33 kV Outgoinng Import Reading]]-AA42)*1000&gt;0,(Table3[[#This Row],[33 kV Outgoinng Import Reading]]-AA42)*1000,0)</f>
        <v>99.999999999965894</v>
      </c>
      <c r="AL43" s="6">
        <f>Table3[[#This Row],[Export  (kWh)]]-Table3[[#This Row],[Import (kWh)]]</f>
        <v>38999.999999991305</v>
      </c>
      <c r="AM43" s="77">
        <f t="shared" si="3"/>
        <v>12.766666666666666</v>
      </c>
    </row>
    <row r="44" spans="1:40" x14ac:dyDescent="0.3">
      <c r="A44" s="60">
        <f>YEAR(Table3[[#This Row],[Date]])+IF(MONTH(Table3[[#This Row],[Date]])&gt;=4,1,0)</f>
        <v>2026</v>
      </c>
      <c r="B44" s="60">
        <f>YEAR(Table3[[#This Row],[Date]])</f>
        <v>2025</v>
      </c>
      <c r="C44" s="60" t="s">
        <v>1082</v>
      </c>
      <c r="D44" s="60" t="s">
        <v>1082</v>
      </c>
      <c r="E44" s="6" t="str">
        <f>TEXT(Table3[[#This Row],[Date]],"mmm-yy")</f>
        <v>May-25</v>
      </c>
      <c r="F44" s="60">
        <f>DAY(EOMONTH(Table3[[#This Row],[Month Year]],0))</f>
        <v>31</v>
      </c>
      <c r="G44" s="63">
        <f t="shared" si="2"/>
        <v>45785</v>
      </c>
      <c r="H44" s="18">
        <f>'Modelling New'!$AR$1</f>
        <v>8.0208999999999993</v>
      </c>
      <c r="I44" s="120">
        <v>0.25138888888888888</v>
      </c>
      <c r="J44" s="120">
        <v>0.77013888888888893</v>
      </c>
      <c r="K44" s="3">
        <v>4360.7</v>
      </c>
      <c r="L44" s="3">
        <v>4360.7</v>
      </c>
      <c r="M44" s="3">
        <v>0</v>
      </c>
      <c r="N44" s="3">
        <v>4477.2</v>
      </c>
      <c r="O44" s="3">
        <v>4222.3999999999996</v>
      </c>
      <c r="P44" s="3">
        <v>4311.3</v>
      </c>
      <c r="Q44" s="3">
        <v>4204.6000000000004</v>
      </c>
      <c r="R44" s="3">
        <v>0</v>
      </c>
      <c r="S44" s="3">
        <v>3451.8</v>
      </c>
      <c r="T44" s="3">
        <v>3345.1</v>
      </c>
      <c r="U44" s="3">
        <v>3332</v>
      </c>
      <c r="V44" s="3">
        <v>3306.4</v>
      </c>
      <c r="W44" s="96">
        <f>SUM(Table3[[#This Row],[Inv1_U1]:[Inv1_U4]])</f>
        <v>13198.599999999999</v>
      </c>
      <c r="X44" s="97">
        <f>SUM(Table3[[#This Row],[Inv2_U1]:[Inv2_U4]])</f>
        <v>12738.300000000001</v>
      </c>
      <c r="Y44" s="98">
        <f>SUM(Table3[[#This Row],[Inv3_U1]:[Inv3_U4]])</f>
        <v>13435.3</v>
      </c>
      <c r="Z44" s="64">
        <v>88851</v>
      </c>
      <c r="AA44" s="64">
        <v>400</v>
      </c>
      <c r="AB44" s="60"/>
      <c r="AC44" s="88">
        <v>6.72</v>
      </c>
      <c r="AD44" s="95">
        <v>0</v>
      </c>
      <c r="AE44" s="88">
        <v>44.03</v>
      </c>
      <c r="AF44" s="88">
        <v>0</v>
      </c>
      <c r="AG44" s="88">
        <v>0</v>
      </c>
      <c r="AH44" s="60"/>
      <c r="AI44" s="17">
        <f>SUM(Table3[[#This Row],[Inv1]:[Inv3]])</f>
        <v>39372.199999999997</v>
      </c>
      <c r="AJ44" s="17">
        <f>IF((Table3[[#This Row],[33 kV Outgoinng Export Reading]]-Z43)*1000&gt;0,(Table3[[#This Row],[33 kV Outgoinng Export Reading]]-Z43)*1000,0)</f>
        <v>39050.00000000291</v>
      </c>
      <c r="AK44" s="17">
        <f>IF((Table3[[#This Row],[33 kV Outgoinng Import Reading]]-AA43)*1000&gt;0,(Table3[[#This Row],[33 kV Outgoinng Import Reading]]-AA43)*1000,0)</f>
        <v>100.00000000002274</v>
      </c>
      <c r="AL44" s="6">
        <f>Table3[[#This Row],[Export  (kWh)]]-Table3[[#This Row],[Import (kWh)]]</f>
        <v>38950.000000002889</v>
      </c>
      <c r="AM44" s="77">
        <f t="shared" si="3"/>
        <v>12.450000000000001</v>
      </c>
    </row>
    <row r="45" spans="1:40" x14ac:dyDescent="0.3">
      <c r="A45" s="60">
        <f>YEAR(Table3[[#This Row],[Date]])+IF(MONTH(Table3[[#This Row],[Date]])&gt;=4,1,0)</f>
        <v>2026</v>
      </c>
      <c r="B45" s="60">
        <f>YEAR(Table3[[#This Row],[Date]])</f>
        <v>2025</v>
      </c>
      <c r="C45" s="60" t="s">
        <v>1082</v>
      </c>
      <c r="D45" s="60" t="s">
        <v>1082</v>
      </c>
      <c r="E45" s="6" t="str">
        <f>TEXT(Table3[[#This Row],[Date]],"mmm-yy")</f>
        <v>May-25</v>
      </c>
      <c r="F45" s="60">
        <f>DAY(EOMONTH(Table3[[#This Row],[Month Year]],0))</f>
        <v>31</v>
      </c>
      <c r="G45" s="63">
        <f t="shared" si="2"/>
        <v>45786</v>
      </c>
      <c r="H45" s="18">
        <f>'Modelling New'!$AR$1</f>
        <v>8.0208999999999993</v>
      </c>
      <c r="I45" s="120">
        <v>0.25069444444444444</v>
      </c>
      <c r="J45" s="120">
        <v>0.77777777777777779</v>
      </c>
      <c r="K45" s="3">
        <v>4365.2</v>
      </c>
      <c r="L45" s="3">
        <v>4364.3</v>
      </c>
      <c r="M45" s="3">
        <v>0</v>
      </c>
      <c r="N45" s="3">
        <v>4442</v>
      </c>
      <c r="O45" s="3">
        <v>4197.7</v>
      </c>
      <c r="P45" s="3">
        <v>4170.8999999999996</v>
      </c>
      <c r="Q45" s="3">
        <v>4257.3999999999996</v>
      </c>
      <c r="R45" s="3">
        <v>0</v>
      </c>
      <c r="S45" s="3">
        <v>3299.8</v>
      </c>
      <c r="T45" s="3">
        <v>3386.1</v>
      </c>
      <c r="U45" s="3">
        <v>3296.2</v>
      </c>
      <c r="V45" s="3">
        <v>3270.1</v>
      </c>
      <c r="W45" s="96">
        <f>SUM(Table3[[#This Row],[Inv1_U1]:[Inv1_U4]])</f>
        <v>13171.5</v>
      </c>
      <c r="X45" s="97">
        <f>SUM(Table3[[#This Row],[Inv2_U1]:[Inv2_U4]])</f>
        <v>12625.999999999998</v>
      </c>
      <c r="Y45" s="98">
        <f>SUM(Table3[[#This Row],[Inv3_U1]:[Inv3_U4]])</f>
        <v>13252.199999999999</v>
      </c>
      <c r="Z45" s="64">
        <v>88889.7</v>
      </c>
      <c r="AA45" s="64">
        <v>400.1</v>
      </c>
      <c r="AB45" s="60"/>
      <c r="AC45" s="88">
        <v>6.54</v>
      </c>
      <c r="AD45" s="95">
        <v>0</v>
      </c>
      <c r="AE45" s="88">
        <v>44.38</v>
      </c>
      <c r="AF45" s="88">
        <v>0</v>
      </c>
      <c r="AG45" s="88">
        <v>0</v>
      </c>
      <c r="AH45" s="60"/>
      <c r="AI45" s="17">
        <f>SUM(Table3[[#This Row],[Inv1]:[Inv3]])</f>
        <v>39049.699999999997</v>
      </c>
      <c r="AJ45" s="17">
        <f>IF((Table3[[#This Row],[33 kV Outgoinng Export Reading]]-Z44)*1000&gt;0,(Table3[[#This Row],[33 kV Outgoinng Export Reading]]-Z44)*1000,0)</f>
        <v>38699.99999999709</v>
      </c>
      <c r="AK45" s="17">
        <f>IF((Table3[[#This Row],[33 kV Outgoinng Import Reading]]-AA44)*1000&gt;0,(Table3[[#This Row],[33 kV Outgoinng Import Reading]]-AA44)*1000,0)</f>
        <v>100.00000000002274</v>
      </c>
      <c r="AL45" s="6">
        <f>Table3[[#This Row],[Export  (kWh)]]-Table3[[#This Row],[Import (kWh)]]</f>
        <v>38599.999999997068</v>
      </c>
      <c r="AM45" s="77">
        <f t="shared" si="3"/>
        <v>12.65</v>
      </c>
    </row>
    <row r="46" spans="1:40" x14ac:dyDescent="0.3">
      <c r="A46" s="60">
        <f>YEAR(Table3[[#This Row],[Date]])+IF(MONTH(Table3[[#This Row],[Date]])&gt;=4,1,0)</f>
        <v>2026</v>
      </c>
      <c r="B46" s="60">
        <f>YEAR(Table3[[#This Row],[Date]])</f>
        <v>2025</v>
      </c>
      <c r="C46" s="60" t="s">
        <v>1082</v>
      </c>
      <c r="D46" s="60" t="s">
        <v>1082</v>
      </c>
      <c r="E46" s="6" t="str">
        <f>TEXT(Table3[[#This Row],[Date]],"mmm-yy")</f>
        <v>May-25</v>
      </c>
      <c r="F46" s="60">
        <f>DAY(EOMONTH(Table3[[#This Row],[Month Year]],0))</f>
        <v>31</v>
      </c>
      <c r="G46" s="63">
        <f t="shared" si="2"/>
        <v>45787</v>
      </c>
      <c r="H46" s="18">
        <f>'Modelling New'!$AR$1</f>
        <v>8.0208999999999993</v>
      </c>
      <c r="I46" s="120">
        <v>0.25069444444444444</v>
      </c>
      <c r="J46" s="120">
        <v>0.77152777777777781</v>
      </c>
      <c r="K46" s="3">
        <v>3754.8</v>
      </c>
      <c r="L46" s="3">
        <v>3671.2</v>
      </c>
      <c r="M46" s="3">
        <v>0</v>
      </c>
      <c r="N46" s="3">
        <v>3671</v>
      </c>
      <c r="O46" s="3">
        <v>3671.9</v>
      </c>
      <c r="P46" s="3">
        <v>3564.6</v>
      </c>
      <c r="Q46" s="3">
        <v>3569.4</v>
      </c>
      <c r="R46" s="3">
        <v>0</v>
      </c>
      <c r="S46" s="3">
        <v>2783.2</v>
      </c>
      <c r="T46" s="3">
        <v>2793.5</v>
      </c>
      <c r="U46" s="3">
        <v>2863.2</v>
      </c>
      <c r="V46" s="3">
        <v>2761.5</v>
      </c>
      <c r="W46" s="96">
        <f>SUM(Table3[[#This Row],[Inv1_U1]:[Inv1_U4]])</f>
        <v>11097</v>
      </c>
      <c r="X46" s="97">
        <f>SUM(Table3[[#This Row],[Inv2_U1]:[Inv2_U4]])</f>
        <v>10805.9</v>
      </c>
      <c r="Y46" s="98">
        <f>SUM(Table3[[#This Row],[Inv3_U1]:[Inv3_U4]])</f>
        <v>11201.4</v>
      </c>
      <c r="Z46" s="64">
        <v>88922.5</v>
      </c>
      <c r="AA46" s="64">
        <v>400.2</v>
      </c>
      <c r="AB46" s="60"/>
      <c r="AC46" s="88">
        <v>4.9800000000000004</v>
      </c>
      <c r="AD46" s="95">
        <v>0</v>
      </c>
      <c r="AE46" s="88">
        <v>42.32</v>
      </c>
      <c r="AF46" s="88">
        <v>0</v>
      </c>
      <c r="AG46" s="88">
        <v>0</v>
      </c>
      <c r="AH46" s="60"/>
      <c r="AI46" s="17">
        <f>SUM(Table3[[#This Row],[Inv1]:[Inv3]])</f>
        <v>33104.300000000003</v>
      </c>
      <c r="AJ46" s="17">
        <f>IF((Table3[[#This Row],[33 kV Outgoinng Export Reading]]-Z45)*1000&gt;0,(Table3[[#This Row],[33 kV Outgoinng Export Reading]]-Z45)*1000,0)</f>
        <v>32800.00000000291</v>
      </c>
      <c r="AK46" s="17">
        <f>IF((Table3[[#This Row],[33 kV Outgoinng Import Reading]]-AA45)*1000&gt;0,(Table3[[#This Row],[33 kV Outgoinng Import Reading]]-AA45)*1000,0)</f>
        <v>99.999999999965894</v>
      </c>
      <c r="AL46" s="6">
        <f>Table3[[#This Row],[Export  (kWh)]]-Table3[[#This Row],[Import (kWh)]]</f>
        <v>32700.000000002943</v>
      </c>
      <c r="AM46" s="77">
        <f t="shared" si="3"/>
        <v>12.5</v>
      </c>
    </row>
    <row r="47" spans="1:40" x14ac:dyDescent="0.3">
      <c r="A47" s="60">
        <f>YEAR(Table3[[#This Row],[Date]])+IF(MONTH(Table3[[#This Row],[Date]])&gt;=4,1,0)</f>
        <v>2026</v>
      </c>
      <c r="B47" s="60">
        <f>YEAR(Table3[[#This Row],[Date]])</f>
        <v>2025</v>
      </c>
      <c r="C47" s="60" t="s">
        <v>1082</v>
      </c>
      <c r="D47" s="60" t="s">
        <v>1082</v>
      </c>
      <c r="E47" s="6" t="str">
        <f>TEXT(Table3[[#This Row],[Date]],"mmm-yy")</f>
        <v>May-25</v>
      </c>
      <c r="F47" s="60">
        <f>DAY(EOMONTH(Table3[[#This Row],[Month Year]],0))</f>
        <v>31</v>
      </c>
      <c r="G47" s="63">
        <f t="shared" si="2"/>
        <v>45788</v>
      </c>
      <c r="H47" s="18">
        <f>'Modelling New'!$AR$1</f>
        <v>8.0208999999999993</v>
      </c>
      <c r="I47" s="120">
        <v>0.25</v>
      </c>
      <c r="J47" s="120">
        <v>0.78125</v>
      </c>
      <c r="K47" s="3">
        <v>3877.4</v>
      </c>
      <c r="L47" s="3">
        <v>3938</v>
      </c>
      <c r="M47" s="3">
        <v>0</v>
      </c>
      <c r="N47" s="3">
        <v>3876.6</v>
      </c>
      <c r="O47" s="3">
        <v>3679.5</v>
      </c>
      <c r="P47" s="3">
        <v>3592.4</v>
      </c>
      <c r="Q47" s="3">
        <v>3597.9</v>
      </c>
      <c r="R47" s="3">
        <v>0</v>
      </c>
      <c r="S47" s="3">
        <v>2887.7</v>
      </c>
      <c r="T47" s="3">
        <v>2897.3</v>
      </c>
      <c r="U47" s="3">
        <v>2884.9</v>
      </c>
      <c r="V47" s="3">
        <v>2921.6</v>
      </c>
      <c r="W47" s="96">
        <f>SUM(Table3[[#This Row],[Inv1_U1]:[Inv1_U4]])</f>
        <v>11692</v>
      </c>
      <c r="X47" s="97">
        <f>SUM(Table3[[#This Row],[Inv2_U1]:[Inv2_U4]])</f>
        <v>10869.8</v>
      </c>
      <c r="Y47" s="98">
        <f>SUM(Table3[[#This Row],[Inv3_U1]:[Inv3_U4]])</f>
        <v>11591.5</v>
      </c>
      <c r="Z47" s="64">
        <v>88956.4</v>
      </c>
      <c r="AA47" s="64">
        <v>400.3</v>
      </c>
      <c r="AB47" s="60"/>
      <c r="AC47" s="88">
        <v>5.82</v>
      </c>
      <c r="AD47" s="95">
        <v>0</v>
      </c>
      <c r="AE47" s="88">
        <v>43.47</v>
      </c>
      <c r="AF47" s="88">
        <v>0</v>
      </c>
      <c r="AG47" s="88">
        <v>0</v>
      </c>
      <c r="AH47" s="60"/>
      <c r="AI47" s="17">
        <f>SUM(Table3[[#This Row],[Inv1]:[Inv3]])</f>
        <v>34153.300000000003</v>
      </c>
      <c r="AJ47" s="17">
        <f>IF((Table3[[#This Row],[33 kV Outgoinng Export Reading]]-Z46)*1000&gt;0,(Table3[[#This Row],[33 kV Outgoinng Export Reading]]-Z46)*1000,0)</f>
        <v>33899.999999994179</v>
      </c>
      <c r="AK47" s="17">
        <f>IF((Table3[[#This Row],[33 kV Outgoinng Import Reading]]-AA46)*1000&gt;0,(Table3[[#This Row],[33 kV Outgoinng Import Reading]]-AA46)*1000,0)</f>
        <v>100.00000000002274</v>
      </c>
      <c r="AL47" s="6">
        <f>Table3[[#This Row],[Export  (kWh)]]-Table3[[#This Row],[Import (kWh)]]</f>
        <v>33799.999999994157</v>
      </c>
      <c r="AM47" s="77">
        <f t="shared" si="3"/>
        <v>12.75</v>
      </c>
    </row>
    <row r="48" spans="1:40" x14ac:dyDescent="0.3">
      <c r="A48" s="60">
        <f>YEAR(Table3[[#This Row],[Date]])+IF(MONTH(Table3[[#This Row],[Date]])&gt;=4,1,0)</f>
        <v>2026</v>
      </c>
      <c r="B48" s="60">
        <f>YEAR(Table3[[#This Row],[Date]])</f>
        <v>2025</v>
      </c>
      <c r="C48" s="60" t="s">
        <v>1082</v>
      </c>
      <c r="D48" s="60" t="s">
        <v>1082</v>
      </c>
      <c r="E48" s="6" t="str">
        <f>TEXT(Table3[[#This Row],[Date]],"mmm-yy")</f>
        <v>May-25</v>
      </c>
      <c r="F48" s="60">
        <f>DAY(EOMONTH(Table3[[#This Row],[Month Year]],0))</f>
        <v>31</v>
      </c>
      <c r="G48" s="63">
        <f t="shared" si="2"/>
        <v>45789</v>
      </c>
      <c r="H48" s="18">
        <f>'Modelling New'!$AR$1</f>
        <v>8.0208999999999993</v>
      </c>
      <c r="I48" s="120">
        <v>0.24652777777777779</v>
      </c>
      <c r="J48" s="120">
        <v>0.74097222222222225</v>
      </c>
      <c r="K48" s="3">
        <v>4479</v>
      </c>
      <c r="L48" s="3">
        <v>4481.5</v>
      </c>
      <c r="M48" s="3">
        <v>0</v>
      </c>
      <c r="N48" s="3">
        <v>4548.8</v>
      </c>
      <c r="O48" s="3">
        <v>4305.3999999999996</v>
      </c>
      <c r="P48" s="3">
        <v>4276.2</v>
      </c>
      <c r="Q48" s="3">
        <v>4354</v>
      </c>
      <c r="R48" s="3">
        <v>0</v>
      </c>
      <c r="S48" s="3">
        <v>3376.8</v>
      </c>
      <c r="T48" s="3">
        <v>3451.6</v>
      </c>
      <c r="U48" s="3">
        <v>3368.6</v>
      </c>
      <c r="V48" s="3">
        <v>3343.8</v>
      </c>
      <c r="W48" s="96">
        <f>SUM(Table3[[#This Row],[Inv1_U1]:[Inv1_U4]])</f>
        <v>13509.3</v>
      </c>
      <c r="X48" s="97">
        <f>SUM(Table3[[#This Row],[Inv2_U1]:[Inv2_U4]])</f>
        <v>12935.599999999999</v>
      </c>
      <c r="Y48" s="98">
        <f>SUM(Table3[[#This Row],[Inv3_U1]:[Inv3_U4]])</f>
        <v>13540.8</v>
      </c>
      <c r="Z48" s="64">
        <v>88996.1</v>
      </c>
      <c r="AA48" s="64">
        <v>400.4</v>
      </c>
      <c r="AB48" s="60"/>
      <c r="AC48" s="88">
        <v>6.33</v>
      </c>
      <c r="AD48" s="95">
        <v>0</v>
      </c>
      <c r="AE48" s="88">
        <v>44.17</v>
      </c>
      <c r="AF48" s="88">
        <v>0</v>
      </c>
      <c r="AG48" s="88">
        <v>0</v>
      </c>
      <c r="AH48" s="60"/>
      <c r="AI48" s="17">
        <f>SUM(Table3[[#This Row],[Inv1]:[Inv3]])</f>
        <v>39985.699999999997</v>
      </c>
      <c r="AJ48" s="17">
        <f>IF((Table3[[#This Row],[33 kV Outgoinng Export Reading]]-Z47)*1000&gt;0,(Table3[[#This Row],[33 kV Outgoinng Export Reading]]-Z47)*1000,0)</f>
        <v>39700.000000011642</v>
      </c>
      <c r="AK48" s="17">
        <f>IF((Table3[[#This Row],[33 kV Outgoinng Import Reading]]-AA47)*1000&gt;0,(Table3[[#This Row],[33 kV Outgoinng Import Reading]]-AA47)*1000,0)</f>
        <v>99.999999999965894</v>
      </c>
      <c r="AL48" s="6">
        <f>Table3[[#This Row],[Export  (kWh)]]-Table3[[#This Row],[Import (kWh)]]</f>
        <v>39600.000000011678</v>
      </c>
      <c r="AM48" s="77">
        <f t="shared" si="3"/>
        <v>11.866666666666667</v>
      </c>
    </row>
    <row r="49" spans="1:39" x14ac:dyDescent="0.3">
      <c r="A49" s="60">
        <f>YEAR(Table3[[#This Row],[Date]])+IF(MONTH(Table3[[#This Row],[Date]])&gt;=4,1,0)</f>
        <v>2026</v>
      </c>
      <c r="B49" s="60">
        <f>YEAR(Table3[[#This Row],[Date]])</f>
        <v>2025</v>
      </c>
      <c r="C49" s="60" t="s">
        <v>1082</v>
      </c>
      <c r="D49" s="60" t="s">
        <v>1082</v>
      </c>
      <c r="E49" s="6" t="str">
        <f>TEXT(Table3[[#This Row],[Date]],"mmm-yy")</f>
        <v>May-25</v>
      </c>
      <c r="F49" s="60">
        <f>DAY(EOMONTH(Table3[[#This Row],[Month Year]],0))</f>
        <v>31</v>
      </c>
      <c r="G49" s="63">
        <f t="shared" si="2"/>
        <v>45790</v>
      </c>
      <c r="H49" s="18">
        <f>'Modelling New'!$AR$1</f>
        <v>8.0208999999999993</v>
      </c>
      <c r="I49" s="120">
        <v>0.24374999999999999</v>
      </c>
      <c r="J49" s="120">
        <v>0.76875000000000004</v>
      </c>
      <c r="K49" s="3">
        <v>3959.7</v>
      </c>
      <c r="L49" s="3">
        <v>3895.5</v>
      </c>
      <c r="M49" s="3">
        <v>0</v>
      </c>
      <c r="N49" s="3">
        <v>3895.5</v>
      </c>
      <c r="O49" s="3">
        <v>3842.2</v>
      </c>
      <c r="P49" s="3">
        <v>3749.1</v>
      </c>
      <c r="Q49" s="3">
        <v>3754.9</v>
      </c>
      <c r="R49" s="3">
        <v>0</v>
      </c>
      <c r="S49" s="3">
        <v>2948.3</v>
      </c>
      <c r="T49" s="3">
        <v>2956.1</v>
      </c>
      <c r="U49" s="3">
        <v>3007.8</v>
      </c>
      <c r="V49" s="3">
        <v>2923.1</v>
      </c>
      <c r="W49" s="96">
        <f>SUM(Table3[[#This Row],[Inv1_U1]:[Inv1_U4]])</f>
        <v>11750.7</v>
      </c>
      <c r="X49" s="97">
        <f>SUM(Table3[[#This Row],[Inv2_U1]:[Inv2_U4]])</f>
        <v>11346.199999999999</v>
      </c>
      <c r="Y49" s="98">
        <f>SUM(Table3[[#This Row],[Inv3_U1]:[Inv3_U4]])</f>
        <v>11835.300000000001</v>
      </c>
      <c r="Z49" s="64">
        <v>89030.7</v>
      </c>
      <c r="AA49" s="64">
        <v>400.5</v>
      </c>
      <c r="AB49" s="60"/>
      <c r="AC49" s="88">
        <v>5.18</v>
      </c>
      <c r="AD49" s="95">
        <v>0</v>
      </c>
      <c r="AE49" s="88">
        <v>42.05</v>
      </c>
      <c r="AF49" s="88">
        <v>0</v>
      </c>
      <c r="AG49" s="88">
        <v>0</v>
      </c>
      <c r="AH49" s="60"/>
      <c r="AI49" s="17">
        <f>SUM(Table3[[#This Row],[Inv1]:[Inv3]])</f>
        <v>34932.200000000004</v>
      </c>
      <c r="AJ49" s="17">
        <f>IF((Table3[[#This Row],[33 kV Outgoinng Export Reading]]-Z48)*1000&gt;0,(Table3[[#This Row],[33 kV Outgoinng Export Reading]]-Z48)*1000,0)</f>
        <v>34599.999999991269</v>
      </c>
      <c r="AK49" s="17">
        <f>IF((Table3[[#This Row],[33 kV Outgoinng Import Reading]]-AA48)*1000&gt;0,(Table3[[#This Row],[33 kV Outgoinng Import Reading]]-AA48)*1000,0)</f>
        <v>100.00000000002274</v>
      </c>
      <c r="AL49" s="6">
        <f>Table3[[#This Row],[Export  (kWh)]]-Table3[[#This Row],[Import (kWh)]]</f>
        <v>34499.999999991247</v>
      </c>
      <c r="AM49" s="77">
        <f t="shared" si="3"/>
        <v>12.600000000000001</v>
      </c>
    </row>
    <row r="50" spans="1:39" x14ac:dyDescent="0.3">
      <c r="A50" s="60">
        <f>YEAR(Table3[[#This Row],[Date]])+IF(MONTH(Table3[[#This Row],[Date]])&gt;=4,1,0)</f>
        <v>2026</v>
      </c>
      <c r="B50" s="60">
        <f>YEAR(Table3[[#This Row],[Date]])</f>
        <v>2025</v>
      </c>
      <c r="C50" s="60" t="s">
        <v>1082</v>
      </c>
      <c r="D50" s="60" t="s">
        <v>1082</v>
      </c>
      <c r="E50" s="6" t="str">
        <f>TEXT(Table3[[#This Row],[Date]],"mmm-yy")</f>
        <v>May-25</v>
      </c>
      <c r="F50" s="60">
        <f>DAY(EOMONTH(Table3[[#This Row],[Month Year]],0))</f>
        <v>31</v>
      </c>
      <c r="G50" s="63">
        <f t="shared" si="2"/>
        <v>45791</v>
      </c>
      <c r="H50" s="18">
        <f>'Modelling New'!$AR$1</f>
        <v>8.0208999999999993</v>
      </c>
      <c r="I50" s="120">
        <v>0.24513888888888888</v>
      </c>
      <c r="J50" s="120">
        <v>0.75763888888888886</v>
      </c>
      <c r="K50" s="3">
        <v>3808.9</v>
      </c>
      <c r="L50" s="3">
        <v>3877.1</v>
      </c>
      <c r="M50" s="3">
        <v>0</v>
      </c>
      <c r="N50" s="3">
        <v>3809.7</v>
      </c>
      <c r="O50" s="3">
        <v>3739.1</v>
      </c>
      <c r="P50" s="3">
        <v>3639</v>
      </c>
      <c r="Q50" s="3">
        <v>3645.6</v>
      </c>
      <c r="R50" s="3">
        <v>0</v>
      </c>
      <c r="S50" s="3">
        <v>2910.8</v>
      </c>
      <c r="T50" s="3">
        <v>2918.8</v>
      </c>
      <c r="U50" s="3">
        <v>2910.9</v>
      </c>
      <c r="V50" s="3">
        <v>2956</v>
      </c>
      <c r="W50" s="96">
        <f>SUM(Table3[[#This Row],[Inv1_U1]:[Inv1_U4]])</f>
        <v>11495.7</v>
      </c>
      <c r="X50" s="97">
        <f>SUM(Table3[[#This Row],[Inv2_U1]:[Inv2_U4]])</f>
        <v>11023.7</v>
      </c>
      <c r="Y50" s="98">
        <f>SUM(Table3[[#This Row],[Inv3_U1]:[Inv3_U4]])</f>
        <v>11696.5</v>
      </c>
      <c r="Z50" s="64">
        <v>89064.6</v>
      </c>
      <c r="AA50" s="64">
        <v>400.6</v>
      </c>
      <c r="AB50" s="60"/>
      <c r="AC50" s="88">
        <v>5.23</v>
      </c>
      <c r="AD50" s="95">
        <v>0</v>
      </c>
      <c r="AE50" s="88">
        <v>41.35</v>
      </c>
      <c r="AF50" s="88">
        <v>0</v>
      </c>
      <c r="AG50" s="88">
        <v>0</v>
      </c>
      <c r="AH50" s="60"/>
      <c r="AI50" s="17">
        <f>SUM(Table3[[#This Row],[Inv1]:[Inv3]])</f>
        <v>34215.9</v>
      </c>
      <c r="AJ50" s="17">
        <f>IF((Table3[[#This Row],[33 kV Outgoinng Export Reading]]-Z49)*1000&gt;0,(Table3[[#This Row],[33 kV Outgoinng Export Reading]]-Z49)*1000,0)</f>
        <v>33900.000000008731</v>
      </c>
      <c r="AK50" s="17">
        <f>IF((Table3[[#This Row],[33 kV Outgoinng Import Reading]]-AA49)*1000&gt;0,(Table3[[#This Row],[33 kV Outgoinng Import Reading]]-AA49)*1000,0)</f>
        <v>100.00000000002274</v>
      </c>
      <c r="AL50" s="6">
        <f>Table3[[#This Row],[Export  (kWh)]]-Table3[[#This Row],[Import (kWh)]]</f>
        <v>33800.000000008709</v>
      </c>
      <c r="AM50" s="77">
        <f t="shared" si="3"/>
        <v>12.299999999999999</v>
      </c>
    </row>
    <row r="51" spans="1:39" x14ac:dyDescent="0.3">
      <c r="A51" s="60">
        <f>YEAR(Table3[[#This Row],[Date]])+IF(MONTH(Table3[[#This Row],[Date]])&gt;=4,1,0)</f>
        <v>2026</v>
      </c>
      <c r="B51" s="60">
        <f>YEAR(Table3[[#This Row],[Date]])</f>
        <v>2025</v>
      </c>
      <c r="C51" s="60" t="s">
        <v>1082</v>
      </c>
      <c r="D51" s="60" t="s">
        <v>1082</v>
      </c>
      <c r="E51" s="6" t="str">
        <f>TEXT(Table3[[#This Row],[Date]],"mmm-yy")</f>
        <v>May-25</v>
      </c>
      <c r="F51" s="60">
        <f>DAY(EOMONTH(Table3[[#This Row],[Month Year]],0))</f>
        <v>31</v>
      </c>
      <c r="G51" s="63">
        <f t="shared" si="2"/>
        <v>45792</v>
      </c>
      <c r="H51" s="18">
        <f>'Modelling New'!$AR$1</f>
        <v>8.0208999999999993</v>
      </c>
      <c r="I51" s="120">
        <v>0.26874999999999999</v>
      </c>
      <c r="J51" s="120">
        <v>0.77708333333333335</v>
      </c>
      <c r="K51" s="3">
        <v>2266.6</v>
      </c>
      <c r="L51" s="3">
        <v>2266.3000000000002</v>
      </c>
      <c r="M51" s="3">
        <v>0</v>
      </c>
      <c r="N51" s="3">
        <v>2371.1999999999998</v>
      </c>
      <c r="O51" s="3">
        <v>2028.5</v>
      </c>
      <c r="P51" s="3">
        <v>2015.4</v>
      </c>
      <c r="Q51" s="3">
        <v>2017.6</v>
      </c>
      <c r="R51" s="3">
        <v>0</v>
      </c>
      <c r="S51" s="3">
        <v>1488.2</v>
      </c>
      <c r="T51" s="3">
        <v>1494.7</v>
      </c>
      <c r="U51" s="3">
        <v>1591.7</v>
      </c>
      <c r="V51" s="3">
        <v>1479.2</v>
      </c>
      <c r="W51" s="96">
        <f>SUM(Table3[[#This Row],[Inv1_U1]:[Inv1_U4]])</f>
        <v>6904.0999999999995</v>
      </c>
      <c r="X51" s="97">
        <f>SUM(Table3[[#This Row],[Inv2_U1]:[Inv2_U4]])</f>
        <v>6061.5</v>
      </c>
      <c r="Y51" s="98">
        <f>SUM(Table3[[#This Row],[Inv3_U1]:[Inv3_U4]])</f>
        <v>6053.8</v>
      </c>
      <c r="Z51" s="64">
        <v>89083.4</v>
      </c>
      <c r="AA51" s="64">
        <v>400.75</v>
      </c>
      <c r="AB51" s="60"/>
      <c r="AC51" s="88">
        <v>3.03</v>
      </c>
      <c r="AD51" s="95">
        <v>0</v>
      </c>
      <c r="AE51" s="88">
        <v>33.729999999999997</v>
      </c>
      <c r="AF51" s="88">
        <v>0</v>
      </c>
      <c r="AG51" s="88">
        <v>0</v>
      </c>
      <c r="AH51" s="60"/>
      <c r="AI51" s="17">
        <f>SUM(Table3[[#This Row],[Inv1]:[Inv3]])</f>
        <v>19019.399999999998</v>
      </c>
      <c r="AJ51" s="17">
        <f>IF((Table3[[#This Row],[33 kV Outgoinng Export Reading]]-Z50)*1000&gt;0,(Table3[[#This Row],[33 kV Outgoinng Export Reading]]-Z50)*1000,0)</f>
        <v>18799.999999988358</v>
      </c>
      <c r="AK51" s="17">
        <f>IF((Table3[[#This Row],[33 kV Outgoinng Import Reading]]-AA50)*1000&gt;0,(Table3[[#This Row],[33 kV Outgoinng Import Reading]]-AA50)*1000,0)</f>
        <v>149.99999999997726</v>
      </c>
      <c r="AL51" s="6">
        <f>Table3[[#This Row],[Export  (kWh)]]-Table3[[#This Row],[Import (kWh)]]</f>
        <v>18649.99999998838</v>
      </c>
      <c r="AM51" s="77">
        <f t="shared" si="3"/>
        <v>12.2</v>
      </c>
    </row>
    <row r="52" spans="1:39" x14ac:dyDescent="0.3">
      <c r="A52" s="60">
        <f>YEAR(Table3[[#This Row],[Date]])+IF(MONTH(Table3[[#This Row],[Date]])&gt;=4,1,0)</f>
        <v>2026</v>
      </c>
      <c r="B52" s="60">
        <f>YEAR(Table3[[#This Row],[Date]])</f>
        <v>2025</v>
      </c>
      <c r="C52" s="60" t="s">
        <v>1082</v>
      </c>
      <c r="D52" s="60" t="s">
        <v>1082</v>
      </c>
      <c r="E52" s="6" t="str">
        <f>TEXT(Table3[[#This Row],[Date]],"mmm-yy")</f>
        <v>May-25</v>
      </c>
      <c r="F52" s="60">
        <f>DAY(EOMONTH(Table3[[#This Row],[Month Year]],0))</f>
        <v>31</v>
      </c>
      <c r="G52" s="63">
        <f t="shared" si="2"/>
        <v>45793</v>
      </c>
      <c r="H52" s="18">
        <f>'Modelling New'!$AR$1</f>
        <v>8.0208999999999993</v>
      </c>
      <c r="I52" s="120">
        <v>0.24374999999999999</v>
      </c>
      <c r="J52" s="120">
        <v>0.77916666666666667</v>
      </c>
      <c r="K52" s="3">
        <v>2608.8000000000002</v>
      </c>
      <c r="L52" s="3">
        <v>2520.6999999999998</v>
      </c>
      <c r="M52" s="3">
        <v>0</v>
      </c>
      <c r="N52" s="3">
        <v>2521.3000000000002</v>
      </c>
      <c r="O52" s="3">
        <v>3674</v>
      </c>
      <c r="P52" s="3">
        <v>3563</v>
      </c>
      <c r="Q52" s="3">
        <v>3568.8</v>
      </c>
      <c r="R52" s="3">
        <v>0</v>
      </c>
      <c r="S52" s="3">
        <v>2776.6</v>
      </c>
      <c r="T52" s="3">
        <v>2788.2</v>
      </c>
      <c r="U52" s="3">
        <v>2776.2</v>
      </c>
      <c r="V52" s="3">
        <v>2840.4</v>
      </c>
      <c r="W52" s="96">
        <f>SUM(Table3[[#This Row],[Inv1_U1]:[Inv1_U4]])</f>
        <v>7650.8</v>
      </c>
      <c r="X52" s="97">
        <f>SUM(Table3[[#This Row],[Inv2_U1]:[Inv2_U4]])</f>
        <v>10805.8</v>
      </c>
      <c r="Y52" s="98">
        <f>SUM(Table3[[#This Row],[Inv3_U1]:[Inv3_U4]])</f>
        <v>11181.4</v>
      </c>
      <c r="Z52" s="64">
        <v>89112.9</v>
      </c>
      <c r="AA52" s="64">
        <v>400.85</v>
      </c>
      <c r="AB52" s="60"/>
      <c r="AC52" s="88">
        <v>5.42</v>
      </c>
      <c r="AD52" s="95">
        <v>0</v>
      </c>
      <c r="AE52" s="88">
        <v>41.83</v>
      </c>
      <c r="AF52" s="88">
        <v>0</v>
      </c>
      <c r="AG52" s="88">
        <v>0</v>
      </c>
      <c r="AH52" s="60"/>
      <c r="AI52" s="17">
        <f>SUM(Table3[[#This Row],[Inv1]:[Inv3]])</f>
        <v>29638</v>
      </c>
      <c r="AJ52" s="17">
        <f>IF((Table3[[#This Row],[33 kV Outgoinng Export Reading]]-Z51)*1000&gt;0,(Table3[[#This Row],[33 kV Outgoinng Export Reading]]-Z51)*1000,0)</f>
        <v>29500</v>
      </c>
      <c r="AK52" s="17">
        <f>IF((Table3[[#This Row],[33 kV Outgoinng Import Reading]]-AA51)*1000&gt;0,(Table3[[#This Row],[33 kV Outgoinng Import Reading]]-AA51)*1000,0)</f>
        <v>100.00000000002274</v>
      </c>
      <c r="AL52" s="6">
        <f>Table3[[#This Row],[Export  (kWh)]]-Table3[[#This Row],[Import (kWh)]]</f>
        <v>29399.999999999978</v>
      </c>
      <c r="AM52" s="77">
        <f t="shared" si="3"/>
        <v>12.85</v>
      </c>
    </row>
    <row r="53" spans="1:39" x14ac:dyDescent="0.3">
      <c r="A53" s="60">
        <f>YEAR(Table3[[#This Row],[Date]])+IF(MONTH(Table3[[#This Row],[Date]])&gt;=4,1,0)</f>
        <v>2026</v>
      </c>
      <c r="B53" s="60">
        <f>YEAR(Table3[[#This Row],[Date]])</f>
        <v>2025</v>
      </c>
      <c r="C53" s="60" t="s">
        <v>1082</v>
      </c>
      <c r="D53" s="60" t="s">
        <v>1082</v>
      </c>
      <c r="E53" s="6" t="str">
        <f>TEXT(Table3[[#This Row],[Date]],"mmm-yy")</f>
        <v>May-25</v>
      </c>
      <c r="F53" s="60">
        <f>DAY(EOMONTH(Table3[[#This Row],[Month Year]],0))</f>
        <v>31</v>
      </c>
      <c r="G53" s="63">
        <f t="shared" si="2"/>
        <v>45794</v>
      </c>
      <c r="H53" s="18">
        <f>'Modelling New'!$AR$1</f>
        <v>8.0208999999999993</v>
      </c>
      <c r="I53" s="120">
        <v>0.24305555555555555</v>
      </c>
      <c r="J53" s="120">
        <v>0.77638888888888891</v>
      </c>
      <c r="K53" s="3">
        <v>3579.8</v>
      </c>
      <c r="L53" s="3">
        <v>3581.2</v>
      </c>
      <c r="M53" s="3">
        <v>0</v>
      </c>
      <c r="N53" s="3">
        <v>3583.4</v>
      </c>
      <c r="O53" s="3">
        <v>3531.6</v>
      </c>
      <c r="P53" s="3">
        <v>3508.6</v>
      </c>
      <c r="Q53" s="3">
        <v>3514.2</v>
      </c>
      <c r="R53" s="3">
        <v>0</v>
      </c>
      <c r="S53" s="3">
        <v>2731.5</v>
      </c>
      <c r="T53" s="3">
        <v>2739.2</v>
      </c>
      <c r="U53" s="3">
        <v>2729.9</v>
      </c>
      <c r="V53" s="3">
        <v>2710.4</v>
      </c>
      <c r="W53" s="96">
        <f>SUM(Table3[[#This Row],[Inv1_U1]:[Inv1_U4]])</f>
        <v>10744.4</v>
      </c>
      <c r="X53" s="97">
        <f>SUM(Table3[[#This Row],[Inv2_U1]:[Inv2_U4]])</f>
        <v>10554.4</v>
      </c>
      <c r="Y53" s="98">
        <f>SUM(Table3[[#This Row],[Inv3_U1]:[Inv3_U4]])</f>
        <v>10911</v>
      </c>
      <c r="Z53" s="64">
        <v>89144.8</v>
      </c>
      <c r="AA53" s="64">
        <v>400.95</v>
      </c>
      <c r="AB53" s="60"/>
      <c r="AC53" s="88">
        <v>5.27</v>
      </c>
      <c r="AD53" s="95">
        <v>0</v>
      </c>
      <c r="AE53" s="88">
        <v>40.74</v>
      </c>
      <c r="AF53" s="88">
        <v>0</v>
      </c>
      <c r="AG53" s="88">
        <v>0</v>
      </c>
      <c r="AH53" s="60"/>
      <c r="AI53" s="17">
        <f>SUM(Table3[[#This Row],[Inv1]:[Inv3]])</f>
        <v>32209.8</v>
      </c>
      <c r="AJ53" s="17">
        <f>IF((Table3[[#This Row],[33 kV Outgoinng Export Reading]]-Z52)*1000&gt;0,(Table3[[#This Row],[33 kV Outgoinng Export Reading]]-Z52)*1000,0)</f>
        <v>31900.000000008731</v>
      </c>
      <c r="AK53" s="17">
        <f>IF((Table3[[#This Row],[33 kV Outgoinng Import Reading]]-AA52)*1000&gt;0,(Table3[[#This Row],[33 kV Outgoinng Import Reading]]-AA52)*1000,0)</f>
        <v>99.999999999965894</v>
      </c>
      <c r="AL53" s="6">
        <f>Table3[[#This Row],[Export  (kWh)]]-Table3[[#This Row],[Import (kWh)]]</f>
        <v>31800.000000008764</v>
      </c>
      <c r="AM53" s="77">
        <f t="shared" si="3"/>
        <v>12.8</v>
      </c>
    </row>
    <row r="54" spans="1:39" x14ac:dyDescent="0.3">
      <c r="A54" s="60">
        <f>YEAR(Table3[[#This Row],[Date]])+IF(MONTH(Table3[[#This Row],[Date]])&gt;=4,1,0)</f>
        <v>2026</v>
      </c>
      <c r="B54" s="60">
        <f>YEAR(Table3[[#This Row],[Date]])</f>
        <v>2025</v>
      </c>
      <c r="C54" s="60" t="s">
        <v>1082</v>
      </c>
      <c r="D54" s="60" t="s">
        <v>1082</v>
      </c>
      <c r="E54" s="6" t="str">
        <f>TEXT(Table3[[#This Row],[Date]],"mmm-yy")</f>
        <v>May-25</v>
      </c>
      <c r="F54" s="60">
        <f>DAY(EOMONTH(Table3[[#This Row],[Month Year]],0))</f>
        <v>31</v>
      </c>
      <c r="G54" s="63">
        <f t="shared" si="2"/>
        <v>45795</v>
      </c>
      <c r="H54" s="18">
        <f>'Modelling New'!$AR$1</f>
        <v>8.0208999999999993</v>
      </c>
      <c r="I54" s="120">
        <v>0.25069444444444444</v>
      </c>
      <c r="J54" s="120">
        <v>0.77777777777777779</v>
      </c>
      <c r="K54" s="3">
        <v>2412.6999999999998</v>
      </c>
      <c r="L54" s="3">
        <v>2412.3000000000002</v>
      </c>
      <c r="M54" s="3">
        <v>0</v>
      </c>
      <c r="N54" s="3">
        <v>2580</v>
      </c>
      <c r="O54" s="3">
        <v>2467</v>
      </c>
      <c r="P54" s="3">
        <v>2287.6</v>
      </c>
      <c r="Q54" s="3">
        <v>2284.1999999999998</v>
      </c>
      <c r="R54" s="3">
        <v>0</v>
      </c>
      <c r="S54" s="3">
        <v>1821.8</v>
      </c>
      <c r="T54" s="3">
        <v>1827.8</v>
      </c>
      <c r="U54" s="3">
        <v>1987.2</v>
      </c>
      <c r="V54" s="3">
        <v>1808.6</v>
      </c>
      <c r="W54" s="96">
        <f>SUM(Table3[[#This Row],[Inv1_U1]:[Inv1_U4]])</f>
        <v>7405</v>
      </c>
      <c r="X54" s="97">
        <f>SUM(Table3[[#This Row],[Inv2_U1]:[Inv2_U4]])</f>
        <v>7038.8</v>
      </c>
      <c r="Y54" s="98">
        <f>SUM(Table3[[#This Row],[Inv3_U1]:[Inv3_U4]])</f>
        <v>7445.4</v>
      </c>
      <c r="Z54" s="64">
        <v>89166.5</v>
      </c>
      <c r="AA54" s="64">
        <v>401.05</v>
      </c>
      <c r="AB54" s="60"/>
      <c r="AC54" s="88">
        <v>5.23</v>
      </c>
      <c r="AD54" s="95">
        <v>0</v>
      </c>
      <c r="AE54" s="88">
        <v>41.05</v>
      </c>
      <c r="AF54" s="88">
        <v>0</v>
      </c>
      <c r="AG54" s="88">
        <v>0</v>
      </c>
      <c r="AH54" s="60"/>
      <c r="AI54" s="17">
        <f>SUM(Table3[[#This Row],[Inv1]:[Inv3]])</f>
        <v>21889.199999999997</v>
      </c>
      <c r="AJ54" s="17">
        <f>IF((Table3[[#This Row],[33 kV Outgoinng Export Reading]]-Z53)*1000&gt;0,(Table3[[#This Row],[33 kV Outgoinng Export Reading]]-Z53)*1000,0)</f>
        <v>21699.99999999709</v>
      </c>
      <c r="AK54" s="17">
        <f>IF((Table3[[#This Row],[33 kV Outgoinng Import Reading]]-AA53)*1000&gt;0,(Table3[[#This Row],[33 kV Outgoinng Import Reading]]-AA53)*1000,0)</f>
        <v>100.00000000002274</v>
      </c>
      <c r="AL54" s="6">
        <f>Table3[[#This Row],[Export  (kWh)]]-Table3[[#This Row],[Import (kWh)]]</f>
        <v>21599.999999997068</v>
      </c>
      <c r="AM54" s="77">
        <f t="shared" si="3"/>
        <v>12.65</v>
      </c>
    </row>
    <row r="55" spans="1:39" x14ac:dyDescent="0.3">
      <c r="A55" s="60">
        <f>YEAR(Table3[[#This Row],[Date]])+IF(MONTH(Table3[[#This Row],[Date]])&gt;=4,1,0)</f>
        <v>2026</v>
      </c>
      <c r="B55" s="60">
        <f>YEAR(Table3[[#This Row],[Date]])</f>
        <v>2025</v>
      </c>
      <c r="C55" s="60" t="s">
        <v>1082</v>
      </c>
      <c r="D55" s="60" t="s">
        <v>1082</v>
      </c>
      <c r="E55" s="6" t="str">
        <f>TEXT(Table3[[#This Row],[Date]],"mmm-yy")</f>
        <v>May-25</v>
      </c>
      <c r="F55" s="60">
        <f>DAY(EOMONTH(Table3[[#This Row],[Month Year]],0))</f>
        <v>31</v>
      </c>
      <c r="G55" s="63">
        <f t="shared" si="2"/>
        <v>45796</v>
      </c>
      <c r="H55" s="18">
        <f>'Modelling New'!$AR$1</f>
        <v>8.0208999999999993</v>
      </c>
      <c r="I55" s="120">
        <v>0.25</v>
      </c>
      <c r="J55" s="120">
        <v>0.78333333333333333</v>
      </c>
      <c r="K55" s="3">
        <v>3259.8</v>
      </c>
      <c r="L55" s="3">
        <v>3175</v>
      </c>
      <c r="M55" s="3">
        <v>0</v>
      </c>
      <c r="N55" s="3">
        <v>3178.2</v>
      </c>
      <c r="O55" s="3">
        <v>3141.3</v>
      </c>
      <c r="P55" s="3">
        <v>3019.8</v>
      </c>
      <c r="Q55" s="3">
        <v>3021.3</v>
      </c>
      <c r="R55" s="3">
        <v>0</v>
      </c>
      <c r="S55" s="3">
        <v>2403.8000000000002</v>
      </c>
      <c r="T55" s="3">
        <v>2411.8000000000002</v>
      </c>
      <c r="U55" s="3">
        <v>2403.6999999999998</v>
      </c>
      <c r="V55" s="3">
        <v>2462.1999999999998</v>
      </c>
      <c r="W55" s="96">
        <f>SUM(Table3[[#This Row],[Inv1_U1]:[Inv1_U4]])</f>
        <v>9613</v>
      </c>
      <c r="X55" s="97">
        <f>SUM(Table3[[#This Row],[Inv2_U1]:[Inv2_U4]])</f>
        <v>9182.4000000000015</v>
      </c>
      <c r="Y55" s="98">
        <f>SUM(Table3[[#This Row],[Inv3_U1]:[Inv3_U4]])</f>
        <v>9681.5</v>
      </c>
      <c r="Z55" s="64">
        <v>89194.8</v>
      </c>
      <c r="AA55" s="64">
        <v>401.15</v>
      </c>
      <c r="AB55" s="60"/>
      <c r="AC55" s="88">
        <v>4.91</v>
      </c>
      <c r="AD55" s="95">
        <v>0</v>
      </c>
      <c r="AE55" s="88">
        <v>40.53</v>
      </c>
      <c r="AF55" s="88">
        <v>0</v>
      </c>
      <c r="AG55" s="88">
        <v>0</v>
      </c>
      <c r="AH55" s="60"/>
      <c r="AI55" s="17">
        <f>SUM(Table3[[#This Row],[Inv1]:[Inv3]])</f>
        <v>28476.9</v>
      </c>
      <c r="AJ55" s="17">
        <f>IF((Table3[[#This Row],[33 kV Outgoinng Export Reading]]-Z54)*1000&gt;0,(Table3[[#This Row],[33 kV Outgoinng Export Reading]]-Z54)*1000,0)</f>
        <v>28300.00000000291</v>
      </c>
      <c r="AK55" s="17">
        <f>IF((Table3[[#This Row],[33 kV Outgoinng Import Reading]]-AA54)*1000&gt;0,(Table3[[#This Row],[33 kV Outgoinng Import Reading]]-AA54)*1000,0)</f>
        <v>99.999999999965894</v>
      </c>
      <c r="AL55" s="6">
        <f>Table3[[#This Row],[Export  (kWh)]]-Table3[[#This Row],[Import (kWh)]]</f>
        <v>28200.000000002943</v>
      </c>
      <c r="AM55" s="77">
        <f t="shared" si="3"/>
        <v>12.8</v>
      </c>
    </row>
    <row r="56" spans="1:39" x14ac:dyDescent="0.3">
      <c r="A56" s="222">
        <f>YEAR(Table3[[#This Row],[Date]])+IF(MONTH(Table3[[#This Row],[Date]])&gt;=4,1,0)</f>
        <v>2026</v>
      </c>
      <c r="B56" s="60">
        <f>YEAR(Table3[[#This Row],[Date]])</f>
        <v>2025</v>
      </c>
      <c r="C56" s="60" t="s">
        <v>1082</v>
      </c>
      <c r="D56" s="60" t="s">
        <v>1082</v>
      </c>
      <c r="E56" s="6" t="str">
        <f>TEXT(Table3[[#This Row],[Date]],"mmm-yy")</f>
        <v>May-25</v>
      </c>
      <c r="F56" s="60">
        <f>DAY(EOMONTH(Table3[[#This Row],[Month Year]],0))</f>
        <v>31</v>
      </c>
      <c r="G56" s="63">
        <f t="shared" si="2"/>
        <v>45797</v>
      </c>
      <c r="H56" s="18">
        <f>'Modelling New'!$AR$1</f>
        <v>8.0208999999999993</v>
      </c>
      <c r="I56" s="120">
        <v>0.24791666666666667</v>
      </c>
      <c r="J56" s="120">
        <v>0.77777777777777779</v>
      </c>
      <c r="K56" s="3">
        <v>3442.4</v>
      </c>
      <c r="L56" s="3">
        <v>3441.4</v>
      </c>
      <c r="M56" s="3">
        <v>0</v>
      </c>
      <c r="N56" s="3">
        <v>3518.4</v>
      </c>
      <c r="O56" s="3">
        <v>3333.2</v>
      </c>
      <c r="P56" s="3">
        <v>3312.8</v>
      </c>
      <c r="Q56" s="3">
        <v>3398.2</v>
      </c>
      <c r="R56" s="3">
        <v>0</v>
      </c>
      <c r="S56" s="3">
        <v>2450</v>
      </c>
      <c r="T56" s="3">
        <v>2474.9</v>
      </c>
      <c r="U56" s="3">
        <v>2503.5</v>
      </c>
      <c r="V56" s="3">
        <v>2433.6</v>
      </c>
      <c r="W56" s="96">
        <f>SUM(Table3[[#This Row],[Inv1_U1]:[Inv1_U4]])</f>
        <v>10402.200000000001</v>
      </c>
      <c r="X56" s="97">
        <f>SUM(Table3[[#This Row],[Inv2_U1]:[Inv2_U4]])</f>
        <v>10044.200000000001</v>
      </c>
      <c r="Y56" s="98">
        <f>SUM(Table3[[#This Row],[Inv3_U1]:[Inv3_U4]])</f>
        <v>9862</v>
      </c>
      <c r="Z56" s="64">
        <v>89224.9</v>
      </c>
      <c r="AA56" s="64">
        <v>401.25</v>
      </c>
      <c r="AB56" s="60"/>
      <c r="AC56" s="88">
        <v>4.84</v>
      </c>
      <c r="AD56" s="95">
        <v>0</v>
      </c>
      <c r="AE56" s="88">
        <v>40.06</v>
      </c>
      <c r="AF56" s="88">
        <v>0</v>
      </c>
      <c r="AG56" s="88">
        <v>0</v>
      </c>
      <c r="AH56" s="60"/>
      <c r="AI56" s="17">
        <f>SUM(Table3[[#This Row],[Inv1]:[Inv3]])</f>
        <v>30308.400000000001</v>
      </c>
      <c r="AJ56" s="17">
        <f>IF((Table3[[#This Row],[33 kV Outgoinng Export Reading]]-Z55)*1000&gt;0,(Table3[[#This Row],[33 kV Outgoinng Export Reading]]-Z55)*1000,0)</f>
        <v>30099.999999991269</v>
      </c>
      <c r="AK56" s="17">
        <f>IF((Table3[[#This Row],[33 kV Outgoinng Import Reading]]-AA55)*1000&gt;0,(Table3[[#This Row],[33 kV Outgoinng Import Reading]]-AA55)*1000,0)</f>
        <v>100.00000000002274</v>
      </c>
      <c r="AL56" s="6">
        <f>Table3[[#This Row],[Export  (kWh)]]-Table3[[#This Row],[Import (kWh)]]</f>
        <v>29999.999999991247</v>
      </c>
      <c r="AM56" s="77">
        <f t="shared" ref="AM56:AM61" si="4">IFERROR((J56-I56)*24,"")</f>
        <v>12.716666666666667</v>
      </c>
    </row>
    <row r="57" spans="1:39" x14ac:dyDescent="0.3">
      <c r="A57" s="222">
        <f>YEAR(Table3[[#This Row],[Date]])+IF(MONTH(Table3[[#This Row],[Date]])&gt;=4,1,0)</f>
        <v>2026</v>
      </c>
      <c r="B57" s="60">
        <f>YEAR(Table3[[#This Row],[Date]])</f>
        <v>2025</v>
      </c>
      <c r="C57" s="60" t="s">
        <v>1082</v>
      </c>
      <c r="D57" s="60" t="s">
        <v>1082</v>
      </c>
      <c r="E57" s="6" t="str">
        <f>TEXT(Table3[[#This Row],[Date]],"mmm-yy")</f>
        <v>May-25</v>
      </c>
      <c r="F57" s="60">
        <f>DAY(EOMONTH(Table3[[#This Row],[Month Year]],0))</f>
        <v>31</v>
      </c>
      <c r="G57" s="63">
        <f t="shared" si="2"/>
        <v>45798</v>
      </c>
      <c r="H57" s="18">
        <f>'Modelling New'!$AR$1</f>
        <v>8.0208999999999993</v>
      </c>
      <c r="I57" s="120">
        <v>0.24305555555555555</v>
      </c>
      <c r="J57" s="120">
        <v>0.77777777777777779</v>
      </c>
      <c r="K57" s="3">
        <v>2267.3000000000002</v>
      </c>
      <c r="L57" s="3">
        <v>2257.6</v>
      </c>
      <c r="M57" s="3">
        <v>0</v>
      </c>
      <c r="N57" s="3">
        <v>2347.6</v>
      </c>
      <c r="O57" s="3">
        <v>2283.5</v>
      </c>
      <c r="P57" s="3">
        <v>2172.8000000000002</v>
      </c>
      <c r="Q57" s="3">
        <v>2175.1999999999998</v>
      </c>
      <c r="R57" s="3">
        <v>0</v>
      </c>
      <c r="S57" s="3">
        <v>1704</v>
      </c>
      <c r="T57" s="3">
        <v>1709.7</v>
      </c>
      <c r="U57" s="3">
        <v>1704.2</v>
      </c>
      <c r="V57" s="3">
        <v>1780.4</v>
      </c>
      <c r="W57" s="96">
        <f>SUM(Table3[[#This Row],[Inv1_U1]:[Inv1_U4]])</f>
        <v>6872.5</v>
      </c>
      <c r="X57" s="97">
        <f>SUM(Table3[[#This Row],[Inv2_U1]:[Inv2_U4]])</f>
        <v>6631.5</v>
      </c>
      <c r="Y57" s="98">
        <f>SUM(Table3[[#This Row],[Inv3_U1]:[Inv3_U4]])</f>
        <v>6898.2999999999993</v>
      </c>
      <c r="Z57" s="64">
        <v>89245.1</v>
      </c>
      <c r="AA57" s="64">
        <v>401.35</v>
      </c>
      <c r="AB57" s="60"/>
      <c r="AC57" s="88">
        <v>3.26</v>
      </c>
      <c r="AD57" s="95">
        <v>0</v>
      </c>
      <c r="AE57" s="88">
        <v>33.83</v>
      </c>
      <c r="AF57" s="88">
        <v>0</v>
      </c>
      <c r="AG57" s="88">
        <v>0</v>
      </c>
      <c r="AH57" s="60"/>
      <c r="AI57" s="17">
        <f>SUM(Table3[[#This Row],[Inv1]:[Inv3]])</f>
        <v>20402.3</v>
      </c>
      <c r="AJ57" s="17">
        <f>IF((Table3[[#This Row],[33 kV Outgoinng Export Reading]]-Z56)*1000&gt;0,(Table3[[#This Row],[33 kV Outgoinng Export Reading]]-Z56)*1000,0)</f>
        <v>20200.000000011642</v>
      </c>
      <c r="AK57" s="17">
        <f>IF((Table3[[#This Row],[33 kV Outgoinng Import Reading]]-AA56)*1000&gt;0,(Table3[[#This Row],[33 kV Outgoinng Import Reading]]-AA56)*1000,0)</f>
        <v>100.00000000002274</v>
      </c>
      <c r="AL57" s="6">
        <f>Table3[[#This Row],[Export  (kWh)]]-Table3[[#This Row],[Import (kWh)]]</f>
        <v>20100.00000001162</v>
      </c>
      <c r="AM57" s="77">
        <f t="shared" si="4"/>
        <v>12.833333333333332</v>
      </c>
    </row>
    <row r="58" spans="1:39" x14ac:dyDescent="0.3">
      <c r="A58" s="222">
        <f>YEAR(Table3[[#This Row],[Date]])+IF(MONTH(Table3[[#This Row],[Date]])&gt;=4,1,0)</f>
        <v>2026</v>
      </c>
      <c r="B58" s="60">
        <f>YEAR(Table3[[#This Row],[Date]])</f>
        <v>2025</v>
      </c>
      <c r="C58" s="60" t="s">
        <v>1082</v>
      </c>
      <c r="D58" s="60" t="s">
        <v>1082</v>
      </c>
      <c r="E58" s="6" t="str">
        <f>TEXT(Table3[[#This Row],[Date]],"mmm-yy")</f>
        <v>May-25</v>
      </c>
      <c r="F58" s="60">
        <f>DAY(EOMONTH(Table3[[#This Row],[Month Year]],0))</f>
        <v>31</v>
      </c>
      <c r="G58" s="63">
        <f t="shared" si="2"/>
        <v>45799</v>
      </c>
      <c r="H58" s="18">
        <f>'Modelling New'!$AR$1</f>
        <v>8.0208999999999993</v>
      </c>
      <c r="I58" s="120">
        <v>0.24374999999999999</v>
      </c>
      <c r="J58" s="120">
        <v>0.76597222222222228</v>
      </c>
      <c r="K58" s="3">
        <v>3018.2</v>
      </c>
      <c r="L58" s="3">
        <v>3126.6</v>
      </c>
      <c r="M58" s="3">
        <v>0</v>
      </c>
      <c r="N58" s="3">
        <v>3018.1</v>
      </c>
      <c r="O58" s="3">
        <v>2937.2</v>
      </c>
      <c r="P58" s="3">
        <v>3021.7</v>
      </c>
      <c r="Q58" s="3">
        <v>2919.3</v>
      </c>
      <c r="R58" s="3">
        <v>0</v>
      </c>
      <c r="S58" s="3">
        <v>2351.4</v>
      </c>
      <c r="T58" s="3">
        <v>2366.6999999999998</v>
      </c>
      <c r="U58" s="3">
        <v>2451.3000000000002</v>
      </c>
      <c r="V58" s="3">
        <v>2335.3000000000002</v>
      </c>
      <c r="W58" s="96">
        <f>SUM(Table3[[#This Row],[Inv1_U1]:[Inv1_U4]])</f>
        <v>9162.9</v>
      </c>
      <c r="X58" s="97">
        <f>SUM(Table3[[#This Row],[Inv2_U1]:[Inv2_U4]])</f>
        <v>8878.2000000000007</v>
      </c>
      <c r="Y58" s="98">
        <f>SUM(Table3[[#This Row],[Inv3_U1]:[Inv3_U4]])</f>
        <v>9504.7000000000007</v>
      </c>
      <c r="Z58" s="64">
        <v>89272.4</v>
      </c>
      <c r="AA58" s="64">
        <v>401.45</v>
      </c>
      <c r="AB58" s="60"/>
      <c r="AC58" s="88">
        <v>5.56</v>
      </c>
      <c r="AD58" s="95">
        <v>0</v>
      </c>
      <c r="AE58" s="88">
        <v>48.87</v>
      </c>
      <c r="AF58" s="88">
        <v>0</v>
      </c>
      <c r="AG58" s="88">
        <v>0</v>
      </c>
      <c r="AH58" s="60"/>
      <c r="AI58" s="17">
        <f>SUM(Table3[[#This Row],[Inv1]:[Inv3]])</f>
        <v>27545.8</v>
      </c>
      <c r="AJ58" s="17">
        <f>IF((Table3[[#This Row],[33 kV Outgoinng Export Reading]]-Z57)*1000&gt;0,(Table3[[#This Row],[33 kV Outgoinng Export Reading]]-Z57)*1000,0)</f>
        <v>27299.999999988358</v>
      </c>
      <c r="AK58" s="17">
        <f>IF((Table3[[#This Row],[33 kV Outgoinng Import Reading]]-AA57)*1000&gt;0,(Table3[[#This Row],[33 kV Outgoinng Import Reading]]-AA57)*1000,0)</f>
        <v>99.999999999965894</v>
      </c>
      <c r="AL58" s="6">
        <f>Table3[[#This Row],[Export  (kWh)]]-Table3[[#This Row],[Import (kWh)]]</f>
        <v>27199.999999988391</v>
      </c>
      <c r="AM58" s="77">
        <f t="shared" si="4"/>
        <v>12.533333333333335</v>
      </c>
    </row>
    <row r="59" spans="1:39" x14ac:dyDescent="0.3">
      <c r="A59" s="222">
        <f>YEAR(Table3[[#This Row],[Date]])+IF(MONTH(Table3[[#This Row],[Date]])&gt;=4,1,0)</f>
        <v>2026</v>
      </c>
      <c r="B59" s="60">
        <f>YEAR(Table3[[#This Row],[Date]])</f>
        <v>2025</v>
      </c>
      <c r="C59" s="60" t="s">
        <v>1082</v>
      </c>
      <c r="D59" s="60" t="s">
        <v>1082</v>
      </c>
      <c r="E59" s="6" t="str">
        <f>TEXT(Table3[[#This Row],[Date]],"mmm-yy")</f>
        <v>May-25</v>
      </c>
      <c r="F59" s="60">
        <f>DAY(EOMONTH(Table3[[#This Row],[Month Year]],0))</f>
        <v>31</v>
      </c>
      <c r="G59" s="63">
        <f t="shared" si="2"/>
        <v>45800</v>
      </c>
      <c r="H59" s="18">
        <f>'Modelling New'!$AR$1</f>
        <v>8.0208999999999993</v>
      </c>
      <c r="I59" s="120">
        <v>0.24652777777777779</v>
      </c>
      <c r="J59" s="120">
        <v>0.78125</v>
      </c>
      <c r="K59" s="3">
        <v>3603.1</v>
      </c>
      <c r="L59" s="3">
        <v>3601</v>
      </c>
      <c r="M59" s="3">
        <v>0</v>
      </c>
      <c r="N59" s="3">
        <v>3674.8</v>
      </c>
      <c r="O59" s="3">
        <v>3522.5</v>
      </c>
      <c r="P59" s="3">
        <v>3500.6</v>
      </c>
      <c r="Q59" s="3">
        <v>3569.5</v>
      </c>
      <c r="R59" s="3">
        <v>0</v>
      </c>
      <c r="S59" s="3">
        <v>2882.1</v>
      </c>
      <c r="T59" s="3">
        <v>2892.1</v>
      </c>
      <c r="U59" s="3">
        <v>2881.2</v>
      </c>
      <c r="V59" s="3">
        <v>2925.6</v>
      </c>
      <c r="W59" s="96">
        <f>SUM(Table3[[#This Row],[Inv1_U1]:[Inv1_U4]])</f>
        <v>10878.900000000001</v>
      </c>
      <c r="X59" s="97">
        <f>SUM(Table3[[#This Row],[Inv2_U1]:[Inv2_U4]])</f>
        <v>10592.6</v>
      </c>
      <c r="Y59" s="98">
        <f>SUM(Table3[[#This Row],[Inv3_U1]:[Inv3_U4]])</f>
        <v>11581</v>
      </c>
      <c r="Z59" s="64">
        <v>89305.15</v>
      </c>
      <c r="AA59" s="64">
        <v>401.55</v>
      </c>
      <c r="AB59" s="60"/>
      <c r="AC59" s="88">
        <v>5.31</v>
      </c>
      <c r="AD59" s="95">
        <v>0</v>
      </c>
      <c r="AE59" s="88">
        <v>36.07</v>
      </c>
      <c r="AF59" s="88">
        <v>0</v>
      </c>
      <c r="AG59" s="88">
        <v>0</v>
      </c>
      <c r="AH59" s="60"/>
      <c r="AI59" s="17">
        <f>SUM(Table3[[#This Row],[Inv1]:[Inv3]])</f>
        <v>33052.5</v>
      </c>
      <c r="AJ59" s="17">
        <f>IF((Table3[[#This Row],[33 kV Outgoinng Export Reading]]-Z58)*1000&gt;0,(Table3[[#This Row],[33 kV Outgoinng Export Reading]]-Z58)*1000,0)</f>
        <v>32750</v>
      </c>
      <c r="AK59" s="17">
        <f>IF((Table3[[#This Row],[33 kV Outgoinng Import Reading]]-AA58)*1000&gt;0,(Table3[[#This Row],[33 kV Outgoinng Import Reading]]-AA58)*1000,0)</f>
        <v>100.00000000002274</v>
      </c>
      <c r="AL59" s="6">
        <f>Table3[[#This Row],[Export  (kWh)]]-Table3[[#This Row],[Import (kWh)]]</f>
        <v>32649.999999999978</v>
      </c>
      <c r="AM59" s="77">
        <f t="shared" si="4"/>
        <v>12.833333333333332</v>
      </c>
    </row>
    <row r="60" spans="1:39" x14ac:dyDescent="0.3">
      <c r="A60" s="222">
        <f>YEAR(Table3[[#This Row],[Date]])+IF(MONTH(Table3[[#This Row],[Date]])&gt;=4,1,0)</f>
        <v>2026</v>
      </c>
      <c r="B60" s="60">
        <f>YEAR(Table3[[#This Row],[Date]])</f>
        <v>2025</v>
      </c>
      <c r="C60" s="60" t="s">
        <v>1082</v>
      </c>
      <c r="D60" s="60" t="s">
        <v>1082</v>
      </c>
      <c r="E60" s="6" t="str">
        <f>TEXT(Table3[[#This Row],[Date]],"mmm-yy")</f>
        <v>May-25</v>
      </c>
      <c r="F60" s="60">
        <f>DAY(EOMONTH(Table3[[#This Row],[Month Year]],0))</f>
        <v>31</v>
      </c>
      <c r="G60" s="63">
        <f t="shared" si="2"/>
        <v>45801</v>
      </c>
      <c r="H60" s="18">
        <f>'Modelling New'!$AR$1</f>
        <v>8.0208999999999993</v>
      </c>
      <c r="I60" s="120">
        <v>0.25069444444444444</v>
      </c>
      <c r="J60" s="120">
        <v>0.77500000000000002</v>
      </c>
      <c r="K60" s="3">
        <v>3019.4</v>
      </c>
      <c r="L60" s="3">
        <v>2987.5</v>
      </c>
      <c r="M60" s="3">
        <v>0</v>
      </c>
      <c r="N60" s="3">
        <v>3031.1</v>
      </c>
      <c r="O60" s="3">
        <v>2996</v>
      </c>
      <c r="P60" s="3">
        <v>2898.8</v>
      </c>
      <c r="Q60" s="3">
        <v>2900.2</v>
      </c>
      <c r="R60" s="3">
        <v>0</v>
      </c>
      <c r="S60" s="3">
        <v>2350.9</v>
      </c>
      <c r="T60" s="3">
        <v>2511.6999999999998</v>
      </c>
      <c r="U60" s="3">
        <v>2311.9</v>
      </c>
      <c r="V60" s="3">
        <v>2295.3000000000002</v>
      </c>
      <c r="W60" s="96">
        <f>SUM(Table3[[#This Row],[Inv1_U1]:[Inv1_U4]])</f>
        <v>9038</v>
      </c>
      <c r="X60" s="97">
        <f>SUM(Table3[[#This Row],[Inv2_U1]:[Inv2_U4]])</f>
        <v>8795</v>
      </c>
      <c r="Y60" s="98">
        <f>SUM(Table3[[#This Row],[Inv3_U1]:[Inv3_U4]])</f>
        <v>9469.7999999999993</v>
      </c>
      <c r="Z60" s="64">
        <v>89332.2</v>
      </c>
      <c r="AA60" s="64">
        <v>401.65</v>
      </c>
      <c r="AB60" s="60"/>
      <c r="AC60" s="88">
        <v>4.32</v>
      </c>
      <c r="AD60" s="95">
        <v>0</v>
      </c>
      <c r="AE60" s="88">
        <v>34.130000000000003</v>
      </c>
      <c r="AF60" s="88">
        <v>0</v>
      </c>
      <c r="AG60" s="88">
        <v>0</v>
      </c>
      <c r="AH60" s="60"/>
      <c r="AI60" s="17">
        <f>SUM(Table3[[#This Row],[Inv1]:[Inv3]])</f>
        <v>27302.799999999999</v>
      </c>
      <c r="AJ60" s="17">
        <f>IF((Table3[[#This Row],[33 kV Outgoinng Export Reading]]-Z59)*1000&gt;0,(Table3[[#This Row],[33 kV Outgoinng Export Reading]]-Z59)*1000,0)</f>
        <v>27050.00000000291</v>
      </c>
      <c r="AK60" s="17">
        <f>IF((Table3[[#This Row],[33 kV Outgoinng Import Reading]]-AA59)*1000&gt;0,(Table3[[#This Row],[33 kV Outgoinng Import Reading]]-AA59)*1000,0)</f>
        <v>99.999999999965894</v>
      </c>
      <c r="AL60" s="6">
        <f>Table3[[#This Row],[Export  (kWh)]]-Table3[[#This Row],[Import (kWh)]]</f>
        <v>26950.000000002943</v>
      </c>
      <c r="AM60" s="77">
        <f t="shared" si="4"/>
        <v>12.583333333333334</v>
      </c>
    </row>
    <row r="61" spans="1:39" x14ac:dyDescent="0.3">
      <c r="A61" s="222">
        <f>YEAR(Table3[[#This Row],[Date]])+IF(MONTH(Table3[[#This Row],[Date]])&gt;=4,1,0)</f>
        <v>2026</v>
      </c>
      <c r="B61" s="60">
        <f>YEAR(Table3[[#This Row],[Date]])</f>
        <v>2025</v>
      </c>
      <c r="C61" s="60" t="s">
        <v>1082</v>
      </c>
      <c r="D61" s="60" t="s">
        <v>1082</v>
      </c>
      <c r="E61" s="6" t="str">
        <f>TEXT(Table3[[#This Row],[Date]],"mmm-yy")</f>
        <v>May-25</v>
      </c>
      <c r="F61" s="60">
        <f>DAY(EOMONTH(Table3[[#This Row],[Month Year]],0))</f>
        <v>31</v>
      </c>
      <c r="G61" s="63">
        <f t="shared" si="2"/>
        <v>45802</v>
      </c>
      <c r="H61" s="18">
        <f>'Modelling New'!$AR$1</f>
        <v>8.0208999999999993</v>
      </c>
      <c r="I61" s="120">
        <v>0.24374999999999999</v>
      </c>
      <c r="J61" s="120">
        <v>0.77986111111111112</v>
      </c>
      <c r="K61" s="3">
        <v>2667.1</v>
      </c>
      <c r="L61" s="3">
        <v>2750.9</v>
      </c>
      <c r="M61" s="3">
        <v>0</v>
      </c>
      <c r="N61" s="3">
        <v>2668.6</v>
      </c>
      <c r="O61" s="3">
        <v>2563.8000000000002</v>
      </c>
      <c r="P61" s="3">
        <v>2629.4</v>
      </c>
      <c r="Q61" s="3">
        <v>2547.5</v>
      </c>
      <c r="R61" s="3">
        <v>0</v>
      </c>
      <c r="S61" s="3">
        <v>1941.6</v>
      </c>
      <c r="T61" s="3">
        <v>1999.5</v>
      </c>
      <c r="U61" s="3">
        <v>1941.9</v>
      </c>
      <c r="V61" s="3">
        <v>1964</v>
      </c>
      <c r="W61" s="96">
        <f>SUM(Table3[[#This Row],[Inv1_U1]:[Inv1_U4]])</f>
        <v>8086.6</v>
      </c>
      <c r="X61" s="97">
        <f>SUM(Table3[[#This Row],[Inv2_U1]:[Inv2_U4]])</f>
        <v>7740.7000000000007</v>
      </c>
      <c r="Y61" s="98">
        <f>SUM(Table3[[#This Row],[Inv3_U1]:[Inv3_U4]])</f>
        <v>7847</v>
      </c>
      <c r="Z61" s="64">
        <v>89355.7</v>
      </c>
      <c r="AA61" s="64">
        <v>401.75</v>
      </c>
      <c r="AB61" s="60"/>
      <c r="AC61" s="88">
        <v>3.74</v>
      </c>
      <c r="AD61" s="95">
        <v>0</v>
      </c>
      <c r="AE61" s="88">
        <v>33.6</v>
      </c>
      <c r="AF61" s="88">
        <v>0</v>
      </c>
      <c r="AG61" s="88">
        <v>0</v>
      </c>
      <c r="AH61" s="60"/>
      <c r="AI61" s="17">
        <f>SUM(Table3[[#This Row],[Inv1]:[Inv3]])</f>
        <v>23674.300000000003</v>
      </c>
      <c r="AJ61" s="17">
        <f>IF((Table3[[#This Row],[33 kV Outgoinng Export Reading]]-Z60)*1000&gt;0,(Table3[[#This Row],[33 kV Outgoinng Export Reading]]-Z60)*1000,0)</f>
        <v>23500</v>
      </c>
      <c r="AK61" s="17">
        <f>IF((Table3[[#This Row],[33 kV Outgoinng Import Reading]]-AA60)*1000&gt;0,(Table3[[#This Row],[33 kV Outgoinng Import Reading]]-AA60)*1000,0)</f>
        <v>100.00000000002274</v>
      </c>
      <c r="AL61" s="6">
        <f>Table3[[#This Row],[Export  (kWh)]]-Table3[[#This Row],[Import (kWh)]]</f>
        <v>23399.999999999978</v>
      </c>
      <c r="AM61" s="77">
        <f t="shared" si="4"/>
        <v>12.866666666666667</v>
      </c>
    </row>
    <row r="62" spans="1:39" x14ac:dyDescent="0.3">
      <c r="A62" s="222">
        <f>YEAR(Table3[[#This Row],[Date]])+IF(MONTH(Table3[[#This Row],[Date]])&gt;=4,1,0)</f>
        <v>2026</v>
      </c>
      <c r="B62" s="60">
        <f>YEAR(Table3[[#This Row],[Date]])</f>
        <v>2025</v>
      </c>
      <c r="C62" s="60" t="s">
        <v>1082</v>
      </c>
      <c r="D62" s="60" t="s">
        <v>1082</v>
      </c>
      <c r="E62" s="6" t="str">
        <f>TEXT(Table3[[#This Row],[Date]],"mmm-yy")</f>
        <v>May-25</v>
      </c>
      <c r="F62" s="60">
        <f>DAY(EOMONTH(Table3[[#This Row],[Month Year]],0))</f>
        <v>31</v>
      </c>
      <c r="G62" s="63">
        <f t="shared" si="2"/>
        <v>45803</v>
      </c>
      <c r="H62" s="18">
        <f>'Modelling New'!$AR$1</f>
        <v>8.0208999999999993</v>
      </c>
      <c r="I62" s="120">
        <v>0.25138888888888888</v>
      </c>
      <c r="J62" s="120">
        <v>0.78472222222222221</v>
      </c>
      <c r="K62" s="3">
        <v>2109</v>
      </c>
      <c r="L62" s="3">
        <v>2109.8000000000002</v>
      </c>
      <c r="M62" s="3">
        <v>0</v>
      </c>
      <c r="N62" s="3">
        <v>2231.6999999999998</v>
      </c>
      <c r="O62" s="3">
        <v>2027.2</v>
      </c>
      <c r="P62" s="3">
        <v>2016.2</v>
      </c>
      <c r="Q62" s="3">
        <v>2117.6999999999998</v>
      </c>
      <c r="R62" s="3">
        <v>0</v>
      </c>
      <c r="S62" s="3">
        <v>1582.5</v>
      </c>
      <c r="T62" s="3">
        <v>1588.5</v>
      </c>
      <c r="U62" s="3">
        <v>1590.6</v>
      </c>
      <c r="V62" s="3">
        <v>1694.1</v>
      </c>
      <c r="W62" s="96">
        <f>SUM(Table3[[#This Row],[Inv1_U1]:[Inv1_U4]])</f>
        <v>6450.5</v>
      </c>
      <c r="X62" s="97">
        <f>SUM(Table3[[#This Row],[Inv2_U1]:[Inv2_U4]])</f>
        <v>6161.1</v>
      </c>
      <c r="Y62" s="98">
        <f>SUM(Table3[[#This Row],[Inv3_U1]:[Inv3_U4]])</f>
        <v>6455.7000000000007</v>
      </c>
      <c r="Z62" s="64">
        <v>89374.6</v>
      </c>
      <c r="AA62" s="64">
        <v>401.85</v>
      </c>
      <c r="AB62" s="60"/>
      <c r="AC62" s="88">
        <v>2.88</v>
      </c>
      <c r="AD62" s="95">
        <v>0</v>
      </c>
      <c r="AE62" s="88">
        <v>33.68</v>
      </c>
      <c r="AF62" s="88">
        <v>0</v>
      </c>
      <c r="AG62" s="88">
        <v>0</v>
      </c>
      <c r="AH62" s="60"/>
      <c r="AI62" s="17">
        <f>SUM(Table3[[#This Row],[Inv1]:[Inv3]])</f>
        <v>19067.300000000003</v>
      </c>
      <c r="AJ62" s="17">
        <f>IF((Table3[[#This Row],[33 kV Outgoinng Export Reading]]-Z61)*1000&gt;0,(Table3[[#This Row],[33 kV Outgoinng Export Reading]]-Z61)*1000,0)</f>
        <v>18900.000000008731</v>
      </c>
      <c r="AK62" s="17">
        <f>IF((Table3[[#This Row],[33 kV Outgoinng Import Reading]]-AA61)*1000&gt;0,(Table3[[#This Row],[33 kV Outgoinng Import Reading]]-AA61)*1000,0)</f>
        <v>100.00000000002274</v>
      </c>
      <c r="AL62" s="6">
        <f>Table3[[#This Row],[Export  (kWh)]]-Table3[[#This Row],[Import (kWh)]]</f>
        <v>18800.000000008709</v>
      </c>
      <c r="AM62" s="77">
        <f t="shared" ref="AM62:AM67" si="5">IFERROR((J62-I62)*24,"")</f>
        <v>12.8</v>
      </c>
    </row>
    <row r="63" spans="1:39" x14ac:dyDescent="0.3">
      <c r="A63" s="222">
        <f>YEAR(Table3[[#This Row],[Date]])+IF(MONTH(Table3[[#This Row],[Date]])&gt;=4,1,0)</f>
        <v>2026</v>
      </c>
      <c r="B63" s="60">
        <f>YEAR(Table3[[#This Row],[Date]])</f>
        <v>2025</v>
      </c>
      <c r="C63" s="60" t="s">
        <v>1082</v>
      </c>
      <c r="D63" s="60" t="s">
        <v>1082</v>
      </c>
      <c r="E63" s="6" t="str">
        <f>TEXT(Table3[[#This Row],[Date]],"mmm-yy")</f>
        <v>May-25</v>
      </c>
      <c r="F63" s="60">
        <f>DAY(EOMONTH(Table3[[#This Row],[Month Year]],0))</f>
        <v>31</v>
      </c>
      <c r="G63" s="63">
        <f t="shared" si="2"/>
        <v>45804</v>
      </c>
      <c r="H63" s="18">
        <f>'Modelling New'!$AR$1</f>
        <v>8.0208999999999993</v>
      </c>
      <c r="I63" s="120">
        <v>0.24374999999999999</v>
      </c>
      <c r="J63" s="120">
        <v>0.7680555555555556</v>
      </c>
      <c r="K63" s="3">
        <v>2252.6</v>
      </c>
      <c r="L63" s="3">
        <v>2198.6</v>
      </c>
      <c r="M63" s="3">
        <v>0</v>
      </c>
      <c r="N63" s="3">
        <v>2201.3000000000002</v>
      </c>
      <c r="O63" s="3">
        <v>2194.6999999999998</v>
      </c>
      <c r="P63" s="3">
        <v>2131.4</v>
      </c>
      <c r="Q63" s="3">
        <v>2127.1999999999998</v>
      </c>
      <c r="R63" s="3">
        <v>0</v>
      </c>
      <c r="S63" s="3">
        <v>1692.3</v>
      </c>
      <c r="T63" s="3">
        <v>1722.9</v>
      </c>
      <c r="U63" s="3">
        <v>1724.7</v>
      </c>
      <c r="V63" s="3">
        <v>1684.9</v>
      </c>
      <c r="W63" s="96">
        <f>SUM(Table3[[#This Row],[Inv1_U1]:[Inv1_U4]])</f>
        <v>6652.5</v>
      </c>
      <c r="X63" s="97">
        <f>SUM(Table3[[#This Row],[Inv2_U1]:[Inv2_U4]])</f>
        <v>6453.3</v>
      </c>
      <c r="Y63" s="98">
        <f>SUM(Table3[[#This Row],[Inv3_U1]:[Inv3_U4]])</f>
        <v>6824.7999999999993</v>
      </c>
      <c r="Z63" s="64">
        <v>89394.35</v>
      </c>
      <c r="AA63" s="64">
        <v>401.95</v>
      </c>
      <c r="AB63" s="60"/>
      <c r="AC63" s="88">
        <v>3.04</v>
      </c>
      <c r="AD63" s="95">
        <v>0</v>
      </c>
      <c r="AE63" s="88">
        <v>32.93</v>
      </c>
      <c r="AF63" s="88">
        <v>0</v>
      </c>
      <c r="AG63" s="88">
        <v>0</v>
      </c>
      <c r="AH63" s="60"/>
      <c r="AI63" s="17">
        <f>SUM(Table3[[#This Row],[Inv1]:[Inv3]])</f>
        <v>19930.599999999999</v>
      </c>
      <c r="AJ63" s="17">
        <f>IF((Table3[[#This Row],[33 kV Outgoinng Export Reading]]-Z62)*1000&gt;0,(Table3[[#This Row],[33 kV Outgoinng Export Reading]]-Z62)*1000,0)</f>
        <v>19750</v>
      </c>
      <c r="AK63" s="17">
        <f>IF((Table3[[#This Row],[33 kV Outgoinng Import Reading]]-AA62)*1000&gt;0,(Table3[[#This Row],[33 kV Outgoinng Import Reading]]-AA62)*1000,0)</f>
        <v>99.999999999965894</v>
      </c>
      <c r="AL63" s="6">
        <f>Table3[[#This Row],[Export  (kWh)]]-Table3[[#This Row],[Import (kWh)]]</f>
        <v>19650.000000000033</v>
      </c>
      <c r="AM63" s="77">
        <f t="shared" si="5"/>
        <v>12.583333333333334</v>
      </c>
    </row>
    <row r="64" spans="1:39" x14ac:dyDescent="0.3">
      <c r="A64" s="222">
        <f>YEAR(Table3[[#This Row],[Date]])+IF(MONTH(Table3[[#This Row],[Date]])&gt;=4,1,0)</f>
        <v>2026</v>
      </c>
      <c r="B64" s="60">
        <f>YEAR(Table3[[#This Row],[Date]])</f>
        <v>2025</v>
      </c>
      <c r="C64" s="60" t="s">
        <v>1082</v>
      </c>
      <c r="D64" s="60" t="s">
        <v>1082</v>
      </c>
      <c r="E64" s="6" t="str">
        <f>TEXT(Table3[[#This Row],[Date]],"mmm-yy")</f>
        <v>May-25</v>
      </c>
      <c r="F64" s="60">
        <f>DAY(EOMONTH(Table3[[#This Row],[Month Year]],0))</f>
        <v>31</v>
      </c>
      <c r="G64" s="63">
        <f t="shared" si="2"/>
        <v>45805</v>
      </c>
      <c r="H64" s="18">
        <f>'Modelling New'!$AR$1</f>
        <v>8.0208999999999993</v>
      </c>
      <c r="I64" s="120">
        <v>0.24305555555555555</v>
      </c>
      <c r="J64" s="120">
        <v>0.77777777777777779</v>
      </c>
      <c r="K64" s="3">
        <v>2468.6999999999998</v>
      </c>
      <c r="L64" s="3">
        <v>2484.3000000000002</v>
      </c>
      <c r="M64" s="3">
        <v>0</v>
      </c>
      <c r="N64" s="3">
        <v>2559.5</v>
      </c>
      <c r="O64" s="3">
        <v>2371.6999999999998</v>
      </c>
      <c r="P64" s="3">
        <v>2427.8000000000002</v>
      </c>
      <c r="Q64" s="3">
        <v>2343</v>
      </c>
      <c r="R64" s="3">
        <v>0</v>
      </c>
      <c r="S64" s="3">
        <v>1880.8</v>
      </c>
      <c r="T64" s="3">
        <v>1858</v>
      </c>
      <c r="U64" s="3">
        <v>1880.5</v>
      </c>
      <c r="V64" s="3">
        <v>1968.7</v>
      </c>
      <c r="W64" s="96">
        <f>SUM(Table3[[#This Row],[Inv1_U1]:[Inv1_U4]])</f>
        <v>7512.5</v>
      </c>
      <c r="X64" s="97">
        <f>SUM(Table3[[#This Row],[Inv2_U1]:[Inv2_U4]])</f>
        <v>7142.5</v>
      </c>
      <c r="Y64" s="98">
        <f>SUM(Table3[[#This Row],[Inv3_U1]:[Inv3_U4]])</f>
        <v>7588</v>
      </c>
      <c r="Z64" s="64">
        <v>89416.4</v>
      </c>
      <c r="AA64" s="64">
        <v>402.05</v>
      </c>
      <c r="AB64" s="60"/>
      <c r="AC64" s="88">
        <v>3.25</v>
      </c>
      <c r="AD64" s="95">
        <v>0</v>
      </c>
      <c r="AE64" s="88">
        <v>32.46</v>
      </c>
      <c r="AF64" s="88">
        <v>0</v>
      </c>
      <c r="AG64" s="88">
        <v>0</v>
      </c>
      <c r="AH64" s="60"/>
      <c r="AI64" s="17">
        <f>SUM(Table3[[#This Row],[Inv1]:[Inv3]])</f>
        <v>22243</v>
      </c>
      <c r="AJ64" s="17">
        <f>IF((Table3[[#This Row],[33 kV Outgoinng Export Reading]]-Z63)*1000&gt;0,(Table3[[#This Row],[33 kV Outgoinng Export Reading]]-Z63)*1000,0)</f>
        <v>22049.999999988358</v>
      </c>
      <c r="AK64" s="17">
        <f>IF((Table3[[#This Row],[33 kV Outgoinng Import Reading]]-AA63)*1000&gt;0,(Table3[[#This Row],[33 kV Outgoinng Import Reading]]-AA63)*1000,0)</f>
        <v>100.00000000002274</v>
      </c>
      <c r="AL64" s="6">
        <f>Table3[[#This Row],[Export  (kWh)]]-Table3[[#This Row],[Import (kWh)]]</f>
        <v>21949.999999988337</v>
      </c>
      <c r="AM64" s="77">
        <f t="shared" si="5"/>
        <v>12.833333333333332</v>
      </c>
    </row>
    <row r="65" spans="1:39" x14ac:dyDescent="0.3">
      <c r="A65" s="222">
        <f>YEAR(Table3[[#This Row],[Date]])+IF(MONTH(Table3[[#This Row],[Date]])&gt;=4,1,0)</f>
        <v>2026</v>
      </c>
      <c r="B65" s="60">
        <f>YEAR(Table3[[#This Row],[Date]])</f>
        <v>2025</v>
      </c>
      <c r="C65" s="60" t="s">
        <v>1082</v>
      </c>
      <c r="D65" s="60" t="s">
        <v>1082</v>
      </c>
      <c r="E65" s="6" t="str">
        <f>TEXT(Table3[[#This Row],[Date]],"mmm-yy")</f>
        <v>May-25</v>
      </c>
      <c r="F65" s="60">
        <f>DAY(EOMONTH(Table3[[#This Row],[Month Year]],0))</f>
        <v>31</v>
      </c>
      <c r="G65" s="63">
        <f t="shared" si="2"/>
        <v>45806</v>
      </c>
      <c r="H65" s="18">
        <f>'Modelling New'!$AR$1</f>
        <v>8.0208999999999993</v>
      </c>
      <c r="I65" s="120">
        <v>0.24652777777777779</v>
      </c>
      <c r="J65" s="120">
        <v>0.77708333333333335</v>
      </c>
      <c r="K65" s="3">
        <v>2110</v>
      </c>
      <c r="L65" s="3">
        <v>2109.1999999999998</v>
      </c>
      <c r="M65" s="3">
        <v>0</v>
      </c>
      <c r="N65" s="3">
        <v>2201.5</v>
      </c>
      <c r="O65" s="3">
        <v>2029.2</v>
      </c>
      <c r="P65" s="3">
        <v>2018.2</v>
      </c>
      <c r="Q65" s="3">
        <v>2104.5</v>
      </c>
      <c r="R65" s="3">
        <v>0</v>
      </c>
      <c r="S65" s="3">
        <v>1680</v>
      </c>
      <c r="T65" s="3">
        <v>1589.5</v>
      </c>
      <c r="U65" s="3">
        <v>1589.5</v>
      </c>
      <c r="V65" s="3">
        <v>1580.5</v>
      </c>
      <c r="W65" s="96">
        <f>SUM(Table3[[#This Row],[Inv1_U1]:[Inv1_U4]])</f>
        <v>6420.7</v>
      </c>
      <c r="X65" s="97">
        <f>SUM(Table3[[#This Row],[Inv2_U1]:[Inv2_U4]])</f>
        <v>6151.9</v>
      </c>
      <c r="Y65" s="98">
        <f>SUM(Table3[[#This Row],[Inv3_U1]:[Inv3_U4]])</f>
        <v>6439.5</v>
      </c>
      <c r="Z65" s="64">
        <v>89435.3</v>
      </c>
      <c r="AA65" s="64">
        <v>402.2</v>
      </c>
      <c r="AB65" s="60"/>
      <c r="AC65" s="88">
        <v>2.67</v>
      </c>
      <c r="AD65" s="95">
        <v>0</v>
      </c>
      <c r="AE65" s="88">
        <v>32.15</v>
      </c>
      <c r="AF65" s="88">
        <v>0</v>
      </c>
      <c r="AG65" s="88">
        <v>0</v>
      </c>
      <c r="AH65" s="60"/>
      <c r="AI65" s="17">
        <f>SUM(Table3[[#This Row],[Inv1]:[Inv3]])</f>
        <v>19012.099999999999</v>
      </c>
      <c r="AJ65" s="17">
        <f>IF((Table3[[#This Row],[33 kV Outgoinng Export Reading]]-Z64)*1000&gt;0,(Table3[[#This Row],[33 kV Outgoinng Export Reading]]-Z64)*1000,0)</f>
        <v>18900.000000008731</v>
      </c>
      <c r="AK65" s="17">
        <f>IF((Table3[[#This Row],[33 kV Outgoinng Import Reading]]-AA64)*1000&gt;0,(Table3[[#This Row],[33 kV Outgoinng Import Reading]]-AA64)*1000,0)</f>
        <v>149.99999999997726</v>
      </c>
      <c r="AL65" s="6">
        <f>Table3[[#This Row],[Export  (kWh)]]-Table3[[#This Row],[Import (kWh)]]</f>
        <v>18750.000000008753</v>
      </c>
      <c r="AM65" s="77">
        <f t="shared" si="5"/>
        <v>12.733333333333334</v>
      </c>
    </row>
    <row r="66" spans="1:39" x14ac:dyDescent="0.3">
      <c r="A66" s="222">
        <f>YEAR(Table3[[#This Row],[Date]])+IF(MONTH(Table3[[#This Row],[Date]])&gt;=4,1,0)</f>
        <v>2026</v>
      </c>
      <c r="B66" s="60">
        <f>YEAR(Table3[[#This Row],[Date]])</f>
        <v>2025</v>
      </c>
      <c r="C66" s="60" t="s">
        <v>1082</v>
      </c>
      <c r="D66" s="60" t="s">
        <v>1082</v>
      </c>
      <c r="E66" s="6" t="str">
        <f>TEXT(Table3[[#This Row],[Date]],"mmm-yy")</f>
        <v>May-25</v>
      </c>
      <c r="F66" s="60">
        <f>DAY(EOMONTH(Table3[[#This Row],[Month Year]],0))</f>
        <v>31</v>
      </c>
      <c r="G66" s="63">
        <f t="shared" si="2"/>
        <v>45807</v>
      </c>
      <c r="H66" s="18">
        <f>'Modelling New'!$AR$1</f>
        <v>8.0208999999999993</v>
      </c>
      <c r="I66" s="120">
        <v>0.24305555555555555</v>
      </c>
      <c r="J66" s="120">
        <v>0.78125</v>
      </c>
      <c r="K66" s="3">
        <v>4068.3</v>
      </c>
      <c r="L66" s="3">
        <v>4002.9</v>
      </c>
      <c r="M66" s="3">
        <v>0</v>
      </c>
      <c r="N66" s="3">
        <v>4006</v>
      </c>
      <c r="O66" s="3">
        <v>3908.4</v>
      </c>
      <c r="P66" s="3">
        <v>3815.9</v>
      </c>
      <c r="Q66" s="3">
        <v>3821.3</v>
      </c>
      <c r="R66" s="3">
        <v>0</v>
      </c>
      <c r="S66" s="3">
        <v>3017.6</v>
      </c>
      <c r="T66" s="3">
        <v>3095.9</v>
      </c>
      <c r="U66" s="3">
        <v>3017.3</v>
      </c>
      <c r="V66" s="3">
        <v>2997.2</v>
      </c>
      <c r="W66" s="96">
        <f>SUM(Table3[[#This Row],[Inv1_U1]:[Inv1_U4]])</f>
        <v>12077.2</v>
      </c>
      <c r="X66" s="97">
        <f>SUM(Table3[[#This Row],[Inv2_U1]:[Inv2_U4]])</f>
        <v>11545.6</v>
      </c>
      <c r="Y66" s="98">
        <f>SUM(Table3[[#This Row],[Inv3_U1]:[Inv3_U4]])</f>
        <v>12128</v>
      </c>
      <c r="Z66" s="64">
        <v>89470.7</v>
      </c>
      <c r="AA66" s="64">
        <v>402.3</v>
      </c>
      <c r="AB66" s="60"/>
      <c r="AC66" s="88">
        <v>5.3</v>
      </c>
      <c r="AD66" s="95">
        <v>0</v>
      </c>
      <c r="AE66" s="88">
        <v>37.700000000000003</v>
      </c>
      <c r="AF66" s="88">
        <v>0</v>
      </c>
      <c r="AG66" s="88">
        <v>0</v>
      </c>
      <c r="AH66" s="60"/>
      <c r="AI66" s="17">
        <f>SUM(Table3[[#This Row],[Inv1]:[Inv3]])</f>
        <v>35750.800000000003</v>
      </c>
      <c r="AJ66" s="17">
        <f>IF((Table3[[#This Row],[33 kV Outgoinng Export Reading]]-Z65)*1000&gt;0,(Table3[[#This Row],[33 kV Outgoinng Export Reading]]-Z65)*1000,0)</f>
        <v>35399.999999994179</v>
      </c>
      <c r="AK66" s="17">
        <f>IF((Table3[[#This Row],[33 kV Outgoinng Import Reading]]-AA65)*1000&gt;0,(Table3[[#This Row],[33 kV Outgoinng Import Reading]]-AA65)*1000,0)</f>
        <v>100.00000000002274</v>
      </c>
      <c r="AL66" s="6">
        <f>Table3[[#This Row],[Export  (kWh)]]-Table3[[#This Row],[Import (kWh)]]</f>
        <v>35299.999999994157</v>
      </c>
      <c r="AM66" s="77">
        <f t="shared" si="5"/>
        <v>12.916666666666666</v>
      </c>
    </row>
    <row r="67" spans="1:39" x14ac:dyDescent="0.3">
      <c r="A67" s="222">
        <f>YEAR(Table3[[#This Row],[Date]])+IF(MONTH(Table3[[#This Row],[Date]])&gt;=4,1,0)</f>
        <v>2026</v>
      </c>
      <c r="B67" s="60">
        <f>YEAR(Table3[[#This Row],[Date]])</f>
        <v>2025</v>
      </c>
      <c r="C67" s="60" t="s">
        <v>1082</v>
      </c>
      <c r="D67" s="60" t="s">
        <v>1082</v>
      </c>
      <c r="E67" s="6" t="str">
        <f>TEXT(Table3[[#This Row],[Date]],"mmm-yy")</f>
        <v>May-25</v>
      </c>
      <c r="F67" s="60">
        <f>DAY(EOMONTH(Table3[[#This Row],[Month Year]],0))</f>
        <v>31</v>
      </c>
      <c r="G67" s="63">
        <f t="shared" si="2"/>
        <v>45808</v>
      </c>
      <c r="H67" s="18">
        <f>'Modelling New'!$AR$1</f>
        <v>8.0208999999999993</v>
      </c>
      <c r="I67" s="120">
        <v>0.24305555555555555</v>
      </c>
      <c r="J67" s="120">
        <v>0.78402777777777777</v>
      </c>
      <c r="K67" s="3">
        <v>4454.8999999999996</v>
      </c>
      <c r="L67" s="3">
        <v>4539.5</v>
      </c>
      <c r="M67" s="3">
        <v>0</v>
      </c>
      <c r="N67" s="3">
        <v>4459.1000000000004</v>
      </c>
      <c r="O67" s="3">
        <v>4400.3</v>
      </c>
      <c r="P67" s="3">
        <v>4285.8</v>
      </c>
      <c r="Q67" s="3">
        <v>4293.8</v>
      </c>
      <c r="R67" s="3">
        <v>0</v>
      </c>
      <c r="S67" s="3">
        <v>3393.7</v>
      </c>
      <c r="T67" s="3">
        <v>3406.3</v>
      </c>
      <c r="U67" s="3">
        <v>3476.4</v>
      </c>
      <c r="V67" s="3">
        <v>3367.9</v>
      </c>
      <c r="W67" s="96">
        <f>SUM(Table3[[#This Row],[Inv1_U1]:[Inv1_U4]])</f>
        <v>13453.5</v>
      </c>
      <c r="X67" s="97">
        <f>SUM(Table3[[#This Row],[Inv2_U1]:[Inv2_U4]])</f>
        <v>12979.900000000001</v>
      </c>
      <c r="Y67" s="98">
        <f>SUM(Table3[[#This Row],[Inv3_U1]:[Inv3_U4]])</f>
        <v>13644.3</v>
      </c>
      <c r="Z67" s="64">
        <v>89510.5</v>
      </c>
      <c r="AA67" s="64">
        <v>402.4</v>
      </c>
      <c r="AB67" s="60"/>
      <c r="AC67" s="88">
        <v>6.1</v>
      </c>
      <c r="AD67" s="95">
        <v>0</v>
      </c>
      <c r="AE67" s="88">
        <v>39.9</v>
      </c>
      <c r="AF67" s="88">
        <v>0</v>
      </c>
      <c r="AG67" s="88">
        <v>0</v>
      </c>
      <c r="AH67" s="60"/>
      <c r="AI67" s="17">
        <f>SUM(Table3[[#This Row],[Inv1]:[Inv3]])</f>
        <v>40077.699999999997</v>
      </c>
      <c r="AJ67" s="17">
        <f>IF((Table3[[#This Row],[33 kV Outgoinng Export Reading]]-Z66)*1000&gt;0,(Table3[[#This Row],[33 kV Outgoinng Export Reading]]-Z66)*1000,0)</f>
        <v>39800.00000000291</v>
      </c>
      <c r="AK67" s="17">
        <f>IF((Table3[[#This Row],[33 kV Outgoinng Import Reading]]-AA66)*1000&gt;0,(Table3[[#This Row],[33 kV Outgoinng Import Reading]]-AA66)*1000,0)</f>
        <v>99.999999999965894</v>
      </c>
      <c r="AL67" s="6">
        <f>Table3[[#This Row],[Export  (kWh)]]-Table3[[#This Row],[Import (kWh)]]</f>
        <v>39700.000000002947</v>
      </c>
      <c r="AM67" s="77">
        <f t="shared" si="5"/>
        <v>12.983333333333333</v>
      </c>
    </row>
    <row r="68" spans="1:39" x14ac:dyDescent="0.3">
      <c r="A68" s="222">
        <f>YEAR(Table3[[#This Row],[Date]])+IF(MONTH(Table3[[#This Row],[Date]])&gt;=4,1,0)</f>
        <v>2026</v>
      </c>
      <c r="B68" s="60">
        <f>YEAR(Table3[[#This Row],[Date]])</f>
        <v>2025</v>
      </c>
      <c r="C68" s="60" t="s">
        <v>1082</v>
      </c>
      <c r="D68" s="60" t="s">
        <v>1082</v>
      </c>
      <c r="E68" s="6" t="str">
        <f>TEXT(Table3[[#This Row],[Date]],"mmm-yy")</f>
        <v>Jun-25</v>
      </c>
      <c r="F68" s="60">
        <f>DAY(EOMONTH(Table3[[#This Row],[Month Year]],0))</f>
        <v>30</v>
      </c>
      <c r="G68" s="63">
        <f t="shared" si="2"/>
        <v>45809</v>
      </c>
      <c r="H68" s="18">
        <f>'Modelling New'!$AR$1</f>
        <v>8.0208999999999993</v>
      </c>
      <c r="I68" s="120">
        <v>0.24583333333333332</v>
      </c>
      <c r="J68" s="120">
        <v>0.78402777777777777</v>
      </c>
      <c r="K68" s="3">
        <v>4306</v>
      </c>
      <c r="L68" s="3">
        <v>4305.8</v>
      </c>
      <c r="M68" s="3">
        <v>0</v>
      </c>
      <c r="N68" s="3">
        <v>4390.2</v>
      </c>
      <c r="O68" s="3">
        <v>4164.1000000000004</v>
      </c>
      <c r="P68" s="3">
        <v>4221.1000000000004</v>
      </c>
      <c r="Q68" s="3">
        <v>4143.8</v>
      </c>
      <c r="R68" s="3">
        <v>0</v>
      </c>
      <c r="S68" s="3">
        <v>3319.4</v>
      </c>
      <c r="T68" s="3">
        <v>3331.1</v>
      </c>
      <c r="U68" s="3">
        <v>3317.7</v>
      </c>
      <c r="V68" s="3">
        <v>3372.2</v>
      </c>
      <c r="W68" s="96">
        <f>SUM(Table3[[#This Row],[Inv1_U1]:[Inv1_U4]])</f>
        <v>13002</v>
      </c>
      <c r="X68" s="97">
        <f>SUM(Table3[[#This Row],[Inv2_U1]:[Inv2_U4]])</f>
        <v>12529</v>
      </c>
      <c r="Y68" s="98">
        <f>SUM(Table3[[#This Row],[Inv3_U1]:[Inv3_U4]])</f>
        <v>13340.400000000001</v>
      </c>
      <c r="Z68" s="64">
        <v>89549.1</v>
      </c>
      <c r="AA68" s="64">
        <v>402.5</v>
      </c>
      <c r="AB68" s="60"/>
      <c r="AC68" s="88">
        <v>5.88</v>
      </c>
      <c r="AD68" s="95">
        <v>0</v>
      </c>
      <c r="AE68" s="88">
        <v>39.090000000000003</v>
      </c>
      <c r="AF68" s="88">
        <v>0</v>
      </c>
      <c r="AG68" s="88">
        <v>0</v>
      </c>
      <c r="AH68" s="60"/>
      <c r="AI68" s="17">
        <f>SUM(Table3[[#This Row],[Inv1]:[Inv3]])</f>
        <v>38871.4</v>
      </c>
      <c r="AJ68" s="17">
        <f>IF((Table3[[#This Row],[33 kV Outgoinng Export Reading]]-Z67)*1000&gt;0,(Table3[[#This Row],[33 kV Outgoinng Export Reading]]-Z67)*1000,0)</f>
        <v>38600.000000005821</v>
      </c>
      <c r="AK68" s="17">
        <f>IF((Table3[[#This Row],[33 kV Outgoinng Import Reading]]-AA67)*1000&gt;0,(Table3[[#This Row],[33 kV Outgoinng Import Reading]]-AA67)*1000,0)</f>
        <v>100.00000000002274</v>
      </c>
      <c r="AL68" s="6">
        <f>Table3[[#This Row],[Export  (kWh)]]-Table3[[#This Row],[Import (kWh)]]</f>
        <v>38500.000000005799</v>
      </c>
      <c r="AM68" s="77">
        <f t="shared" ref="AM68:AM73" si="6">IFERROR((J68-I68)*24,"")</f>
        <v>12.916666666666666</v>
      </c>
    </row>
    <row r="69" spans="1:39" x14ac:dyDescent="0.3">
      <c r="A69" s="222">
        <f>YEAR(Table3[[#This Row],[Date]])+IF(MONTH(Table3[[#This Row],[Date]])&gt;=4,1,0)</f>
        <v>2026</v>
      </c>
      <c r="B69" s="60">
        <f>YEAR(Table3[[#This Row],[Date]])</f>
        <v>2025</v>
      </c>
      <c r="C69" s="60" t="s">
        <v>1082</v>
      </c>
      <c r="D69" s="60" t="s">
        <v>1082</v>
      </c>
      <c r="E69" s="6" t="str">
        <f>TEXT(Table3[[#This Row],[Date]],"mmm-yy")</f>
        <v>Jun-25</v>
      </c>
      <c r="F69" s="60">
        <f>DAY(EOMONTH(Table3[[#This Row],[Month Year]],0))</f>
        <v>30</v>
      </c>
      <c r="G69" s="63">
        <f t="shared" ref="G69:G110" si="7">G68+1</f>
        <v>45810</v>
      </c>
      <c r="H69" s="18">
        <f>'Modelling New'!$AR$1</f>
        <v>8.0208999999999993</v>
      </c>
      <c r="I69" s="120">
        <v>0.24652777777777779</v>
      </c>
      <c r="J69" s="120">
        <v>0.78333333333333333</v>
      </c>
      <c r="K69" s="3">
        <v>3571.5</v>
      </c>
      <c r="L69" s="3">
        <v>3570.3</v>
      </c>
      <c r="M69" s="3">
        <v>0</v>
      </c>
      <c r="N69" s="3">
        <v>3655.5</v>
      </c>
      <c r="O69" s="3">
        <v>3455</v>
      </c>
      <c r="P69" s="3">
        <v>3433.3</v>
      </c>
      <c r="Q69" s="3">
        <v>3521.2</v>
      </c>
      <c r="R69" s="3">
        <v>0</v>
      </c>
      <c r="S69" s="3">
        <v>2914.4</v>
      </c>
      <c r="T69" s="3">
        <v>2841.7</v>
      </c>
      <c r="U69" s="3">
        <v>2831.1</v>
      </c>
      <c r="V69" s="3">
        <v>2811.4</v>
      </c>
      <c r="W69" s="96">
        <f>SUM(Table3[[#This Row],[Inv1_U1]:[Inv1_U4]])</f>
        <v>10797.3</v>
      </c>
      <c r="X69" s="97">
        <f>SUM(Table3[[#This Row],[Inv2_U1]:[Inv2_U4]])</f>
        <v>10409.5</v>
      </c>
      <c r="Y69" s="98">
        <f>SUM(Table3[[#This Row],[Inv3_U1]:[Inv3_U4]])</f>
        <v>11398.6</v>
      </c>
      <c r="Z69" s="64">
        <v>89581.5</v>
      </c>
      <c r="AA69" s="64">
        <v>402.6</v>
      </c>
      <c r="AB69" s="60"/>
      <c r="AC69" s="88">
        <v>4.76</v>
      </c>
      <c r="AD69" s="95">
        <v>0</v>
      </c>
      <c r="AE69" s="88">
        <v>36.1</v>
      </c>
      <c r="AF69" s="88">
        <v>0</v>
      </c>
      <c r="AG69" s="88">
        <v>0</v>
      </c>
      <c r="AH69" s="60"/>
      <c r="AI69" s="17">
        <f>SUM(Table3[[#This Row],[Inv1]:[Inv3]])</f>
        <v>32605.4</v>
      </c>
      <c r="AJ69" s="17">
        <f>IF((Table3[[#This Row],[33 kV Outgoinng Export Reading]]-Z68)*1000&gt;0,(Table3[[#This Row],[33 kV Outgoinng Export Reading]]-Z68)*1000,0)</f>
        <v>32399.999999994179</v>
      </c>
      <c r="AK69" s="17">
        <f>IF((Table3[[#This Row],[33 kV Outgoinng Import Reading]]-AA68)*1000&gt;0,(Table3[[#This Row],[33 kV Outgoinng Import Reading]]-AA68)*1000,0)</f>
        <v>100.00000000002274</v>
      </c>
      <c r="AL69" s="6">
        <f>Table3[[#This Row],[Export  (kWh)]]-Table3[[#This Row],[Import (kWh)]]</f>
        <v>32299.999999994157</v>
      </c>
      <c r="AM69" s="77">
        <f t="shared" si="6"/>
        <v>12.883333333333333</v>
      </c>
    </row>
    <row r="70" spans="1:39" x14ac:dyDescent="0.3">
      <c r="A70" s="222">
        <f>YEAR(Table3[[#This Row],[Date]])+IF(MONTH(Table3[[#This Row],[Date]])&gt;=4,1,0)</f>
        <v>2026</v>
      </c>
      <c r="B70" s="60">
        <f>YEAR(Table3[[#This Row],[Date]])</f>
        <v>2025</v>
      </c>
      <c r="C70" s="60" t="s">
        <v>1082</v>
      </c>
      <c r="D70" s="60" t="s">
        <v>1082</v>
      </c>
      <c r="E70" s="6" t="str">
        <f>TEXT(Table3[[#This Row],[Date]],"mmm-yy")</f>
        <v>Jun-25</v>
      </c>
      <c r="F70" s="60">
        <f>DAY(EOMONTH(Table3[[#This Row],[Month Year]],0))</f>
        <v>30</v>
      </c>
      <c r="G70" s="63">
        <f t="shared" si="7"/>
        <v>45811</v>
      </c>
      <c r="H70" s="18">
        <f>'Modelling New'!$AR$1</f>
        <v>8.0208999999999993</v>
      </c>
      <c r="I70" s="120">
        <v>0.25</v>
      </c>
      <c r="J70" s="120">
        <v>0.77500000000000002</v>
      </c>
      <c r="K70" s="3">
        <v>4089.7</v>
      </c>
      <c r="L70" s="3">
        <v>4021.7</v>
      </c>
      <c r="M70" s="3">
        <v>0</v>
      </c>
      <c r="N70" s="3">
        <v>4023.3</v>
      </c>
      <c r="O70" s="3">
        <v>3975.6</v>
      </c>
      <c r="P70" s="3">
        <v>3872.2</v>
      </c>
      <c r="Q70" s="3">
        <v>3877</v>
      </c>
      <c r="R70" s="3">
        <v>0</v>
      </c>
      <c r="S70" s="3">
        <v>3127</v>
      </c>
      <c r="T70" s="3">
        <v>3143.2</v>
      </c>
      <c r="U70" s="3">
        <v>3177.4</v>
      </c>
      <c r="V70" s="3">
        <v>3096.9</v>
      </c>
      <c r="W70" s="96">
        <f>SUM(Table3[[#This Row],[Inv1_U1]:[Inv1_U4]])</f>
        <v>12134.7</v>
      </c>
      <c r="X70" s="97">
        <f>SUM(Table3[[#This Row],[Inv2_U1]:[Inv2_U4]])</f>
        <v>11724.8</v>
      </c>
      <c r="Y70" s="98">
        <f>SUM(Table3[[#This Row],[Inv3_U1]:[Inv3_U4]])</f>
        <v>12544.5</v>
      </c>
      <c r="Z70" s="64">
        <v>89617.600000000006</v>
      </c>
      <c r="AA70" s="64">
        <v>402.7</v>
      </c>
      <c r="AB70" s="60"/>
      <c r="AC70" s="88">
        <v>5.86</v>
      </c>
      <c r="AD70" s="95">
        <v>0</v>
      </c>
      <c r="AE70" s="88">
        <v>39.56</v>
      </c>
      <c r="AF70" s="88">
        <v>0</v>
      </c>
      <c r="AG70" s="88">
        <v>0</v>
      </c>
      <c r="AH70" s="60"/>
      <c r="AI70" s="17">
        <f>SUM(Table3[[#This Row],[Inv1]:[Inv3]])</f>
        <v>36404</v>
      </c>
      <c r="AJ70" s="17">
        <f>IF((Table3[[#This Row],[33 kV Outgoinng Export Reading]]-Z69)*1000&gt;0,(Table3[[#This Row],[33 kV Outgoinng Export Reading]]-Z69)*1000,0)</f>
        <v>36100.000000005821</v>
      </c>
      <c r="AK70" s="17">
        <f>IF((Table3[[#This Row],[33 kV Outgoinng Import Reading]]-AA69)*1000&gt;0,(Table3[[#This Row],[33 kV Outgoinng Import Reading]]-AA69)*1000,0)</f>
        <v>99.999999999965894</v>
      </c>
      <c r="AL70" s="6">
        <f>Table3[[#This Row],[Export  (kWh)]]-Table3[[#This Row],[Import (kWh)]]</f>
        <v>36000.000000005857</v>
      </c>
      <c r="AM70" s="77">
        <f t="shared" si="6"/>
        <v>12.600000000000001</v>
      </c>
    </row>
    <row r="71" spans="1:39" x14ac:dyDescent="0.3">
      <c r="A71" s="222">
        <f>YEAR(Table3[[#This Row],[Date]])+IF(MONTH(Table3[[#This Row],[Date]])&gt;=4,1,0)</f>
        <v>2026</v>
      </c>
      <c r="B71" s="60">
        <f>YEAR(Table3[[#This Row],[Date]])</f>
        <v>2025</v>
      </c>
      <c r="C71" s="60" t="s">
        <v>1082</v>
      </c>
      <c r="D71" s="60" t="s">
        <v>1082</v>
      </c>
      <c r="E71" s="6" t="str">
        <f>TEXT(Table3[[#This Row],[Date]],"mmm-yy")</f>
        <v>Jun-25</v>
      </c>
      <c r="F71" s="60">
        <f>DAY(EOMONTH(Table3[[#This Row],[Month Year]],0))</f>
        <v>30</v>
      </c>
      <c r="G71" s="63">
        <f t="shared" si="7"/>
        <v>45812</v>
      </c>
      <c r="H71" s="18">
        <f>'Modelling New'!$AR$1</f>
        <v>8.0208999999999993</v>
      </c>
      <c r="I71" s="120">
        <v>0.24722222222222223</v>
      </c>
      <c r="J71" s="120">
        <v>0.77777777777777779</v>
      </c>
      <c r="K71" s="3">
        <v>4579.8999999999996</v>
      </c>
      <c r="L71" s="3">
        <v>4658.6000000000004</v>
      </c>
      <c r="M71" s="3">
        <v>0</v>
      </c>
      <c r="N71" s="3">
        <v>4581.3</v>
      </c>
      <c r="O71" s="3">
        <v>4510.2</v>
      </c>
      <c r="P71" s="3">
        <v>4397.2</v>
      </c>
      <c r="Q71" s="3">
        <v>4405.3</v>
      </c>
      <c r="R71" s="3">
        <v>0</v>
      </c>
      <c r="S71" s="3">
        <v>3512</v>
      </c>
      <c r="T71" s="3">
        <v>3515.8</v>
      </c>
      <c r="U71" s="3">
        <v>3578.6</v>
      </c>
      <c r="V71" s="3">
        <v>3473.8</v>
      </c>
      <c r="W71" s="96">
        <f>SUM(Table3[[#This Row],[Inv1_U1]:[Inv1_U4]])</f>
        <v>13819.8</v>
      </c>
      <c r="X71" s="97">
        <f>SUM(Table3[[#This Row],[Inv2_U1]:[Inv2_U4]])</f>
        <v>13312.7</v>
      </c>
      <c r="Y71" s="98">
        <f>SUM(Table3[[#This Row],[Inv3_U1]:[Inv3_U4]])</f>
        <v>14080.2</v>
      </c>
      <c r="Z71" s="64">
        <v>89658.45</v>
      </c>
      <c r="AA71" s="64">
        <v>402.8</v>
      </c>
      <c r="AB71" s="60"/>
      <c r="AC71" s="88">
        <v>6.25</v>
      </c>
      <c r="AD71" s="95">
        <v>0</v>
      </c>
      <c r="AE71" s="88">
        <v>41.45</v>
      </c>
      <c r="AF71" s="88">
        <v>0</v>
      </c>
      <c r="AG71" s="88">
        <v>0</v>
      </c>
      <c r="AH71" s="60"/>
      <c r="AI71" s="17">
        <f>SUM(Table3[[#This Row],[Inv1]:[Inv3]])</f>
        <v>41212.699999999997</v>
      </c>
      <c r="AJ71" s="17">
        <f>IF((Table3[[#This Row],[33 kV Outgoinng Export Reading]]-Z70)*1000&gt;0,(Table3[[#This Row],[33 kV Outgoinng Export Reading]]-Z70)*1000,0)</f>
        <v>40849.999999991269</v>
      </c>
      <c r="AK71" s="17">
        <f>IF((Table3[[#This Row],[33 kV Outgoinng Import Reading]]-AA70)*1000&gt;0,(Table3[[#This Row],[33 kV Outgoinng Import Reading]]-AA70)*1000,0)</f>
        <v>100.00000000002274</v>
      </c>
      <c r="AL71" s="6">
        <f>Table3[[#This Row],[Export  (kWh)]]-Table3[[#This Row],[Import (kWh)]]</f>
        <v>40749.999999991247</v>
      </c>
      <c r="AM71" s="77">
        <f t="shared" si="6"/>
        <v>12.733333333333334</v>
      </c>
    </row>
    <row r="72" spans="1:39" x14ac:dyDescent="0.3">
      <c r="A72" s="222">
        <f>YEAR(Table3[[#This Row],[Date]])+IF(MONTH(Table3[[#This Row],[Date]])&gt;=4,1,0)</f>
        <v>2026</v>
      </c>
      <c r="B72" s="60">
        <f>YEAR(Table3[[#This Row],[Date]])</f>
        <v>2025</v>
      </c>
      <c r="C72" s="60" t="s">
        <v>1082</v>
      </c>
      <c r="D72" s="60" t="s">
        <v>1082</v>
      </c>
      <c r="E72" s="6" t="str">
        <f>TEXT(Table3[[#This Row],[Date]],"mmm-yy")</f>
        <v>Jun-25</v>
      </c>
      <c r="F72" s="60">
        <f>DAY(EOMONTH(Table3[[#This Row],[Month Year]],0))</f>
        <v>30</v>
      </c>
      <c r="G72" s="63">
        <f t="shared" si="7"/>
        <v>45813</v>
      </c>
      <c r="H72" s="18">
        <f>'Modelling New'!$AR$1</f>
        <v>8.0208999999999993</v>
      </c>
      <c r="I72" s="120">
        <v>0.25</v>
      </c>
      <c r="J72" s="120">
        <v>0.77569444444444446</v>
      </c>
      <c r="K72" s="3">
        <v>3101.4</v>
      </c>
      <c r="L72" s="3">
        <v>3099.4</v>
      </c>
      <c r="M72" s="3">
        <v>0</v>
      </c>
      <c r="N72" s="3">
        <v>3151.2</v>
      </c>
      <c r="O72" s="3">
        <v>2980.1</v>
      </c>
      <c r="P72" s="3">
        <v>3012.1</v>
      </c>
      <c r="Q72" s="3">
        <v>2962.5</v>
      </c>
      <c r="R72" s="3">
        <v>0</v>
      </c>
      <c r="S72" s="3">
        <v>2343.3000000000002</v>
      </c>
      <c r="T72" s="3">
        <v>2353</v>
      </c>
      <c r="U72" s="3">
        <v>2343.3000000000002</v>
      </c>
      <c r="V72" s="3">
        <v>2376.4</v>
      </c>
      <c r="W72" s="96">
        <f>SUM(Table3[[#This Row],[Inv1_U1]:[Inv1_U4]])</f>
        <v>9352</v>
      </c>
      <c r="X72" s="97">
        <f>SUM(Table3[[#This Row],[Inv2_U1]:[Inv2_U4]])</f>
        <v>8954.7000000000007</v>
      </c>
      <c r="Y72" s="98">
        <f>SUM(Table3[[#This Row],[Inv3_U1]:[Inv3_U4]])</f>
        <v>9416</v>
      </c>
      <c r="Z72" s="64">
        <v>89685.95</v>
      </c>
      <c r="AA72" s="64">
        <v>402.9</v>
      </c>
      <c r="AB72" s="60"/>
      <c r="AC72" s="88">
        <v>4.03</v>
      </c>
      <c r="AD72" s="95">
        <v>0</v>
      </c>
      <c r="AE72" s="88">
        <v>37.67</v>
      </c>
      <c r="AF72" s="88">
        <v>0</v>
      </c>
      <c r="AG72" s="88">
        <v>0</v>
      </c>
      <c r="AH72" s="60"/>
      <c r="AI72" s="17">
        <f>SUM(Table3[[#This Row],[Inv1]:[Inv3]])</f>
        <v>27722.7</v>
      </c>
      <c r="AJ72" s="17">
        <f>IF((Table3[[#This Row],[33 kV Outgoinng Export Reading]]-Z71)*1000&gt;0,(Table3[[#This Row],[33 kV Outgoinng Export Reading]]-Z71)*1000,0)</f>
        <v>27500</v>
      </c>
      <c r="AK72" s="17">
        <f>IF((Table3[[#This Row],[33 kV Outgoinng Import Reading]]-AA71)*1000&gt;0,(Table3[[#This Row],[33 kV Outgoinng Import Reading]]-AA71)*1000,0)</f>
        <v>99.999999999965894</v>
      </c>
      <c r="AL72" s="6">
        <f>Table3[[#This Row],[Export  (kWh)]]-Table3[[#This Row],[Import (kWh)]]</f>
        <v>27400.000000000033</v>
      </c>
      <c r="AM72" s="77">
        <f t="shared" si="6"/>
        <v>12.616666666666667</v>
      </c>
    </row>
    <row r="73" spans="1:39" x14ac:dyDescent="0.3">
      <c r="A73" s="222">
        <f>YEAR(Table3[[#This Row],[Date]])+IF(MONTH(Table3[[#This Row],[Date]])&gt;=4,1,0)</f>
        <v>2026</v>
      </c>
      <c r="B73" s="60">
        <f>YEAR(Table3[[#This Row],[Date]])</f>
        <v>2025</v>
      </c>
      <c r="C73" s="60" t="s">
        <v>1082</v>
      </c>
      <c r="D73" s="60" t="s">
        <v>1082</v>
      </c>
      <c r="E73" s="6" t="str">
        <f>TEXT(Table3[[#This Row],[Date]],"mmm-yy")</f>
        <v>Jun-25</v>
      </c>
      <c r="F73" s="60">
        <f>DAY(EOMONTH(Table3[[#This Row],[Month Year]],0))</f>
        <v>30</v>
      </c>
      <c r="G73" s="63">
        <f t="shared" si="7"/>
        <v>45814</v>
      </c>
      <c r="H73" s="18">
        <f>'Modelling New'!$AR$1</f>
        <v>8.0208999999999993</v>
      </c>
      <c r="I73" s="120">
        <v>0.24930555555555556</v>
      </c>
      <c r="J73" s="120">
        <v>0.76944444444444449</v>
      </c>
      <c r="K73" s="3">
        <v>3353.2</v>
      </c>
      <c r="L73" s="3">
        <v>3352.7</v>
      </c>
      <c r="M73" s="3">
        <v>0</v>
      </c>
      <c r="N73" s="3">
        <v>3425.2</v>
      </c>
      <c r="O73" s="3">
        <v>3212.7</v>
      </c>
      <c r="P73" s="3">
        <v>3192.9</v>
      </c>
      <c r="Q73" s="3">
        <v>3268.3</v>
      </c>
      <c r="R73" s="3">
        <v>0</v>
      </c>
      <c r="S73" s="3">
        <v>2656.9</v>
      </c>
      <c r="T73" s="3">
        <v>2596.4</v>
      </c>
      <c r="U73" s="3">
        <v>2586.6</v>
      </c>
      <c r="V73" s="3">
        <v>2567.9</v>
      </c>
      <c r="W73" s="96">
        <f>SUM(Table3[[#This Row],[Inv1_U1]:[Inv1_U4]])</f>
        <v>10131.099999999999</v>
      </c>
      <c r="X73" s="97">
        <f>SUM(Table3[[#This Row],[Inv2_U1]:[Inv2_U4]])</f>
        <v>9673.9000000000015</v>
      </c>
      <c r="Y73" s="98">
        <f>SUM(Table3[[#This Row],[Inv3_U1]:[Inv3_U4]])</f>
        <v>10407.799999999999</v>
      </c>
      <c r="Z73" s="64">
        <v>89715.9</v>
      </c>
      <c r="AA73" s="64">
        <v>403</v>
      </c>
      <c r="AB73" s="60"/>
      <c r="AC73" s="88">
        <v>4.75</v>
      </c>
      <c r="AD73" s="95">
        <v>0</v>
      </c>
      <c r="AE73" s="88">
        <v>41.22</v>
      </c>
      <c r="AF73" s="88">
        <v>0</v>
      </c>
      <c r="AG73" s="88">
        <v>0</v>
      </c>
      <c r="AH73" s="60"/>
      <c r="AI73" s="17">
        <f>SUM(Table3[[#This Row],[Inv1]:[Inv3]])</f>
        <v>30212.799999999999</v>
      </c>
      <c r="AJ73" s="17">
        <f>IF((Table3[[#This Row],[33 kV Outgoinng Export Reading]]-Z72)*1000&gt;0,(Table3[[#This Row],[33 kV Outgoinng Export Reading]]-Z72)*1000,0)</f>
        <v>29949.99999999709</v>
      </c>
      <c r="AK73" s="17">
        <f>IF((Table3[[#This Row],[33 kV Outgoinng Import Reading]]-AA72)*1000&gt;0,(Table3[[#This Row],[33 kV Outgoinng Import Reading]]-AA72)*1000,0)</f>
        <v>100.00000000002274</v>
      </c>
      <c r="AL73" s="6">
        <f>Table3[[#This Row],[Export  (kWh)]]-Table3[[#This Row],[Import (kWh)]]</f>
        <v>29849.999999997068</v>
      </c>
      <c r="AM73" s="77">
        <f t="shared" si="6"/>
        <v>12.483333333333334</v>
      </c>
    </row>
    <row r="74" spans="1:39" x14ac:dyDescent="0.3">
      <c r="A74" s="222">
        <f>YEAR(Table3[[#This Row],[Date]])+IF(MONTH(Table3[[#This Row],[Date]])&gt;=4,1,0)</f>
        <v>2026</v>
      </c>
      <c r="B74" s="60">
        <f>YEAR(Table3[[#This Row],[Date]])</f>
        <v>2025</v>
      </c>
      <c r="C74" s="60" t="s">
        <v>1082</v>
      </c>
      <c r="D74" s="60" t="s">
        <v>1082</v>
      </c>
      <c r="E74" s="6" t="str">
        <f>TEXT(Table3[[#This Row],[Date]],"mmm-yy")</f>
        <v>Jun-25</v>
      </c>
      <c r="F74" s="60">
        <f>DAY(EOMONTH(Table3[[#This Row],[Month Year]],0))</f>
        <v>30</v>
      </c>
      <c r="G74" s="63">
        <f t="shared" si="7"/>
        <v>45815</v>
      </c>
      <c r="H74" s="18">
        <f>'Modelling New'!$AR$1</f>
        <v>8.0208999999999993</v>
      </c>
      <c r="I74" s="120">
        <v>0.24444444444444444</v>
      </c>
      <c r="J74" s="120">
        <v>0.78333333333333333</v>
      </c>
      <c r="K74" s="3">
        <v>2885.2</v>
      </c>
      <c r="L74" s="3">
        <v>2794.6</v>
      </c>
      <c r="M74" s="3">
        <v>0</v>
      </c>
      <c r="N74" s="3">
        <v>2796.5</v>
      </c>
      <c r="O74" s="3">
        <v>2783</v>
      </c>
      <c r="P74" s="3">
        <v>2678.4</v>
      </c>
      <c r="Q74" s="3">
        <v>2680.4</v>
      </c>
      <c r="R74" s="3">
        <v>0</v>
      </c>
      <c r="S74" s="3">
        <v>2145.4</v>
      </c>
      <c r="T74" s="3">
        <v>2156.4</v>
      </c>
      <c r="U74" s="3">
        <v>2231.6</v>
      </c>
      <c r="V74" s="3">
        <v>2128.6</v>
      </c>
      <c r="W74" s="96">
        <f>SUM(Table3[[#This Row],[Inv1_U1]:[Inv1_U4]])</f>
        <v>8476.2999999999993</v>
      </c>
      <c r="X74" s="97">
        <f>SUM(Table3[[#This Row],[Inv2_U1]:[Inv2_U4]])</f>
        <v>8141.7999999999993</v>
      </c>
      <c r="Y74" s="98">
        <f>SUM(Table3[[#This Row],[Inv3_U1]:[Inv3_U4]])</f>
        <v>8662</v>
      </c>
      <c r="Z74" s="64">
        <v>89740.95</v>
      </c>
      <c r="AA74" s="64">
        <v>403.1</v>
      </c>
      <c r="AB74" s="60"/>
      <c r="AC74" s="88">
        <v>4.29</v>
      </c>
      <c r="AD74" s="95">
        <v>0</v>
      </c>
      <c r="AE74" s="88">
        <v>37.89</v>
      </c>
      <c r="AF74" s="88">
        <v>0</v>
      </c>
      <c r="AG74" s="88">
        <v>0</v>
      </c>
      <c r="AH74" s="60"/>
      <c r="AI74" s="17">
        <f>SUM(Table3[[#This Row],[Inv1]:[Inv3]])</f>
        <v>25280.1</v>
      </c>
      <c r="AJ74" s="17">
        <f>IF((Table3[[#This Row],[33 kV Outgoinng Export Reading]]-Z73)*1000&gt;0,(Table3[[#This Row],[33 kV Outgoinng Export Reading]]-Z73)*1000,0)</f>
        <v>25050.00000000291</v>
      </c>
      <c r="AK74" s="17">
        <f>IF((Table3[[#This Row],[33 kV Outgoinng Import Reading]]-AA73)*1000&gt;0,(Table3[[#This Row],[33 kV Outgoinng Import Reading]]-AA73)*1000,0)</f>
        <v>100.00000000002274</v>
      </c>
      <c r="AL74" s="6">
        <f>Table3[[#This Row],[Export  (kWh)]]-Table3[[#This Row],[Import (kWh)]]</f>
        <v>24950.000000002889</v>
      </c>
      <c r="AM74" s="77">
        <f t="shared" ref="AM74:AM79" si="8">IFERROR((J74-I74)*24,"")</f>
        <v>12.933333333333334</v>
      </c>
    </row>
    <row r="75" spans="1:39" x14ac:dyDescent="0.3">
      <c r="A75" s="222">
        <f>YEAR(Table3[[#This Row],[Date]])+IF(MONTH(Table3[[#This Row],[Date]])&gt;=4,1,0)</f>
        <v>2026</v>
      </c>
      <c r="B75" s="60">
        <f>YEAR(Table3[[#This Row],[Date]])</f>
        <v>2025</v>
      </c>
      <c r="C75" s="60" t="s">
        <v>1082</v>
      </c>
      <c r="D75" s="60" t="s">
        <v>1082</v>
      </c>
      <c r="E75" s="6" t="str">
        <f>TEXT(Table3[[#This Row],[Date]],"mmm-yy")</f>
        <v>Jun-25</v>
      </c>
      <c r="F75" s="60">
        <f>DAY(EOMONTH(Table3[[#This Row],[Month Year]],0))</f>
        <v>30</v>
      </c>
      <c r="G75" s="63">
        <f t="shared" si="7"/>
        <v>45816</v>
      </c>
      <c r="H75" s="18">
        <f>'Modelling New'!$AR$1</f>
        <v>8.0208999999999993</v>
      </c>
      <c r="I75" s="120">
        <v>0.24444444444444444</v>
      </c>
      <c r="J75" s="120">
        <v>0.76666666666666672</v>
      </c>
      <c r="K75" s="3">
        <v>3543.9</v>
      </c>
      <c r="L75" s="3">
        <v>3654.5</v>
      </c>
      <c r="M75" s="3">
        <v>0</v>
      </c>
      <c r="N75" s="3">
        <v>3544.6</v>
      </c>
      <c r="O75" s="3">
        <v>3522</v>
      </c>
      <c r="P75" s="3">
        <v>3381.5</v>
      </c>
      <c r="Q75" s="3">
        <v>3385.3</v>
      </c>
      <c r="R75" s="3">
        <v>0</v>
      </c>
      <c r="S75" s="3">
        <v>2696.2</v>
      </c>
      <c r="T75" s="3">
        <v>2707.4</v>
      </c>
      <c r="U75" s="3">
        <v>2805.3</v>
      </c>
      <c r="V75" s="3">
        <v>2678.5</v>
      </c>
      <c r="W75" s="96">
        <f>SUM(Table3[[#This Row],[Inv1_U1]:[Inv1_U4]])</f>
        <v>10743</v>
      </c>
      <c r="X75" s="97">
        <f>SUM(Table3[[#This Row],[Inv2_U1]:[Inv2_U4]])</f>
        <v>10288.799999999999</v>
      </c>
      <c r="Y75" s="98">
        <f>SUM(Table3[[#This Row],[Inv3_U1]:[Inv3_U4]])</f>
        <v>10887.400000000001</v>
      </c>
      <c r="Z75" s="64">
        <v>89772.6</v>
      </c>
      <c r="AA75" s="64">
        <v>403.2</v>
      </c>
      <c r="AB75" s="60"/>
      <c r="AC75" s="88">
        <v>4.79</v>
      </c>
      <c r="AD75" s="95">
        <v>0</v>
      </c>
      <c r="AE75" s="88">
        <v>38.24</v>
      </c>
      <c r="AF75" s="88">
        <v>0</v>
      </c>
      <c r="AG75" s="88">
        <v>0</v>
      </c>
      <c r="AH75" s="60"/>
      <c r="AI75" s="17">
        <f>SUM(Table3[[#This Row],[Inv1]:[Inv3]])</f>
        <v>31919.200000000001</v>
      </c>
      <c r="AJ75" s="17">
        <f>IF((Table3[[#This Row],[33 kV Outgoinng Export Reading]]-Z74)*1000&gt;0,(Table3[[#This Row],[33 kV Outgoinng Export Reading]]-Z74)*1000,0)</f>
        <v>31650.000000008731</v>
      </c>
      <c r="AK75" s="17">
        <f>IF((Table3[[#This Row],[33 kV Outgoinng Import Reading]]-AA74)*1000&gt;0,(Table3[[#This Row],[33 kV Outgoinng Import Reading]]-AA74)*1000,0)</f>
        <v>99.999999999965894</v>
      </c>
      <c r="AL75" s="6">
        <f>Table3[[#This Row],[Export  (kWh)]]-Table3[[#This Row],[Import (kWh)]]</f>
        <v>31550.000000008764</v>
      </c>
      <c r="AM75" s="77">
        <f t="shared" si="8"/>
        <v>12.533333333333335</v>
      </c>
    </row>
    <row r="76" spans="1:39" x14ac:dyDescent="0.3">
      <c r="A76" s="222">
        <f>YEAR(Table3[[#This Row],[Date]])+IF(MONTH(Table3[[#This Row],[Date]])&gt;=4,1,0)</f>
        <v>2026</v>
      </c>
      <c r="B76" s="60">
        <f>YEAR(Table3[[#This Row],[Date]])</f>
        <v>2025</v>
      </c>
      <c r="C76" s="60" t="s">
        <v>1082</v>
      </c>
      <c r="D76" s="60" t="s">
        <v>1082</v>
      </c>
      <c r="E76" s="6" t="str">
        <f>TEXT(Table3[[#This Row],[Date]],"mmm-yy")</f>
        <v>Jun-25</v>
      </c>
      <c r="F76" s="60">
        <f>DAY(EOMONTH(Table3[[#This Row],[Month Year]],0))</f>
        <v>30</v>
      </c>
      <c r="G76" s="63">
        <f t="shared" si="7"/>
        <v>45817</v>
      </c>
      <c r="H76" s="18">
        <f>'Modelling New'!$AR$1</f>
        <v>8.0208999999999993</v>
      </c>
      <c r="I76" s="120">
        <v>0.27916666666666667</v>
      </c>
      <c r="J76" s="120">
        <v>0.78333333333333333</v>
      </c>
      <c r="K76" s="3">
        <v>460.1</v>
      </c>
      <c r="L76" s="3">
        <v>461.5</v>
      </c>
      <c r="M76" s="3">
        <v>0</v>
      </c>
      <c r="N76" s="3">
        <v>669.4</v>
      </c>
      <c r="O76" s="3">
        <v>433.2</v>
      </c>
      <c r="P76" s="3">
        <v>649.9</v>
      </c>
      <c r="Q76" s="3">
        <v>428.4</v>
      </c>
      <c r="R76" s="3">
        <v>0</v>
      </c>
      <c r="S76" s="3">
        <v>343.1</v>
      </c>
      <c r="T76" s="3">
        <v>345.8</v>
      </c>
      <c r="U76" s="3">
        <v>343.4</v>
      </c>
      <c r="V76" s="3">
        <v>546.20000000000005</v>
      </c>
      <c r="W76" s="96">
        <f>SUM(Table3[[#This Row],[Inv1_U1]:[Inv1_U4]])</f>
        <v>1591</v>
      </c>
      <c r="X76" s="97">
        <f>SUM(Table3[[#This Row],[Inv2_U1]:[Inv2_U4]])</f>
        <v>1511.5</v>
      </c>
      <c r="Y76" s="98">
        <f>SUM(Table3[[#This Row],[Inv3_U1]:[Inv3_U4]])</f>
        <v>1578.5000000000002</v>
      </c>
      <c r="Z76" s="64">
        <v>89777.2</v>
      </c>
      <c r="AA76" s="64">
        <v>403.3</v>
      </c>
      <c r="AB76" s="60"/>
      <c r="AC76" s="88">
        <v>1.05</v>
      </c>
      <c r="AD76" s="95">
        <v>0</v>
      </c>
      <c r="AE76" s="88">
        <v>26.95</v>
      </c>
      <c r="AF76" s="88">
        <v>0</v>
      </c>
      <c r="AG76" s="88">
        <v>0</v>
      </c>
      <c r="AH76" s="60"/>
      <c r="AI76" s="17">
        <f>SUM(Table3[[#This Row],[Inv1]:[Inv3]])</f>
        <v>4681</v>
      </c>
      <c r="AJ76" s="17">
        <f>IF((Table3[[#This Row],[33 kV Outgoinng Export Reading]]-Z75)*1000&gt;0,(Table3[[#This Row],[33 kV Outgoinng Export Reading]]-Z75)*1000,0)</f>
        <v>4599.9999999912689</v>
      </c>
      <c r="AK76" s="17">
        <f>IF((Table3[[#This Row],[33 kV Outgoinng Import Reading]]-AA75)*1000&gt;0,(Table3[[#This Row],[33 kV Outgoinng Import Reading]]-AA75)*1000,0)</f>
        <v>100.00000000002274</v>
      </c>
      <c r="AL76" s="6">
        <f>Table3[[#This Row],[Export  (kWh)]]-Table3[[#This Row],[Import (kWh)]]</f>
        <v>4499.9999999912461</v>
      </c>
      <c r="AM76" s="77">
        <f t="shared" si="8"/>
        <v>12.1</v>
      </c>
    </row>
    <row r="77" spans="1:39" x14ac:dyDescent="0.3">
      <c r="A77" s="222">
        <f>YEAR(Table3[[#This Row],[Date]])+IF(MONTH(Table3[[#This Row],[Date]])&gt;=4,1,0)</f>
        <v>2026</v>
      </c>
      <c r="B77" s="60">
        <f>YEAR(Table3[[#This Row],[Date]])</f>
        <v>2025</v>
      </c>
      <c r="C77" s="60" t="s">
        <v>1082</v>
      </c>
      <c r="D77" s="60" t="s">
        <v>1082</v>
      </c>
      <c r="E77" s="6" t="str">
        <f>TEXT(Table3[[#This Row],[Date]],"mmm-yy")</f>
        <v>Jun-25</v>
      </c>
      <c r="F77" s="60">
        <f>DAY(EOMONTH(Table3[[#This Row],[Month Year]],0))</f>
        <v>30</v>
      </c>
      <c r="G77" s="63">
        <f t="shared" si="7"/>
        <v>45818</v>
      </c>
      <c r="H77" s="18">
        <f>'Modelling New'!$AR$1</f>
        <v>8.0208999999999993</v>
      </c>
      <c r="I77" s="120">
        <v>0.24930555555555556</v>
      </c>
      <c r="J77" s="120">
        <v>0.77500000000000002</v>
      </c>
      <c r="K77" s="3">
        <v>1229.4000000000001</v>
      </c>
      <c r="L77" s="3">
        <v>1341.9</v>
      </c>
      <c r="M77" s="3">
        <v>0</v>
      </c>
      <c r="N77" s="3">
        <v>1234.5999999999999</v>
      </c>
      <c r="O77" s="3">
        <v>1284.5</v>
      </c>
      <c r="P77" s="3">
        <v>1170.5999999999999</v>
      </c>
      <c r="Q77" s="3">
        <v>1164</v>
      </c>
      <c r="R77" s="3">
        <v>0</v>
      </c>
      <c r="S77" s="3">
        <v>916.8</v>
      </c>
      <c r="T77" s="3">
        <v>921.6</v>
      </c>
      <c r="U77" s="3">
        <v>1029.2</v>
      </c>
      <c r="V77" s="3">
        <v>912.3</v>
      </c>
      <c r="W77" s="96">
        <f>SUM(Table3[[#This Row],[Inv1_U1]:[Inv1_U4]])</f>
        <v>3805.9</v>
      </c>
      <c r="X77" s="97">
        <f>SUM(Table3[[#This Row],[Inv2_U1]:[Inv2_U4]])</f>
        <v>3619.1</v>
      </c>
      <c r="Y77" s="98">
        <f>SUM(Table3[[#This Row],[Inv3_U1]:[Inv3_U4]])</f>
        <v>3779.9000000000005</v>
      </c>
      <c r="Z77" s="64">
        <v>89788.3</v>
      </c>
      <c r="AA77" s="64">
        <v>403.4</v>
      </c>
      <c r="AB77" s="60"/>
      <c r="AC77" s="88">
        <v>1.62</v>
      </c>
      <c r="AD77" s="95">
        <v>0</v>
      </c>
      <c r="AE77" s="88">
        <v>28.69</v>
      </c>
      <c r="AF77" s="88">
        <v>0</v>
      </c>
      <c r="AG77" s="88">
        <v>0</v>
      </c>
      <c r="AH77" s="60"/>
      <c r="AI77" s="17">
        <f>SUM(Table3[[#This Row],[Inv1]:[Inv3]])</f>
        <v>11204.900000000001</v>
      </c>
      <c r="AJ77" s="17">
        <f>IF((Table3[[#This Row],[33 kV Outgoinng Export Reading]]-Z76)*1000&gt;0,(Table3[[#This Row],[33 kV Outgoinng Export Reading]]-Z76)*1000,0)</f>
        <v>11100.000000005821</v>
      </c>
      <c r="AK77" s="17">
        <f>IF((Table3[[#This Row],[33 kV Outgoinng Import Reading]]-AA76)*1000&gt;0,(Table3[[#This Row],[33 kV Outgoinng Import Reading]]-AA76)*1000,0)</f>
        <v>99.999999999965894</v>
      </c>
      <c r="AL77" s="6">
        <f>Table3[[#This Row],[Export  (kWh)]]-Table3[[#This Row],[Import (kWh)]]</f>
        <v>11000.000000005855</v>
      </c>
      <c r="AM77" s="77">
        <f t="shared" si="8"/>
        <v>12.616666666666667</v>
      </c>
    </row>
    <row r="78" spans="1:39" x14ac:dyDescent="0.3">
      <c r="A78" s="222">
        <f>YEAR(Table3[[#This Row],[Date]])+IF(MONTH(Table3[[#This Row],[Date]])&gt;=4,1,0)</f>
        <v>2026</v>
      </c>
      <c r="B78" s="60">
        <f>YEAR(Table3[[#This Row],[Date]])</f>
        <v>2025</v>
      </c>
      <c r="C78" s="60" t="s">
        <v>1082</v>
      </c>
      <c r="D78" s="60" t="s">
        <v>1082</v>
      </c>
      <c r="E78" s="6" t="str">
        <f>TEXT(Table3[[#This Row],[Date]],"mmm-yy")</f>
        <v>Jun-25</v>
      </c>
      <c r="F78" s="60">
        <f>DAY(EOMONTH(Table3[[#This Row],[Month Year]],0))</f>
        <v>30</v>
      </c>
      <c r="G78" s="63">
        <f t="shared" si="7"/>
        <v>45819</v>
      </c>
      <c r="H78" s="18">
        <f>'Modelling New'!$AR$1</f>
        <v>8.0208999999999993</v>
      </c>
      <c r="I78" s="120">
        <v>0.25486111111111109</v>
      </c>
      <c r="J78" s="120">
        <v>0.77847222222222223</v>
      </c>
      <c r="K78" s="3">
        <v>2811.3</v>
      </c>
      <c r="L78" s="3">
        <v>2809.9</v>
      </c>
      <c r="M78" s="3">
        <v>0</v>
      </c>
      <c r="N78" s="3">
        <v>2878.5</v>
      </c>
      <c r="O78" s="3">
        <v>2696.1</v>
      </c>
      <c r="P78" s="3">
        <v>2676.7</v>
      </c>
      <c r="Q78" s="3">
        <v>2797.2</v>
      </c>
      <c r="R78" s="3">
        <v>0</v>
      </c>
      <c r="S78" s="3">
        <v>2195.3000000000002</v>
      </c>
      <c r="T78" s="3">
        <v>2134.9</v>
      </c>
      <c r="U78" s="3">
        <v>2128.1999999999998</v>
      </c>
      <c r="V78" s="3">
        <v>2116.9</v>
      </c>
      <c r="W78" s="96">
        <f>SUM(Table3[[#This Row],[Inv1_U1]:[Inv1_U4]])</f>
        <v>8499.7000000000007</v>
      </c>
      <c r="X78" s="97">
        <f>SUM(Table3[[#This Row],[Inv2_U1]:[Inv2_U4]])</f>
        <v>8169.9999999999991</v>
      </c>
      <c r="Y78" s="98">
        <f>SUM(Table3[[#This Row],[Inv3_U1]:[Inv3_U4]])</f>
        <v>8575.3000000000011</v>
      </c>
      <c r="Z78" s="64">
        <v>89813.3</v>
      </c>
      <c r="AA78" s="64">
        <v>403.5</v>
      </c>
      <c r="AB78" s="60"/>
      <c r="AC78" s="88">
        <v>3.59</v>
      </c>
      <c r="AD78" s="95">
        <v>0</v>
      </c>
      <c r="AE78" s="88">
        <v>32.619999999999997</v>
      </c>
      <c r="AF78" s="88">
        <v>0</v>
      </c>
      <c r="AG78" s="88">
        <v>0</v>
      </c>
      <c r="AH78" s="60"/>
      <c r="AI78" s="17">
        <f>SUM(Table3[[#This Row],[Inv1]:[Inv3]])</f>
        <v>25245</v>
      </c>
      <c r="AJ78" s="17">
        <f>IF((Table3[[#This Row],[33 kV Outgoinng Export Reading]]-Z77)*1000&gt;0,(Table3[[#This Row],[33 kV Outgoinng Export Reading]]-Z77)*1000,0)</f>
        <v>25000</v>
      </c>
      <c r="AK78" s="17">
        <f>IF((Table3[[#This Row],[33 kV Outgoinng Import Reading]]-AA77)*1000&gt;0,(Table3[[#This Row],[33 kV Outgoinng Import Reading]]-AA77)*1000,0)</f>
        <v>100.00000000002274</v>
      </c>
      <c r="AL78" s="6">
        <f>Table3[[#This Row],[Export  (kWh)]]-Table3[[#This Row],[Import (kWh)]]</f>
        <v>24899.999999999978</v>
      </c>
      <c r="AM78" s="77">
        <f t="shared" si="8"/>
        <v>12.566666666666666</v>
      </c>
    </row>
    <row r="79" spans="1:39" x14ac:dyDescent="0.3">
      <c r="A79" s="222">
        <f>YEAR(Table3[[#This Row],[Date]])+IF(MONTH(Table3[[#This Row],[Date]])&gt;=4,1,0)</f>
        <v>2026</v>
      </c>
      <c r="B79" s="60">
        <f>YEAR(Table3[[#This Row],[Date]])</f>
        <v>2025</v>
      </c>
      <c r="C79" s="60" t="s">
        <v>1082</v>
      </c>
      <c r="D79" s="60" t="s">
        <v>1082</v>
      </c>
      <c r="E79" s="6" t="str">
        <f>TEXT(Table3[[#This Row],[Date]],"mmm-yy")</f>
        <v>Jun-25</v>
      </c>
      <c r="F79" s="60">
        <f>DAY(EOMONTH(Table3[[#This Row],[Month Year]],0))</f>
        <v>30</v>
      </c>
      <c r="G79" s="63">
        <f t="shared" si="7"/>
        <v>45820</v>
      </c>
      <c r="H79" s="18">
        <f>'Modelling New'!$AR$1</f>
        <v>8.0208999999999993</v>
      </c>
      <c r="I79" s="120">
        <v>0.24722222222222223</v>
      </c>
      <c r="J79" s="120">
        <v>0.77361111111111114</v>
      </c>
      <c r="K79" s="3">
        <v>2962.3</v>
      </c>
      <c r="L79" s="3">
        <v>2893.2</v>
      </c>
      <c r="M79" s="3">
        <v>0</v>
      </c>
      <c r="N79" s="3">
        <v>2896.8</v>
      </c>
      <c r="O79" s="3">
        <v>2841.2</v>
      </c>
      <c r="P79" s="3">
        <v>2751.9</v>
      </c>
      <c r="Q79" s="3">
        <v>2751.5</v>
      </c>
      <c r="R79" s="3">
        <v>0</v>
      </c>
      <c r="S79" s="3">
        <v>2188.8000000000002</v>
      </c>
      <c r="T79" s="3">
        <v>2269.3000000000002</v>
      </c>
      <c r="U79" s="3">
        <v>2191.1</v>
      </c>
      <c r="V79" s="3">
        <v>2178.1</v>
      </c>
      <c r="W79" s="96">
        <f>SUM(Table3[[#This Row],[Inv1_U1]:[Inv1_U4]])</f>
        <v>8752.2999999999993</v>
      </c>
      <c r="X79" s="97">
        <f>SUM(Table3[[#This Row],[Inv2_U1]:[Inv2_U4]])</f>
        <v>8344.6</v>
      </c>
      <c r="Y79" s="98">
        <f>SUM(Table3[[#This Row],[Inv3_U1]:[Inv3_U4]])</f>
        <v>8827.3000000000011</v>
      </c>
      <c r="Z79" s="64">
        <v>89839</v>
      </c>
      <c r="AA79" s="64">
        <v>403.6</v>
      </c>
      <c r="AB79" s="60"/>
      <c r="AC79" s="88">
        <v>3.8</v>
      </c>
      <c r="AD79" s="95">
        <v>0</v>
      </c>
      <c r="AE79" s="88">
        <v>36.04</v>
      </c>
      <c r="AF79" s="88">
        <v>0</v>
      </c>
      <c r="AG79" s="88">
        <v>0</v>
      </c>
      <c r="AH79" s="60"/>
      <c r="AI79" s="17">
        <f>SUM(Table3[[#This Row],[Inv1]:[Inv3]])</f>
        <v>25924.200000000004</v>
      </c>
      <c r="AJ79" s="17">
        <f>IF((Table3[[#This Row],[33 kV Outgoinng Export Reading]]-Z78)*1000&gt;0,(Table3[[#This Row],[33 kV Outgoinng Export Reading]]-Z78)*1000,0)</f>
        <v>25699.99999999709</v>
      </c>
      <c r="AK79" s="17">
        <f>IF((Table3[[#This Row],[33 kV Outgoinng Import Reading]]-AA78)*1000&gt;0,(Table3[[#This Row],[33 kV Outgoinng Import Reading]]-AA78)*1000,0)</f>
        <v>100.00000000002274</v>
      </c>
      <c r="AL79" s="6">
        <f>Table3[[#This Row],[Export  (kWh)]]-Table3[[#This Row],[Import (kWh)]]</f>
        <v>25599.999999997068</v>
      </c>
      <c r="AM79" s="77">
        <f t="shared" si="8"/>
        <v>12.633333333333333</v>
      </c>
    </row>
    <row r="80" spans="1:39" x14ac:dyDescent="0.3">
      <c r="A80" s="222">
        <f>YEAR(Table3[[#This Row],[Date]])+IF(MONTH(Table3[[#This Row],[Date]])&gt;=4,1,0)</f>
        <v>2026</v>
      </c>
      <c r="B80" s="60">
        <f>YEAR(Table3[[#This Row],[Date]])</f>
        <v>2025</v>
      </c>
      <c r="C80" s="60" t="s">
        <v>1082</v>
      </c>
      <c r="D80" s="60" t="s">
        <v>1082</v>
      </c>
      <c r="E80" s="6" t="str">
        <f>TEXT(Table3[[#This Row],[Date]],"mmm-yy")</f>
        <v>Jun-25</v>
      </c>
      <c r="F80" s="60">
        <f>DAY(EOMONTH(Table3[[#This Row],[Month Year]],0))</f>
        <v>30</v>
      </c>
      <c r="G80" s="63">
        <f t="shared" si="7"/>
        <v>45821</v>
      </c>
      <c r="H80" s="18">
        <f>'Modelling New'!$AR$1</f>
        <v>8.0208999999999993</v>
      </c>
      <c r="I80" s="120">
        <v>0.24722222222222223</v>
      </c>
      <c r="J80" s="120">
        <v>0.77569444444444446</v>
      </c>
      <c r="K80" s="3">
        <v>3092.7</v>
      </c>
      <c r="L80" s="3">
        <v>3186.5</v>
      </c>
      <c r="M80" s="3">
        <v>0</v>
      </c>
      <c r="N80" s="3">
        <v>3093.4</v>
      </c>
      <c r="O80" s="3">
        <v>3061.7</v>
      </c>
      <c r="P80" s="3">
        <v>2949.3</v>
      </c>
      <c r="Q80" s="3">
        <v>2950.7</v>
      </c>
      <c r="R80" s="3">
        <v>0</v>
      </c>
      <c r="S80" s="3">
        <v>2358.3000000000002</v>
      </c>
      <c r="T80" s="3">
        <v>2367.6</v>
      </c>
      <c r="U80" s="3">
        <v>2454</v>
      </c>
      <c r="V80" s="3">
        <v>2342.4</v>
      </c>
      <c r="W80" s="96">
        <f>SUM(Table3[[#This Row],[Inv1_U1]:[Inv1_U4]])</f>
        <v>9372.6</v>
      </c>
      <c r="X80" s="97">
        <f>SUM(Table3[[#This Row],[Inv2_U1]:[Inv2_U4]])</f>
        <v>8961.7000000000007</v>
      </c>
      <c r="Y80" s="98">
        <f>SUM(Table3[[#This Row],[Inv3_U1]:[Inv3_U4]])</f>
        <v>9522.2999999999993</v>
      </c>
      <c r="Z80" s="64">
        <v>89866.6</v>
      </c>
      <c r="AA80" s="64">
        <v>403.7</v>
      </c>
      <c r="AB80" s="60"/>
      <c r="AC80" s="88">
        <v>4.26</v>
      </c>
      <c r="AD80" s="95">
        <v>0</v>
      </c>
      <c r="AE80" s="88">
        <v>38.42</v>
      </c>
      <c r="AF80" s="88">
        <v>0</v>
      </c>
      <c r="AG80" s="88">
        <v>0</v>
      </c>
      <c r="AH80" s="60"/>
      <c r="AI80" s="17">
        <f>SUM(Table3[[#This Row],[Inv1]:[Inv3]])</f>
        <v>27856.600000000002</v>
      </c>
      <c r="AJ80" s="17">
        <f>IF((Table3[[#This Row],[33 kV Outgoinng Export Reading]]-Z79)*1000&gt;0,(Table3[[#This Row],[33 kV Outgoinng Export Reading]]-Z79)*1000,0)</f>
        <v>27600.000000005821</v>
      </c>
      <c r="AK80" s="17">
        <f>IF((Table3[[#This Row],[33 kV Outgoinng Import Reading]]-AA79)*1000&gt;0,(Table3[[#This Row],[33 kV Outgoinng Import Reading]]-AA79)*1000,0)</f>
        <v>99.999999999965894</v>
      </c>
      <c r="AL80" s="6">
        <f>Table3[[#This Row],[Export  (kWh)]]-Table3[[#This Row],[Import (kWh)]]</f>
        <v>27500.000000005854</v>
      </c>
      <c r="AM80" s="77">
        <f>IFERROR((J80-I80)*24,"")</f>
        <v>12.683333333333334</v>
      </c>
    </row>
    <row r="81" spans="1:39" x14ac:dyDescent="0.3">
      <c r="A81" s="222">
        <f>YEAR(Table3[[#This Row],[Date]])+IF(MONTH(Table3[[#This Row],[Date]])&gt;=4,1,0)</f>
        <v>2026</v>
      </c>
      <c r="B81" s="60">
        <f>YEAR(Table3[[#This Row],[Date]])</f>
        <v>2025</v>
      </c>
      <c r="C81" s="60" t="s">
        <v>1082</v>
      </c>
      <c r="D81" s="60" t="s">
        <v>1082</v>
      </c>
      <c r="E81" s="6" t="str">
        <f>TEXT(Table3[[#This Row],[Date]],"mmm-yy")</f>
        <v>Jun-25</v>
      </c>
      <c r="F81" s="60">
        <f>DAY(EOMONTH(Table3[[#This Row],[Month Year]],0))</f>
        <v>30</v>
      </c>
      <c r="G81" s="63">
        <f t="shared" si="7"/>
        <v>45822</v>
      </c>
      <c r="H81" s="18">
        <f>'Modelling New'!$AR$1</f>
        <v>8.0208999999999993</v>
      </c>
      <c r="I81" s="120">
        <v>0.24513888888888888</v>
      </c>
      <c r="J81" s="120">
        <v>0.78194444444444444</v>
      </c>
      <c r="K81" s="3">
        <v>2195</v>
      </c>
      <c r="L81" s="3">
        <v>2193.6</v>
      </c>
      <c r="M81" s="3">
        <v>0</v>
      </c>
      <c r="N81" s="3">
        <v>2305.4</v>
      </c>
      <c r="O81" s="3">
        <v>2134.8000000000002</v>
      </c>
      <c r="P81" s="3">
        <v>2224.6</v>
      </c>
      <c r="Q81" s="3">
        <v>2122.8000000000002</v>
      </c>
      <c r="R81" s="3">
        <v>0</v>
      </c>
      <c r="S81" s="3">
        <v>1682.2</v>
      </c>
      <c r="T81" s="3">
        <v>1688.7</v>
      </c>
      <c r="U81" s="3">
        <v>1681.8</v>
      </c>
      <c r="V81" s="3">
        <v>1777.1</v>
      </c>
      <c r="W81" s="96">
        <f>SUM(Table3[[#This Row],[Inv1_U1]:[Inv1_U4]])</f>
        <v>6694</v>
      </c>
      <c r="X81" s="97">
        <f>SUM(Table3[[#This Row],[Inv2_U1]:[Inv2_U4]])</f>
        <v>6482.2</v>
      </c>
      <c r="Y81" s="98">
        <f>SUM(Table3[[#This Row],[Inv3_U1]:[Inv3_U4]])</f>
        <v>6829.7999999999993</v>
      </c>
      <c r="Z81" s="64">
        <v>89886.399999999994</v>
      </c>
      <c r="AA81" s="64">
        <v>403.8</v>
      </c>
      <c r="AB81" s="60"/>
      <c r="AC81" s="88">
        <v>3.77</v>
      </c>
      <c r="AD81" s="95">
        <v>0</v>
      </c>
      <c r="AE81" s="88">
        <v>35.770000000000003</v>
      </c>
      <c r="AF81" s="88">
        <v>0</v>
      </c>
      <c r="AG81" s="88">
        <v>0</v>
      </c>
      <c r="AH81" s="60"/>
      <c r="AI81" s="17">
        <f>SUM(Table3[[#This Row],[Inv1]:[Inv3]])</f>
        <v>20006</v>
      </c>
      <c r="AJ81" s="17">
        <f>IF((Table3[[#This Row],[33 kV Outgoinng Export Reading]]-Z80)*1000&gt;0,(Table3[[#This Row],[33 kV Outgoinng Export Reading]]-Z80)*1000,0)</f>
        <v>19799.999999988358</v>
      </c>
      <c r="AK81" s="17">
        <f>IF((Table3[[#This Row],[33 kV Outgoinng Import Reading]]-AA80)*1000&gt;0,(Table3[[#This Row],[33 kV Outgoinng Import Reading]]-AA80)*1000,0)</f>
        <v>100.00000000002274</v>
      </c>
      <c r="AL81" s="6">
        <f>Table3[[#This Row],[Export  (kWh)]]-Table3[[#This Row],[Import (kWh)]]</f>
        <v>19699.999999988337</v>
      </c>
      <c r="AM81" s="77">
        <f t="shared" ref="AM81:AM82" si="9">IFERROR((J81-I81)*24,"")</f>
        <v>12.883333333333333</v>
      </c>
    </row>
    <row r="82" spans="1:39" x14ac:dyDescent="0.3">
      <c r="A82" s="222">
        <f>YEAR(Table3[[#This Row],[Date]])+IF(MONTH(Table3[[#This Row],[Date]])&gt;=4,1,0)</f>
        <v>2026</v>
      </c>
      <c r="B82" s="60">
        <f>YEAR(Table3[[#This Row],[Date]])</f>
        <v>2025</v>
      </c>
      <c r="C82" s="60" t="s">
        <v>1082</v>
      </c>
      <c r="D82" s="60" t="s">
        <v>1082</v>
      </c>
      <c r="E82" s="6" t="str">
        <f>TEXT(Table3[[#This Row],[Date]],"mmm-yy")</f>
        <v>Jun-25</v>
      </c>
      <c r="F82" s="60">
        <f>DAY(EOMONTH(Table3[[#This Row],[Month Year]],0))</f>
        <v>30</v>
      </c>
      <c r="G82" s="63">
        <f t="shared" si="7"/>
        <v>45823</v>
      </c>
      <c r="H82" s="18">
        <f>'Modelling New'!$AR$1</f>
        <v>8.0208999999999993</v>
      </c>
      <c r="I82" s="120">
        <v>0.24791666666666667</v>
      </c>
      <c r="J82" s="120">
        <v>0.77569444444444446</v>
      </c>
      <c r="K82" s="3">
        <v>2871.3</v>
      </c>
      <c r="L82" s="3">
        <v>2870.1</v>
      </c>
      <c r="M82" s="3">
        <v>0</v>
      </c>
      <c r="N82" s="3">
        <v>2921.1</v>
      </c>
      <c r="O82" s="3">
        <v>2780.6</v>
      </c>
      <c r="P82" s="3">
        <v>2766.1</v>
      </c>
      <c r="Q82" s="3">
        <v>2808.9</v>
      </c>
      <c r="R82" s="3">
        <v>0</v>
      </c>
      <c r="S82" s="3">
        <v>2256.4</v>
      </c>
      <c r="T82" s="3">
        <v>2216.6999999999998</v>
      </c>
      <c r="U82" s="3">
        <v>2209</v>
      </c>
      <c r="V82" s="3">
        <v>2197</v>
      </c>
      <c r="W82" s="96">
        <f>SUM(Table3[[#This Row],[Inv1_U1]:[Inv1_U4]])</f>
        <v>8662.5</v>
      </c>
      <c r="X82" s="97">
        <f>SUM(Table3[[#This Row],[Inv2_U1]:[Inv2_U4]])</f>
        <v>8355.6</v>
      </c>
      <c r="Y82" s="98">
        <f>SUM(Table3[[#This Row],[Inv3_U1]:[Inv3_U4]])</f>
        <v>8879.1</v>
      </c>
      <c r="Z82" s="64">
        <v>89912.05</v>
      </c>
      <c r="AA82" s="64">
        <v>403.9</v>
      </c>
      <c r="AB82" s="60"/>
      <c r="AC82" s="88">
        <v>3.78</v>
      </c>
      <c r="AD82" s="95">
        <v>0</v>
      </c>
      <c r="AE82" s="88">
        <v>33.58</v>
      </c>
      <c r="AF82" s="88">
        <v>0</v>
      </c>
      <c r="AG82" s="88">
        <v>0</v>
      </c>
      <c r="AH82" s="60"/>
      <c r="AI82" s="17">
        <f>SUM(Table3[[#This Row],[Inv1]:[Inv3]])</f>
        <v>25897.199999999997</v>
      </c>
      <c r="AJ82" s="17">
        <f>IF((Table3[[#This Row],[33 kV Outgoinng Export Reading]]-Z81)*1000&gt;0,(Table3[[#This Row],[33 kV Outgoinng Export Reading]]-Z81)*1000,0)</f>
        <v>25650.000000008731</v>
      </c>
      <c r="AK82" s="17">
        <f>IF((Table3[[#This Row],[33 kV Outgoinng Import Reading]]-AA81)*1000&gt;0,(Table3[[#This Row],[33 kV Outgoinng Import Reading]]-AA81)*1000,0)</f>
        <v>99.999999999965894</v>
      </c>
      <c r="AL82" s="6">
        <f>Table3[[#This Row],[Export  (kWh)]]-Table3[[#This Row],[Import (kWh)]]</f>
        <v>25550.000000008764</v>
      </c>
      <c r="AM82" s="77">
        <f t="shared" si="9"/>
        <v>12.666666666666668</v>
      </c>
    </row>
    <row r="83" spans="1:39" x14ac:dyDescent="0.3">
      <c r="A83" s="222">
        <f>YEAR(Table3[[#This Row],[Date]])+IF(MONTH(Table3[[#This Row],[Date]])&gt;=4,1,0)</f>
        <v>2026</v>
      </c>
      <c r="B83" s="60">
        <f>YEAR(Table3[[#This Row],[Date]])</f>
        <v>2025</v>
      </c>
      <c r="C83" s="60" t="s">
        <v>1082</v>
      </c>
      <c r="D83" s="60" t="s">
        <v>1082</v>
      </c>
      <c r="E83" s="6" t="str">
        <f>TEXT(Table3[[#This Row],[Date]],"mmm-yy")</f>
        <v>Jun-25</v>
      </c>
      <c r="F83" s="60">
        <f>DAY(EOMONTH(Table3[[#This Row],[Month Year]],0))</f>
        <v>30</v>
      </c>
      <c r="G83" s="63">
        <f t="shared" si="7"/>
        <v>45824</v>
      </c>
      <c r="H83" s="18">
        <f>'Modelling New'!$AR$1</f>
        <v>8.0208999999999993</v>
      </c>
      <c r="I83" s="120">
        <v>0.24444444444444444</v>
      </c>
      <c r="J83" s="120">
        <v>0.78333333333333333</v>
      </c>
      <c r="K83" s="3">
        <v>2737.7</v>
      </c>
      <c r="L83" s="3">
        <v>2842.9</v>
      </c>
      <c r="M83" s="3">
        <v>0</v>
      </c>
      <c r="N83" s="3">
        <v>2739.9</v>
      </c>
      <c r="O83" s="3">
        <v>2733.8</v>
      </c>
      <c r="P83" s="3">
        <v>2606.8000000000002</v>
      </c>
      <c r="Q83" s="3">
        <v>2607.1999999999998</v>
      </c>
      <c r="R83" s="3">
        <v>0</v>
      </c>
      <c r="S83" s="3">
        <v>2098.9</v>
      </c>
      <c r="T83" s="3">
        <v>2107</v>
      </c>
      <c r="U83" s="3">
        <v>2206.6</v>
      </c>
      <c r="V83" s="3">
        <v>2085.4</v>
      </c>
      <c r="W83" s="96">
        <f>SUM(Table3[[#This Row],[Inv1_U1]:[Inv1_U4]])</f>
        <v>8320.5</v>
      </c>
      <c r="X83" s="97">
        <f>SUM(Table3[[#This Row],[Inv2_U1]:[Inv2_U4]])</f>
        <v>7947.8</v>
      </c>
      <c r="Y83" s="98">
        <f>SUM(Table3[[#This Row],[Inv3_U1]:[Inv3_U4]])</f>
        <v>8497.9</v>
      </c>
      <c r="Z83" s="64">
        <v>89936.6</v>
      </c>
      <c r="AA83" s="64">
        <v>404</v>
      </c>
      <c r="AB83" s="60"/>
      <c r="AC83" s="88">
        <v>3.67</v>
      </c>
      <c r="AD83" s="95">
        <v>0</v>
      </c>
      <c r="AE83" s="88">
        <v>32.799999999999997</v>
      </c>
      <c r="AF83" s="88">
        <v>0</v>
      </c>
      <c r="AG83" s="88">
        <v>0</v>
      </c>
      <c r="AH83" s="60"/>
      <c r="AI83" s="17">
        <f>SUM(Table3[[#This Row],[Inv1]:[Inv3]])</f>
        <v>24766.199999999997</v>
      </c>
      <c r="AJ83" s="17">
        <f>IF((Table3[[#This Row],[33 kV Outgoinng Export Reading]]-Z82)*1000&gt;0,(Table3[[#This Row],[33 kV Outgoinng Export Reading]]-Z82)*1000,0)</f>
        <v>24550.00000000291</v>
      </c>
      <c r="AK83" s="17">
        <f>IF((Table3[[#This Row],[33 kV Outgoinng Import Reading]]-AA82)*1000&gt;0,(Table3[[#This Row],[33 kV Outgoinng Import Reading]]-AA82)*1000,0)</f>
        <v>100.00000000002274</v>
      </c>
      <c r="AL83" s="6">
        <f>Table3[[#This Row],[Export  (kWh)]]-Table3[[#This Row],[Import (kWh)]]</f>
        <v>24450.000000002889</v>
      </c>
      <c r="AM83" s="77">
        <f t="shared" ref="AM83:AM84" si="10">IFERROR((J83-I83)*24,"")</f>
        <v>12.933333333333334</v>
      </c>
    </row>
    <row r="84" spans="1:39" x14ac:dyDescent="0.3">
      <c r="A84" s="222">
        <f>YEAR(Table3[[#This Row],[Date]])+IF(MONTH(Table3[[#This Row],[Date]])&gt;=4,1,0)</f>
        <v>2026</v>
      </c>
      <c r="B84" s="60">
        <f>YEAR(Table3[[#This Row],[Date]])</f>
        <v>2025</v>
      </c>
      <c r="C84" s="60" t="s">
        <v>1082</v>
      </c>
      <c r="D84" s="60" t="s">
        <v>1082</v>
      </c>
      <c r="E84" s="6" t="str">
        <f>TEXT(Table3[[#This Row],[Date]],"mmm-yy")</f>
        <v>Jun-25</v>
      </c>
      <c r="F84" s="60">
        <f>DAY(EOMONTH(Table3[[#This Row],[Month Year]],0))</f>
        <v>30</v>
      </c>
      <c r="G84" s="63">
        <f t="shared" si="7"/>
        <v>45825</v>
      </c>
      <c r="H84" s="18">
        <f>'Modelling New'!$AR$1</f>
        <v>8.0208999999999993</v>
      </c>
      <c r="I84" s="120">
        <v>0.25277777777777777</v>
      </c>
      <c r="J84" s="120">
        <v>0.78263888888888888</v>
      </c>
      <c r="K84" s="3">
        <v>3268.3</v>
      </c>
      <c r="L84" s="3">
        <v>3266</v>
      </c>
      <c r="M84" s="3">
        <v>0</v>
      </c>
      <c r="N84" s="3">
        <v>3269.9</v>
      </c>
      <c r="O84" s="3">
        <v>3176.4</v>
      </c>
      <c r="P84" s="3">
        <v>3157.6</v>
      </c>
      <c r="Q84" s="3">
        <v>3157.2</v>
      </c>
      <c r="R84" s="3">
        <v>0</v>
      </c>
      <c r="S84" s="3">
        <v>2549.8000000000002</v>
      </c>
      <c r="T84" s="3">
        <v>2559.1999999999998</v>
      </c>
      <c r="U84" s="3">
        <v>2548.3000000000002</v>
      </c>
      <c r="V84" s="3">
        <v>2530.3000000000002</v>
      </c>
      <c r="W84" s="96">
        <f>SUM(Table3[[#This Row],[Inv1_U1]:[Inv1_U4]])</f>
        <v>9804.2000000000007</v>
      </c>
      <c r="X84" s="97">
        <f>SUM(Table3[[#This Row],[Inv2_U1]:[Inv2_U4]])</f>
        <v>9491.2000000000007</v>
      </c>
      <c r="Y84" s="98">
        <f>SUM(Table3[[#This Row],[Inv3_U1]:[Inv3_U4]])</f>
        <v>10187.6</v>
      </c>
      <c r="Z84" s="64">
        <v>89965.85</v>
      </c>
      <c r="AA84" s="64">
        <v>404.1</v>
      </c>
      <c r="AB84" s="60"/>
      <c r="AC84" s="88">
        <v>5.07</v>
      </c>
      <c r="AD84" s="95">
        <v>0</v>
      </c>
      <c r="AE84" s="88">
        <v>36.869999999999997</v>
      </c>
      <c r="AF84" s="88">
        <v>0</v>
      </c>
      <c r="AG84" s="88">
        <v>0</v>
      </c>
      <c r="AH84" s="60"/>
      <c r="AI84" s="17">
        <f>SUM(Table3[[#This Row],[Inv1]:[Inv3]])</f>
        <v>29483</v>
      </c>
      <c r="AJ84" s="17">
        <f>IF((Table3[[#This Row],[33 kV Outgoinng Export Reading]]-Z83)*1000&gt;0,(Table3[[#This Row],[33 kV Outgoinng Export Reading]]-Z83)*1000,0)</f>
        <v>29250</v>
      </c>
      <c r="AK84" s="17">
        <f>IF((Table3[[#This Row],[33 kV Outgoinng Import Reading]]-AA83)*1000&gt;0,(Table3[[#This Row],[33 kV Outgoinng Import Reading]]-AA83)*1000,0)</f>
        <v>100.00000000002274</v>
      </c>
      <c r="AL84" s="6">
        <f>Table3[[#This Row],[Export  (kWh)]]-Table3[[#This Row],[Import (kWh)]]</f>
        <v>29149.999999999978</v>
      </c>
      <c r="AM84" s="77">
        <f t="shared" si="10"/>
        <v>12.716666666666667</v>
      </c>
    </row>
    <row r="85" spans="1:39" x14ac:dyDescent="0.3">
      <c r="A85" s="222">
        <f>YEAR(Table3[[#This Row],[Date]])+IF(MONTH(Table3[[#This Row],[Date]])&gt;=4,1,0)</f>
        <v>2026</v>
      </c>
      <c r="B85" s="60">
        <f>YEAR(Table3[[#This Row],[Date]])</f>
        <v>2025</v>
      </c>
      <c r="C85" s="60" t="s">
        <v>1082</v>
      </c>
      <c r="D85" s="60" t="s">
        <v>1082</v>
      </c>
      <c r="E85" s="6" t="str">
        <f>TEXT(Table3[[#This Row],[Date]],"mmm-yy")</f>
        <v>Jun-25</v>
      </c>
      <c r="F85" s="60">
        <f>DAY(EOMONTH(Table3[[#This Row],[Month Year]],0))</f>
        <v>30</v>
      </c>
      <c r="G85" s="63">
        <f t="shared" si="7"/>
        <v>45826</v>
      </c>
      <c r="H85" s="18">
        <f>'Modelling New'!$AR$1</f>
        <v>8.0208999999999993</v>
      </c>
      <c r="I85" s="120">
        <v>0.24930555555555556</v>
      </c>
      <c r="J85" s="120">
        <v>0.78472222222222221</v>
      </c>
      <c r="K85" s="3">
        <v>3590.4</v>
      </c>
      <c r="L85" s="3">
        <v>3587.8</v>
      </c>
      <c r="M85" s="3">
        <v>0</v>
      </c>
      <c r="N85" s="3">
        <v>3715.2</v>
      </c>
      <c r="O85" s="3">
        <v>3488.3</v>
      </c>
      <c r="P85" s="3">
        <v>3464.4</v>
      </c>
      <c r="Q85" s="3">
        <v>3598.5</v>
      </c>
      <c r="R85" s="3">
        <v>0</v>
      </c>
      <c r="S85" s="3">
        <v>2913.6</v>
      </c>
      <c r="T85" s="3">
        <v>2796.4</v>
      </c>
      <c r="U85" s="3">
        <v>2785.4</v>
      </c>
      <c r="V85" s="3">
        <v>2765.2</v>
      </c>
      <c r="W85" s="96">
        <f>SUM(Table3[[#This Row],[Inv1_U1]:[Inv1_U4]])</f>
        <v>10893.400000000001</v>
      </c>
      <c r="X85" s="97">
        <f>SUM(Table3[[#This Row],[Inv2_U1]:[Inv2_U4]])</f>
        <v>10551.2</v>
      </c>
      <c r="Y85" s="98">
        <f>SUM(Table3[[#This Row],[Inv3_U1]:[Inv3_U4]])</f>
        <v>11260.599999999999</v>
      </c>
      <c r="Z85" s="64">
        <v>89998.25</v>
      </c>
      <c r="AA85" s="64">
        <v>404.2</v>
      </c>
      <c r="AB85" s="60"/>
      <c r="AC85" s="88">
        <v>4.9800000000000004</v>
      </c>
      <c r="AD85" s="95">
        <v>0</v>
      </c>
      <c r="AE85" s="88">
        <v>36.69</v>
      </c>
      <c r="AF85" s="88">
        <v>0</v>
      </c>
      <c r="AG85" s="88">
        <v>0</v>
      </c>
      <c r="AH85" s="60"/>
      <c r="AI85" s="17">
        <f>SUM(Table3[[#This Row],[Inv1]:[Inv3]])</f>
        <v>32705.200000000001</v>
      </c>
      <c r="AJ85" s="17">
        <f>IF((Table3[[#This Row],[33 kV Outgoinng Export Reading]]-Z84)*1000&gt;0,(Table3[[#This Row],[33 kV Outgoinng Export Reading]]-Z84)*1000,0)</f>
        <v>32399.999999994179</v>
      </c>
      <c r="AK85" s="17">
        <f>IF((Table3[[#This Row],[33 kV Outgoinng Import Reading]]-AA84)*1000&gt;0,(Table3[[#This Row],[33 kV Outgoinng Import Reading]]-AA84)*1000,0)</f>
        <v>99.999999999965894</v>
      </c>
      <c r="AL85" s="6">
        <f>Table3[[#This Row],[Export  (kWh)]]-Table3[[#This Row],[Import (kWh)]]</f>
        <v>32299.999999994212</v>
      </c>
      <c r="AM85" s="77">
        <f t="shared" ref="AM85:AM90" si="11">IFERROR((J85-I85)*24,"")</f>
        <v>12.85</v>
      </c>
    </row>
    <row r="86" spans="1:39" x14ac:dyDescent="0.3">
      <c r="A86" s="222">
        <f>YEAR(Table3[[#This Row],[Date]])+IF(MONTH(Table3[[#This Row],[Date]])&gt;=4,1,0)</f>
        <v>2026</v>
      </c>
      <c r="B86" s="60">
        <f>YEAR(Table3[[#This Row],[Date]])</f>
        <v>2025</v>
      </c>
      <c r="C86" s="60" t="s">
        <v>1082</v>
      </c>
      <c r="D86" s="60" t="s">
        <v>1082</v>
      </c>
      <c r="E86" s="6" t="str">
        <f>TEXT(Table3[[#This Row],[Date]],"mmm-yy")</f>
        <v>Jun-25</v>
      </c>
      <c r="F86" s="60">
        <f>DAY(EOMONTH(Table3[[#This Row],[Month Year]],0))</f>
        <v>30</v>
      </c>
      <c r="G86" s="63">
        <f t="shared" si="7"/>
        <v>45827</v>
      </c>
      <c r="H86" s="18">
        <f>'Modelling New'!$AR$1</f>
        <v>8.0208999999999993</v>
      </c>
      <c r="I86" s="120">
        <v>0.24513888888888888</v>
      </c>
      <c r="J86" s="120">
        <v>0.77986111111111112</v>
      </c>
      <c r="K86" s="3">
        <v>2826.2</v>
      </c>
      <c r="L86" s="3">
        <v>2822.9</v>
      </c>
      <c r="M86" s="3">
        <v>0</v>
      </c>
      <c r="N86" s="3">
        <v>2826.6</v>
      </c>
      <c r="O86" s="3">
        <v>2740.3</v>
      </c>
      <c r="P86" s="3">
        <v>2722.4</v>
      </c>
      <c r="Q86" s="3">
        <v>2723.5</v>
      </c>
      <c r="R86" s="3">
        <v>0</v>
      </c>
      <c r="S86" s="3">
        <v>2163.5</v>
      </c>
      <c r="T86" s="3">
        <v>2172.6</v>
      </c>
      <c r="U86" s="3">
        <v>2163.1999999999998</v>
      </c>
      <c r="V86" s="3">
        <v>2149.9</v>
      </c>
      <c r="W86" s="96">
        <f>SUM(Table3[[#This Row],[Inv1_U1]:[Inv1_U4]])</f>
        <v>8475.7000000000007</v>
      </c>
      <c r="X86" s="97">
        <f>SUM(Table3[[#This Row],[Inv2_U1]:[Inv2_U4]])</f>
        <v>8186.2000000000007</v>
      </c>
      <c r="Y86" s="98">
        <f>SUM(Table3[[#This Row],[Inv3_U1]:[Inv3_U4]])</f>
        <v>8649.2000000000007</v>
      </c>
      <c r="Z86" s="64">
        <v>90023.35</v>
      </c>
      <c r="AA86" s="64">
        <v>404.3</v>
      </c>
      <c r="AB86" s="60"/>
      <c r="AC86" s="88">
        <v>4.63</v>
      </c>
      <c r="AD86" s="95">
        <v>0</v>
      </c>
      <c r="AE86" s="88">
        <v>35.83</v>
      </c>
      <c r="AF86" s="88">
        <v>0</v>
      </c>
      <c r="AG86" s="88">
        <v>0</v>
      </c>
      <c r="AH86" s="60"/>
      <c r="AI86" s="17">
        <f>SUM(Table3[[#This Row],[Inv1]:[Inv3]])</f>
        <v>25311.100000000002</v>
      </c>
      <c r="AJ86" s="17">
        <f>IF((Table3[[#This Row],[33 kV Outgoinng Export Reading]]-Z85)*1000&gt;0,(Table3[[#This Row],[33 kV Outgoinng Export Reading]]-Z85)*1000,0)</f>
        <v>25100.000000005821</v>
      </c>
      <c r="AK86" s="17">
        <f>IF((Table3[[#This Row],[33 kV Outgoinng Import Reading]]-AA85)*1000&gt;0,(Table3[[#This Row],[33 kV Outgoinng Import Reading]]-AA85)*1000,0)</f>
        <v>100.00000000002274</v>
      </c>
      <c r="AL86" s="6">
        <f>Table3[[#This Row],[Export  (kWh)]]-Table3[[#This Row],[Import (kWh)]]</f>
        <v>25000.000000005799</v>
      </c>
      <c r="AM86" s="77">
        <f t="shared" si="11"/>
        <v>12.833333333333332</v>
      </c>
    </row>
    <row r="87" spans="1:39" x14ac:dyDescent="0.3">
      <c r="A87" s="222">
        <f>YEAR(Table3[[#This Row],[Date]])+IF(MONTH(Table3[[#This Row],[Date]])&gt;=4,1,0)</f>
        <v>2026</v>
      </c>
      <c r="B87" s="60">
        <f>YEAR(Table3[[#This Row],[Date]])</f>
        <v>2025</v>
      </c>
      <c r="C87" s="60" t="s">
        <v>1082</v>
      </c>
      <c r="D87" s="60" t="s">
        <v>1082</v>
      </c>
      <c r="E87" s="6" t="str">
        <f>TEXT(Table3[[#This Row],[Date]],"mmm-yy")</f>
        <v>Jun-25</v>
      </c>
      <c r="F87" s="60">
        <f>DAY(EOMONTH(Table3[[#This Row],[Month Year]],0))</f>
        <v>30</v>
      </c>
      <c r="G87" s="63">
        <f t="shared" si="7"/>
        <v>45828</v>
      </c>
      <c r="H87" s="18">
        <f>'Modelling New'!$AR$1</f>
        <v>8.0208999999999993</v>
      </c>
      <c r="I87" s="120">
        <v>0.24861111111111112</v>
      </c>
      <c r="J87" s="120">
        <v>0.78263888888888888</v>
      </c>
      <c r="K87" s="3">
        <v>3474.7</v>
      </c>
      <c r="L87" s="3">
        <v>3533.6</v>
      </c>
      <c r="M87" s="3">
        <v>0</v>
      </c>
      <c r="N87" s="3">
        <v>3479</v>
      </c>
      <c r="O87" s="3">
        <v>3445.2</v>
      </c>
      <c r="P87" s="3">
        <v>3364.3</v>
      </c>
      <c r="Q87" s="3">
        <v>3366.6</v>
      </c>
      <c r="R87" s="3">
        <v>0</v>
      </c>
      <c r="S87" s="3">
        <v>2730.6</v>
      </c>
      <c r="T87" s="3">
        <v>2740.9</v>
      </c>
      <c r="U87" s="3">
        <v>2786.4</v>
      </c>
      <c r="V87" s="3">
        <v>2709.6</v>
      </c>
      <c r="W87" s="96">
        <f>SUM(Table3[[#This Row],[Inv1_U1]:[Inv1_U4]])</f>
        <v>10487.3</v>
      </c>
      <c r="X87" s="97">
        <f>SUM(Table3[[#This Row],[Inv2_U1]:[Inv2_U4]])</f>
        <v>10176.1</v>
      </c>
      <c r="Y87" s="98">
        <f>SUM(Table3[[#This Row],[Inv3_U1]:[Inv3_U4]])</f>
        <v>10967.5</v>
      </c>
      <c r="Z87" s="64">
        <v>90054.7</v>
      </c>
      <c r="AA87" s="64">
        <v>404.4</v>
      </c>
      <c r="AB87" s="60"/>
      <c r="AC87" s="88">
        <v>4.84</v>
      </c>
      <c r="AD87" s="95">
        <v>0</v>
      </c>
      <c r="AE87" s="88">
        <v>36.57</v>
      </c>
      <c r="AF87" s="88">
        <v>0</v>
      </c>
      <c r="AG87" s="88">
        <v>0</v>
      </c>
      <c r="AH87" s="60"/>
      <c r="AI87" s="17">
        <f>SUM(Table3[[#This Row],[Inv1]:[Inv3]])</f>
        <v>31630.9</v>
      </c>
      <c r="AJ87" s="17">
        <f>IF((Table3[[#This Row],[33 kV Outgoinng Export Reading]]-Z86)*1000&gt;0,(Table3[[#This Row],[33 kV Outgoinng Export Reading]]-Z86)*1000,0)</f>
        <v>31349.999999991269</v>
      </c>
      <c r="AK87" s="17">
        <f>IF((Table3[[#This Row],[33 kV Outgoinng Import Reading]]-AA86)*1000&gt;0,(Table3[[#This Row],[33 kV Outgoinng Import Reading]]-AA86)*1000,0)</f>
        <v>99.999999999965894</v>
      </c>
      <c r="AL87" s="6">
        <f>Table3[[#This Row],[Export  (kWh)]]-Table3[[#This Row],[Import (kWh)]]</f>
        <v>31249.999999991302</v>
      </c>
      <c r="AM87" s="77">
        <f t="shared" si="11"/>
        <v>12.816666666666666</v>
      </c>
    </row>
    <row r="88" spans="1:39" x14ac:dyDescent="0.3">
      <c r="A88" s="222">
        <f>YEAR(Table3[[#This Row],[Date]])+IF(MONTH(Table3[[#This Row],[Date]])&gt;=4,1,0)</f>
        <v>2026</v>
      </c>
      <c r="B88" s="60">
        <f>YEAR(Table3[[#This Row],[Date]])</f>
        <v>2025</v>
      </c>
      <c r="C88" s="60" t="s">
        <v>1082</v>
      </c>
      <c r="D88" s="60" t="s">
        <v>1082</v>
      </c>
      <c r="E88" s="6" t="str">
        <f>TEXT(Table3[[#This Row],[Date]],"mmm-yy")</f>
        <v>Jun-25</v>
      </c>
      <c r="F88" s="60">
        <f>DAY(EOMONTH(Table3[[#This Row],[Month Year]],0))</f>
        <v>30</v>
      </c>
      <c r="G88" s="63">
        <f t="shared" si="7"/>
        <v>45829</v>
      </c>
      <c r="H88" s="18">
        <f>'Modelling New'!$AR$1</f>
        <v>8.0208999999999993</v>
      </c>
      <c r="I88" s="120">
        <v>0.24861111111111112</v>
      </c>
      <c r="J88" s="120">
        <v>0.78333333333333333</v>
      </c>
      <c r="K88" s="3">
        <v>4215.3999999999996</v>
      </c>
      <c r="L88" s="3">
        <v>4216.3999999999996</v>
      </c>
      <c r="M88" s="3">
        <v>0</v>
      </c>
      <c r="N88" s="3">
        <v>4298.6000000000004</v>
      </c>
      <c r="O88" s="3">
        <v>4076</v>
      </c>
      <c r="P88" s="3">
        <v>4134.8999999999996</v>
      </c>
      <c r="Q88" s="3">
        <v>4054.1</v>
      </c>
      <c r="R88" s="3">
        <v>0</v>
      </c>
      <c r="S88" s="3">
        <v>3272.2</v>
      </c>
      <c r="T88" s="3">
        <v>3280.5</v>
      </c>
      <c r="U88" s="3">
        <v>3266.7</v>
      </c>
      <c r="V88" s="3">
        <v>3315.3</v>
      </c>
      <c r="W88" s="96">
        <f>SUM(Table3[[#This Row],[Inv1_U1]:[Inv1_U4]])</f>
        <v>12730.4</v>
      </c>
      <c r="X88" s="97">
        <f>SUM(Table3[[#This Row],[Inv2_U1]:[Inv2_U4]])</f>
        <v>12265</v>
      </c>
      <c r="Y88" s="98">
        <f>SUM(Table3[[#This Row],[Inv3_U1]:[Inv3_U4]])</f>
        <v>13134.7</v>
      </c>
      <c r="Z88" s="64">
        <v>90092.5</v>
      </c>
      <c r="AA88" s="64">
        <v>404.5</v>
      </c>
      <c r="AB88" s="60"/>
      <c r="AC88" s="88">
        <v>5.98</v>
      </c>
      <c r="AD88" s="95">
        <v>0</v>
      </c>
      <c r="AE88" s="88">
        <v>38.619999999999997</v>
      </c>
      <c r="AF88" s="88">
        <v>0</v>
      </c>
      <c r="AG88" s="88">
        <v>0</v>
      </c>
      <c r="AH88" s="60"/>
      <c r="AI88" s="17">
        <f>SUM(Table3[[#This Row],[Inv1]:[Inv3]])</f>
        <v>38130.100000000006</v>
      </c>
      <c r="AJ88" s="17">
        <f>IF((Table3[[#This Row],[33 kV Outgoinng Export Reading]]-Z87)*1000&gt;0,(Table3[[#This Row],[33 kV Outgoinng Export Reading]]-Z87)*1000,0)</f>
        <v>37800.00000000291</v>
      </c>
      <c r="AK88" s="17">
        <f>IF((Table3[[#This Row],[33 kV Outgoinng Import Reading]]-AA87)*1000&gt;0,(Table3[[#This Row],[33 kV Outgoinng Import Reading]]-AA87)*1000,0)</f>
        <v>100.00000000002274</v>
      </c>
      <c r="AL88" s="6">
        <f>Table3[[#This Row],[Export  (kWh)]]-Table3[[#This Row],[Import (kWh)]]</f>
        <v>37700.000000002889</v>
      </c>
      <c r="AM88" s="77">
        <f t="shared" si="11"/>
        <v>12.833333333333332</v>
      </c>
    </row>
    <row r="89" spans="1:39" x14ac:dyDescent="0.3">
      <c r="A89" s="222">
        <f>YEAR(Table3[[#This Row],[Date]])+IF(MONTH(Table3[[#This Row],[Date]])&gt;=4,1,0)</f>
        <v>2026</v>
      </c>
      <c r="B89" s="60">
        <f>YEAR(Table3[[#This Row],[Date]])</f>
        <v>2025</v>
      </c>
      <c r="C89" s="60" t="s">
        <v>1082</v>
      </c>
      <c r="D89" s="60" t="s">
        <v>1082</v>
      </c>
      <c r="E89" s="6" t="str">
        <f>TEXT(Table3[[#This Row],[Date]],"mmm-yy")</f>
        <v>Jun-25</v>
      </c>
      <c r="F89" s="60">
        <f>DAY(EOMONTH(Table3[[#This Row],[Month Year]],0))</f>
        <v>30</v>
      </c>
      <c r="G89" s="63">
        <f t="shared" si="7"/>
        <v>45830</v>
      </c>
      <c r="H89" s="18">
        <f>'Modelling New'!$AR$1</f>
        <v>8.0208999999999993</v>
      </c>
      <c r="I89" s="120">
        <v>0.24791666666666667</v>
      </c>
      <c r="J89" s="120">
        <v>0.78194444444444444</v>
      </c>
      <c r="K89" s="3">
        <v>4136.2</v>
      </c>
      <c r="L89" s="3">
        <v>4136.8999999999996</v>
      </c>
      <c r="M89" s="3">
        <v>0</v>
      </c>
      <c r="N89" s="3">
        <v>4283.5</v>
      </c>
      <c r="O89" s="3">
        <v>4021.2</v>
      </c>
      <c r="P89" s="3">
        <v>3994.2</v>
      </c>
      <c r="Q89" s="3">
        <v>4139.5</v>
      </c>
      <c r="R89" s="3">
        <v>0</v>
      </c>
      <c r="S89" s="3">
        <v>3326.5</v>
      </c>
      <c r="T89" s="3">
        <v>3249.7</v>
      </c>
      <c r="U89" s="3">
        <v>3236.2</v>
      </c>
      <c r="V89" s="3">
        <v>3212.2</v>
      </c>
      <c r="W89" s="96">
        <f>SUM(Table3[[#This Row],[Inv1_U1]:[Inv1_U4]])</f>
        <v>12556.599999999999</v>
      </c>
      <c r="X89" s="97">
        <f>SUM(Table3[[#This Row],[Inv2_U1]:[Inv2_U4]])</f>
        <v>12154.9</v>
      </c>
      <c r="Y89" s="98">
        <f>SUM(Table3[[#This Row],[Inv3_U1]:[Inv3_U4]])</f>
        <v>13024.599999999999</v>
      </c>
      <c r="Z89" s="64">
        <v>90129.9</v>
      </c>
      <c r="AA89" s="64">
        <v>404.6</v>
      </c>
      <c r="AB89" s="60"/>
      <c r="AC89" s="88">
        <v>5.89</v>
      </c>
      <c r="AD89" s="95">
        <v>0</v>
      </c>
      <c r="AE89" s="88">
        <v>38.299999999999997</v>
      </c>
      <c r="AF89" s="88">
        <v>0</v>
      </c>
      <c r="AG89" s="88">
        <v>0</v>
      </c>
      <c r="AH89" s="60"/>
      <c r="AI89" s="17">
        <f>SUM(Table3[[#This Row],[Inv1]:[Inv3]])</f>
        <v>37736.1</v>
      </c>
      <c r="AJ89" s="17">
        <f>IF((Table3[[#This Row],[33 kV Outgoinng Export Reading]]-Z88)*1000&gt;0,(Table3[[#This Row],[33 kV Outgoinng Export Reading]]-Z88)*1000,0)</f>
        <v>37399.999999994179</v>
      </c>
      <c r="AK89" s="17">
        <f>IF((Table3[[#This Row],[33 kV Outgoinng Import Reading]]-AA88)*1000&gt;0,(Table3[[#This Row],[33 kV Outgoinng Import Reading]]-AA88)*1000,0)</f>
        <v>100.00000000002274</v>
      </c>
      <c r="AL89" s="6">
        <f>Table3[[#This Row],[Export  (kWh)]]-Table3[[#This Row],[Import (kWh)]]</f>
        <v>37299.999999994157</v>
      </c>
      <c r="AM89" s="77">
        <f t="shared" si="11"/>
        <v>12.816666666666666</v>
      </c>
    </row>
    <row r="90" spans="1:39" x14ac:dyDescent="0.3">
      <c r="A90" s="222">
        <f>YEAR(Table3[[#This Row],[Date]])+IF(MONTH(Table3[[#This Row],[Date]])&gt;=4,1,0)</f>
        <v>2026</v>
      </c>
      <c r="B90" s="60">
        <f>YEAR(Table3[[#This Row],[Date]])</f>
        <v>2025</v>
      </c>
      <c r="C90" s="60" t="s">
        <v>1082</v>
      </c>
      <c r="D90" s="60" t="s">
        <v>1082</v>
      </c>
      <c r="E90" s="6" t="str">
        <f>TEXT(Table3[[#This Row],[Date]],"mmm-yy")</f>
        <v>Jun-25</v>
      </c>
      <c r="F90" s="60">
        <f>DAY(EOMONTH(Table3[[#This Row],[Month Year]],0))</f>
        <v>30</v>
      </c>
      <c r="G90" s="63">
        <f t="shared" si="7"/>
        <v>45831</v>
      </c>
      <c r="H90" s="18">
        <f>'Modelling New'!$AR$1</f>
        <v>8.0208999999999993</v>
      </c>
      <c r="I90" s="120">
        <v>0.25208333333333333</v>
      </c>
      <c r="J90" s="120">
        <v>0.78333333333333333</v>
      </c>
      <c r="K90" s="3">
        <v>3685.9</v>
      </c>
      <c r="L90" s="3">
        <v>3617.2</v>
      </c>
      <c r="M90" s="3">
        <v>0</v>
      </c>
      <c r="N90" s="3">
        <v>3620.9</v>
      </c>
      <c r="O90" s="3">
        <v>3569.8</v>
      </c>
      <c r="P90" s="3">
        <v>3480.9</v>
      </c>
      <c r="Q90" s="3">
        <v>3484</v>
      </c>
      <c r="R90" s="3">
        <v>0</v>
      </c>
      <c r="S90" s="3">
        <v>2785.5</v>
      </c>
      <c r="T90" s="3">
        <v>2859.7</v>
      </c>
      <c r="U90" s="3">
        <v>2780.8</v>
      </c>
      <c r="V90" s="3">
        <v>2761.3</v>
      </c>
      <c r="W90" s="96">
        <f>SUM(Table3[[#This Row],[Inv1_U1]:[Inv1_U4]])</f>
        <v>10924</v>
      </c>
      <c r="X90" s="97">
        <f>SUM(Table3[[#This Row],[Inv2_U1]:[Inv2_U4]])</f>
        <v>10534.7</v>
      </c>
      <c r="Y90" s="98">
        <f>SUM(Table3[[#This Row],[Inv3_U1]:[Inv3_U4]])</f>
        <v>11187.3</v>
      </c>
      <c r="Z90" s="64">
        <v>90162.25</v>
      </c>
      <c r="AA90" s="64">
        <v>404.7</v>
      </c>
      <c r="AB90" s="60"/>
      <c r="AC90" s="88">
        <v>5.0599999999999996</v>
      </c>
      <c r="AD90" s="95">
        <v>0</v>
      </c>
      <c r="AE90" s="88">
        <v>36.049999999999997</v>
      </c>
      <c r="AF90" s="88">
        <v>0</v>
      </c>
      <c r="AG90" s="88">
        <v>0</v>
      </c>
      <c r="AH90" s="60"/>
      <c r="AI90" s="17">
        <f>SUM(Table3[[#This Row],[Inv1]:[Inv3]])</f>
        <v>32646</v>
      </c>
      <c r="AJ90" s="17">
        <f>IF((Table3[[#This Row],[33 kV Outgoinng Export Reading]]-Z89)*1000&gt;0,(Table3[[#This Row],[33 kV Outgoinng Export Reading]]-Z89)*1000,0)</f>
        <v>32350.000000005821</v>
      </c>
      <c r="AK90" s="17">
        <f>IF((Table3[[#This Row],[33 kV Outgoinng Import Reading]]-AA89)*1000&gt;0,(Table3[[#This Row],[33 kV Outgoinng Import Reading]]-AA89)*1000,0)</f>
        <v>99.999999999965894</v>
      </c>
      <c r="AL90" s="6">
        <f>Table3[[#This Row],[Export  (kWh)]]-Table3[[#This Row],[Import (kWh)]]</f>
        <v>32250.000000005854</v>
      </c>
      <c r="AM90" s="77">
        <f t="shared" si="11"/>
        <v>12.75</v>
      </c>
    </row>
    <row r="91" spans="1:39" x14ac:dyDescent="0.3">
      <c r="A91" s="222">
        <f>YEAR(Table3[[#This Row],[Date]])+IF(MONTH(Table3[[#This Row],[Date]])&gt;=4,1,0)</f>
        <v>2026</v>
      </c>
      <c r="B91" s="60">
        <f>YEAR(Table3[[#This Row],[Date]])</f>
        <v>2025</v>
      </c>
      <c r="C91" s="60" t="s">
        <v>1082</v>
      </c>
      <c r="D91" s="60" t="s">
        <v>1082</v>
      </c>
      <c r="E91" s="6" t="str">
        <f>TEXT(Table3[[#This Row],[Date]],"mmm-yy")</f>
        <v>Jun-25</v>
      </c>
      <c r="F91" s="60">
        <f>DAY(EOMONTH(Table3[[#This Row],[Month Year]],0))</f>
        <v>30</v>
      </c>
      <c r="G91" s="63">
        <f t="shared" si="7"/>
        <v>45832</v>
      </c>
      <c r="H91" s="18">
        <f>'Modelling New'!$AR$1</f>
        <v>8.0208999999999993</v>
      </c>
      <c r="I91" s="120">
        <v>0.25</v>
      </c>
      <c r="J91" s="120">
        <v>0.78125</v>
      </c>
      <c r="K91" s="3">
        <v>1807.3</v>
      </c>
      <c r="L91" s="3">
        <v>1892</v>
      </c>
      <c r="M91" s="3">
        <v>0</v>
      </c>
      <c r="N91" s="3">
        <v>1812</v>
      </c>
      <c r="O91" s="3">
        <v>1819.4</v>
      </c>
      <c r="P91" s="3">
        <v>1721.3</v>
      </c>
      <c r="Q91" s="3">
        <v>1718.7</v>
      </c>
      <c r="R91" s="3">
        <v>0</v>
      </c>
      <c r="S91" s="3">
        <v>1375.5</v>
      </c>
      <c r="T91" s="3">
        <v>1380.8</v>
      </c>
      <c r="U91" s="3">
        <v>1460.3</v>
      </c>
      <c r="V91" s="3">
        <v>1367.6</v>
      </c>
      <c r="W91" s="96">
        <f>SUM(Table3[[#This Row],[Inv1_U1]:[Inv1_U4]])</f>
        <v>5511.3</v>
      </c>
      <c r="X91" s="97">
        <f>SUM(Table3[[#This Row],[Inv2_U1]:[Inv2_U4]])</f>
        <v>5259.4</v>
      </c>
      <c r="Y91" s="98">
        <f>SUM(Table3[[#This Row],[Inv3_U1]:[Inv3_U4]])</f>
        <v>5584.2000000000007</v>
      </c>
      <c r="Z91" s="64">
        <v>90178.45</v>
      </c>
      <c r="AA91" s="64">
        <v>404.8</v>
      </c>
      <c r="AB91" s="60"/>
      <c r="AC91" s="88">
        <v>3.22</v>
      </c>
      <c r="AD91" s="95">
        <v>0</v>
      </c>
      <c r="AE91" s="88">
        <v>31.12</v>
      </c>
      <c r="AF91" s="88">
        <v>0</v>
      </c>
      <c r="AG91" s="88">
        <v>0</v>
      </c>
      <c r="AH91" s="60"/>
      <c r="AI91" s="17">
        <f>SUM(Table3[[#This Row],[Inv1]:[Inv3]])</f>
        <v>16354.900000000001</v>
      </c>
      <c r="AJ91" s="17">
        <f>IF((Table3[[#This Row],[33 kV Outgoinng Export Reading]]-Z90)*1000&gt;0,(Table3[[#This Row],[33 kV Outgoinng Export Reading]]-Z90)*1000,0)</f>
        <v>16199.99999999709</v>
      </c>
      <c r="AK91" s="17">
        <f>IF((Table3[[#This Row],[33 kV Outgoinng Import Reading]]-AA90)*1000&gt;0,(Table3[[#This Row],[33 kV Outgoinng Import Reading]]-AA90)*1000,0)</f>
        <v>100.00000000002274</v>
      </c>
      <c r="AL91" s="6">
        <f>Table3[[#This Row],[Export  (kWh)]]-Table3[[#This Row],[Import (kWh)]]</f>
        <v>16099.999999997068</v>
      </c>
      <c r="AM91" s="77">
        <f t="shared" ref="AM91:AM96" si="12">IFERROR((J91-I91)*24,"")</f>
        <v>12.75</v>
      </c>
    </row>
    <row r="92" spans="1:39" x14ac:dyDescent="0.3">
      <c r="A92" s="222">
        <f>YEAR(Table3[[#This Row],[Date]])+IF(MONTH(Table3[[#This Row],[Date]])&gt;=4,1,0)</f>
        <v>2026</v>
      </c>
      <c r="B92" s="60">
        <f>YEAR(Table3[[#This Row],[Date]])</f>
        <v>2025</v>
      </c>
      <c r="C92" s="60" t="s">
        <v>1082</v>
      </c>
      <c r="D92" s="60" t="s">
        <v>1082</v>
      </c>
      <c r="E92" s="6" t="str">
        <f>TEXT(Table3[[#This Row],[Date]],"mmm-yy")</f>
        <v>Jun-25</v>
      </c>
      <c r="F92" s="60">
        <f>DAY(EOMONTH(Table3[[#This Row],[Month Year]],0))</f>
        <v>30</v>
      </c>
      <c r="G92" s="63">
        <f t="shared" si="7"/>
        <v>45833</v>
      </c>
      <c r="H92" s="18">
        <f>'Modelling New'!$AR$1</f>
        <v>8.0208999999999993</v>
      </c>
      <c r="I92" s="120">
        <v>0.25277777777777777</v>
      </c>
      <c r="J92" s="120">
        <v>0.77777777777777779</v>
      </c>
      <c r="K92" s="3">
        <v>2858.2</v>
      </c>
      <c r="L92" s="3">
        <v>2856.5</v>
      </c>
      <c r="M92" s="3">
        <v>0</v>
      </c>
      <c r="N92" s="3">
        <v>2980.3</v>
      </c>
      <c r="O92" s="3">
        <v>2747.3</v>
      </c>
      <c r="P92" s="3">
        <v>2850.8</v>
      </c>
      <c r="Q92" s="3">
        <v>2729.6</v>
      </c>
      <c r="R92" s="3">
        <v>0</v>
      </c>
      <c r="S92" s="3">
        <v>2170.5</v>
      </c>
      <c r="T92" s="3">
        <v>2178.9</v>
      </c>
      <c r="U92" s="3">
        <v>2169.6999999999998</v>
      </c>
      <c r="V92" s="3">
        <v>2271.8000000000002</v>
      </c>
      <c r="W92" s="96">
        <f>SUM(Table3[[#This Row],[Inv1_U1]:[Inv1_U4]])</f>
        <v>8695</v>
      </c>
      <c r="X92" s="97">
        <f>SUM(Table3[[#This Row],[Inv2_U1]:[Inv2_U4]])</f>
        <v>8327.7000000000007</v>
      </c>
      <c r="Y92" s="98">
        <f>SUM(Table3[[#This Row],[Inv3_U1]:[Inv3_U4]])</f>
        <v>8790.9</v>
      </c>
      <c r="Z92" s="64">
        <v>90204.05</v>
      </c>
      <c r="AA92" s="64">
        <v>404.9</v>
      </c>
      <c r="AB92" s="60"/>
      <c r="AC92" s="88">
        <v>4.18</v>
      </c>
      <c r="AD92" s="95">
        <v>0</v>
      </c>
      <c r="AE92" s="88">
        <v>34.04</v>
      </c>
      <c r="AF92" s="88">
        <v>0</v>
      </c>
      <c r="AG92" s="88">
        <v>0</v>
      </c>
      <c r="AH92" s="60"/>
      <c r="AI92" s="17">
        <f>SUM(Table3[[#This Row],[Inv1]:[Inv3]])</f>
        <v>25813.599999999999</v>
      </c>
      <c r="AJ92" s="17">
        <f>IF((Table3[[#This Row],[33 kV Outgoinng Export Reading]]-Z91)*1000&gt;0,(Table3[[#This Row],[33 kV Outgoinng Export Reading]]-Z91)*1000,0)</f>
        <v>25600.000000005821</v>
      </c>
      <c r="AK92" s="17">
        <f>IF((Table3[[#This Row],[33 kV Outgoinng Import Reading]]-AA91)*1000&gt;0,(Table3[[#This Row],[33 kV Outgoinng Import Reading]]-AA91)*1000,0)</f>
        <v>99.999999999965894</v>
      </c>
      <c r="AL92" s="6">
        <f>Table3[[#This Row],[Export  (kWh)]]-Table3[[#This Row],[Import (kWh)]]</f>
        <v>25500.000000005854</v>
      </c>
      <c r="AM92" s="77">
        <f t="shared" si="12"/>
        <v>12.600000000000001</v>
      </c>
    </row>
    <row r="93" spans="1:39" x14ac:dyDescent="0.3">
      <c r="A93" s="222">
        <f>YEAR(Table3[[#This Row],[Date]])+IF(MONTH(Table3[[#This Row],[Date]])&gt;=4,1,0)</f>
        <v>2026</v>
      </c>
      <c r="B93" s="60">
        <f>YEAR(Table3[[#This Row],[Date]])</f>
        <v>2025</v>
      </c>
      <c r="C93" s="60" t="s">
        <v>1082</v>
      </c>
      <c r="D93" s="60" t="s">
        <v>1082</v>
      </c>
      <c r="E93" s="6" t="str">
        <f>TEXT(Table3[[#This Row],[Date]],"mmm-yy")</f>
        <v>Jun-25</v>
      </c>
      <c r="F93" s="60">
        <f>DAY(EOMONTH(Table3[[#This Row],[Month Year]],0))</f>
        <v>30</v>
      </c>
      <c r="G93" s="63">
        <f t="shared" si="7"/>
        <v>45834</v>
      </c>
      <c r="H93" s="18">
        <f>'Modelling New'!$AR$1</f>
        <v>8.0208999999999993</v>
      </c>
      <c r="I93" s="120">
        <v>0.25694444444444442</v>
      </c>
      <c r="J93" s="120">
        <v>0.78333333333333333</v>
      </c>
      <c r="K93" s="3">
        <v>2723.3</v>
      </c>
      <c r="L93" s="3">
        <v>2722.8</v>
      </c>
      <c r="M93" s="3">
        <v>0</v>
      </c>
      <c r="N93" s="3">
        <v>2801.4</v>
      </c>
      <c r="O93" s="3">
        <v>2629.6</v>
      </c>
      <c r="P93" s="3">
        <v>2614.4</v>
      </c>
      <c r="Q93" s="3">
        <v>2687.5</v>
      </c>
      <c r="R93" s="3">
        <v>0</v>
      </c>
      <c r="S93" s="3">
        <v>2138.1999999999998</v>
      </c>
      <c r="T93" s="3">
        <v>2071.1999999999998</v>
      </c>
      <c r="U93" s="3">
        <v>2062.5</v>
      </c>
      <c r="V93" s="3">
        <v>2051</v>
      </c>
      <c r="W93" s="96">
        <f>SUM(Table3[[#This Row],[Inv1_U1]:[Inv1_U4]])</f>
        <v>8247.5</v>
      </c>
      <c r="X93" s="97">
        <f>SUM(Table3[[#This Row],[Inv2_U1]:[Inv2_U4]])</f>
        <v>7931.5</v>
      </c>
      <c r="Y93" s="98">
        <f>SUM(Table3[[#This Row],[Inv3_U1]:[Inv3_U4]])</f>
        <v>8322.9</v>
      </c>
      <c r="Z93" s="64">
        <v>90228.35</v>
      </c>
      <c r="AA93" s="64">
        <v>405</v>
      </c>
      <c r="AB93" s="60"/>
      <c r="AC93" s="88">
        <v>3.64</v>
      </c>
      <c r="AD93" s="95">
        <v>0</v>
      </c>
      <c r="AE93" s="88">
        <v>33.06</v>
      </c>
      <c r="AF93" s="88">
        <v>0</v>
      </c>
      <c r="AG93" s="88">
        <v>0</v>
      </c>
      <c r="AH93" s="60"/>
      <c r="AI93" s="17">
        <f>SUM(Table3[[#This Row],[Inv1]:[Inv3]])</f>
        <v>24501.9</v>
      </c>
      <c r="AJ93" s="17">
        <f>IF((Table3[[#This Row],[33 kV Outgoinng Export Reading]]-Z92)*1000&gt;0,(Table3[[#This Row],[33 kV Outgoinng Export Reading]]-Z92)*1000,0)</f>
        <v>24300.00000000291</v>
      </c>
      <c r="AK93" s="17">
        <f>IF((Table3[[#This Row],[33 kV Outgoinng Import Reading]]-AA92)*1000&gt;0,(Table3[[#This Row],[33 kV Outgoinng Import Reading]]-AA92)*1000,0)</f>
        <v>100.00000000002274</v>
      </c>
      <c r="AL93" s="6">
        <f>Table3[[#This Row],[Export  (kWh)]]-Table3[[#This Row],[Import (kWh)]]</f>
        <v>24200.000000002889</v>
      </c>
      <c r="AM93" s="77">
        <f t="shared" si="12"/>
        <v>12.633333333333333</v>
      </c>
    </row>
    <row r="94" spans="1:39" x14ac:dyDescent="0.3">
      <c r="A94" s="222">
        <f>YEAR(Table3[[#This Row],[Date]])+IF(MONTH(Table3[[#This Row],[Date]])&gt;=4,1,0)</f>
        <v>2026</v>
      </c>
      <c r="B94" s="60">
        <f>YEAR(Table3[[#This Row],[Date]])</f>
        <v>2025</v>
      </c>
      <c r="C94" s="60" t="s">
        <v>1082</v>
      </c>
      <c r="D94" s="60" t="s">
        <v>1082</v>
      </c>
      <c r="E94" s="6" t="str">
        <f>TEXT(Table3[[#This Row],[Date]],"mmm-yy")</f>
        <v>Jun-25</v>
      </c>
      <c r="F94" s="60">
        <f>DAY(EOMONTH(Table3[[#This Row],[Month Year]],0))</f>
        <v>30</v>
      </c>
      <c r="G94" s="63">
        <f t="shared" si="7"/>
        <v>45835</v>
      </c>
      <c r="H94" s="18">
        <f>'Modelling New'!$AR$1</f>
        <v>8.0208999999999993</v>
      </c>
      <c r="I94" s="120">
        <v>0.24930555555555556</v>
      </c>
      <c r="J94" s="120">
        <v>0.7895833333333333</v>
      </c>
      <c r="K94" s="3">
        <v>4134.2</v>
      </c>
      <c r="L94" s="3">
        <v>4082</v>
      </c>
      <c r="M94" s="3">
        <v>0</v>
      </c>
      <c r="N94" s="3">
        <v>4085.3</v>
      </c>
      <c r="O94" s="3">
        <v>4001.1</v>
      </c>
      <c r="P94" s="3">
        <v>3922.2</v>
      </c>
      <c r="Q94" s="3">
        <v>3926.7</v>
      </c>
      <c r="R94" s="3">
        <v>0</v>
      </c>
      <c r="S94" s="3">
        <v>3124.6</v>
      </c>
      <c r="T94" s="3">
        <v>3187.2</v>
      </c>
      <c r="U94" s="3">
        <v>3121.8</v>
      </c>
      <c r="V94" s="3">
        <v>3099</v>
      </c>
      <c r="W94" s="96">
        <f>SUM(Table3[[#This Row],[Inv1_U1]:[Inv1_U4]])</f>
        <v>12301.5</v>
      </c>
      <c r="X94" s="97">
        <f>SUM(Table3[[#This Row],[Inv2_U1]:[Inv2_U4]])</f>
        <v>11850</v>
      </c>
      <c r="Y94" s="98">
        <f>SUM(Table3[[#This Row],[Inv3_U1]:[Inv3_U4]])</f>
        <v>12532.599999999999</v>
      </c>
      <c r="Z94" s="64">
        <v>90264.7</v>
      </c>
      <c r="AA94" s="64">
        <v>405.1</v>
      </c>
      <c r="AB94" s="60"/>
      <c r="AC94" s="88">
        <v>5.82</v>
      </c>
      <c r="AD94" s="95">
        <v>0</v>
      </c>
      <c r="AE94" s="88">
        <v>36.89</v>
      </c>
      <c r="AF94" s="88">
        <v>0</v>
      </c>
      <c r="AG94" s="88">
        <v>0</v>
      </c>
      <c r="AH94" s="60"/>
      <c r="AI94" s="17">
        <f>SUM(Table3[[#This Row],[Inv1]:[Inv3]])</f>
        <v>36684.1</v>
      </c>
      <c r="AJ94" s="17">
        <f>IF((Table3[[#This Row],[33 kV Outgoinng Export Reading]]-Z93)*1000&gt;0,(Table3[[#This Row],[33 kV Outgoinng Export Reading]]-Z93)*1000,0)</f>
        <v>36349.999999991269</v>
      </c>
      <c r="AK94" s="17">
        <f>IF((Table3[[#This Row],[33 kV Outgoinng Import Reading]]-AA93)*1000&gt;0,(Table3[[#This Row],[33 kV Outgoinng Import Reading]]-AA93)*1000,0)</f>
        <v>100.00000000002274</v>
      </c>
      <c r="AL94" s="6">
        <f>Table3[[#This Row],[Export  (kWh)]]-Table3[[#This Row],[Import (kWh)]]</f>
        <v>36249.999999991247</v>
      </c>
      <c r="AM94" s="77">
        <f t="shared" si="12"/>
        <v>12.966666666666665</v>
      </c>
    </row>
    <row r="95" spans="1:39" x14ac:dyDescent="0.3">
      <c r="A95" s="222">
        <f>YEAR(Table3[[#This Row],[Date]])+IF(MONTH(Table3[[#This Row],[Date]])&gt;=4,1,0)</f>
        <v>2026</v>
      </c>
      <c r="B95" s="60">
        <f>YEAR(Table3[[#This Row],[Date]])</f>
        <v>2025</v>
      </c>
      <c r="C95" s="60" t="s">
        <v>1082</v>
      </c>
      <c r="D95" s="60" t="s">
        <v>1082</v>
      </c>
      <c r="E95" s="6" t="str">
        <f>TEXT(Table3[[#This Row],[Date]],"mmm-yy")</f>
        <v>Jun-25</v>
      </c>
      <c r="F95" s="60">
        <f>DAY(EOMONTH(Table3[[#This Row],[Month Year]],0))</f>
        <v>30</v>
      </c>
      <c r="G95" s="63">
        <f t="shared" si="7"/>
        <v>45836</v>
      </c>
      <c r="H95" s="18">
        <f>'Modelling New'!$AR$1</f>
        <v>8.0208999999999993</v>
      </c>
      <c r="I95" s="120">
        <v>0.24930555555555556</v>
      </c>
      <c r="J95" s="120">
        <v>0.78472222222222221</v>
      </c>
      <c r="K95" s="3">
        <v>3781</v>
      </c>
      <c r="L95" s="3">
        <v>3856</v>
      </c>
      <c r="M95" s="3">
        <v>0</v>
      </c>
      <c r="N95" s="3">
        <v>3782.7</v>
      </c>
      <c r="O95" s="3">
        <v>3757.5</v>
      </c>
      <c r="P95" s="3">
        <v>3648.1</v>
      </c>
      <c r="Q95" s="3">
        <v>3652</v>
      </c>
      <c r="R95" s="3">
        <v>0</v>
      </c>
      <c r="S95" s="3">
        <v>2890.6</v>
      </c>
      <c r="T95" s="3">
        <v>2901.6</v>
      </c>
      <c r="U95" s="3">
        <v>2966.8</v>
      </c>
      <c r="V95" s="3">
        <v>2869.4</v>
      </c>
      <c r="W95" s="96">
        <f>SUM(Table3[[#This Row],[Inv1_U1]:[Inv1_U4]])</f>
        <v>11419.7</v>
      </c>
      <c r="X95" s="97">
        <f>SUM(Table3[[#This Row],[Inv2_U1]:[Inv2_U4]])</f>
        <v>11057.6</v>
      </c>
      <c r="Y95" s="98">
        <f>SUM(Table3[[#This Row],[Inv3_U1]:[Inv3_U4]])</f>
        <v>11628.4</v>
      </c>
      <c r="Z95" s="64">
        <v>90298.5</v>
      </c>
      <c r="AA95" s="64">
        <v>405.2</v>
      </c>
      <c r="AB95" s="60"/>
      <c r="AC95" s="88">
        <v>5.24</v>
      </c>
      <c r="AD95" s="95">
        <v>0</v>
      </c>
      <c r="AE95" s="88">
        <v>36.97</v>
      </c>
      <c r="AF95" s="88">
        <v>0</v>
      </c>
      <c r="AG95" s="88">
        <v>0</v>
      </c>
      <c r="AH95" s="60"/>
      <c r="AI95" s="17">
        <f>SUM(Table3[[#This Row],[Inv1]:[Inv3]])</f>
        <v>34105.700000000004</v>
      </c>
      <c r="AJ95" s="17">
        <f>IF((Table3[[#This Row],[33 kV Outgoinng Export Reading]]-Z94)*1000&gt;0,(Table3[[#This Row],[33 kV Outgoinng Export Reading]]-Z94)*1000,0)</f>
        <v>33800.00000000291</v>
      </c>
      <c r="AK95" s="17">
        <f>IF((Table3[[#This Row],[33 kV Outgoinng Import Reading]]-AA94)*1000&gt;0,(Table3[[#This Row],[33 kV Outgoinng Import Reading]]-AA94)*1000,0)</f>
        <v>99.999999999965894</v>
      </c>
      <c r="AL95" s="6">
        <f>Table3[[#This Row],[Export  (kWh)]]-Table3[[#This Row],[Import (kWh)]]</f>
        <v>33700.000000002947</v>
      </c>
      <c r="AM95" s="77">
        <f t="shared" si="12"/>
        <v>12.85</v>
      </c>
    </row>
    <row r="96" spans="1:39" x14ac:dyDescent="0.3">
      <c r="A96" s="222">
        <f>YEAR(Table3[[#This Row],[Date]])+IF(MONTH(Table3[[#This Row],[Date]])&gt;=4,1,0)</f>
        <v>2026</v>
      </c>
      <c r="B96" s="60">
        <f>YEAR(Table3[[#This Row],[Date]])</f>
        <v>2025</v>
      </c>
      <c r="C96" s="60" t="s">
        <v>1082</v>
      </c>
      <c r="D96" s="60" t="s">
        <v>1082</v>
      </c>
      <c r="E96" s="6" t="str">
        <f>TEXT(Table3[[#This Row],[Date]],"mmm-yy")</f>
        <v>Jun-25</v>
      </c>
      <c r="F96" s="60">
        <f>DAY(EOMONTH(Table3[[#This Row],[Month Year]],0))</f>
        <v>30</v>
      </c>
      <c r="G96" s="63">
        <f t="shared" si="7"/>
        <v>45837</v>
      </c>
      <c r="H96" s="18">
        <f>'Modelling New'!$AR$1</f>
        <v>8.0208999999999993</v>
      </c>
      <c r="I96" s="120">
        <v>0.24722222222222223</v>
      </c>
      <c r="J96" s="120">
        <v>0.77777777777777779</v>
      </c>
      <c r="K96" s="3">
        <v>2687</v>
      </c>
      <c r="L96" s="3">
        <v>2687.5</v>
      </c>
      <c r="M96" s="3">
        <v>0</v>
      </c>
      <c r="N96" s="3">
        <v>2757.1</v>
      </c>
      <c r="O96" s="3">
        <v>2592.9</v>
      </c>
      <c r="P96" s="3">
        <v>2640.9</v>
      </c>
      <c r="Q96" s="3">
        <v>2576.5</v>
      </c>
      <c r="R96" s="3">
        <v>0</v>
      </c>
      <c r="S96" s="3">
        <v>2078.8000000000002</v>
      </c>
      <c r="T96" s="3">
        <v>2086.3000000000002</v>
      </c>
      <c r="U96" s="3">
        <v>2078</v>
      </c>
      <c r="V96" s="3">
        <v>2126.8000000000002</v>
      </c>
      <c r="W96" s="96">
        <f>SUM(Table3[[#This Row],[Inv1_U1]:[Inv1_U4]])</f>
        <v>8131.6</v>
      </c>
      <c r="X96" s="97">
        <f>SUM(Table3[[#This Row],[Inv2_U1]:[Inv2_U4]])</f>
        <v>7810.3</v>
      </c>
      <c r="Y96" s="98">
        <f>SUM(Table3[[#This Row],[Inv3_U1]:[Inv3_U4]])</f>
        <v>8369.9000000000015</v>
      </c>
      <c r="Z96" s="64">
        <v>90322.6</v>
      </c>
      <c r="AA96" s="64">
        <v>405.3</v>
      </c>
      <c r="AB96" s="60"/>
      <c r="AC96" s="88">
        <v>3.64</v>
      </c>
      <c r="AD96" s="95">
        <v>0</v>
      </c>
      <c r="AE96" s="88">
        <v>33.06</v>
      </c>
      <c r="AF96" s="88">
        <v>0</v>
      </c>
      <c r="AG96" s="88">
        <v>0</v>
      </c>
      <c r="AH96" s="60"/>
      <c r="AI96" s="17">
        <f>SUM(Table3[[#This Row],[Inv1]:[Inv3]])</f>
        <v>24311.800000000003</v>
      </c>
      <c r="AJ96" s="17">
        <f>IF((Table3[[#This Row],[33 kV Outgoinng Export Reading]]-Z95)*1000&gt;0,(Table3[[#This Row],[33 kV Outgoinng Export Reading]]-Z95)*1000,0)</f>
        <v>24100.000000005821</v>
      </c>
      <c r="AK96" s="17">
        <f>IF((Table3[[#This Row],[33 kV Outgoinng Import Reading]]-AA95)*1000&gt;0,(Table3[[#This Row],[33 kV Outgoinng Import Reading]]-AA95)*1000,0)</f>
        <v>100.00000000002274</v>
      </c>
      <c r="AL96" s="6">
        <f>Table3[[#This Row],[Export  (kWh)]]-Table3[[#This Row],[Import (kWh)]]</f>
        <v>24000.000000005799</v>
      </c>
      <c r="AM96" s="77">
        <f t="shared" si="12"/>
        <v>12.733333333333334</v>
      </c>
    </row>
    <row r="97" spans="1:39" x14ac:dyDescent="0.3">
      <c r="A97" s="222">
        <f>YEAR(Table3[[#This Row],[Date]])+IF(MONTH(Table3[[#This Row],[Date]])&gt;=4,1,0)</f>
        <v>2026</v>
      </c>
      <c r="B97" s="60">
        <f>YEAR(Table3[[#This Row],[Date]])</f>
        <v>2025</v>
      </c>
      <c r="C97" s="60" t="s">
        <v>1082</v>
      </c>
      <c r="D97" s="60" t="s">
        <v>1082</v>
      </c>
      <c r="E97" s="6" t="str">
        <f>TEXT(Table3[[#This Row],[Date]],"mmm-yy")</f>
        <v>Jun-25</v>
      </c>
      <c r="F97" s="60">
        <f>DAY(EOMONTH(Table3[[#This Row],[Month Year]],0))</f>
        <v>30</v>
      </c>
      <c r="G97" s="63">
        <f t="shared" si="7"/>
        <v>45838</v>
      </c>
      <c r="H97" s="18">
        <f>'Modelling New'!$AR$1</f>
        <v>8.0208999999999993</v>
      </c>
      <c r="I97" s="120">
        <v>0.25</v>
      </c>
      <c r="J97" s="120">
        <v>0.77083333333333337</v>
      </c>
      <c r="K97" s="3">
        <v>2506</v>
      </c>
      <c r="L97" s="3">
        <v>2504.1999999999998</v>
      </c>
      <c r="M97" s="3">
        <v>0</v>
      </c>
      <c r="N97" s="3">
        <v>2599.5</v>
      </c>
      <c r="O97" s="3">
        <v>2401.1999999999998</v>
      </c>
      <c r="P97" s="3">
        <v>2386.1</v>
      </c>
      <c r="Q97" s="3">
        <v>2483.4</v>
      </c>
      <c r="R97" s="3">
        <v>0</v>
      </c>
      <c r="S97" s="3">
        <v>1982.1</v>
      </c>
      <c r="T97" s="3">
        <v>1897.6</v>
      </c>
      <c r="U97" s="3">
        <v>1889.6</v>
      </c>
      <c r="V97" s="3">
        <v>1879.2</v>
      </c>
      <c r="W97" s="96">
        <f>SUM(Table3[[#This Row],[Inv1_U1]:[Inv1_U4]])</f>
        <v>7609.7</v>
      </c>
      <c r="X97" s="97">
        <f>SUM(Table3[[#This Row],[Inv2_U1]:[Inv2_U4]])</f>
        <v>7270.6999999999989</v>
      </c>
      <c r="Y97" s="98">
        <f>SUM(Table3[[#This Row],[Inv3_U1]:[Inv3_U4]])</f>
        <v>7648.4999999999991</v>
      </c>
      <c r="Z97" s="64">
        <v>90344.9</v>
      </c>
      <c r="AA97" s="64">
        <v>405.4</v>
      </c>
      <c r="AB97" s="60"/>
      <c r="AC97" s="88">
        <v>3.25</v>
      </c>
      <c r="AD97" s="95">
        <v>0</v>
      </c>
      <c r="AE97" s="88">
        <v>32.46</v>
      </c>
      <c r="AF97" s="88">
        <v>0</v>
      </c>
      <c r="AG97" s="88">
        <v>0</v>
      </c>
      <c r="AH97" s="60"/>
      <c r="AI97" s="17">
        <f>SUM(Table3[[#This Row],[Inv1]:[Inv3]])</f>
        <v>22528.899999999998</v>
      </c>
      <c r="AJ97" s="17">
        <f>IF((Table3[[#This Row],[33 kV Outgoinng Export Reading]]-Z96)*1000&gt;0,(Table3[[#This Row],[33 kV Outgoinng Export Reading]]-Z96)*1000,0)</f>
        <v>22299.999999988358</v>
      </c>
      <c r="AK97" s="17">
        <f>IF((Table3[[#This Row],[33 kV Outgoinng Import Reading]]-AA96)*1000&gt;0,(Table3[[#This Row],[33 kV Outgoinng Import Reading]]-AA96)*1000,0)</f>
        <v>99.999999999965894</v>
      </c>
      <c r="AL97" s="6">
        <f>Table3[[#This Row],[Export  (kWh)]]-Table3[[#This Row],[Import (kWh)]]</f>
        <v>22199.999999988391</v>
      </c>
      <c r="AM97" s="77">
        <f t="shared" ref="AM97:AM102" si="13">IFERROR((J97-I97)*24,"")</f>
        <v>12.5</v>
      </c>
    </row>
    <row r="98" spans="1:39" x14ac:dyDescent="0.3">
      <c r="A98" s="222">
        <f>YEAR(Table3[[#This Row],[Date]])+IF(MONTH(Table3[[#This Row],[Date]])&gt;=4,1,0)</f>
        <v>2026</v>
      </c>
      <c r="B98" s="60">
        <f>YEAR(Table3[[#This Row],[Date]])</f>
        <v>2025</v>
      </c>
      <c r="C98" s="60" t="s">
        <v>1082</v>
      </c>
      <c r="D98" s="60" t="s">
        <v>1082</v>
      </c>
      <c r="E98" s="6" t="str">
        <f>TEXT(Table3[[#This Row],[Date]],"mmm-yy")</f>
        <v>Jul-25</v>
      </c>
      <c r="F98" s="60">
        <f>DAY(EOMONTH(Table3[[#This Row],[Month Year]],0))</f>
        <v>31</v>
      </c>
      <c r="G98" s="63">
        <f t="shared" si="7"/>
        <v>45839</v>
      </c>
      <c r="H98" s="18">
        <f>'Modelling New'!$AR$1</f>
        <v>8.0208999999999993</v>
      </c>
      <c r="I98" s="120">
        <v>0.25694444444444442</v>
      </c>
      <c r="J98" s="120">
        <v>0.7416666666666667</v>
      </c>
      <c r="K98" s="3">
        <v>2108.1</v>
      </c>
      <c r="L98" s="3">
        <v>1946.5</v>
      </c>
      <c r="M98" s="3">
        <v>0</v>
      </c>
      <c r="N98" s="3">
        <v>1946.7</v>
      </c>
      <c r="O98" s="3">
        <v>2038.8</v>
      </c>
      <c r="P98" s="3">
        <v>1861.9</v>
      </c>
      <c r="Q98" s="3">
        <v>1858</v>
      </c>
      <c r="R98" s="3">
        <v>0</v>
      </c>
      <c r="S98" s="3">
        <v>1457.2</v>
      </c>
      <c r="T98" s="3">
        <v>1631</v>
      </c>
      <c r="U98" s="3">
        <v>1456.3</v>
      </c>
      <c r="V98" s="3">
        <v>1453.2</v>
      </c>
      <c r="W98" s="96">
        <f>SUM(Table3[[#This Row],[Inv1_U1]:[Inv1_U4]])</f>
        <v>6001.3</v>
      </c>
      <c r="X98" s="97">
        <f>SUM(Table3[[#This Row],[Inv2_U1]:[Inv2_U4]])</f>
        <v>5758.7</v>
      </c>
      <c r="Y98" s="98">
        <f>SUM(Table3[[#This Row],[Inv3_U1]:[Inv3_U4]])</f>
        <v>5997.7</v>
      </c>
      <c r="Z98" s="64">
        <v>90362.5</v>
      </c>
      <c r="AA98" s="64">
        <v>405.5</v>
      </c>
      <c r="AB98" s="60"/>
      <c r="AC98" s="88">
        <v>2.5299999999999998</v>
      </c>
      <c r="AD98" s="95">
        <v>0</v>
      </c>
      <c r="AE98" s="88">
        <v>29.75</v>
      </c>
      <c r="AF98" s="88">
        <v>0</v>
      </c>
      <c r="AG98" s="88">
        <v>0</v>
      </c>
      <c r="AH98" s="60"/>
      <c r="AI98" s="17">
        <f>SUM(Table3[[#This Row],[Inv1]:[Inv3]])</f>
        <v>17757.7</v>
      </c>
      <c r="AJ98" s="17">
        <f>IF((Table3[[#This Row],[33 kV Outgoinng Export Reading]]-Z97)*1000&gt;0,(Table3[[#This Row],[33 kV Outgoinng Export Reading]]-Z97)*1000,0)</f>
        <v>17600.000000005821</v>
      </c>
      <c r="AK98" s="17">
        <f>IF((Table3[[#This Row],[33 kV Outgoinng Import Reading]]-AA97)*1000&gt;0,(Table3[[#This Row],[33 kV Outgoinng Import Reading]]-AA97)*1000,0)</f>
        <v>100.00000000002274</v>
      </c>
      <c r="AL98" s="6">
        <f>Table3[[#This Row],[Export  (kWh)]]-Table3[[#This Row],[Import (kWh)]]</f>
        <v>17500.000000005799</v>
      </c>
      <c r="AM98" s="77">
        <f t="shared" si="13"/>
        <v>11.633333333333335</v>
      </c>
    </row>
    <row r="99" spans="1:39" x14ac:dyDescent="0.3">
      <c r="A99" s="222">
        <f>YEAR(Table3[[#This Row],[Date]])+IF(MONTH(Table3[[#This Row],[Date]])&gt;=4,1,0)</f>
        <v>2026</v>
      </c>
      <c r="B99" s="60">
        <f>YEAR(Table3[[#This Row],[Date]])</f>
        <v>2025</v>
      </c>
      <c r="C99" s="60" t="s">
        <v>1082</v>
      </c>
      <c r="D99" s="60" t="s">
        <v>1082</v>
      </c>
      <c r="E99" s="6" t="str">
        <f>TEXT(Table3[[#This Row],[Date]],"mmm-yy")</f>
        <v>Jul-25</v>
      </c>
      <c r="F99" s="60">
        <f>DAY(EOMONTH(Table3[[#This Row],[Month Year]],0))</f>
        <v>31</v>
      </c>
      <c r="G99" s="63">
        <f t="shared" si="7"/>
        <v>45840</v>
      </c>
      <c r="H99" s="18">
        <f>'Modelling New'!$AR$1</f>
        <v>8.0208999999999993</v>
      </c>
      <c r="I99" s="120">
        <v>0.26597222222222222</v>
      </c>
      <c r="J99" s="120">
        <v>0.78333333333333333</v>
      </c>
      <c r="K99" s="3">
        <v>1177.2</v>
      </c>
      <c r="L99" s="3">
        <v>1330.4</v>
      </c>
      <c r="M99" s="3">
        <v>0</v>
      </c>
      <c r="N99" s="3">
        <v>1181.8</v>
      </c>
      <c r="O99" s="3">
        <v>1269.5999999999999</v>
      </c>
      <c r="P99" s="3">
        <v>1121.0999999999999</v>
      </c>
      <c r="Q99" s="3">
        <v>1114.2</v>
      </c>
      <c r="R99" s="3">
        <v>0</v>
      </c>
      <c r="S99" s="3">
        <v>883.9</v>
      </c>
      <c r="T99" s="3">
        <v>887.6</v>
      </c>
      <c r="U99" s="3">
        <v>1036</v>
      </c>
      <c r="V99" s="3">
        <v>878.7</v>
      </c>
      <c r="W99" s="96">
        <f>SUM(Table3[[#This Row],[Inv1_U1]:[Inv1_U4]])</f>
        <v>3689.4000000000005</v>
      </c>
      <c r="X99" s="97">
        <f>SUM(Table3[[#This Row],[Inv2_U1]:[Inv2_U4]])</f>
        <v>3504.8999999999996</v>
      </c>
      <c r="Y99" s="98">
        <f>SUM(Table3[[#This Row],[Inv3_U1]:[Inv3_U4]])</f>
        <v>3686.2</v>
      </c>
      <c r="Z99" s="64">
        <v>90373.25</v>
      </c>
      <c r="AA99" s="64">
        <v>405.6</v>
      </c>
      <c r="AB99" s="60"/>
      <c r="AC99" s="88">
        <v>1.5</v>
      </c>
      <c r="AD99" s="95">
        <v>0</v>
      </c>
      <c r="AE99" s="88">
        <v>27.01</v>
      </c>
      <c r="AF99" s="88">
        <v>0</v>
      </c>
      <c r="AG99" s="88">
        <v>0</v>
      </c>
      <c r="AH99" s="60"/>
      <c r="AI99" s="17">
        <f>SUM(Table3[[#This Row],[Inv1]:[Inv3]])</f>
        <v>10880.5</v>
      </c>
      <c r="AJ99" s="17">
        <f>IF((Table3[[#This Row],[33 kV Outgoinng Export Reading]]-Z98)*1000&gt;0,(Table3[[#This Row],[33 kV Outgoinng Export Reading]]-Z98)*1000,0)</f>
        <v>10750</v>
      </c>
      <c r="AK99" s="17">
        <f>IF((Table3[[#This Row],[33 kV Outgoinng Import Reading]]-AA98)*1000&gt;0,(Table3[[#This Row],[33 kV Outgoinng Import Reading]]-AA98)*1000,0)</f>
        <v>100.00000000002274</v>
      </c>
      <c r="AL99" s="6">
        <f>Table3[[#This Row],[Export  (kWh)]]-Table3[[#This Row],[Import (kWh)]]</f>
        <v>10649.999999999978</v>
      </c>
      <c r="AM99" s="77">
        <f t="shared" si="13"/>
        <v>12.416666666666668</v>
      </c>
    </row>
    <row r="100" spans="1:39" x14ac:dyDescent="0.3">
      <c r="A100" s="222">
        <f>YEAR(Table3[[#This Row],[Date]])+IF(MONTH(Table3[[#This Row],[Date]])&gt;=4,1,0)</f>
        <v>2026</v>
      </c>
      <c r="B100" s="60">
        <f>YEAR(Table3[[#This Row],[Date]])</f>
        <v>2025</v>
      </c>
      <c r="C100" s="60" t="s">
        <v>1082</v>
      </c>
      <c r="D100" s="60" t="s">
        <v>1082</v>
      </c>
      <c r="E100" s="6" t="str">
        <f>TEXT(Table3[[#This Row],[Date]],"mmm-yy")</f>
        <v>Jul-25</v>
      </c>
      <c r="F100" s="60">
        <f>DAY(EOMONTH(Table3[[#This Row],[Month Year]],0))</f>
        <v>31</v>
      </c>
      <c r="G100" s="63">
        <f t="shared" si="7"/>
        <v>45841</v>
      </c>
      <c r="H100" s="18">
        <f>'Modelling New'!$AR$1</f>
        <v>8.0208999999999993</v>
      </c>
      <c r="I100" s="120">
        <v>0.26944444444444443</v>
      </c>
      <c r="J100" s="120">
        <v>0.77500000000000002</v>
      </c>
      <c r="K100" s="3">
        <v>2001.6</v>
      </c>
      <c r="L100" s="3">
        <v>2001</v>
      </c>
      <c r="M100" s="3">
        <v>0</v>
      </c>
      <c r="N100" s="3">
        <v>2097.6</v>
      </c>
      <c r="O100" s="3">
        <v>1939.7</v>
      </c>
      <c r="P100" s="3">
        <v>2010.4</v>
      </c>
      <c r="Q100" s="3">
        <v>1926</v>
      </c>
      <c r="R100" s="3">
        <v>0</v>
      </c>
      <c r="S100" s="3">
        <v>1501</v>
      </c>
      <c r="T100" s="3">
        <v>1507.1</v>
      </c>
      <c r="U100" s="3">
        <v>1500.4</v>
      </c>
      <c r="V100" s="3">
        <v>1586.3</v>
      </c>
      <c r="W100" s="96">
        <f>SUM(Table3[[#This Row],[Inv1_U1]:[Inv1_U4]])</f>
        <v>6100.2</v>
      </c>
      <c r="X100" s="97">
        <f>SUM(Table3[[#This Row],[Inv2_U1]:[Inv2_U4]])</f>
        <v>5876.1</v>
      </c>
      <c r="Y100" s="98">
        <f>SUM(Table3[[#This Row],[Inv3_U1]:[Inv3_U4]])</f>
        <v>6094.8</v>
      </c>
      <c r="Z100" s="64">
        <v>90391.15</v>
      </c>
      <c r="AA100" s="64">
        <v>405.7</v>
      </c>
      <c r="AB100" s="60"/>
      <c r="AC100" s="88">
        <v>2.68</v>
      </c>
      <c r="AD100" s="95">
        <v>0</v>
      </c>
      <c r="AE100" s="88">
        <v>31.01</v>
      </c>
      <c r="AF100" s="88">
        <v>0</v>
      </c>
      <c r="AG100" s="88">
        <v>0</v>
      </c>
      <c r="AH100" s="60"/>
      <c r="AI100" s="17">
        <f>SUM(Table3[[#This Row],[Inv1]:[Inv3]])</f>
        <v>18071.099999999999</v>
      </c>
      <c r="AJ100" s="17">
        <f>IF((Table3[[#This Row],[33 kV Outgoinng Export Reading]]-Z99)*1000&gt;0,(Table3[[#This Row],[33 kV Outgoinng Export Reading]]-Z99)*1000,0)</f>
        <v>17899.999999994179</v>
      </c>
      <c r="AK100" s="17">
        <f>IF((Table3[[#This Row],[33 kV Outgoinng Import Reading]]-AA99)*1000&gt;0,(Table3[[#This Row],[33 kV Outgoinng Import Reading]]-AA99)*1000,0)</f>
        <v>99.999999999965894</v>
      </c>
      <c r="AL100" s="6">
        <f>Table3[[#This Row],[Export  (kWh)]]-Table3[[#This Row],[Import (kWh)]]</f>
        <v>17799.999999994212</v>
      </c>
      <c r="AM100" s="77">
        <f t="shared" si="13"/>
        <v>12.133333333333333</v>
      </c>
    </row>
    <row r="101" spans="1:39" x14ac:dyDescent="0.3">
      <c r="A101" s="222">
        <f>YEAR(Table3[[#This Row],[Date]])+IF(MONTH(Table3[[#This Row],[Date]])&gt;=4,1,0)</f>
        <v>2026</v>
      </c>
      <c r="B101" s="60">
        <f>YEAR(Table3[[#This Row],[Date]])</f>
        <v>2025</v>
      </c>
      <c r="C101" s="60" t="s">
        <v>1082</v>
      </c>
      <c r="D101" s="60" t="s">
        <v>1082</v>
      </c>
      <c r="E101" s="6" t="str">
        <f>TEXT(Table3[[#This Row],[Date]],"mmm-yy")</f>
        <v>Jul-25</v>
      </c>
      <c r="F101" s="60">
        <f>DAY(EOMONTH(Table3[[#This Row],[Month Year]],0))</f>
        <v>31</v>
      </c>
      <c r="G101" s="63">
        <f t="shared" si="7"/>
        <v>45842</v>
      </c>
      <c r="H101" s="18">
        <f>'Modelling New'!$AR$1</f>
        <v>8.0208999999999993</v>
      </c>
      <c r="I101" s="120">
        <v>0.26041666666666669</v>
      </c>
      <c r="J101" s="120">
        <v>0.77777777777777779</v>
      </c>
      <c r="K101" s="3">
        <v>3458.5</v>
      </c>
      <c r="L101" s="3">
        <v>3456.2</v>
      </c>
      <c r="M101" s="3">
        <v>0</v>
      </c>
      <c r="N101" s="3">
        <v>3494.1</v>
      </c>
      <c r="O101" s="3">
        <v>3357.4</v>
      </c>
      <c r="P101" s="3">
        <v>3336</v>
      </c>
      <c r="Q101" s="3">
        <v>3377.6</v>
      </c>
      <c r="R101" s="3">
        <v>0</v>
      </c>
      <c r="S101" s="3">
        <v>2743.2</v>
      </c>
      <c r="T101" s="3">
        <v>2718.9</v>
      </c>
      <c r="U101" s="3">
        <v>2706.9</v>
      </c>
      <c r="V101" s="3">
        <v>2689</v>
      </c>
      <c r="W101" s="96">
        <f>SUM(Table3[[#This Row],[Inv1_U1]:[Inv1_U4]])</f>
        <v>10408.799999999999</v>
      </c>
      <c r="X101" s="97">
        <f>SUM(Table3[[#This Row],[Inv2_U1]:[Inv2_U4]])</f>
        <v>10071</v>
      </c>
      <c r="Y101" s="98">
        <f>SUM(Table3[[#This Row],[Inv3_U1]:[Inv3_U4]])</f>
        <v>10858</v>
      </c>
      <c r="Z101" s="64">
        <v>90422.2</v>
      </c>
      <c r="AA101" s="64">
        <v>405.8</v>
      </c>
      <c r="AB101" s="60"/>
      <c r="AC101" s="88">
        <v>4.76</v>
      </c>
      <c r="AD101" s="95">
        <v>0</v>
      </c>
      <c r="AE101" s="88">
        <v>35.32</v>
      </c>
      <c r="AF101" s="88">
        <v>0</v>
      </c>
      <c r="AG101" s="88">
        <v>0</v>
      </c>
      <c r="AH101" s="60"/>
      <c r="AI101" s="17">
        <f>SUM(Table3[[#This Row],[Inv1]:[Inv3]])</f>
        <v>31337.8</v>
      </c>
      <c r="AJ101" s="17">
        <f>IF((Table3[[#This Row],[33 kV Outgoinng Export Reading]]-Z100)*1000&gt;0,(Table3[[#This Row],[33 kV Outgoinng Export Reading]]-Z100)*1000,0)</f>
        <v>31050.00000000291</v>
      </c>
      <c r="AK101" s="17">
        <f>IF((Table3[[#This Row],[33 kV Outgoinng Import Reading]]-AA100)*1000&gt;0,(Table3[[#This Row],[33 kV Outgoinng Import Reading]]-AA100)*1000,0)</f>
        <v>100.00000000002274</v>
      </c>
      <c r="AL101" s="6">
        <f>Table3[[#This Row],[Export  (kWh)]]-Table3[[#This Row],[Import (kWh)]]</f>
        <v>30950.000000002889</v>
      </c>
      <c r="AM101" s="77">
        <f t="shared" si="13"/>
        <v>12.416666666666668</v>
      </c>
    </row>
    <row r="102" spans="1:39" x14ac:dyDescent="0.3">
      <c r="A102" s="222">
        <f>YEAR(Table3[[#This Row],[Date]])+IF(MONTH(Table3[[#This Row],[Date]])&gt;=4,1,0)</f>
        <v>2026</v>
      </c>
      <c r="B102" s="60">
        <f>YEAR(Table3[[#This Row],[Date]])</f>
        <v>2025</v>
      </c>
      <c r="C102" s="60" t="s">
        <v>1082</v>
      </c>
      <c r="D102" s="60" t="s">
        <v>1082</v>
      </c>
      <c r="E102" s="6" t="str">
        <f>TEXT(Table3[[#This Row],[Date]],"mmm-yy")</f>
        <v>Jul-25</v>
      </c>
      <c r="F102" s="60">
        <f>DAY(EOMONTH(Table3[[#This Row],[Month Year]],0))</f>
        <v>31</v>
      </c>
      <c r="G102" s="63">
        <f t="shared" si="7"/>
        <v>45843</v>
      </c>
      <c r="H102" s="18">
        <f>'Modelling New'!$AR$1</f>
        <v>8.0208999999999993</v>
      </c>
      <c r="I102" s="120">
        <v>0.24861111111111112</v>
      </c>
      <c r="J102" s="120">
        <v>0.77916666666666667</v>
      </c>
      <c r="K102" s="3">
        <v>3348.2</v>
      </c>
      <c r="L102" s="3">
        <v>3290.7</v>
      </c>
      <c r="M102" s="3">
        <v>0</v>
      </c>
      <c r="N102" s="3">
        <v>3295.5</v>
      </c>
      <c r="O102" s="3">
        <v>3237.8</v>
      </c>
      <c r="P102" s="3">
        <v>3158.8</v>
      </c>
      <c r="Q102" s="3">
        <v>3160.1</v>
      </c>
      <c r="R102" s="3">
        <v>0</v>
      </c>
      <c r="S102" s="3">
        <v>2544.3000000000002</v>
      </c>
      <c r="T102" s="3">
        <v>2607.6</v>
      </c>
      <c r="U102" s="3">
        <v>2543.1</v>
      </c>
      <c r="V102" s="3">
        <v>2528.1</v>
      </c>
      <c r="W102" s="96">
        <f>SUM(Table3[[#This Row],[Inv1_U1]:[Inv1_U4]])</f>
        <v>9934.4</v>
      </c>
      <c r="X102" s="97">
        <f>SUM(Table3[[#This Row],[Inv2_U1]:[Inv2_U4]])</f>
        <v>9556.7000000000007</v>
      </c>
      <c r="Y102" s="98">
        <f>SUM(Table3[[#This Row],[Inv3_U1]:[Inv3_U4]])</f>
        <v>10223.1</v>
      </c>
      <c r="Z102" s="64">
        <v>90451.65</v>
      </c>
      <c r="AA102" s="64">
        <v>405.9</v>
      </c>
      <c r="AB102" s="60"/>
      <c r="AC102" s="88">
        <v>4.5999999999999996</v>
      </c>
      <c r="AD102" s="95">
        <v>0</v>
      </c>
      <c r="AE102" s="88">
        <v>33.96</v>
      </c>
      <c r="AF102" s="88">
        <v>0</v>
      </c>
      <c r="AG102" s="88">
        <v>0</v>
      </c>
      <c r="AH102" s="60"/>
      <c r="AI102" s="17">
        <f>SUM(Table3[[#This Row],[Inv1]:[Inv3]])</f>
        <v>29714.199999999997</v>
      </c>
      <c r="AJ102" s="17">
        <f>IF((Table3[[#This Row],[33 kV Outgoinng Export Reading]]-Z101)*1000&gt;0,(Table3[[#This Row],[33 kV Outgoinng Export Reading]]-Z101)*1000,0)</f>
        <v>29449.99999999709</v>
      </c>
      <c r="AK102" s="17">
        <f>IF((Table3[[#This Row],[33 kV Outgoinng Import Reading]]-AA101)*1000&gt;0,(Table3[[#This Row],[33 kV Outgoinng Import Reading]]-AA101)*1000,0)</f>
        <v>99.999999999965894</v>
      </c>
      <c r="AL102" s="6">
        <f>Table3[[#This Row],[Export  (kWh)]]-Table3[[#This Row],[Import (kWh)]]</f>
        <v>29349.999999997122</v>
      </c>
      <c r="AM102" s="77">
        <f t="shared" si="13"/>
        <v>12.733333333333334</v>
      </c>
    </row>
    <row r="103" spans="1:39" x14ac:dyDescent="0.3">
      <c r="A103" s="222">
        <f>YEAR(Table3[[#This Row],[Date]])+IF(MONTH(Table3[[#This Row],[Date]])&gt;=4,1,0)</f>
        <v>2026</v>
      </c>
      <c r="B103" s="60">
        <f>YEAR(Table3[[#This Row],[Date]])</f>
        <v>2025</v>
      </c>
      <c r="C103" s="60" t="s">
        <v>1082</v>
      </c>
      <c r="D103" s="60" t="s">
        <v>1082</v>
      </c>
      <c r="E103" s="6" t="str">
        <f>TEXT(Table3[[#This Row],[Date]],"mmm-yy")</f>
        <v>Jul-25</v>
      </c>
      <c r="F103" s="60">
        <f>DAY(EOMONTH(Table3[[#This Row],[Month Year]],0))</f>
        <v>31</v>
      </c>
      <c r="G103" s="63">
        <f t="shared" si="7"/>
        <v>45844</v>
      </c>
      <c r="H103" s="18">
        <f>'Modelling New'!$AR$1</f>
        <v>8.0208999999999993</v>
      </c>
      <c r="I103" s="120">
        <v>0.25486111111111109</v>
      </c>
      <c r="J103" s="120">
        <v>0.78055555555555556</v>
      </c>
      <c r="K103" s="3">
        <v>3608</v>
      </c>
      <c r="L103" s="3">
        <v>3605.5</v>
      </c>
      <c r="M103" s="3">
        <v>0</v>
      </c>
      <c r="N103" s="3">
        <v>3662.7</v>
      </c>
      <c r="O103" s="3">
        <v>3484.4</v>
      </c>
      <c r="P103" s="3">
        <v>3462.9</v>
      </c>
      <c r="Q103" s="3">
        <v>3520.2</v>
      </c>
      <c r="R103" s="3">
        <v>0</v>
      </c>
      <c r="S103" s="3">
        <v>2763.1</v>
      </c>
      <c r="T103" s="3">
        <v>2773.5</v>
      </c>
      <c r="U103" s="3">
        <v>2763.8</v>
      </c>
      <c r="V103" s="3">
        <v>2796.6</v>
      </c>
      <c r="W103" s="96">
        <f>SUM(Table3[[#This Row],[Inv1_U1]:[Inv1_U4]])</f>
        <v>10876.2</v>
      </c>
      <c r="X103" s="97">
        <f>SUM(Table3[[#This Row],[Inv2_U1]:[Inv2_U4]])</f>
        <v>10467.5</v>
      </c>
      <c r="Y103" s="98">
        <f>SUM(Table3[[#This Row],[Inv3_U1]:[Inv3_U4]])</f>
        <v>11097.000000000002</v>
      </c>
      <c r="Z103" s="64">
        <v>90483.8</v>
      </c>
      <c r="AA103" s="64">
        <v>406</v>
      </c>
      <c r="AB103" s="60"/>
      <c r="AC103" s="88">
        <v>5.21</v>
      </c>
      <c r="AD103" s="95">
        <v>0</v>
      </c>
      <c r="AE103" s="88">
        <v>35.729999999999997</v>
      </c>
      <c r="AF103" s="88">
        <v>0</v>
      </c>
      <c r="AG103" s="88">
        <v>0</v>
      </c>
      <c r="AH103" s="60"/>
      <c r="AI103" s="17">
        <f>SUM(Table3[[#This Row],[Inv1]:[Inv3]])</f>
        <v>32440.700000000004</v>
      </c>
      <c r="AJ103" s="17">
        <f>IF((Table3[[#This Row],[33 kV Outgoinng Export Reading]]-Z102)*1000&gt;0,(Table3[[#This Row],[33 kV Outgoinng Export Reading]]-Z102)*1000,0)</f>
        <v>32150.000000008731</v>
      </c>
      <c r="AK103" s="17">
        <f>IF((Table3[[#This Row],[33 kV Outgoinng Import Reading]]-AA102)*1000&gt;0,(Table3[[#This Row],[33 kV Outgoinng Import Reading]]-AA102)*1000,0)</f>
        <v>100.00000000002274</v>
      </c>
      <c r="AL103" s="6">
        <f>Table3[[#This Row],[Export  (kWh)]]-Table3[[#This Row],[Import (kWh)]]</f>
        <v>32050.000000008709</v>
      </c>
      <c r="AM103" s="77">
        <f t="shared" ref="AM103:AM108" si="14">IFERROR((J103-I103)*24,"")</f>
        <v>12.616666666666667</v>
      </c>
    </row>
    <row r="104" spans="1:39" x14ac:dyDescent="0.3">
      <c r="A104" s="222">
        <f>YEAR(Table3[[#This Row],[Date]])+IF(MONTH(Table3[[#This Row],[Date]])&gt;=4,1,0)</f>
        <v>2026</v>
      </c>
      <c r="B104" s="60">
        <f>YEAR(Table3[[#This Row],[Date]])</f>
        <v>2025</v>
      </c>
      <c r="C104" s="60" t="s">
        <v>1082</v>
      </c>
      <c r="D104" s="60" t="s">
        <v>1082</v>
      </c>
      <c r="E104" s="6" t="str">
        <f>TEXT(Table3[[#This Row],[Date]],"mmm-yy")</f>
        <v>Jul-25</v>
      </c>
      <c r="F104" s="60">
        <f>DAY(EOMONTH(Table3[[#This Row],[Month Year]],0))</f>
        <v>31</v>
      </c>
      <c r="G104" s="63">
        <f t="shared" si="7"/>
        <v>45845</v>
      </c>
      <c r="H104" s="18">
        <f>'Modelling New'!$AR$1</f>
        <v>8.0208999999999993</v>
      </c>
      <c r="I104" s="120">
        <v>0.2673611111111111</v>
      </c>
      <c r="J104" s="120">
        <v>0.7729166666666667</v>
      </c>
      <c r="K104" s="3">
        <v>1829.8</v>
      </c>
      <c r="L104" s="3">
        <v>1697.7</v>
      </c>
      <c r="M104" s="3">
        <v>0</v>
      </c>
      <c r="N104" s="3">
        <v>1702.6</v>
      </c>
      <c r="O104" s="3">
        <v>1760.2</v>
      </c>
      <c r="P104" s="3">
        <v>1647.6</v>
      </c>
      <c r="Q104" s="3">
        <v>1622.9</v>
      </c>
      <c r="R104" s="3">
        <v>0</v>
      </c>
      <c r="S104" s="3">
        <v>1285.5</v>
      </c>
      <c r="T104" s="3">
        <v>1425</v>
      </c>
      <c r="U104" s="3">
        <v>1285.7</v>
      </c>
      <c r="V104" s="3">
        <v>1278.8</v>
      </c>
      <c r="W104" s="96">
        <f>SUM(Table3[[#This Row],[Inv1_U1]:[Inv1_U4]])</f>
        <v>5230.1000000000004</v>
      </c>
      <c r="X104" s="97">
        <f>SUM(Table3[[#This Row],[Inv2_U1]:[Inv2_U4]])</f>
        <v>5030.7000000000007</v>
      </c>
      <c r="Y104" s="98">
        <f>SUM(Table3[[#This Row],[Inv3_U1]:[Inv3_U4]])</f>
        <v>5275</v>
      </c>
      <c r="Z104" s="64">
        <v>90499.199999999997</v>
      </c>
      <c r="AA104" s="64">
        <v>406.1</v>
      </c>
      <c r="AB104" s="60"/>
      <c r="AC104" s="88">
        <v>2.27</v>
      </c>
      <c r="AD104" s="95">
        <v>0</v>
      </c>
      <c r="AE104" s="88">
        <v>30.36</v>
      </c>
      <c r="AF104" s="88">
        <v>0</v>
      </c>
      <c r="AG104" s="88">
        <v>0</v>
      </c>
      <c r="AH104" s="60"/>
      <c r="AI104" s="17">
        <f>SUM(Table3[[#This Row],[Inv1]:[Inv3]])</f>
        <v>15535.800000000001</v>
      </c>
      <c r="AJ104" s="17">
        <f>IF((Table3[[#This Row],[33 kV Outgoinng Export Reading]]-Z103)*1000&gt;0,(Table3[[#This Row],[33 kV Outgoinng Export Reading]]-Z103)*1000,0)</f>
        <v>15399.999999994179</v>
      </c>
      <c r="AK104" s="17">
        <f>IF((Table3[[#This Row],[33 kV Outgoinng Import Reading]]-AA103)*1000&gt;0,(Table3[[#This Row],[33 kV Outgoinng Import Reading]]-AA103)*1000,0)</f>
        <v>100.00000000002274</v>
      </c>
      <c r="AL104" s="6">
        <f>Table3[[#This Row],[Export  (kWh)]]-Table3[[#This Row],[Import (kWh)]]</f>
        <v>15299.999999994157</v>
      </c>
      <c r="AM104" s="77">
        <f t="shared" si="14"/>
        <v>12.133333333333333</v>
      </c>
    </row>
    <row r="105" spans="1:39" x14ac:dyDescent="0.3">
      <c r="A105" s="222">
        <f>YEAR(Table3[[#This Row],[Date]])+IF(MONTH(Table3[[#This Row],[Date]])&gt;=4,1,0)</f>
        <v>2026</v>
      </c>
      <c r="B105" s="60">
        <f>YEAR(Table3[[#This Row],[Date]])</f>
        <v>2025</v>
      </c>
      <c r="C105" s="60" t="s">
        <v>1082</v>
      </c>
      <c r="D105" s="60" t="s">
        <v>1082</v>
      </c>
      <c r="E105" s="6" t="str">
        <f>TEXT(Table3[[#This Row],[Date]],"mmm-yy")</f>
        <v>Jul-25</v>
      </c>
      <c r="F105" s="60">
        <f>DAY(EOMONTH(Table3[[#This Row],[Month Year]],0))</f>
        <v>31</v>
      </c>
      <c r="G105" s="63">
        <f t="shared" si="7"/>
        <v>45846</v>
      </c>
      <c r="H105" s="18">
        <f>'Modelling New'!$AR$1</f>
        <v>8.0208999999999993</v>
      </c>
      <c r="I105" s="120">
        <v>0.25486111111111109</v>
      </c>
      <c r="J105" s="120">
        <v>0.74652777777777779</v>
      </c>
      <c r="K105" s="3">
        <v>2535</v>
      </c>
      <c r="L105" s="3">
        <v>2533.9</v>
      </c>
      <c r="M105" s="3">
        <v>0</v>
      </c>
      <c r="N105" s="3">
        <v>2650.6</v>
      </c>
      <c r="O105" s="3">
        <v>2432.9</v>
      </c>
      <c r="P105" s="3">
        <v>2525.6</v>
      </c>
      <c r="Q105" s="3">
        <v>2447.5</v>
      </c>
      <c r="R105" s="3">
        <v>0</v>
      </c>
      <c r="S105" s="3">
        <v>1936.1</v>
      </c>
      <c r="T105" s="3">
        <v>1937.8</v>
      </c>
      <c r="U105" s="3">
        <v>1934.6</v>
      </c>
      <c r="V105" s="3">
        <v>2035.8</v>
      </c>
      <c r="W105" s="96">
        <f>SUM(Table3[[#This Row],[Inv1_U1]:[Inv1_U4]])</f>
        <v>7719.5</v>
      </c>
      <c r="X105" s="97">
        <f>SUM(Table3[[#This Row],[Inv2_U1]:[Inv2_U4]])</f>
        <v>7406</v>
      </c>
      <c r="Y105" s="98">
        <f>SUM(Table3[[#This Row],[Inv3_U1]:[Inv3_U4]])</f>
        <v>7844.3</v>
      </c>
      <c r="Z105" s="64">
        <v>90521.95</v>
      </c>
      <c r="AA105" s="64">
        <v>406.2</v>
      </c>
      <c r="AB105" s="60"/>
      <c r="AC105" s="88">
        <v>3.44</v>
      </c>
      <c r="AD105" s="95">
        <v>0</v>
      </c>
      <c r="AE105" s="88">
        <v>32.1</v>
      </c>
      <c r="AF105" s="88">
        <v>0</v>
      </c>
      <c r="AG105" s="88">
        <v>0</v>
      </c>
      <c r="AH105" s="60"/>
      <c r="AI105" s="17">
        <f>SUM(Table3[[#This Row],[Inv1]:[Inv3]])</f>
        <v>22969.8</v>
      </c>
      <c r="AJ105" s="17">
        <f>IF((Table3[[#This Row],[33 kV Outgoinng Export Reading]]-Z104)*1000&gt;0,(Table3[[#This Row],[33 kV Outgoinng Export Reading]]-Z104)*1000,0)</f>
        <v>22750</v>
      </c>
      <c r="AK105" s="17">
        <f>IF((Table3[[#This Row],[33 kV Outgoinng Import Reading]]-AA104)*1000&gt;0,(Table3[[#This Row],[33 kV Outgoinng Import Reading]]-AA104)*1000,0)</f>
        <v>99.999999999965894</v>
      </c>
      <c r="AL105" s="6">
        <f>Table3[[#This Row],[Export  (kWh)]]-Table3[[#This Row],[Import (kWh)]]</f>
        <v>22650.000000000033</v>
      </c>
      <c r="AM105" s="77">
        <f t="shared" si="14"/>
        <v>11.8</v>
      </c>
    </row>
    <row r="106" spans="1:39" x14ac:dyDescent="0.3">
      <c r="A106" s="222">
        <f>YEAR(Table3[[#This Row],[Date]])+IF(MONTH(Table3[[#This Row],[Date]])&gt;=4,1,0)</f>
        <v>2026</v>
      </c>
      <c r="B106" s="60">
        <f>YEAR(Table3[[#This Row],[Date]])</f>
        <v>2025</v>
      </c>
      <c r="C106" s="60" t="s">
        <v>1082</v>
      </c>
      <c r="D106" s="60" t="s">
        <v>1082</v>
      </c>
      <c r="E106" s="6" t="str">
        <f>TEXT(Table3[[#This Row],[Date]],"mmm-yy")</f>
        <v>Jul-25</v>
      </c>
      <c r="F106" s="60">
        <f>DAY(EOMONTH(Table3[[#This Row],[Month Year]],0))</f>
        <v>31</v>
      </c>
      <c r="G106" s="63">
        <f t="shared" si="7"/>
        <v>45847</v>
      </c>
      <c r="H106" s="18">
        <f>'Modelling New'!$AR$1</f>
        <v>8.0208999999999993</v>
      </c>
      <c r="I106" s="120">
        <v>0.25694444444444442</v>
      </c>
      <c r="J106" s="120">
        <v>0.77500000000000002</v>
      </c>
      <c r="K106" s="3">
        <v>2748.6</v>
      </c>
      <c r="L106" s="3">
        <v>2747.2</v>
      </c>
      <c r="M106" s="3">
        <v>0</v>
      </c>
      <c r="N106" s="3">
        <v>2823.6</v>
      </c>
      <c r="O106" s="3">
        <v>2638.3</v>
      </c>
      <c r="P106" s="3">
        <v>2621.4</v>
      </c>
      <c r="Q106" s="3">
        <v>2708.6</v>
      </c>
      <c r="R106" s="3">
        <v>0</v>
      </c>
      <c r="S106" s="3">
        <v>2195.4</v>
      </c>
      <c r="T106" s="3">
        <v>2129.6</v>
      </c>
      <c r="U106" s="3">
        <v>2120.1</v>
      </c>
      <c r="V106" s="3">
        <v>2106.5</v>
      </c>
      <c r="W106" s="96">
        <f>SUM(Table3[[#This Row],[Inv1_U1]:[Inv1_U4]])</f>
        <v>8319.4</v>
      </c>
      <c r="X106" s="97">
        <f>SUM(Table3[[#This Row],[Inv2_U1]:[Inv2_U4]])</f>
        <v>7968.3000000000011</v>
      </c>
      <c r="Y106" s="98">
        <f>SUM(Table3[[#This Row],[Inv3_U1]:[Inv3_U4]])</f>
        <v>8551.6</v>
      </c>
      <c r="Z106" s="64">
        <v>90546.55</v>
      </c>
      <c r="AA106" s="64">
        <v>406.3</v>
      </c>
      <c r="AB106" s="60"/>
      <c r="AC106" s="88">
        <v>3.83</v>
      </c>
      <c r="AD106" s="95">
        <v>0</v>
      </c>
      <c r="AE106" s="88">
        <v>33</v>
      </c>
      <c r="AF106" s="88">
        <v>0</v>
      </c>
      <c r="AG106" s="88">
        <v>0</v>
      </c>
      <c r="AH106" s="60"/>
      <c r="AI106" s="17">
        <f>SUM(Table3[[#This Row],[Inv1]:[Inv3]])</f>
        <v>24839.300000000003</v>
      </c>
      <c r="AJ106" s="17">
        <f>IF((Table3[[#This Row],[33 kV Outgoinng Export Reading]]-Z105)*1000&gt;0,(Table3[[#This Row],[33 kV Outgoinng Export Reading]]-Z105)*1000,0)</f>
        <v>24600.000000005821</v>
      </c>
      <c r="AK106" s="17">
        <f>IF((Table3[[#This Row],[33 kV Outgoinng Import Reading]]-AA105)*1000&gt;0,(Table3[[#This Row],[33 kV Outgoinng Import Reading]]-AA105)*1000,0)</f>
        <v>100.00000000002274</v>
      </c>
      <c r="AL106" s="6">
        <f>Table3[[#This Row],[Export  (kWh)]]-Table3[[#This Row],[Import (kWh)]]</f>
        <v>24500.000000005799</v>
      </c>
      <c r="AM106" s="77">
        <f t="shared" si="14"/>
        <v>12.433333333333334</v>
      </c>
    </row>
    <row r="107" spans="1:39" x14ac:dyDescent="0.3">
      <c r="A107" s="222">
        <f>YEAR(Table3[[#This Row],[Date]])+IF(MONTH(Table3[[#This Row],[Date]])&gt;=4,1,0)</f>
        <v>2026</v>
      </c>
      <c r="B107" s="60">
        <f>YEAR(Table3[[#This Row],[Date]])</f>
        <v>2025</v>
      </c>
      <c r="C107" s="60" t="s">
        <v>1082</v>
      </c>
      <c r="D107" s="60" t="s">
        <v>1082</v>
      </c>
      <c r="E107" s="6" t="str">
        <f>TEXT(Table3[[#This Row],[Date]],"mmm-yy")</f>
        <v>Jul-25</v>
      </c>
      <c r="F107" s="60">
        <f>DAY(EOMONTH(Table3[[#This Row],[Month Year]],0))</f>
        <v>31</v>
      </c>
      <c r="G107" s="63">
        <f t="shared" si="7"/>
        <v>45848</v>
      </c>
      <c r="H107" s="18">
        <f>'Modelling New'!$AR$1</f>
        <v>8.0208999999999993</v>
      </c>
      <c r="I107" s="120">
        <v>0.25555555555555554</v>
      </c>
      <c r="J107" s="120">
        <v>0.77638888888888891</v>
      </c>
      <c r="K107" s="3">
        <v>3671.8</v>
      </c>
      <c r="L107" s="3">
        <v>3755.5</v>
      </c>
      <c r="M107" s="3">
        <v>0</v>
      </c>
      <c r="N107" s="3">
        <v>3673.6</v>
      </c>
      <c r="O107" s="3">
        <v>3548</v>
      </c>
      <c r="P107" s="3">
        <v>3613.7</v>
      </c>
      <c r="Q107" s="3">
        <v>3525.6</v>
      </c>
      <c r="R107" s="3">
        <v>0</v>
      </c>
      <c r="S107" s="3">
        <v>2808.5</v>
      </c>
      <c r="T107" s="3">
        <v>2907.6</v>
      </c>
      <c r="U107" s="3">
        <v>2807.2</v>
      </c>
      <c r="V107" s="3">
        <v>2790.5</v>
      </c>
      <c r="W107" s="96">
        <f>SUM(Table3[[#This Row],[Inv1_U1]:[Inv1_U4]])</f>
        <v>11100.9</v>
      </c>
      <c r="X107" s="97">
        <f>SUM(Table3[[#This Row],[Inv2_U1]:[Inv2_U4]])</f>
        <v>10687.3</v>
      </c>
      <c r="Y107" s="98">
        <f>SUM(Table3[[#This Row],[Inv3_U1]:[Inv3_U4]])</f>
        <v>11313.8</v>
      </c>
      <c r="Z107" s="64">
        <v>90579.35</v>
      </c>
      <c r="AA107" s="64">
        <v>406.4</v>
      </c>
      <c r="AB107" s="60"/>
      <c r="AC107" s="88">
        <v>5.12</v>
      </c>
      <c r="AD107" s="95">
        <v>0</v>
      </c>
      <c r="AE107" s="88">
        <v>36.53</v>
      </c>
      <c r="AF107" s="88">
        <v>0</v>
      </c>
      <c r="AG107" s="88">
        <v>0</v>
      </c>
      <c r="AH107" s="60"/>
      <c r="AI107" s="17">
        <f>SUM(Table3[[#This Row],[Inv1]:[Inv3]])</f>
        <v>33102</v>
      </c>
      <c r="AJ107" s="17">
        <f>IF((Table3[[#This Row],[33 kV Outgoinng Export Reading]]-Z106)*1000&gt;0,(Table3[[#This Row],[33 kV Outgoinng Export Reading]]-Z106)*1000,0)</f>
        <v>32800.00000000291</v>
      </c>
      <c r="AK107" s="17">
        <f>IF((Table3[[#This Row],[33 kV Outgoinng Import Reading]]-AA106)*1000&gt;0,(Table3[[#This Row],[33 kV Outgoinng Import Reading]]-AA106)*1000,0)</f>
        <v>99.999999999965894</v>
      </c>
      <c r="AL107" s="6">
        <f>Table3[[#This Row],[Export  (kWh)]]-Table3[[#This Row],[Import (kWh)]]</f>
        <v>32700.000000002943</v>
      </c>
      <c r="AM107" s="77">
        <f t="shared" si="14"/>
        <v>12.5</v>
      </c>
    </row>
    <row r="108" spans="1:39" x14ac:dyDescent="0.3">
      <c r="A108" s="222">
        <f>YEAR(Table3[[#This Row],[Date]])+IF(MONTH(Table3[[#This Row],[Date]])&gt;=4,1,0)</f>
        <v>2026</v>
      </c>
      <c r="B108" s="60">
        <f>YEAR(Table3[[#This Row],[Date]])</f>
        <v>2025</v>
      </c>
      <c r="C108" s="60" t="s">
        <v>1082</v>
      </c>
      <c r="D108" s="60" t="s">
        <v>1082</v>
      </c>
      <c r="E108" s="6" t="str">
        <f>TEXT(Table3[[#This Row],[Date]],"mmm-yy")</f>
        <v>Jul-25</v>
      </c>
      <c r="F108" s="60">
        <f>DAY(EOMONTH(Table3[[#This Row],[Month Year]],0))</f>
        <v>31</v>
      </c>
      <c r="G108" s="63">
        <f t="shared" si="7"/>
        <v>45849</v>
      </c>
      <c r="H108" s="18">
        <f>'Modelling New'!$AR$1</f>
        <v>8.0208999999999993</v>
      </c>
      <c r="I108" s="120">
        <v>0.25208333333333333</v>
      </c>
      <c r="J108" s="120">
        <v>0.77708333333333335</v>
      </c>
      <c r="K108" s="3">
        <v>3723.6</v>
      </c>
      <c r="L108" s="3">
        <v>3723</v>
      </c>
      <c r="M108" s="3">
        <v>0</v>
      </c>
      <c r="N108" s="3">
        <v>3797.7</v>
      </c>
      <c r="O108" s="3">
        <v>3572.6</v>
      </c>
      <c r="P108" s="3">
        <v>3547.4</v>
      </c>
      <c r="Q108" s="3">
        <v>3651.4</v>
      </c>
      <c r="R108" s="3">
        <v>0</v>
      </c>
      <c r="S108" s="3">
        <v>2880.7</v>
      </c>
      <c r="T108" s="3">
        <v>2887.7</v>
      </c>
      <c r="U108" s="3">
        <v>2878.3</v>
      </c>
      <c r="V108" s="3">
        <v>2929.3</v>
      </c>
      <c r="W108" s="96">
        <f>SUM(Table3[[#This Row],[Inv1_U1]:[Inv1_U4]])</f>
        <v>11244.3</v>
      </c>
      <c r="X108" s="97">
        <f>SUM(Table3[[#This Row],[Inv2_U1]:[Inv2_U4]])</f>
        <v>10771.4</v>
      </c>
      <c r="Y108" s="98">
        <f>SUM(Table3[[#This Row],[Inv3_U1]:[Inv3_U4]])</f>
        <v>11576</v>
      </c>
      <c r="Z108" s="64">
        <v>90612.65</v>
      </c>
      <c r="AA108" s="64">
        <v>406.5</v>
      </c>
      <c r="AB108" s="60"/>
      <c r="AC108" s="88">
        <v>5.42</v>
      </c>
      <c r="AD108" s="95">
        <v>0</v>
      </c>
      <c r="AE108" s="88">
        <v>36.53</v>
      </c>
      <c r="AF108" s="88">
        <v>0</v>
      </c>
      <c r="AG108" s="88">
        <v>0</v>
      </c>
      <c r="AH108" s="60"/>
      <c r="AI108" s="17">
        <f>SUM(Table3[[#This Row],[Inv1]:[Inv3]])</f>
        <v>33591.699999999997</v>
      </c>
      <c r="AJ108" s="17">
        <f>IF((Table3[[#This Row],[33 kV Outgoinng Export Reading]]-Z107)*1000&gt;0,(Table3[[#This Row],[33 kV Outgoinng Export Reading]]-Z107)*1000,0)</f>
        <v>33299.999999988358</v>
      </c>
      <c r="AK108" s="17">
        <f>IF((Table3[[#This Row],[33 kV Outgoinng Import Reading]]-AA107)*1000&gt;0,(Table3[[#This Row],[33 kV Outgoinng Import Reading]]-AA107)*1000,0)</f>
        <v>100.00000000002274</v>
      </c>
      <c r="AL108" s="6">
        <f>Table3[[#This Row],[Export  (kWh)]]-Table3[[#This Row],[Import (kWh)]]</f>
        <v>33199.999999988337</v>
      </c>
      <c r="AM108" s="77">
        <f t="shared" si="14"/>
        <v>12.600000000000001</v>
      </c>
    </row>
    <row r="109" spans="1:39" x14ac:dyDescent="0.3">
      <c r="A109" s="222">
        <f>YEAR(Table3[[#This Row],[Date]])+IF(MONTH(Table3[[#This Row],[Date]])&gt;=4,1,0)</f>
        <v>2026</v>
      </c>
      <c r="B109" s="60">
        <f>YEAR(Table3[[#This Row],[Date]])</f>
        <v>2025</v>
      </c>
      <c r="C109" s="60" t="s">
        <v>1082</v>
      </c>
      <c r="D109" s="60" t="s">
        <v>1082</v>
      </c>
      <c r="E109" s="6" t="str">
        <f>TEXT(Table3[[#This Row],[Date]],"mmm-yy")</f>
        <v>Jul-25</v>
      </c>
      <c r="F109" s="60">
        <f>DAY(EOMONTH(Table3[[#This Row],[Month Year]],0))</f>
        <v>31</v>
      </c>
      <c r="G109" s="63">
        <f t="shared" si="7"/>
        <v>45850</v>
      </c>
      <c r="H109" s="18">
        <f>'Modelling New'!$AR$1</f>
        <v>8.0208999999999993</v>
      </c>
      <c r="I109" s="120">
        <v>0.25555555555555554</v>
      </c>
      <c r="J109" s="120">
        <v>0.78263888888888888</v>
      </c>
      <c r="K109" s="3">
        <v>3468.7</v>
      </c>
      <c r="L109" s="3">
        <v>3467.8</v>
      </c>
      <c r="M109" s="3">
        <v>0</v>
      </c>
      <c r="N109" s="3">
        <v>3541.4</v>
      </c>
      <c r="O109" s="3">
        <v>3419.7</v>
      </c>
      <c r="P109" s="3">
        <v>3330.5</v>
      </c>
      <c r="Q109" s="3">
        <v>3335</v>
      </c>
      <c r="R109" s="3">
        <v>0</v>
      </c>
      <c r="S109" s="3">
        <v>2758.9</v>
      </c>
      <c r="T109" s="3">
        <v>2709.1</v>
      </c>
      <c r="U109" s="3">
        <v>2697.4</v>
      </c>
      <c r="V109" s="3">
        <v>2679</v>
      </c>
      <c r="W109" s="96">
        <f>SUM(Table3[[#This Row],[Inv1_U1]:[Inv1_U4]])</f>
        <v>10477.9</v>
      </c>
      <c r="X109" s="97">
        <f>SUM(Table3[[#This Row],[Inv2_U1]:[Inv2_U4]])</f>
        <v>10085.200000000001</v>
      </c>
      <c r="Y109" s="98">
        <f>SUM(Table3[[#This Row],[Inv3_U1]:[Inv3_U4]])</f>
        <v>10844.4</v>
      </c>
      <c r="Z109" s="64">
        <v>90643.75</v>
      </c>
      <c r="AA109" s="64">
        <v>406.6</v>
      </c>
      <c r="AB109" s="60"/>
      <c r="AC109" s="88">
        <v>5.2</v>
      </c>
      <c r="AD109" s="95">
        <v>0</v>
      </c>
      <c r="AE109" s="88">
        <v>37.07</v>
      </c>
      <c r="AF109" s="88">
        <v>0</v>
      </c>
      <c r="AG109" s="88">
        <v>0</v>
      </c>
      <c r="AH109" s="60"/>
      <c r="AI109" s="17">
        <f>SUM(Table3[[#This Row],[Inv1]:[Inv3]])</f>
        <v>31407.5</v>
      </c>
      <c r="AJ109" s="17">
        <f>IF((Table3[[#This Row],[33 kV Outgoinng Export Reading]]-Z108)*1000&gt;0,(Table3[[#This Row],[33 kV Outgoinng Export Reading]]-Z108)*1000,0)</f>
        <v>31100.000000005821</v>
      </c>
      <c r="AK109" s="17">
        <f>IF((Table3[[#This Row],[33 kV Outgoinng Import Reading]]-AA108)*1000&gt;0,(Table3[[#This Row],[33 kV Outgoinng Import Reading]]-AA108)*1000,0)</f>
        <v>100.00000000002274</v>
      </c>
      <c r="AL109" s="6">
        <f>Table3[[#This Row],[Export  (kWh)]]-Table3[[#This Row],[Import (kWh)]]</f>
        <v>31000.000000005799</v>
      </c>
      <c r="AM109" s="77">
        <f>IFERROR((J109-I109)*24,"")</f>
        <v>12.65</v>
      </c>
    </row>
    <row r="110" spans="1:39" x14ac:dyDescent="0.3">
      <c r="A110" s="222">
        <f>YEAR(Table3[[#This Row],[Date]])+IF(MONTH(Table3[[#This Row],[Date]])&gt;=4,1,0)</f>
        <v>2026</v>
      </c>
      <c r="B110" s="60">
        <f>YEAR(Table3[[#This Row],[Date]])</f>
        <v>2025</v>
      </c>
      <c r="C110" s="60" t="s">
        <v>1082</v>
      </c>
      <c r="D110" s="60" t="s">
        <v>1082</v>
      </c>
      <c r="E110" s="6" t="str">
        <f>TEXT(Table3[[#This Row],[Date]],"mmm-yy")</f>
        <v>Jul-25</v>
      </c>
      <c r="F110" s="60">
        <f>DAY(EOMONTH(Table3[[#This Row],[Month Year]],0))</f>
        <v>31</v>
      </c>
      <c r="G110" s="63">
        <f t="shared" si="7"/>
        <v>45851</v>
      </c>
      <c r="H110" s="18">
        <f>'Modelling New'!$AR$1</f>
        <v>8.0208999999999993</v>
      </c>
      <c r="I110" s="120">
        <v>0.24930555555555556</v>
      </c>
      <c r="J110" s="120">
        <v>0.78472222222222221</v>
      </c>
      <c r="K110" s="3">
        <v>3745.5</v>
      </c>
      <c r="L110" s="3">
        <v>3677.3</v>
      </c>
      <c r="M110" s="3">
        <v>0</v>
      </c>
      <c r="N110" s="3">
        <v>3681.1</v>
      </c>
      <c r="O110" s="3">
        <v>3608.6</v>
      </c>
      <c r="P110" s="3">
        <v>3517.9</v>
      </c>
      <c r="Q110" s="3">
        <v>3522.2</v>
      </c>
      <c r="R110" s="3">
        <v>0</v>
      </c>
      <c r="S110" s="3">
        <v>2801.2</v>
      </c>
      <c r="T110" s="3">
        <v>2878.9</v>
      </c>
      <c r="U110" s="3">
        <v>2799.7</v>
      </c>
      <c r="V110" s="3">
        <v>2781.3</v>
      </c>
      <c r="W110" s="96">
        <f>SUM(Table3[[#This Row],[Inv1_U1]:[Inv1_U4]])</f>
        <v>11103.9</v>
      </c>
      <c r="X110" s="97">
        <f>SUM(Table3[[#This Row],[Inv2_U1]:[Inv2_U4]])</f>
        <v>10648.7</v>
      </c>
      <c r="Y110" s="98">
        <f>SUM(Table3[[#This Row],[Inv3_U1]:[Inv3_U4]])</f>
        <v>11261.099999999999</v>
      </c>
      <c r="Z110" s="64">
        <v>90676.5</v>
      </c>
      <c r="AA110" s="64">
        <v>406.7</v>
      </c>
      <c r="AB110" s="60"/>
      <c r="AC110" s="88">
        <v>5.12</v>
      </c>
      <c r="AD110" s="95">
        <v>0</v>
      </c>
      <c r="AE110" s="88">
        <v>36.71</v>
      </c>
      <c r="AF110" s="88">
        <v>0</v>
      </c>
      <c r="AG110" s="88">
        <v>0</v>
      </c>
      <c r="AH110" s="60"/>
      <c r="AI110" s="17">
        <f>SUM(Table3[[#This Row],[Inv1]:[Inv3]])</f>
        <v>33013.699999999997</v>
      </c>
      <c r="AJ110" s="17">
        <f>IF((Table3[[#This Row],[33 kV Outgoinng Export Reading]]-Z109)*1000&gt;0,(Table3[[#This Row],[33 kV Outgoinng Export Reading]]-Z109)*1000,0)</f>
        <v>32750</v>
      </c>
      <c r="AK110" s="17">
        <f>IF((Table3[[#This Row],[33 kV Outgoinng Import Reading]]-AA109)*1000&gt;0,(Table3[[#This Row],[33 kV Outgoinng Import Reading]]-AA109)*1000,0)</f>
        <v>99.999999999965894</v>
      </c>
      <c r="AL110" s="6">
        <f>Table3[[#This Row],[Export  (kWh)]]-Table3[[#This Row],[Import (kWh)]]</f>
        <v>32650.000000000033</v>
      </c>
      <c r="AM110" s="77">
        <f>IFERROR((J110-I110)*24,"")</f>
        <v>12.85</v>
      </c>
    </row>
    <row r="111" spans="1:39" x14ac:dyDescent="0.3"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96"/>
      <c r="X111" s="97"/>
      <c r="Y111" s="98"/>
      <c r="Z111" s="64"/>
      <c r="AA111" s="64"/>
      <c r="AB111" s="60"/>
      <c r="AC111" s="88"/>
      <c r="AD111" s="95"/>
      <c r="AE111" s="88"/>
      <c r="AF111" s="88"/>
      <c r="AG111" s="88"/>
      <c r="AH111" s="60"/>
      <c r="AI111" s="17"/>
      <c r="AJ111" s="17"/>
      <c r="AK111" s="17"/>
      <c r="AL111" s="6"/>
    </row>
  </sheetData>
  <phoneticPr fontId="1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18"/>
  <sheetViews>
    <sheetView topLeftCell="A93" workbookViewId="0">
      <selection activeCell="B98" sqref="B98"/>
    </sheetView>
  </sheetViews>
  <sheetFormatPr defaultRowHeight="14.4" x14ac:dyDescent="0.3"/>
  <cols>
    <col min="1" max="1" width="21.109375" bestFit="1" customWidth="1"/>
    <col min="2" max="2" width="19.6640625" style="2" bestFit="1" customWidth="1"/>
    <col min="3" max="3" width="18.33203125" style="2" customWidth="1"/>
    <col min="5" max="5" width="25.5546875" bestFit="1" customWidth="1"/>
    <col min="7" max="7" width="19.6640625" hidden="1" customWidth="1"/>
    <col min="8" max="8" width="0" hidden="1" customWidth="1"/>
    <col min="9" max="9" width="18.33203125" style="11" hidden="1" customWidth="1"/>
    <col min="10" max="10" width="14.6640625" style="2" hidden="1" customWidth="1"/>
    <col min="11" max="11" width="19.88671875" style="2" hidden="1" customWidth="1"/>
    <col min="12" max="12" width="0" hidden="1" customWidth="1"/>
  </cols>
  <sheetData>
    <row r="1" spans="1:13" s="14" customFormat="1" ht="28.8" x14ac:dyDescent="0.3">
      <c r="A1" s="25" t="s">
        <v>2</v>
      </c>
      <c r="B1" s="26" t="s">
        <v>39</v>
      </c>
      <c r="C1" s="39" t="s">
        <v>79</v>
      </c>
      <c r="E1" s="25" t="s">
        <v>22</v>
      </c>
      <c r="G1" s="25" t="s">
        <v>23</v>
      </c>
      <c r="I1" s="27" t="s">
        <v>74</v>
      </c>
      <c r="J1" s="26" t="s">
        <v>76</v>
      </c>
      <c r="K1" s="28" t="s">
        <v>79</v>
      </c>
      <c r="M1" s="29" t="s">
        <v>72</v>
      </c>
    </row>
    <row r="2" spans="1:13" x14ac:dyDescent="0.3">
      <c r="A2" s="3" t="s">
        <v>180</v>
      </c>
      <c r="B2" s="5">
        <v>2694.6</v>
      </c>
      <c r="C2" s="12">
        <f>IFERROR(B2/$B$98,"")</f>
        <v>0.33594733758057077</v>
      </c>
      <c r="E2" s="3" t="s">
        <v>6</v>
      </c>
      <c r="G2" s="3" t="s">
        <v>24</v>
      </c>
      <c r="I2" s="10" t="s">
        <v>156</v>
      </c>
      <c r="J2" s="6">
        <f>5*63</f>
        <v>315</v>
      </c>
      <c r="K2" s="13">
        <f>J2/36540</f>
        <v>8.6206896551724137E-3</v>
      </c>
      <c r="M2" t="s">
        <v>80</v>
      </c>
    </row>
    <row r="3" spans="1:13" x14ac:dyDescent="0.3">
      <c r="A3" s="3" t="s">
        <v>181</v>
      </c>
      <c r="B3" s="5">
        <v>2630.8</v>
      </c>
      <c r="C3" s="12">
        <f t="shared" ref="C3:C66" si="0">IFERROR(B3/$B$98,"")</f>
        <v>0.32799311797927916</v>
      </c>
      <c r="E3" s="3" t="s">
        <v>7</v>
      </c>
      <c r="G3" s="3" t="s">
        <v>25</v>
      </c>
      <c r="I3" s="10" t="s">
        <v>157</v>
      </c>
      <c r="J3" s="6">
        <f>4*63</f>
        <v>252</v>
      </c>
      <c r="K3" s="13">
        <f t="shared" ref="K3:K23" si="1">J3/36540</f>
        <v>6.8965517241379309E-3</v>
      </c>
      <c r="M3" t="s">
        <v>81</v>
      </c>
    </row>
    <row r="4" spans="1:13" x14ac:dyDescent="0.3">
      <c r="A4" s="3" t="s">
        <v>182</v>
      </c>
      <c r="B4" s="5">
        <v>2695.5</v>
      </c>
      <c r="C4" s="12">
        <f t="shared" si="0"/>
        <v>0.33605954444015013</v>
      </c>
      <c r="E4" s="3" t="s">
        <v>8</v>
      </c>
      <c r="G4" s="3" t="s">
        <v>26</v>
      </c>
      <c r="I4" s="10" t="s">
        <v>158</v>
      </c>
      <c r="J4" s="6">
        <f>3*63</f>
        <v>189</v>
      </c>
      <c r="K4" s="13">
        <f t="shared" si="1"/>
        <v>5.1724137931034482E-3</v>
      </c>
    </row>
    <row r="5" spans="1:13" x14ac:dyDescent="0.3">
      <c r="A5" s="3" t="s">
        <v>231</v>
      </c>
      <c r="B5" s="5">
        <v>669.6</v>
      </c>
      <c r="C5" s="12">
        <f t="shared" si="0"/>
        <v>8.348190352703562E-2</v>
      </c>
      <c r="E5" s="3" t="s">
        <v>9</v>
      </c>
      <c r="G5" s="3" t="s">
        <v>27</v>
      </c>
      <c r="I5" s="10" t="s">
        <v>159</v>
      </c>
      <c r="J5" s="6">
        <f>5*42</f>
        <v>210</v>
      </c>
      <c r="K5" s="13">
        <f t="shared" si="1"/>
        <v>5.7471264367816091E-3</v>
      </c>
    </row>
    <row r="6" spans="1:13" x14ac:dyDescent="0.3">
      <c r="A6" s="3" t="s">
        <v>232</v>
      </c>
      <c r="B6" s="5">
        <v>669.6</v>
      </c>
      <c r="C6" s="12">
        <f t="shared" si="0"/>
        <v>8.348190352703562E-2</v>
      </c>
      <c r="E6" s="3" t="s">
        <v>10</v>
      </c>
      <c r="G6" s="3" t="s">
        <v>28</v>
      </c>
      <c r="I6" s="10" t="s">
        <v>160</v>
      </c>
      <c r="J6" s="6">
        <f>4*42</f>
        <v>168</v>
      </c>
      <c r="K6" s="13">
        <f t="shared" si="1"/>
        <v>4.5977011494252873E-3</v>
      </c>
    </row>
    <row r="7" spans="1:13" x14ac:dyDescent="0.3">
      <c r="A7" s="3" t="s">
        <v>233</v>
      </c>
      <c r="B7" s="5">
        <v>674.99999999999989</v>
      </c>
      <c r="C7" s="12">
        <f t="shared" si="0"/>
        <v>8.4155144684511698E-2</v>
      </c>
      <c r="E7" s="3" t="s">
        <v>11</v>
      </c>
      <c r="G7" s="3" t="s">
        <v>29</v>
      </c>
      <c r="I7" s="10" t="s">
        <v>161</v>
      </c>
      <c r="J7" s="6">
        <f>3*42</f>
        <v>126</v>
      </c>
      <c r="K7" s="13">
        <f t="shared" si="1"/>
        <v>3.4482758620689655E-3</v>
      </c>
    </row>
    <row r="8" spans="1:13" x14ac:dyDescent="0.3">
      <c r="A8" s="3" t="s">
        <v>234</v>
      </c>
      <c r="B8" s="5">
        <v>680.4</v>
      </c>
      <c r="C8" s="12">
        <f t="shared" si="0"/>
        <v>8.4828385841987805E-2</v>
      </c>
      <c r="E8" s="3" t="s">
        <v>12</v>
      </c>
      <c r="G8" s="3" t="s">
        <v>30</v>
      </c>
      <c r="I8" s="10" t="s">
        <v>162</v>
      </c>
      <c r="J8" s="6">
        <v>63</v>
      </c>
      <c r="K8" s="13">
        <f t="shared" si="1"/>
        <v>1.7241379310344827E-3</v>
      </c>
    </row>
    <row r="9" spans="1:13" x14ac:dyDescent="0.3">
      <c r="A9" s="3" t="s">
        <v>235</v>
      </c>
      <c r="B9" s="5">
        <v>658.8</v>
      </c>
      <c r="C9" s="12">
        <f t="shared" si="0"/>
        <v>8.2135421212083434E-2</v>
      </c>
      <c r="E9" s="3" t="s">
        <v>231</v>
      </c>
      <c r="G9" s="3" t="s">
        <v>31</v>
      </c>
      <c r="I9" s="10" t="s">
        <v>163</v>
      </c>
      <c r="J9" s="6">
        <v>42</v>
      </c>
      <c r="K9" s="13">
        <f t="shared" si="1"/>
        <v>1.1494252873563218E-3</v>
      </c>
    </row>
    <row r="10" spans="1:13" x14ac:dyDescent="0.3">
      <c r="A10" s="3" t="s">
        <v>236</v>
      </c>
      <c r="B10" s="5">
        <v>658.8</v>
      </c>
      <c r="C10" s="12">
        <f t="shared" si="0"/>
        <v>8.2135421212083434E-2</v>
      </c>
      <c r="E10" s="3" t="s">
        <v>232</v>
      </c>
      <c r="G10" s="3" t="s">
        <v>32</v>
      </c>
      <c r="I10" s="10" t="s">
        <v>164</v>
      </c>
      <c r="J10" s="6">
        <f>5*63</f>
        <v>315</v>
      </c>
      <c r="K10" s="13">
        <f t="shared" si="1"/>
        <v>8.6206896551724137E-3</v>
      </c>
    </row>
    <row r="11" spans="1:13" x14ac:dyDescent="0.3">
      <c r="A11" s="3" t="s">
        <v>237</v>
      </c>
      <c r="B11" s="5">
        <v>658.8</v>
      </c>
      <c r="C11" s="12">
        <f t="shared" si="0"/>
        <v>8.2135421212083434E-2</v>
      </c>
      <c r="E11" s="3" t="s">
        <v>233</v>
      </c>
      <c r="G11" s="3"/>
      <c r="I11" s="10" t="s">
        <v>165</v>
      </c>
      <c r="J11" s="6">
        <f>4*63</f>
        <v>252</v>
      </c>
      <c r="K11" s="13">
        <f t="shared" si="1"/>
        <v>6.8965517241379309E-3</v>
      </c>
    </row>
    <row r="12" spans="1:13" x14ac:dyDescent="0.3">
      <c r="A12" s="3" t="s">
        <v>238</v>
      </c>
      <c r="B12" s="5">
        <v>658.8</v>
      </c>
      <c r="C12" s="12">
        <f t="shared" si="0"/>
        <v>8.2135421212083434E-2</v>
      </c>
      <c r="E12" s="3" t="s">
        <v>234</v>
      </c>
      <c r="G12" s="3"/>
      <c r="I12" s="10" t="s">
        <v>166</v>
      </c>
      <c r="J12" s="6">
        <f>3*63</f>
        <v>189</v>
      </c>
      <c r="K12" s="13">
        <f t="shared" si="1"/>
        <v>5.1724137931034482E-3</v>
      </c>
    </row>
    <row r="13" spans="1:13" x14ac:dyDescent="0.3">
      <c r="A13" s="3" t="s">
        <v>240</v>
      </c>
      <c r="B13" s="5">
        <v>671.76</v>
      </c>
      <c r="C13" s="12">
        <f t="shared" si="0"/>
        <v>8.375119999002606E-2</v>
      </c>
      <c r="E13" s="3" t="s">
        <v>235</v>
      </c>
      <c r="G13" s="3"/>
      <c r="I13" s="10" t="s">
        <v>167</v>
      </c>
      <c r="J13" s="6">
        <f>5*42</f>
        <v>210</v>
      </c>
      <c r="K13" s="13">
        <f t="shared" si="1"/>
        <v>5.7471264367816091E-3</v>
      </c>
    </row>
    <row r="14" spans="1:13" x14ac:dyDescent="0.3">
      <c r="A14" s="3" t="s">
        <v>241</v>
      </c>
      <c r="B14" s="5">
        <v>661.31999999999994</v>
      </c>
      <c r="C14" s="12">
        <f t="shared" si="0"/>
        <v>8.2449600418905603E-2</v>
      </c>
      <c r="E14" s="3" t="s">
        <v>236</v>
      </c>
      <c r="G14" s="3"/>
      <c r="I14" s="10" t="s">
        <v>168</v>
      </c>
      <c r="J14" s="6">
        <f>4*42</f>
        <v>168</v>
      </c>
      <c r="K14" s="13">
        <f t="shared" si="1"/>
        <v>4.5977011494252873E-3</v>
      </c>
    </row>
    <row r="15" spans="1:13" x14ac:dyDescent="0.3">
      <c r="A15" s="3" t="s">
        <v>242</v>
      </c>
      <c r="B15" s="5">
        <v>680.04000000000008</v>
      </c>
      <c r="C15" s="12">
        <f t="shared" si="0"/>
        <v>8.4783503098156077E-2</v>
      </c>
      <c r="E15" s="3" t="s">
        <v>237</v>
      </c>
      <c r="G15" s="3"/>
      <c r="I15" s="10" t="s">
        <v>169</v>
      </c>
      <c r="J15" s="6">
        <f>3*42</f>
        <v>126</v>
      </c>
      <c r="K15" s="13">
        <f t="shared" si="1"/>
        <v>3.4482758620689655E-3</v>
      </c>
    </row>
    <row r="16" spans="1:13" x14ac:dyDescent="0.3">
      <c r="A16" s="3" t="s">
        <v>239</v>
      </c>
      <c r="B16" s="5">
        <v>680.04000000000008</v>
      </c>
      <c r="C16" s="12">
        <f t="shared" si="0"/>
        <v>8.4783503098156077E-2</v>
      </c>
      <c r="E16" s="3" t="s">
        <v>238</v>
      </c>
      <c r="G16" s="3"/>
      <c r="I16" s="10" t="s">
        <v>170</v>
      </c>
      <c r="J16" s="6">
        <f>5*63</f>
        <v>315</v>
      </c>
      <c r="K16" s="13">
        <f t="shared" si="1"/>
        <v>8.6206896551724137E-3</v>
      </c>
    </row>
    <row r="17" spans="1:11" x14ac:dyDescent="0.3">
      <c r="A17" s="3" t="s">
        <v>183</v>
      </c>
      <c r="B17" s="5">
        <v>111.6</v>
      </c>
      <c r="C17" s="12">
        <f t="shared" si="0"/>
        <v>1.391365058783927E-2</v>
      </c>
      <c r="E17" s="3" t="s">
        <v>240</v>
      </c>
      <c r="G17" s="3"/>
      <c r="I17" s="10" t="s">
        <v>171</v>
      </c>
      <c r="J17" s="6">
        <f>4*63</f>
        <v>252</v>
      </c>
      <c r="K17" s="13">
        <f t="shared" si="1"/>
        <v>6.8965517241379309E-3</v>
      </c>
    </row>
    <row r="18" spans="1:11" x14ac:dyDescent="0.3">
      <c r="A18" s="3" t="s">
        <v>184</v>
      </c>
      <c r="B18" s="5">
        <v>111.6</v>
      </c>
      <c r="C18" s="12">
        <f t="shared" si="0"/>
        <v>1.391365058783927E-2</v>
      </c>
      <c r="E18" s="3" t="s">
        <v>241</v>
      </c>
      <c r="I18" s="10" t="s">
        <v>172</v>
      </c>
      <c r="J18" s="6">
        <f>3*63</f>
        <v>189</v>
      </c>
      <c r="K18" s="13">
        <f t="shared" si="1"/>
        <v>5.1724137931034482E-3</v>
      </c>
    </row>
    <row r="19" spans="1:11" x14ac:dyDescent="0.3">
      <c r="A19" s="3" t="s">
        <v>185</v>
      </c>
      <c r="B19" s="5">
        <v>111.6</v>
      </c>
      <c r="C19" s="12">
        <f t="shared" si="0"/>
        <v>1.391365058783927E-2</v>
      </c>
      <c r="E19" s="3" t="s">
        <v>242</v>
      </c>
      <c r="I19" s="10" t="s">
        <v>173</v>
      </c>
      <c r="J19" s="6">
        <f>5*42</f>
        <v>210</v>
      </c>
      <c r="K19" s="13">
        <f t="shared" si="1"/>
        <v>5.7471264367816091E-3</v>
      </c>
    </row>
    <row r="20" spans="1:11" x14ac:dyDescent="0.3">
      <c r="A20" s="3" t="s">
        <v>186</v>
      </c>
      <c r="B20" s="5">
        <v>111.6</v>
      </c>
      <c r="C20" s="12">
        <f t="shared" si="0"/>
        <v>1.391365058783927E-2</v>
      </c>
      <c r="E20" s="3" t="s">
        <v>239</v>
      </c>
      <c r="I20" s="10" t="s">
        <v>174</v>
      </c>
      <c r="J20" s="6">
        <f>4*42</f>
        <v>168</v>
      </c>
      <c r="K20" s="13">
        <f t="shared" si="1"/>
        <v>4.5977011494252873E-3</v>
      </c>
    </row>
    <row r="21" spans="1:11" x14ac:dyDescent="0.3">
      <c r="A21" s="3" t="s">
        <v>187</v>
      </c>
      <c r="B21" s="5">
        <v>111.6</v>
      </c>
      <c r="C21" s="12">
        <f t="shared" si="0"/>
        <v>1.391365058783927E-2</v>
      </c>
      <c r="E21" s="3" t="s">
        <v>13</v>
      </c>
      <c r="I21" s="10" t="s">
        <v>175</v>
      </c>
      <c r="J21" s="6">
        <f>3*42</f>
        <v>126</v>
      </c>
      <c r="K21" s="13">
        <f t="shared" si="1"/>
        <v>3.4482758620689655E-3</v>
      </c>
    </row>
    <row r="22" spans="1:11" x14ac:dyDescent="0.3">
      <c r="A22" s="3" t="s">
        <v>188</v>
      </c>
      <c r="B22" s="5">
        <v>111.6</v>
      </c>
      <c r="C22" s="12">
        <f t="shared" si="0"/>
        <v>1.391365058783927E-2</v>
      </c>
      <c r="E22" s="3" t="s">
        <v>14</v>
      </c>
      <c r="I22" s="10" t="s">
        <v>176</v>
      </c>
      <c r="J22" s="6">
        <v>63</v>
      </c>
      <c r="K22" s="13">
        <f t="shared" si="1"/>
        <v>1.7241379310344827E-3</v>
      </c>
    </row>
    <row r="23" spans="1:11" x14ac:dyDescent="0.3">
      <c r="A23" s="3" t="s">
        <v>189</v>
      </c>
      <c r="B23" s="5">
        <v>111.6</v>
      </c>
      <c r="C23" s="12">
        <f t="shared" si="0"/>
        <v>1.391365058783927E-2</v>
      </c>
      <c r="E23" s="3" t="s">
        <v>15</v>
      </c>
      <c r="I23" s="10" t="s">
        <v>177</v>
      </c>
      <c r="J23" s="6">
        <v>42</v>
      </c>
      <c r="K23" s="13">
        <f t="shared" si="1"/>
        <v>1.1494252873563218E-3</v>
      </c>
    </row>
    <row r="24" spans="1:11" x14ac:dyDescent="0.3">
      <c r="A24" s="3" t="s">
        <v>190</v>
      </c>
      <c r="B24" s="5">
        <v>111.6</v>
      </c>
      <c r="C24" s="12">
        <f t="shared" si="0"/>
        <v>1.391365058783927E-2</v>
      </c>
      <c r="E24" s="3" t="s">
        <v>16</v>
      </c>
      <c r="I24" s="10" t="s">
        <v>30</v>
      </c>
      <c r="J24" s="6"/>
      <c r="K24" s="6"/>
    </row>
    <row r="25" spans="1:11" x14ac:dyDescent="0.3">
      <c r="A25" s="3" t="s">
        <v>191</v>
      </c>
      <c r="B25" s="5">
        <v>111.6</v>
      </c>
      <c r="C25" s="12">
        <f t="shared" si="0"/>
        <v>1.391365058783927E-2</v>
      </c>
      <c r="E25" s="3" t="s">
        <v>17</v>
      </c>
      <c r="I25" s="10" t="s">
        <v>31</v>
      </c>
      <c r="J25" s="6"/>
      <c r="K25" s="6"/>
    </row>
    <row r="26" spans="1:11" x14ac:dyDescent="0.3">
      <c r="A26" s="3" t="s">
        <v>192</v>
      </c>
      <c r="B26" s="5">
        <v>111.6</v>
      </c>
      <c r="C26" s="12">
        <f t="shared" si="0"/>
        <v>1.391365058783927E-2</v>
      </c>
      <c r="E26" s="3" t="s">
        <v>18</v>
      </c>
      <c r="I26" s="10" t="s">
        <v>77</v>
      </c>
      <c r="J26" s="6"/>
      <c r="K26" s="6"/>
    </row>
    <row r="27" spans="1:11" x14ac:dyDescent="0.3">
      <c r="A27" s="3" t="s">
        <v>193</v>
      </c>
      <c r="B27" s="5">
        <v>111.6</v>
      </c>
      <c r="C27" s="12">
        <f t="shared" si="0"/>
        <v>1.391365058783927E-2</v>
      </c>
      <c r="E27" s="3" t="s">
        <v>19</v>
      </c>
      <c r="I27" s="10" t="s">
        <v>78</v>
      </c>
      <c r="J27" s="6"/>
      <c r="K27" s="6"/>
    </row>
    <row r="28" spans="1:11" x14ac:dyDescent="0.3">
      <c r="A28" s="3" t="s">
        <v>194</v>
      </c>
      <c r="B28" s="5">
        <v>111.6</v>
      </c>
      <c r="C28" s="12">
        <f t="shared" si="0"/>
        <v>1.391365058783927E-2</v>
      </c>
      <c r="E28" s="3" t="s">
        <v>20</v>
      </c>
    </row>
    <row r="29" spans="1:11" x14ac:dyDescent="0.3">
      <c r="A29" s="3" t="s">
        <v>195</v>
      </c>
      <c r="B29" s="5">
        <v>111.6</v>
      </c>
      <c r="C29" s="12">
        <f t="shared" si="0"/>
        <v>1.391365058783927E-2</v>
      </c>
      <c r="E29" s="3" t="s">
        <v>21</v>
      </c>
    </row>
    <row r="30" spans="1:11" x14ac:dyDescent="0.3">
      <c r="A30" s="3" t="s">
        <v>196</v>
      </c>
      <c r="B30" s="5">
        <v>111.6</v>
      </c>
      <c r="C30" s="12">
        <f t="shared" si="0"/>
        <v>1.391365058783927E-2</v>
      </c>
      <c r="E30" s="3" t="s">
        <v>33</v>
      </c>
    </row>
    <row r="31" spans="1:11" x14ac:dyDescent="0.3">
      <c r="A31" s="3" t="s">
        <v>197</v>
      </c>
      <c r="B31" s="5">
        <v>111.6</v>
      </c>
      <c r="C31" s="12">
        <f t="shared" si="0"/>
        <v>1.391365058783927E-2</v>
      </c>
      <c r="E31" s="3" t="s">
        <v>32</v>
      </c>
    </row>
    <row r="32" spans="1:11" x14ac:dyDescent="0.3">
      <c r="A32" s="3" t="s">
        <v>198</v>
      </c>
      <c r="B32" s="5">
        <v>113.4</v>
      </c>
      <c r="C32" s="12">
        <f t="shared" si="0"/>
        <v>1.4138064306997969E-2</v>
      </c>
      <c r="E32" s="3" t="s">
        <v>35</v>
      </c>
    </row>
    <row r="33" spans="1:5" x14ac:dyDescent="0.3">
      <c r="A33" s="3" t="s">
        <v>199</v>
      </c>
      <c r="B33" s="5">
        <v>113.4</v>
      </c>
      <c r="C33" s="12">
        <f t="shared" si="0"/>
        <v>1.4138064306997969E-2</v>
      </c>
      <c r="E33" s="3" t="s">
        <v>34</v>
      </c>
    </row>
    <row r="34" spans="1:5" x14ac:dyDescent="0.3">
      <c r="A34" s="3" t="s">
        <v>200</v>
      </c>
      <c r="B34" s="5">
        <v>113.4</v>
      </c>
      <c r="C34" s="12">
        <f t="shared" si="0"/>
        <v>1.4138064306997969E-2</v>
      </c>
      <c r="E34" s="3" t="s">
        <v>36</v>
      </c>
    </row>
    <row r="35" spans="1:5" x14ac:dyDescent="0.3">
      <c r="A35" s="3" t="s">
        <v>201</v>
      </c>
      <c r="B35" s="5">
        <v>113.4</v>
      </c>
      <c r="C35" s="12">
        <f t="shared" si="0"/>
        <v>1.4138064306997969E-2</v>
      </c>
      <c r="E35" s="3" t="s">
        <v>37</v>
      </c>
    </row>
    <row r="36" spans="1:5" x14ac:dyDescent="0.3">
      <c r="A36" s="3" t="s">
        <v>202</v>
      </c>
      <c r="B36" s="5">
        <v>113.4</v>
      </c>
      <c r="C36" s="12">
        <f t="shared" si="0"/>
        <v>1.4138064306997969E-2</v>
      </c>
      <c r="E36" s="3" t="s">
        <v>38</v>
      </c>
    </row>
    <row r="37" spans="1:5" x14ac:dyDescent="0.3">
      <c r="A37" s="3" t="s">
        <v>203</v>
      </c>
      <c r="B37" s="5">
        <v>113.4</v>
      </c>
      <c r="C37" s="12">
        <f t="shared" si="0"/>
        <v>1.4138064306997969E-2</v>
      </c>
      <c r="E37" s="4" t="s">
        <v>111</v>
      </c>
    </row>
    <row r="38" spans="1:5" x14ac:dyDescent="0.3">
      <c r="A38" s="3" t="s">
        <v>264</v>
      </c>
      <c r="B38" s="5">
        <v>113.4</v>
      </c>
      <c r="C38" s="12">
        <f t="shared" si="0"/>
        <v>1.4138064306997969E-2</v>
      </c>
      <c r="E38" s="4" t="s">
        <v>112</v>
      </c>
    </row>
    <row r="39" spans="1:5" x14ac:dyDescent="0.3">
      <c r="A39" s="3" t="s">
        <v>265</v>
      </c>
      <c r="B39" s="5">
        <v>113.4</v>
      </c>
      <c r="C39" s="12">
        <f t="shared" si="0"/>
        <v>1.4138064306997969E-2</v>
      </c>
    </row>
    <row r="40" spans="1:5" x14ac:dyDescent="0.3">
      <c r="A40" s="3" t="s">
        <v>266</v>
      </c>
      <c r="B40" s="5">
        <v>113.4</v>
      </c>
      <c r="C40" s="12">
        <f t="shared" si="0"/>
        <v>1.4138064306997969E-2</v>
      </c>
    </row>
    <row r="41" spans="1:5" x14ac:dyDescent="0.3">
      <c r="A41" s="3" t="s">
        <v>204</v>
      </c>
      <c r="B41" s="5">
        <v>113.4</v>
      </c>
      <c r="C41" s="12">
        <f t="shared" si="0"/>
        <v>1.4138064306997969E-2</v>
      </c>
    </row>
    <row r="42" spans="1:5" x14ac:dyDescent="0.3">
      <c r="A42" s="3" t="s">
        <v>205</v>
      </c>
      <c r="B42" s="5">
        <v>108</v>
      </c>
      <c r="C42" s="12">
        <f t="shared" si="0"/>
        <v>1.3464823149521875E-2</v>
      </c>
    </row>
    <row r="43" spans="1:5" x14ac:dyDescent="0.3">
      <c r="A43" s="3" t="s">
        <v>206</v>
      </c>
      <c r="B43" s="5">
        <v>108</v>
      </c>
      <c r="C43" s="12">
        <f t="shared" si="0"/>
        <v>1.3464823149521875E-2</v>
      </c>
    </row>
    <row r="44" spans="1:5" x14ac:dyDescent="0.3">
      <c r="A44" s="3" t="s">
        <v>207</v>
      </c>
      <c r="B44" s="5">
        <v>109.8</v>
      </c>
      <c r="C44" s="12">
        <f t="shared" si="0"/>
        <v>1.3689236868680572E-2</v>
      </c>
    </row>
    <row r="45" spans="1:5" x14ac:dyDescent="0.3">
      <c r="A45" s="3" t="s">
        <v>208</v>
      </c>
      <c r="B45" s="5">
        <v>109.8</v>
      </c>
      <c r="C45" s="12">
        <f t="shared" si="0"/>
        <v>1.3689236868680572E-2</v>
      </c>
    </row>
    <row r="46" spans="1:5" x14ac:dyDescent="0.3">
      <c r="A46" s="3" t="s">
        <v>209</v>
      </c>
      <c r="B46" s="5">
        <v>109.8</v>
      </c>
      <c r="C46" s="12">
        <f t="shared" si="0"/>
        <v>1.3689236868680572E-2</v>
      </c>
    </row>
    <row r="47" spans="1:5" x14ac:dyDescent="0.3">
      <c r="A47" s="3" t="s">
        <v>210</v>
      </c>
      <c r="B47" s="5">
        <v>109.8</v>
      </c>
      <c r="C47" s="12">
        <f t="shared" si="0"/>
        <v>1.3689236868680572E-2</v>
      </c>
    </row>
    <row r="48" spans="1:5" x14ac:dyDescent="0.3">
      <c r="A48" s="3" t="s">
        <v>211</v>
      </c>
      <c r="B48" s="5">
        <v>109.8</v>
      </c>
      <c r="C48" s="12">
        <f t="shared" si="0"/>
        <v>1.3689236868680572E-2</v>
      </c>
    </row>
    <row r="49" spans="1:3" x14ac:dyDescent="0.3">
      <c r="A49" s="3" t="s">
        <v>212</v>
      </c>
      <c r="B49" s="5">
        <v>109.8</v>
      </c>
      <c r="C49" s="12">
        <f t="shared" si="0"/>
        <v>1.3689236868680572E-2</v>
      </c>
    </row>
    <row r="50" spans="1:3" x14ac:dyDescent="0.3">
      <c r="A50" s="3" t="s">
        <v>213</v>
      </c>
      <c r="B50" s="5">
        <v>109.8</v>
      </c>
      <c r="C50" s="12">
        <f t="shared" si="0"/>
        <v>1.3689236868680572E-2</v>
      </c>
    </row>
    <row r="51" spans="1:3" x14ac:dyDescent="0.3">
      <c r="A51" s="3" t="s">
        <v>214</v>
      </c>
      <c r="B51" s="5">
        <v>109.8</v>
      </c>
      <c r="C51" s="12">
        <f t="shared" si="0"/>
        <v>1.3689236868680572E-2</v>
      </c>
    </row>
    <row r="52" spans="1:3" x14ac:dyDescent="0.3">
      <c r="A52" s="3" t="s">
        <v>215</v>
      </c>
      <c r="B52" s="5">
        <v>109.8</v>
      </c>
      <c r="C52" s="12">
        <f t="shared" si="0"/>
        <v>1.3689236868680572E-2</v>
      </c>
    </row>
    <row r="53" spans="1:3" x14ac:dyDescent="0.3">
      <c r="A53" s="3" t="s">
        <v>216</v>
      </c>
      <c r="B53" s="5">
        <v>109.8</v>
      </c>
      <c r="C53" s="12">
        <f t="shared" si="0"/>
        <v>1.3689236868680572E-2</v>
      </c>
    </row>
    <row r="54" spans="1:3" x14ac:dyDescent="0.3">
      <c r="A54" s="3" t="s">
        <v>217</v>
      </c>
      <c r="B54" s="5">
        <v>109.8</v>
      </c>
      <c r="C54" s="12">
        <f t="shared" si="0"/>
        <v>1.3689236868680572E-2</v>
      </c>
    </row>
    <row r="55" spans="1:3" x14ac:dyDescent="0.3">
      <c r="A55" s="3" t="s">
        <v>218</v>
      </c>
      <c r="B55" s="5">
        <v>109.8</v>
      </c>
      <c r="C55" s="12">
        <f t="shared" si="0"/>
        <v>1.3689236868680572E-2</v>
      </c>
    </row>
    <row r="56" spans="1:3" x14ac:dyDescent="0.3">
      <c r="A56" s="3" t="s">
        <v>219</v>
      </c>
      <c r="B56" s="5">
        <v>109.8</v>
      </c>
      <c r="C56" s="12">
        <f t="shared" si="0"/>
        <v>1.3689236868680572E-2</v>
      </c>
    </row>
    <row r="57" spans="1:3" x14ac:dyDescent="0.3">
      <c r="A57" s="3" t="s">
        <v>220</v>
      </c>
      <c r="B57" s="5">
        <v>109.8</v>
      </c>
      <c r="C57" s="12">
        <f t="shared" si="0"/>
        <v>1.3689236868680572E-2</v>
      </c>
    </row>
    <row r="58" spans="1:3" x14ac:dyDescent="0.3">
      <c r="A58" s="3" t="s">
        <v>221</v>
      </c>
      <c r="B58" s="5">
        <v>109.8</v>
      </c>
      <c r="C58" s="12">
        <f t="shared" si="0"/>
        <v>1.3689236868680572E-2</v>
      </c>
    </row>
    <row r="59" spans="1:3" x14ac:dyDescent="0.3">
      <c r="A59" s="3" t="s">
        <v>222</v>
      </c>
      <c r="B59" s="5">
        <v>109.8</v>
      </c>
      <c r="C59" s="12">
        <f t="shared" si="0"/>
        <v>1.3689236868680572E-2</v>
      </c>
    </row>
    <row r="60" spans="1:3" x14ac:dyDescent="0.3">
      <c r="A60" s="3" t="s">
        <v>223</v>
      </c>
      <c r="B60" s="5">
        <v>109.8</v>
      </c>
      <c r="C60" s="12">
        <f t="shared" si="0"/>
        <v>1.3689236868680572E-2</v>
      </c>
    </row>
    <row r="61" spans="1:3" x14ac:dyDescent="0.3">
      <c r="A61" s="3" t="s">
        <v>224</v>
      </c>
      <c r="B61" s="5">
        <v>109.8</v>
      </c>
      <c r="C61" s="12">
        <f t="shared" si="0"/>
        <v>1.3689236868680572E-2</v>
      </c>
    </row>
    <row r="62" spans="1:3" x14ac:dyDescent="0.3">
      <c r="A62" s="3" t="s">
        <v>267</v>
      </c>
      <c r="B62" s="5">
        <v>109.8</v>
      </c>
      <c r="C62" s="12">
        <f t="shared" si="0"/>
        <v>1.3689236868680572E-2</v>
      </c>
    </row>
    <row r="63" spans="1:3" x14ac:dyDescent="0.3">
      <c r="A63" s="3" t="s">
        <v>268</v>
      </c>
      <c r="B63" s="5">
        <v>109.8</v>
      </c>
      <c r="C63" s="12">
        <f t="shared" si="0"/>
        <v>1.3689236868680572E-2</v>
      </c>
    </row>
    <row r="64" spans="1:3" x14ac:dyDescent="0.3">
      <c r="A64" s="3" t="s">
        <v>269</v>
      </c>
      <c r="B64" s="5">
        <v>109.8</v>
      </c>
      <c r="C64" s="12">
        <f t="shared" si="0"/>
        <v>1.3689236868680572E-2</v>
      </c>
    </row>
    <row r="65" spans="1:3" x14ac:dyDescent="0.3">
      <c r="A65" s="3" t="s">
        <v>243</v>
      </c>
      <c r="B65" s="5">
        <v>111.6</v>
      </c>
      <c r="C65" s="12">
        <f t="shared" si="0"/>
        <v>1.391365058783927E-2</v>
      </c>
    </row>
    <row r="66" spans="1:3" x14ac:dyDescent="0.3">
      <c r="A66" s="3" t="s">
        <v>244</v>
      </c>
      <c r="B66" s="5">
        <v>111.6</v>
      </c>
      <c r="C66" s="12">
        <f t="shared" si="0"/>
        <v>1.391365058783927E-2</v>
      </c>
    </row>
    <row r="67" spans="1:3" x14ac:dyDescent="0.3">
      <c r="A67" s="3" t="s">
        <v>245</v>
      </c>
      <c r="B67" s="5">
        <v>111.6</v>
      </c>
      <c r="C67" s="12">
        <f t="shared" ref="C67:C130" si="2">IFERROR(B67/$B$98,"")</f>
        <v>1.391365058783927E-2</v>
      </c>
    </row>
    <row r="68" spans="1:3" x14ac:dyDescent="0.3">
      <c r="A68" s="3" t="s">
        <v>246</v>
      </c>
      <c r="B68" s="5">
        <v>112.32</v>
      </c>
      <c r="C68" s="12">
        <f t="shared" si="2"/>
        <v>1.4003416075502749E-2</v>
      </c>
    </row>
    <row r="69" spans="1:3" x14ac:dyDescent="0.3">
      <c r="A69" s="3" t="s">
        <v>247</v>
      </c>
      <c r="B69" s="5">
        <v>112.32</v>
      </c>
      <c r="C69" s="12">
        <f t="shared" si="2"/>
        <v>1.4003416075502749E-2</v>
      </c>
    </row>
    <row r="70" spans="1:3" x14ac:dyDescent="0.3">
      <c r="A70" s="3" t="s">
        <v>248</v>
      </c>
      <c r="B70" s="5">
        <v>112.32</v>
      </c>
      <c r="C70" s="12">
        <f t="shared" si="2"/>
        <v>1.4003416075502749E-2</v>
      </c>
    </row>
    <row r="71" spans="1:3" x14ac:dyDescent="0.3">
      <c r="A71" s="3" t="s">
        <v>249</v>
      </c>
      <c r="B71" s="5">
        <v>112.32</v>
      </c>
      <c r="C71" s="12">
        <f t="shared" si="2"/>
        <v>1.4003416075502749E-2</v>
      </c>
    </row>
    <row r="72" spans="1:3" x14ac:dyDescent="0.3">
      <c r="A72" s="3" t="s">
        <v>250</v>
      </c>
      <c r="B72" s="5">
        <v>109.8</v>
      </c>
      <c r="C72" s="12">
        <f t="shared" si="2"/>
        <v>1.3689236868680572E-2</v>
      </c>
    </row>
    <row r="73" spans="1:3" x14ac:dyDescent="0.3">
      <c r="A73" s="3" t="s">
        <v>251</v>
      </c>
      <c r="B73" s="5">
        <v>109.8</v>
      </c>
      <c r="C73" s="12">
        <f t="shared" si="2"/>
        <v>1.3689236868680572E-2</v>
      </c>
    </row>
    <row r="74" spans="1:3" x14ac:dyDescent="0.3">
      <c r="A74" s="3" t="s">
        <v>252</v>
      </c>
      <c r="B74" s="5">
        <v>109.8</v>
      </c>
      <c r="C74" s="12">
        <f t="shared" si="2"/>
        <v>1.3689236868680572E-2</v>
      </c>
    </row>
    <row r="75" spans="1:3" x14ac:dyDescent="0.3">
      <c r="A75" s="3" t="s">
        <v>253</v>
      </c>
      <c r="B75" s="5">
        <v>109.8</v>
      </c>
      <c r="C75" s="12">
        <f t="shared" si="2"/>
        <v>1.3689236868680572E-2</v>
      </c>
    </row>
    <row r="76" spans="1:3" x14ac:dyDescent="0.3">
      <c r="A76" s="3" t="s">
        <v>254</v>
      </c>
      <c r="B76" s="5">
        <v>109.8</v>
      </c>
      <c r="C76" s="12">
        <f t="shared" si="2"/>
        <v>1.3689236868680572E-2</v>
      </c>
    </row>
    <row r="77" spans="1:3" x14ac:dyDescent="0.3">
      <c r="A77" s="3" t="s">
        <v>255</v>
      </c>
      <c r="B77" s="5">
        <v>113.34</v>
      </c>
      <c r="C77" s="12">
        <f t="shared" si="2"/>
        <v>1.4130583849692679E-2</v>
      </c>
    </row>
    <row r="78" spans="1:3" x14ac:dyDescent="0.3">
      <c r="A78" s="3" t="s">
        <v>256</v>
      </c>
      <c r="B78" s="5">
        <v>113.34</v>
      </c>
      <c r="C78" s="12">
        <f t="shared" si="2"/>
        <v>1.4130583849692679E-2</v>
      </c>
    </row>
    <row r="79" spans="1:3" x14ac:dyDescent="0.3">
      <c r="A79" s="3" t="s">
        <v>257</v>
      </c>
      <c r="B79" s="5">
        <v>113.34</v>
      </c>
      <c r="C79" s="12">
        <f t="shared" si="2"/>
        <v>1.4130583849692679E-2</v>
      </c>
    </row>
    <row r="80" spans="1:3" x14ac:dyDescent="0.3">
      <c r="A80" s="3" t="s">
        <v>258</v>
      </c>
      <c r="B80" s="5">
        <v>113.34</v>
      </c>
      <c r="C80" s="12">
        <f t="shared" si="2"/>
        <v>1.4130583849692679E-2</v>
      </c>
    </row>
    <row r="81" spans="1:3" x14ac:dyDescent="0.3">
      <c r="A81" s="3" t="s">
        <v>259</v>
      </c>
      <c r="B81" s="5">
        <v>113.34</v>
      </c>
      <c r="C81" s="12">
        <f t="shared" si="2"/>
        <v>1.4130583849692679E-2</v>
      </c>
    </row>
    <row r="82" spans="1:3" x14ac:dyDescent="0.3">
      <c r="A82" s="3" t="s">
        <v>260</v>
      </c>
      <c r="B82" s="5">
        <v>113.34</v>
      </c>
      <c r="C82" s="12">
        <f t="shared" si="2"/>
        <v>1.4130583849692679E-2</v>
      </c>
    </row>
    <row r="83" spans="1:3" x14ac:dyDescent="0.3">
      <c r="A83" s="3" t="s">
        <v>261</v>
      </c>
      <c r="B83" s="5">
        <v>113.34</v>
      </c>
      <c r="C83" s="12">
        <f t="shared" si="2"/>
        <v>1.4130583849692679E-2</v>
      </c>
    </row>
    <row r="84" spans="1:3" x14ac:dyDescent="0.3">
      <c r="A84" s="3" t="s">
        <v>262</v>
      </c>
      <c r="B84" s="5">
        <v>113.34</v>
      </c>
      <c r="C84" s="12">
        <f t="shared" si="2"/>
        <v>1.4130583849692679E-2</v>
      </c>
    </row>
    <row r="85" spans="1:3" x14ac:dyDescent="0.3">
      <c r="A85" s="3" t="s">
        <v>263</v>
      </c>
      <c r="B85" s="5">
        <v>113.34</v>
      </c>
      <c r="C85" s="12">
        <f t="shared" si="2"/>
        <v>1.4130583849692679E-2</v>
      </c>
    </row>
    <row r="86" spans="1:3" x14ac:dyDescent="0.3">
      <c r="A86" s="3" t="s">
        <v>270</v>
      </c>
      <c r="B86" s="5">
        <v>113.34</v>
      </c>
      <c r="C86" s="12">
        <f t="shared" si="2"/>
        <v>1.4130583849692679E-2</v>
      </c>
    </row>
    <row r="87" spans="1:3" x14ac:dyDescent="0.3">
      <c r="A87" s="3" t="s">
        <v>271</v>
      </c>
      <c r="B87" s="5">
        <v>113.34</v>
      </c>
      <c r="C87" s="12">
        <f t="shared" si="2"/>
        <v>1.4130583849692679E-2</v>
      </c>
    </row>
    <row r="88" spans="1:3" x14ac:dyDescent="0.3">
      <c r="A88" s="3" t="s">
        <v>272</v>
      </c>
      <c r="B88" s="5">
        <v>113.34</v>
      </c>
      <c r="C88" s="12">
        <f t="shared" si="2"/>
        <v>1.4130583849692679E-2</v>
      </c>
    </row>
    <row r="89" spans="1:3" x14ac:dyDescent="0.3">
      <c r="A89" s="3" t="s">
        <v>0</v>
      </c>
      <c r="B89" s="5">
        <v>2694.6</v>
      </c>
      <c r="C89" s="12">
        <f t="shared" si="2"/>
        <v>0.33594733758057077</v>
      </c>
    </row>
    <row r="90" spans="1:3" x14ac:dyDescent="0.3">
      <c r="A90" s="3" t="s">
        <v>1</v>
      </c>
      <c r="B90" s="5">
        <v>2630.8</v>
      </c>
      <c r="C90" s="12">
        <f t="shared" si="2"/>
        <v>0.32799311797927916</v>
      </c>
    </row>
    <row r="91" spans="1:3" x14ac:dyDescent="0.3">
      <c r="A91" s="3" t="s">
        <v>225</v>
      </c>
      <c r="B91" s="5">
        <v>2695.5</v>
      </c>
      <c r="C91" s="12">
        <f t="shared" si="2"/>
        <v>0.33605954444015013</v>
      </c>
    </row>
    <row r="92" spans="1:3" x14ac:dyDescent="0.3">
      <c r="A92" s="3" t="s">
        <v>5</v>
      </c>
      <c r="B92" s="5">
        <v>2694.6</v>
      </c>
      <c r="C92" s="12">
        <f t="shared" si="2"/>
        <v>0.33594733758057077</v>
      </c>
    </row>
    <row r="93" spans="1:3" x14ac:dyDescent="0.3">
      <c r="A93" s="3" t="s">
        <v>226</v>
      </c>
      <c r="B93" s="5">
        <v>2630.8</v>
      </c>
      <c r="C93" s="12">
        <f t="shared" si="2"/>
        <v>0.32799311797927916</v>
      </c>
    </row>
    <row r="94" spans="1:3" x14ac:dyDescent="0.3">
      <c r="A94" s="3" t="s">
        <v>227</v>
      </c>
      <c r="B94" s="5">
        <v>2695.5</v>
      </c>
      <c r="C94" s="12">
        <f t="shared" si="2"/>
        <v>0.33605954444015013</v>
      </c>
    </row>
    <row r="95" spans="1:3" x14ac:dyDescent="0.3">
      <c r="A95" s="3" t="s">
        <v>228</v>
      </c>
      <c r="B95" s="5">
        <v>2694.6</v>
      </c>
      <c r="C95" s="12">
        <f t="shared" si="2"/>
        <v>0.33594733758057077</v>
      </c>
    </row>
    <row r="96" spans="1:3" x14ac:dyDescent="0.3">
      <c r="A96" s="3" t="s">
        <v>229</v>
      </c>
      <c r="B96" s="5">
        <v>2630.8</v>
      </c>
      <c r="C96" s="12">
        <f t="shared" si="2"/>
        <v>0.32799311797927916</v>
      </c>
    </row>
    <row r="97" spans="1:3" x14ac:dyDescent="0.3">
      <c r="A97" s="3" t="s">
        <v>230</v>
      </c>
      <c r="B97" s="5">
        <v>2695.5</v>
      </c>
      <c r="C97" s="12">
        <f t="shared" si="2"/>
        <v>0.33605954444015013</v>
      </c>
    </row>
    <row r="98" spans="1:3" x14ac:dyDescent="0.3">
      <c r="A98" s="3" t="s">
        <v>304</v>
      </c>
      <c r="B98" s="5">
        <v>8020.9</v>
      </c>
      <c r="C98" s="12">
        <f t="shared" si="2"/>
        <v>1</v>
      </c>
    </row>
    <row r="99" spans="1:3" x14ac:dyDescent="0.3">
      <c r="A99" s="3" t="s">
        <v>332</v>
      </c>
      <c r="B99" s="5">
        <v>11.16</v>
      </c>
      <c r="C99" s="12">
        <f t="shared" si="2"/>
        <v>1.391365058783927E-3</v>
      </c>
    </row>
    <row r="100" spans="1:3" x14ac:dyDescent="0.3">
      <c r="A100" s="3" t="s">
        <v>333</v>
      </c>
      <c r="B100" s="5">
        <v>11.16</v>
      </c>
      <c r="C100" s="12">
        <f t="shared" si="2"/>
        <v>1.391365058783927E-3</v>
      </c>
    </row>
    <row r="101" spans="1:3" x14ac:dyDescent="0.3">
      <c r="A101" s="3" t="s">
        <v>334</v>
      </c>
      <c r="B101" s="5">
        <v>11.16</v>
      </c>
      <c r="C101" s="12">
        <f t="shared" si="2"/>
        <v>1.391365058783927E-3</v>
      </c>
    </row>
    <row r="102" spans="1:3" x14ac:dyDescent="0.3">
      <c r="A102" s="3" t="s">
        <v>335</v>
      </c>
      <c r="B102" s="5">
        <v>11.16</v>
      </c>
      <c r="C102" s="12">
        <f t="shared" si="2"/>
        <v>1.391365058783927E-3</v>
      </c>
    </row>
    <row r="103" spans="1:3" x14ac:dyDescent="0.3">
      <c r="A103" s="3" t="s">
        <v>336</v>
      </c>
      <c r="B103" s="5">
        <v>11.16</v>
      </c>
      <c r="C103" s="12">
        <f t="shared" si="2"/>
        <v>1.391365058783927E-3</v>
      </c>
    </row>
    <row r="104" spans="1:3" x14ac:dyDescent="0.3">
      <c r="A104" s="3" t="s">
        <v>337</v>
      </c>
      <c r="B104" s="5">
        <v>11.16</v>
      </c>
      <c r="C104" s="12">
        <f t="shared" si="2"/>
        <v>1.391365058783927E-3</v>
      </c>
    </row>
    <row r="105" spans="1:3" x14ac:dyDescent="0.3">
      <c r="A105" s="3" t="s">
        <v>338</v>
      </c>
      <c r="B105" s="5">
        <v>11.16</v>
      </c>
      <c r="C105" s="12">
        <f t="shared" si="2"/>
        <v>1.391365058783927E-3</v>
      </c>
    </row>
    <row r="106" spans="1:3" x14ac:dyDescent="0.3">
      <c r="A106" s="3" t="s">
        <v>339</v>
      </c>
      <c r="B106" s="6">
        <v>11.16</v>
      </c>
      <c r="C106" s="12">
        <f t="shared" si="2"/>
        <v>1.391365058783927E-3</v>
      </c>
    </row>
    <row r="107" spans="1:3" x14ac:dyDescent="0.3">
      <c r="A107" s="3" t="s">
        <v>340</v>
      </c>
      <c r="B107" s="6">
        <v>11.16</v>
      </c>
      <c r="C107" s="12">
        <f t="shared" si="2"/>
        <v>1.391365058783927E-3</v>
      </c>
    </row>
    <row r="108" spans="1:3" x14ac:dyDescent="0.3">
      <c r="A108" s="3" t="s">
        <v>341</v>
      </c>
      <c r="B108" s="6">
        <v>11.16</v>
      </c>
      <c r="C108" s="12">
        <f t="shared" si="2"/>
        <v>1.391365058783927E-3</v>
      </c>
    </row>
    <row r="109" spans="1:3" x14ac:dyDescent="0.3">
      <c r="A109" s="3" t="s">
        <v>342</v>
      </c>
      <c r="B109" s="6">
        <v>11.16</v>
      </c>
      <c r="C109" s="12">
        <f t="shared" si="2"/>
        <v>1.391365058783927E-3</v>
      </c>
    </row>
    <row r="110" spans="1:3" x14ac:dyDescent="0.3">
      <c r="A110" s="3" t="s">
        <v>343</v>
      </c>
      <c r="B110" s="6">
        <v>11.16</v>
      </c>
      <c r="C110" s="12">
        <f t="shared" si="2"/>
        <v>1.391365058783927E-3</v>
      </c>
    </row>
    <row r="111" spans="1:3" x14ac:dyDescent="0.3">
      <c r="A111" s="3" t="s">
        <v>344</v>
      </c>
      <c r="B111" s="6">
        <v>11.16</v>
      </c>
      <c r="C111" s="12">
        <f t="shared" si="2"/>
        <v>1.391365058783927E-3</v>
      </c>
    </row>
    <row r="112" spans="1:3" x14ac:dyDescent="0.3">
      <c r="A112" s="3" t="s">
        <v>345</v>
      </c>
      <c r="B112" s="6">
        <v>11.16</v>
      </c>
      <c r="C112" s="12">
        <f t="shared" si="2"/>
        <v>1.391365058783927E-3</v>
      </c>
    </row>
    <row r="113" spans="1:3" x14ac:dyDescent="0.3">
      <c r="A113" s="3" t="s">
        <v>346</v>
      </c>
      <c r="B113" s="6">
        <v>11.16</v>
      </c>
      <c r="C113" s="12">
        <f t="shared" si="2"/>
        <v>1.391365058783927E-3</v>
      </c>
    </row>
    <row r="114" spans="1:3" x14ac:dyDescent="0.3">
      <c r="A114" s="3" t="s">
        <v>347</v>
      </c>
      <c r="B114" s="6">
        <v>11.16</v>
      </c>
      <c r="C114" s="12">
        <f t="shared" si="2"/>
        <v>1.391365058783927E-3</v>
      </c>
    </row>
    <row r="115" spans="1:3" x14ac:dyDescent="0.3">
      <c r="A115" s="3" t="s">
        <v>348</v>
      </c>
      <c r="B115" s="6">
        <v>11.16</v>
      </c>
      <c r="C115" s="12">
        <f t="shared" si="2"/>
        <v>1.391365058783927E-3</v>
      </c>
    </row>
    <row r="116" spans="1:3" x14ac:dyDescent="0.3">
      <c r="A116" s="3" t="s">
        <v>349</v>
      </c>
      <c r="B116" s="6">
        <v>11.16</v>
      </c>
      <c r="C116" s="12">
        <f t="shared" si="2"/>
        <v>1.391365058783927E-3</v>
      </c>
    </row>
    <row r="117" spans="1:3" x14ac:dyDescent="0.3">
      <c r="A117" s="3" t="s">
        <v>350</v>
      </c>
      <c r="B117" s="6">
        <v>11.16</v>
      </c>
      <c r="C117" s="12">
        <f t="shared" si="2"/>
        <v>1.391365058783927E-3</v>
      </c>
    </row>
    <row r="118" spans="1:3" x14ac:dyDescent="0.3">
      <c r="A118" s="3" t="s">
        <v>351</v>
      </c>
      <c r="B118" s="6">
        <v>11.16</v>
      </c>
      <c r="C118" s="12">
        <f t="shared" si="2"/>
        <v>1.391365058783927E-3</v>
      </c>
    </row>
    <row r="119" spans="1:3" x14ac:dyDescent="0.3">
      <c r="A119" s="3" t="s">
        <v>352</v>
      </c>
      <c r="B119" s="6">
        <v>11.16</v>
      </c>
      <c r="C119" s="12">
        <f t="shared" si="2"/>
        <v>1.391365058783927E-3</v>
      </c>
    </row>
    <row r="120" spans="1:3" x14ac:dyDescent="0.3">
      <c r="A120" s="3" t="s">
        <v>353</v>
      </c>
      <c r="B120" s="6">
        <v>11.16</v>
      </c>
      <c r="C120" s="12">
        <f t="shared" si="2"/>
        <v>1.391365058783927E-3</v>
      </c>
    </row>
    <row r="121" spans="1:3" x14ac:dyDescent="0.3">
      <c r="A121" s="3" t="s">
        <v>354</v>
      </c>
      <c r="B121" s="6">
        <v>11.16</v>
      </c>
      <c r="C121" s="12">
        <f t="shared" si="2"/>
        <v>1.391365058783927E-3</v>
      </c>
    </row>
    <row r="122" spans="1:3" x14ac:dyDescent="0.3">
      <c r="A122" s="3" t="s">
        <v>355</v>
      </c>
      <c r="B122" s="6">
        <v>11.16</v>
      </c>
      <c r="C122" s="12">
        <f t="shared" si="2"/>
        <v>1.391365058783927E-3</v>
      </c>
    </row>
    <row r="123" spans="1:3" x14ac:dyDescent="0.3">
      <c r="A123" s="3" t="s">
        <v>356</v>
      </c>
      <c r="B123" s="6">
        <v>11.16</v>
      </c>
      <c r="C123" s="12">
        <f t="shared" si="2"/>
        <v>1.391365058783927E-3</v>
      </c>
    </row>
    <row r="124" spans="1:3" x14ac:dyDescent="0.3">
      <c r="A124" s="3" t="s">
        <v>357</v>
      </c>
      <c r="B124" s="6">
        <v>11.16</v>
      </c>
      <c r="C124" s="12">
        <f t="shared" si="2"/>
        <v>1.391365058783927E-3</v>
      </c>
    </row>
    <row r="125" spans="1:3" x14ac:dyDescent="0.3">
      <c r="A125" s="3" t="s">
        <v>358</v>
      </c>
      <c r="B125" s="6">
        <v>11.16</v>
      </c>
      <c r="C125" s="12">
        <f t="shared" si="2"/>
        <v>1.391365058783927E-3</v>
      </c>
    </row>
    <row r="126" spans="1:3" x14ac:dyDescent="0.3">
      <c r="A126" s="3" t="s">
        <v>359</v>
      </c>
      <c r="B126" s="6">
        <v>11.16</v>
      </c>
      <c r="C126" s="12">
        <f t="shared" si="2"/>
        <v>1.391365058783927E-3</v>
      </c>
    </row>
    <row r="127" spans="1:3" x14ac:dyDescent="0.3">
      <c r="A127" s="3" t="s">
        <v>360</v>
      </c>
      <c r="B127" s="6">
        <v>11.16</v>
      </c>
      <c r="C127" s="12">
        <f t="shared" si="2"/>
        <v>1.391365058783927E-3</v>
      </c>
    </row>
    <row r="128" spans="1:3" x14ac:dyDescent="0.3">
      <c r="A128" s="3" t="s">
        <v>361</v>
      </c>
      <c r="B128" s="6">
        <v>11.16</v>
      </c>
      <c r="C128" s="12">
        <f t="shared" si="2"/>
        <v>1.391365058783927E-3</v>
      </c>
    </row>
    <row r="129" spans="1:3" x14ac:dyDescent="0.3">
      <c r="A129" s="3" t="s">
        <v>362</v>
      </c>
      <c r="B129" s="6">
        <v>11.16</v>
      </c>
      <c r="C129" s="12">
        <f t="shared" si="2"/>
        <v>1.391365058783927E-3</v>
      </c>
    </row>
    <row r="130" spans="1:3" x14ac:dyDescent="0.3">
      <c r="A130" s="3" t="s">
        <v>363</v>
      </c>
      <c r="B130" s="6">
        <v>11.16</v>
      </c>
      <c r="C130" s="12">
        <f t="shared" si="2"/>
        <v>1.391365058783927E-3</v>
      </c>
    </row>
    <row r="131" spans="1:3" x14ac:dyDescent="0.3">
      <c r="A131" s="3" t="s">
        <v>364</v>
      </c>
      <c r="B131" s="6">
        <v>11.16</v>
      </c>
      <c r="C131" s="12">
        <f t="shared" ref="C131:C194" si="3">IFERROR(B131/$B$98,"")</f>
        <v>1.391365058783927E-3</v>
      </c>
    </row>
    <row r="132" spans="1:3" x14ac:dyDescent="0.3">
      <c r="A132" s="3" t="s">
        <v>365</v>
      </c>
      <c r="B132" s="6">
        <v>11.16</v>
      </c>
      <c r="C132" s="12">
        <f t="shared" si="3"/>
        <v>1.391365058783927E-3</v>
      </c>
    </row>
    <row r="133" spans="1:3" x14ac:dyDescent="0.3">
      <c r="A133" s="3" t="s">
        <v>366</v>
      </c>
      <c r="B133" s="6">
        <v>11.16</v>
      </c>
      <c r="C133" s="12">
        <f t="shared" si="3"/>
        <v>1.391365058783927E-3</v>
      </c>
    </row>
    <row r="134" spans="1:3" x14ac:dyDescent="0.3">
      <c r="A134" s="3" t="s">
        <v>367</v>
      </c>
      <c r="B134" s="6">
        <v>11.16</v>
      </c>
      <c r="C134" s="12">
        <f t="shared" si="3"/>
        <v>1.391365058783927E-3</v>
      </c>
    </row>
    <row r="135" spans="1:3" x14ac:dyDescent="0.3">
      <c r="A135" s="3" t="s">
        <v>368</v>
      </c>
      <c r="B135" s="6">
        <v>11.16</v>
      </c>
      <c r="C135" s="12">
        <f t="shared" si="3"/>
        <v>1.391365058783927E-3</v>
      </c>
    </row>
    <row r="136" spans="1:3" x14ac:dyDescent="0.3">
      <c r="A136" s="3" t="s">
        <v>369</v>
      </c>
      <c r="B136" s="6">
        <v>11.16</v>
      </c>
      <c r="C136" s="12">
        <f t="shared" si="3"/>
        <v>1.391365058783927E-3</v>
      </c>
    </row>
    <row r="137" spans="1:3" x14ac:dyDescent="0.3">
      <c r="A137" s="3" t="s">
        <v>370</v>
      </c>
      <c r="B137" s="6">
        <v>11.16</v>
      </c>
      <c r="C137" s="12">
        <f t="shared" si="3"/>
        <v>1.391365058783927E-3</v>
      </c>
    </row>
    <row r="138" spans="1:3" x14ac:dyDescent="0.3">
      <c r="A138" s="3" t="s">
        <v>371</v>
      </c>
      <c r="B138" s="6">
        <v>11.16</v>
      </c>
      <c r="C138" s="12">
        <f t="shared" si="3"/>
        <v>1.391365058783927E-3</v>
      </c>
    </row>
    <row r="139" spans="1:3" x14ac:dyDescent="0.3">
      <c r="A139" s="3" t="s">
        <v>372</v>
      </c>
      <c r="B139" s="6">
        <v>11.16</v>
      </c>
      <c r="C139" s="12">
        <f t="shared" si="3"/>
        <v>1.391365058783927E-3</v>
      </c>
    </row>
    <row r="140" spans="1:3" x14ac:dyDescent="0.3">
      <c r="A140" s="3" t="s">
        <v>373</v>
      </c>
      <c r="B140" s="6">
        <v>11.16</v>
      </c>
      <c r="C140" s="12">
        <f t="shared" si="3"/>
        <v>1.391365058783927E-3</v>
      </c>
    </row>
    <row r="141" spans="1:3" x14ac:dyDescent="0.3">
      <c r="A141" s="3" t="s">
        <v>374</v>
      </c>
      <c r="B141" s="6">
        <v>11.16</v>
      </c>
      <c r="C141" s="12">
        <f t="shared" si="3"/>
        <v>1.391365058783927E-3</v>
      </c>
    </row>
    <row r="142" spans="1:3" x14ac:dyDescent="0.3">
      <c r="A142" s="3" t="s">
        <v>375</v>
      </c>
      <c r="B142" s="6">
        <v>11.16</v>
      </c>
      <c r="C142" s="12">
        <f t="shared" si="3"/>
        <v>1.391365058783927E-3</v>
      </c>
    </row>
    <row r="143" spans="1:3" x14ac:dyDescent="0.3">
      <c r="A143" s="3" t="s">
        <v>376</v>
      </c>
      <c r="B143" s="6">
        <v>11.16</v>
      </c>
      <c r="C143" s="12">
        <f t="shared" si="3"/>
        <v>1.391365058783927E-3</v>
      </c>
    </row>
    <row r="144" spans="1:3" x14ac:dyDescent="0.3">
      <c r="A144" s="3" t="s">
        <v>377</v>
      </c>
      <c r="B144" s="6">
        <v>11.16</v>
      </c>
      <c r="C144" s="12">
        <f t="shared" si="3"/>
        <v>1.391365058783927E-3</v>
      </c>
    </row>
    <row r="145" spans="1:3" x14ac:dyDescent="0.3">
      <c r="A145" s="3" t="s">
        <v>378</v>
      </c>
      <c r="B145" s="6">
        <v>11.16</v>
      </c>
      <c r="C145" s="12">
        <f t="shared" si="3"/>
        <v>1.391365058783927E-3</v>
      </c>
    </row>
    <row r="146" spans="1:3" x14ac:dyDescent="0.3">
      <c r="A146" s="3" t="s">
        <v>379</v>
      </c>
      <c r="B146" s="6">
        <v>11.16</v>
      </c>
      <c r="C146" s="12">
        <f t="shared" si="3"/>
        <v>1.391365058783927E-3</v>
      </c>
    </row>
    <row r="147" spans="1:3" x14ac:dyDescent="0.3">
      <c r="A147" s="3" t="s">
        <v>380</v>
      </c>
      <c r="B147" s="6">
        <v>11.16</v>
      </c>
      <c r="C147" s="12">
        <f t="shared" si="3"/>
        <v>1.391365058783927E-3</v>
      </c>
    </row>
    <row r="148" spans="1:3" x14ac:dyDescent="0.3">
      <c r="A148" s="3" t="s">
        <v>381</v>
      </c>
      <c r="B148" s="6">
        <v>11.16</v>
      </c>
      <c r="C148" s="12">
        <f t="shared" si="3"/>
        <v>1.391365058783927E-3</v>
      </c>
    </row>
    <row r="149" spans="1:3" x14ac:dyDescent="0.3">
      <c r="A149" s="3" t="s">
        <v>382</v>
      </c>
      <c r="B149" s="6">
        <v>11.16</v>
      </c>
      <c r="C149" s="12">
        <f t="shared" si="3"/>
        <v>1.391365058783927E-3</v>
      </c>
    </row>
    <row r="150" spans="1:3" x14ac:dyDescent="0.3">
      <c r="A150" s="3" t="s">
        <v>383</v>
      </c>
      <c r="B150" s="6">
        <v>11.16</v>
      </c>
      <c r="C150" s="12">
        <f t="shared" si="3"/>
        <v>1.391365058783927E-3</v>
      </c>
    </row>
    <row r="151" spans="1:3" x14ac:dyDescent="0.3">
      <c r="A151" s="3" t="s">
        <v>384</v>
      </c>
      <c r="B151" s="6">
        <v>11.16</v>
      </c>
      <c r="C151" s="12">
        <f t="shared" si="3"/>
        <v>1.391365058783927E-3</v>
      </c>
    </row>
    <row r="152" spans="1:3" x14ac:dyDescent="0.3">
      <c r="A152" s="3" t="s">
        <v>385</v>
      </c>
      <c r="B152" s="6">
        <v>11.16</v>
      </c>
      <c r="C152" s="12">
        <f t="shared" si="3"/>
        <v>1.391365058783927E-3</v>
      </c>
    </row>
    <row r="153" spans="1:3" x14ac:dyDescent="0.3">
      <c r="A153" s="3" t="s">
        <v>386</v>
      </c>
      <c r="B153" s="6">
        <v>11.16</v>
      </c>
      <c r="C153" s="12">
        <f t="shared" si="3"/>
        <v>1.391365058783927E-3</v>
      </c>
    </row>
    <row r="154" spans="1:3" x14ac:dyDescent="0.3">
      <c r="A154" s="3" t="s">
        <v>387</v>
      </c>
      <c r="B154" s="6">
        <v>11.16</v>
      </c>
      <c r="C154" s="12">
        <f t="shared" si="3"/>
        <v>1.391365058783927E-3</v>
      </c>
    </row>
    <row r="155" spans="1:3" x14ac:dyDescent="0.3">
      <c r="A155" s="3" t="s">
        <v>388</v>
      </c>
      <c r="B155" s="6">
        <v>11.16</v>
      </c>
      <c r="C155" s="12">
        <f t="shared" si="3"/>
        <v>1.391365058783927E-3</v>
      </c>
    </row>
    <row r="156" spans="1:3" x14ac:dyDescent="0.3">
      <c r="A156" s="3" t="s">
        <v>389</v>
      </c>
      <c r="B156" s="6">
        <v>11.16</v>
      </c>
      <c r="C156" s="12">
        <f t="shared" si="3"/>
        <v>1.391365058783927E-3</v>
      </c>
    </row>
    <row r="157" spans="1:3" x14ac:dyDescent="0.3">
      <c r="A157" s="3" t="s">
        <v>390</v>
      </c>
      <c r="B157" s="6">
        <v>11.16</v>
      </c>
      <c r="C157" s="12">
        <f t="shared" si="3"/>
        <v>1.391365058783927E-3</v>
      </c>
    </row>
    <row r="158" spans="1:3" x14ac:dyDescent="0.3">
      <c r="A158" s="3" t="s">
        <v>391</v>
      </c>
      <c r="B158" s="6">
        <v>11.16</v>
      </c>
      <c r="C158" s="12">
        <f t="shared" si="3"/>
        <v>1.391365058783927E-3</v>
      </c>
    </row>
    <row r="159" spans="1:3" x14ac:dyDescent="0.3">
      <c r="A159" s="3" t="s">
        <v>392</v>
      </c>
      <c r="B159" s="6">
        <v>11.16</v>
      </c>
      <c r="C159" s="12">
        <f t="shared" si="3"/>
        <v>1.391365058783927E-3</v>
      </c>
    </row>
    <row r="160" spans="1:3" x14ac:dyDescent="0.3">
      <c r="A160" s="3" t="s">
        <v>393</v>
      </c>
      <c r="B160" s="6">
        <v>11.16</v>
      </c>
      <c r="C160" s="12">
        <f t="shared" si="3"/>
        <v>1.391365058783927E-3</v>
      </c>
    </row>
    <row r="161" spans="1:3" x14ac:dyDescent="0.3">
      <c r="A161" s="3" t="s">
        <v>394</v>
      </c>
      <c r="B161" s="6">
        <v>11.16</v>
      </c>
      <c r="C161" s="12">
        <f t="shared" si="3"/>
        <v>1.391365058783927E-3</v>
      </c>
    </row>
    <row r="162" spans="1:3" x14ac:dyDescent="0.3">
      <c r="A162" s="3" t="s">
        <v>395</v>
      </c>
      <c r="B162" s="6">
        <v>11.16</v>
      </c>
      <c r="C162" s="12">
        <f t="shared" si="3"/>
        <v>1.391365058783927E-3</v>
      </c>
    </row>
    <row r="163" spans="1:3" x14ac:dyDescent="0.3">
      <c r="A163" s="3" t="s">
        <v>396</v>
      </c>
      <c r="B163" s="6">
        <v>11.16</v>
      </c>
      <c r="C163" s="12">
        <f t="shared" si="3"/>
        <v>1.391365058783927E-3</v>
      </c>
    </row>
    <row r="164" spans="1:3" x14ac:dyDescent="0.3">
      <c r="A164" s="3" t="s">
        <v>397</v>
      </c>
      <c r="B164" s="6">
        <v>11.16</v>
      </c>
      <c r="C164" s="12">
        <f t="shared" si="3"/>
        <v>1.391365058783927E-3</v>
      </c>
    </row>
    <row r="165" spans="1:3" x14ac:dyDescent="0.3">
      <c r="A165" s="3" t="s">
        <v>398</v>
      </c>
      <c r="B165" s="6">
        <v>11.16</v>
      </c>
      <c r="C165" s="12">
        <f t="shared" si="3"/>
        <v>1.391365058783927E-3</v>
      </c>
    </row>
    <row r="166" spans="1:3" x14ac:dyDescent="0.3">
      <c r="A166" s="3" t="s">
        <v>399</v>
      </c>
      <c r="B166" s="6">
        <v>11.16</v>
      </c>
      <c r="C166" s="12">
        <f t="shared" si="3"/>
        <v>1.391365058783927E-3</v>
      </c>
    </row>
    <row r="167" spans="1:3" x14ac:dyDescent="0.3">
      <c r="A167" s="3" t="s">
        <v>400</v>
      </c>
      <c r="B167" s="6">
        <v>11.16</v>
      </c>
      <c r="C167" s="12">
        <f t="shared" si="3"/>
        <v>1.391365058783927E-3</v>
      </c>
    </row>
    <row r="168" spans="1:3" x14ac:dyDescent="0.3">
      <c r="A168" s="3" t="s">
        <v>401</v>
      </c>
      <c r="B168" s="6">
        <v>11.16</v>
      </c>
      <c r="C168" s="12">
        <f t="shared" si="3"/>
        <v>1.391365058783927E-3</v>
      </c>
    </row>
    <row r="169" spans="1:3" x14ac:dyDescent="0.3">
      <c r="A169" s="3" t="s">
        <v>402</v>
      </c>
      <c r="B169" s="6">
        <v>11.16</v>
      </c>
      <c r="C169" s="12">
        <f t="shared" si="3"/>
        <v>1.391365058783927E-3</v>
      </c>
    </row>
    <row r="170" spans="1:3" x14ac:dyDescent="0.3">
      <c r="A170" s="3" t="s">
        <v>403</v>
      </c>
      <c r="B170" s="6">
        <v>11.16</v>
      </c>
      <c r="C170" s="12">
        <f t="shared" si="3"/>
        <v>1.391365058783927E-3</v>
      </c>
    </row>
    <row r="171" spans="1:3" x14ac:dyDescent="0.3">
      <c r="A171" s="3" t="s">
        <v>404</v>
      </c>
      <c r="B171" s="6">
        <v>11.16</v>
      </c>
      <c r="C171" s="12">
        <f t="shared" si="3"/>
        <v>1.391365058783927E-3</v>
      </c>
    </row>
    <row r="172" spans="1:3" x14ac:dyDescent="0.3">
      <c r="A172" s="3" t="s">
        <v>405</v>
      </c>
      <c r="B172" s="6">
        <v>11.16</v>
      </c>
      <c r="C172" s="12">
        <f t="shared" si="3"/>
        <v>1.391365058783927E-3</v>
      </c>
    </row>
    <row r="173" spans="1:3" x14ac:dyDescent="0.3">
      <c r="A173" s="3" t="s">
        <v>406</v>
      </c>
      <c r="B173" s="6">
        <v>11.16</v>
      </c>
      <c r="C173" s="12">
        <f t="shared" si="3"/>
        <v>1.391365058783927E-3</v>
      </c>
    </row>
    <row r="174" spans="1:3" x14ac:dyDescent="0.3">
      <c r="A174" s="3" t="s">
        <v>407</v>
      </c>
      <c r="B174" s="6">
        <v>11.16</v>
      </c>
      <c r="C174" s="12">
        <f t="shared" si="3"/>
        <v>1.391365058783927E-3</v>
      </c>
    </row>
    <row r="175" spans="1:3" x14ac:dyDescent="0.3">
      <c r="A175" s="3" t="s">
        <v>408</v>
      </c>
      <c r="B175" s="6">
        <v>11.16</v>
      </c>
      <c r="C175" s="12">
        <f t="shared" si="3"/>
        <v>1.391365058783927E-3</v>
      </c>
    </row>
    <row r="176" spans="1:3" x14ac:dyDescent="0.3">
      <c r="A176" s="3" t="s">
        <v>409</v>
      </c>
      <c r="B176" s="6">
        <v>11.16</v>
      </c>
      <c r="C176" s="12">
        <f t="shared" si="3"/>
        <v>1.391365058783927E-3</v>
      </c>
    </row>
    <row r="177" spans="1:3" x14ac:dyDescent="0.3">
      <c r="A177" s="3" t="s">
        <v>410</v>
      </c>
      <c r="B177" s="6">
        <v>11.16</v>
      </c>
      <c r="C177" s="12">
        <f t="shared" si="3"/>
        <v>1.391365058783927E-3</v>
      </c>
    </row>
    <row r="178" spans="1:3" x14ac:dyDescent="0.3">
      <c r="A178" s="3" t="s">
        <v>411</v>
      </c>
      <c r="B178" s="6">
        <v>11.16</v>
      </c>
      <c r="C178" s="12">
        <f t="shared" si="3"/>
        <v>1.391365058783927E-3</v>
      </c>
    </row>
    <row r="179" spans="1:3" x14ac:dyDescent="0.3">
      <c r="A179" s="3" t="s">
        <v>412</v>
      </c>
      <c r="B179" s="6">
        <v>11.16</v>
      </c>
      <c r="C179" s="12">
        <f t="shared" si="3"/>
        <v>1.391365058783927E-3</v>
      </c>
    </row>
    <row r="180" spans="1:3" x14ac:dyDescent="0.3">
      <c r="A180" s="3" t="s">
        <v>413</v>
      </c>
      <c r="B180" s="6">
        <v>11.16</v>
      </c>
      <c r="C180" s="12">
        <f t="shared" si="3"/>
        <v>1.391365058783927E-3</v>
      </c>
    </row>
    <row r="181" spans="1:3" x14ac:dyDescent="0.3">
      <c r="A181" s="3" t="s">
        <v>414</v>
      </c>
      <c r="B181" s="6">
        <v>11.16</v>
      </c>
      <c r="C181" s="12">
        <f t="shared" si="3"/>
        <v>1.391365058783927E-3</v>
      </c>
    </row>
    <row r="182" spans="1:3" x14ac:dyDescent="0.3">
      <c r="A182" s="3" t="s">
        <v>415</v>
      </c>
      <c r="B182" s="6">
        <v>11.16</v>
      </c>
      <c r="C182" s="12">
        <f t="shared" si="3"/>
        <v>1.391365058783927E-3</v>
      </c>
    </row>
    <row r="183" spans="1:3" x14ac:dyDescent="0.3">
      <c r="A183" s="3" t="s">
        <v>416</v>
      </c>
      <c r="B183" s="6">
        <v>11.16</v>
      </c>
      <c r="C183" s="12">
        <f t="shared" si="3"/>
        <v>1.391365058783927E-3</v>
      </c>
    </row>
    <row r="184" spans="1:3" x14ac:dyDescent="0.3">
      <c r="A184" s="3" t="s">
        <v>417</v>
      </c>
      <c r="B184" s="6">
        <v>11.16</v>
      </c>
      <c r="C184" s="12">
        <f t="shared" si="3"/>
        <v>1.391365058783927E-3</v>
      </c>
    </row>
    <row r="185" spans="1:3" x14ac:dyDescent="0.3">
      <c r="A185" s="3" t="s">
        <v>418</v>
      </c>
      <c r="B185" s="6">
        <v>11.16</v>
      </c>
      <c r="C185" s="12">
        <f t="shared" si="3"/>
        <v>1.391365058783927E-3</v>
      </c>
    </row>
    <row r="186" spans="1:3" x14ac:dyDescent="0.3">
      <c r="A186" s="3" t="s">
        <v>419</v>
      </c>
      <c r="B186" s="6">
        <v>11.16</v>
      </c>
      <c r="C186" s="12">
        <f t="shared" si="3"/>
        <v>1.391365058783927E-3</v>
      </c>
    </row>
    <row r="187" spans="1:3" x14ac:dyDescent="0.3">
      <c r="A187" s="3" t="s">
        <v>420</v>
      </c>
      <c r="B187" s="6">
        <v>11.16</v>
      </c>
      <c r="C187" s="12">
        <f t="shared" si="3"/>
        <v>1.391365058783927E-3</v>
      </c>
    </row>
    <row r="188" spans="1:3" x14ac:dyDescent="0.3">
      <c r="A188" s="3" t="s">
        <v>421</v>
      </c>
      <c r="B188" s="6">
        <v>11.16</v>
      </c>
      <c r="C188" s="12">
        <f t="shared" si="3"/>
        <v>1.391365058783927E-3</v>
      </c>
    </row>
    <row r="189" spans="1:3" x14ac:dyDescent="0.3">
      <c r="A189" s="3" t="s">
        <v>422</v>
      </c>
      <c r="B189" s="6">
        <v>11.16</v>
      </c>
      <c r="C189" s="12">
        <f t="shared" si="3"/>
        <v>1.391365058783927E-3</v>
      </c>
    </row>
    <row r="190" spans="1:3" x14ac:dyDescent="0.3">
      <c r="A190" s="3" t="s">
        <v>423</v>
      </c>
      <c r="B190" s="6">
        <v>11.16</v>
      </c>
      <c r="C190" s="12">
        <f t="shared" si="3"/>
        <v>1.391365058783927E-3</v>
      </c>
    </row>
    <row r="191" spans="1:3" x14ac:dyDescent="0.3">
      <c r="A191" s="3" t="s">
        <v>424</v>
      </c>
      <c r="B191" s="6">
        <v>11.16</v>
      </c>
      <c r="C191" s="12">
        <f t="shared" si="3"/>
        <v>1.391365058783927E-3</v>
      </c>
    </row>
    <row r="192" spans="1:3" x14ac:dyDescent="0.3">
      <c r="A192" s="3" t="s">
        <v>425</v>
      </c>
      <c r="B192" s="6">
        <v>11.16</v>
      </c>
      <c r="C192" s="12">
        <f t="shared" si="3"/>
        <v>1.391365058783927E-3</v>
      </c>
    </row>
    <row r="193" spans="1:3" x14ac:dyDescent="0.3">
      <c r="A193" s="3" t="s">
        <v>426</v>
      </c>
      <c r="B193" s="6">
        <v>11.16</v>
      </c>
      <c r="C193" s="12">
        <f t="shared" si="3"/>
        <v>1.391365058783927E-3</v>
      </c>
    </row>
    <row r="194" spans="1:3" x14ac:dyDescent="0.3">
      <c r="A194" s="3" t="s">
        <v>427</v>
      </c>
      <c r="B194" s="6">
        <v>11.16</v>
      </c>
      <c r="C194" s="12">
        <f t="shared" si="3"/>
        <v>1.391365058783927E-3</v>
      </c>
    </row>
    <row r="195" spans="1:3" x14ac:dyDescent="0.3">
      <c r="A195" s="3" t="s">
        <v>428</v>
      </c>
      <c r="B195" s="6">
        <v>11.16</v>
      </c>
      <c r="C195" s="12">
        <f t="shared" ref="C195:C258" si="4">IFERROR(B195/$B$98,"")</f>
        <v>1.391365058783927E-3</v>
      </c>
    </row>
    <row r="196" spans="1:3" x14ac:dyDescent="0.3">
      <c r="A196" s="3" t="s">
        <v>429</v>
      </c>
      <c r="B196" s="6">
        <v>11.16</v>
      </c>
      <c r="C196" s="12">
        <f t="shared" si="4"/>
        <v>1.391365058783927E-3</v>
      </c>
    </row>
    <row r="197" spans="1:3" x14ac:dyDescent="0.3">
      <c r="A197" s="3" t="s">
        <v>430</v>
      </c>
      <c r="B197" s="6">
        <v>11.16</v>
      </c>
      <c r="C197" s="12">
        <f t="shared" si="4"/>
        <v>1.391365058783927E-3</v>
      </c>
    </row>
    <row r="198" spans="1:3" x14ac:dyDescent="0.3">
      <c r="A198" s="3" t="s">
        <v>431</v>
      </c>
      <c r="B198" s="6">
        <v>11.16</v>
      </c>
      <c r="C198" s="12">
        <f t="shared" si="4"/>
        <v>1.391365058783927E-3</v>
      </c>
    </row>
    <row r="199" spans="1:3" x14ac:dyDescent="0.3">
      <c r="A199" s="3" t="s">
        <v>432</v>
      </c>
      <c r="B199" s="6">
        <v>11.16</v>
      </c>
      <c r="C199" s="12">
        <f t="shared" si="4"/>
        <v>1.391365058783927E-3</v>
      </c>
    </row>
    <row r="200" spans="1:3" x14ac:dyDescent="0.3">
      <c r="A200" s="3" t="s">
        <v>433</v>
      </c>
      <c r="B200" s="6">
        <v>11.16</v>
      </c>
      <c r="C200" s="12">
        <f t="shared" si="4"/>
        <v>1.391365058783927E-3</v>
      </c>
    </row>
    <row r="201" spans="1:3" x14ac:dyDescent="0.3">
      <c r="A201" s="3" t="s">
        <v>434</v>
      </c>
      <c r="B201" s="6">
        <v>11.16</v>
      </c>
      <c r="C201" s="12">
        <f t="shared" si="4"/>
        <v>1.391365058783927E-3</v>
      </c>
    </row>
    <row r="202" spans="1:3" x14ac:dyDescent="0.3">
      <c r="A202" s="3" t="s">
        <v>435</v>
      </c>
      <c r="B202" s="6">
        <v>11.16</v>
      </c>
      <c r="C202" s="12">
        <f t="shared" si="4"/>
        <v>1.391365058783927E-3</v>
      </c>
    </row>
    <row r="203" spans="1:3" x14ac:dyDescent="0.3">
      <c r="A203" s="3" t="s">
        <v>436</v>
      </c>
      <c r="B203" s="6">
        <v>11.16</v>
      </c>
      <c r="C203" s="12">
        <f t="shared" si="4"/>
        <v>1.391365058783927E-3</v>
      </c>
    </row>
    <row r="204" spans="1:3" x14ac:dyDescent="0.3">
      <c r="A204" s="3" t="s">
        <v>437</v>
      </c>
      <c r="B204" s="6">
        <v>11.16</v>
      </c>
      <c r="C204" s="12">
        <f t="shared" si="4"/>
        <v>1.391365058783927E-3</v>
      </c>
    </row>
    <row r="205" spans="1:3" x14ac:dyDescent="0.3">
      <c r="A205" s="3" t="s">
        <v>438</v>
      </c>
      <c r="B205" s="6">
        <v>11.16</v>
      </c>
      <c r="C205" s="12">
        <f t="shared" si="4"/>
        <v>1.391365058783927E-3</v>
      </c>
    </row>
    <row r="206" spans="1:3" x14ac:dyDescent="0.3">
      <c r="A206" s="3" t="s">
        <v>439</v>
      </c>
      <c r="B206" s="6">
        <v>11.16</v>
      </c>
      <c r="C206" s="12">
        <f t="shared" si="4"/>
        <v>1.391365058783927E-3</v>
      </c>
    </row>
    <row r="207" spans="1:3" x14ac:dyDescent="0.3">
      <c r="A207" s="3" t="s">
        <v>440</v>
      </c>
      <c r="B207" s="6">
        <v>11.16</v>
      </c>
      <c r="C207" s="12">
        <f t="shared" si="4"/>
        <v>1.391365058783927E-3</v>
      </c>
    </row>
    <row r="208" spans="1:3" x14ac:dyDescent="0.3">
      <c r="A208" s="3" t="s">
        <v>441</v>
      </c>
      <c r="B208" s="6">
        <v>11.16</v>
      </c>
      <c r="C208" s="12">
        <f t="shared" si="4"/>
        <v>1.391365058783927E-3</v>
      </c>
    </row>
    <row r="209" spans="1:3" x14ac:dyDescent="0.3">
      <c r="A209" s="3" t="s">
        <v>442</v>
      </c>
      <c r="B209" s="6">
        <v>11.16</v>
      </c>
      <c r="C209" s="12">
        <f t="shared" si="4"/>
        <v>1.391365058783927E-3</v>
      </c>
    </row>
    <row r="210" spans="1:3" x14ac:dyDescent="0.3">
      <c r="A210" s="3" t="s">
        <v>443</v>
      </c>
      <c r="B210" s="6">
        <v>11.16</v>
      </c>
      <c r="C210" s="12">
        <f t="shared" si="4"/>
        <v>1.391365058783927E-3</v>
      </c>
    </row>
    <row r="211" spans="1:3" x14ac:dyDescent="0.3">
      <c r="A211" s="3" t="s">
        <v>444</v>
      </c>
      <c r="B211" s="6">
        <v>11.16</v>
      </c>
      <c r="C211" s="12">
        <f t="shared" si="4"/>
        <v>1.391365058783927E-3</v>
      </c>
    </row>
    <row r="212" spans="1:3" x14ac:dyDescent="0.3">
      <c r="A212" s="3" t="s">
        <v>445</v>
      </c>
      <c r="B212" s="6">
        <v>11.16</v>
      </c>
      <c r="C212" s="12">
        <f t="shared" si="4"/>
        <v>1.391365058783927E-3</v>
      </c>
    </row>
    <row r="213" spans="1:3" x14ac:dyDescent="0.3">
      <c r="A213" s="3" t="s">
        <v>446</v>
      </c>
      <c r="B213" s="6">
        <v>11.16</v>
      </c>
      <c r="C213" s="12">
        <f t="shared" si="4"/>
        <v>1.391365058783927E-3</v>
      </c>
    </row>
    <row r="214" spans="1:3" x14ac:dyDescent="0.3">
      <c r="A214" s="3" t="s">
        <v>447</v>
      </c>
      <c r="B214" s="6">
        <v>11.16</v>
      </c>
      <c r="C214" s="12">
        <f t="shared" si="4"/>
        <v>1.391365058783927E-3</v>
      </c>
    </row>
    <row r="215" spans="1:3" x14ac:dyDescent="0.3">
      <c r="A215" s="3" t="s">
        <v>448</v>
      </c>
      <c r="B215" s="6">
        <v>11.16</v>
      </c>
      <c r="C215" s="12">
        <f t="shared" si="4"/>
        <v>1.391365058783927E-3</v>
      </c>
    </row>
    <row r="216" spans="1:3" x14ac:dyDescent="0.3">
      <c r="A216" s="3" t="s">
        <v>449</v>
      </c>
      <c r="B216" s="6">
        <v>11.16</v>
      </c>
      <c r="C216" s="12">
        <f t="shared" si="4"/>
        <v>1.391365058783927E-3</v>
      </c>
    </row>
    <row r="217" spans="1:3" x14ac:dyDescent="0.3">
      <c r="A217" s="3" t="s">
        <v>450</v>
      </c>
      <c r="B217" s="6">
        <v>11.16</v>
      </c>
      <c r="C217" s="12">
        <f t="shared" si="4"/>
        <v>1.391365058783927E-3</v>
      </c>
    </row>
    <row r="218" spans="1:3" x14ac:dyDescent="0.3">
      <c r="A218" s="3" t="s">
        <v>451</v>
      </c>
      <c r="B218" s="6">
        <v>11.16</v>
      </c>
      <c r="C218" s="12">
        <f t="shared" si="4"/>
        <v>1.391365058783927E-3</v>
      </c>
    </row>
    <row r="219" spans="1:3" x14ac:dyDescent="0.3">
      <c r="A219" s="3" t="s">
        <v>452</v>
      </c>
      <c r="B219" s="6">
        <v>11.16</v>
      </c>
      <c r="C219" s="12">
        <f t="shared" si="4"/>
        <v>1.391365058783927E-3</v>
      </c>
    </row>
    <row r="220" spans="1:3" x14ac:dyDescent="0.3">
      <c r="A220" s="3" t="s">
        <v>453</v>
      </c>
      <c r="B220" s="6">
        <v>11.16</v>
      </c>
      <c r="C220" s="12">
        <f t="shared" si="4"/>
        <v>1.391365058783927E-3</v>
      </c>
    </row>
    <row r="221" spans="1:3" x14ac:dyDescent="0.3">
      <c r="A221" s="3" t="s">
        <v>454</v>
      </c>
      <c r="B221" s="6">
        <v>11.16</v>
      </c>
      <c r="C221" s="12">
        <f t="shared" si="4"/>
        <v>1.391365058783927E-3</v>
      </c>
    </row>
    <row r="222" spans="1:3" x14ac:dyDescent="0.3">
      <c r="A222" s="3" t="s">
        <v>455</v>
      </c>
      <c r="B222" s="6">
        <v>11.16</v>
      </c>
      <c r="C222" s="12">
        <f t="shared" si="4"/>
        <v>1.391365058783927E-3</v>
      </c>
    </row>
    <row r="223" spans="1:3" x14ac:dyDescent="0.3">
      <c r="A223" s="3" t="s">
        <v>456</v>
      </c>
      <c r="B223" s="6">
        <v>11.16</v>
      </c>
      <c r="C223" s="12">
        <f t="shared" si="4"/>
        <v>1.391365058783927E-3</v>
      </c>
    </row>
    <row r="224" spans="1:3" x14ac:dyDescent="0.3">
      <c r="A224" s="3" t="s">
        <v>457</v>
      </c>
      <c r="B224" s="6">
        <v>11.16</v>
      </c>
      <c r="C224" s="12">
        <f t="shared" si="4"/>
        <v>1.391365058783927E-3</v>
      </c>
    </row>
    <row r="225" spans="1:3" x14ac:dyDescent="0.3">
      <c r="A225" s="3" t="s">
        <v>458</v>
      </c>
      <c r="B225" s="6">
        <v>11.16</v>
      </c>
      <c r="C225" s="12">
        <f t="shared" si="4"/>
        <v>1.391365058783927E-3</v>
      </c>
    </row>
    <row r="226" spans="1:3" x14ac:dyDescent="0.3">
      <c r="A226" s="3" t="s">
        <v>459</v>
      </c>
      <c r="B226" s="6">
        <v>11.16</v>
      </c>
      <c r="C226" s="12">
        <f t="shared" si="4"/>
        <v>1.391365058783927E-3</v>
      </c>
    </row>
    <row r="227" spans="1:3" x14ac:dyDescent="0.3">
      <c r="A227" s="3" t="s">
        <v>460</v>
      </c>
      <c r="B227" s="6">
        <v>11.16</v>
      </c>
      <c r="C227" s="12">
        <f t="shared" si="4"/>
        <v>1.391365058783927E-3</v>
      </c>
    </row>
    <row r="228" spans="1:3" x14ac:dyDescent="0.3">
      <c r="A228" s="3" t="s">
        <v>461</v>
      </c>
      <c r="B228" s="6">
        <v>11.16</v>
      </c>
      <c r="C228" s="12">
        <f t="shared" si="4"/>
        <v>1.391365058783927E-3</v>
      </c>
    </row>
    <row r="229" spans="1:3" x14ac:dyDescent="0.3">
      <c r="A229" s="3" t="s">
        <v>462</v>
      </c>
      <c r="B229" s="6">
        <v>11.16</v>
      </c>
      <c r="C229" s="12">
        <f t="shared" si="4"/>
        <v>1.391365058783927E-3</v>
      </c>
    </row>
    <row r="230" spans="1:3" x14ac:dyDescent="0.3">
      <c r="A230" s="3" t="s">
        <v>463</v>
      </c>
      <c r="B230" s="6">
        <v>11.16</v>
      </c>
      <c r="C230" s="12">
        <f t="shared" si="4"/>
        <v>1.391365058783927E-3</v>
      </c>
    </row>
    <row r="231" spans="1:3" x14ac:dyDescent="0.3">
      <c r="A231" s="3" t="s">
        <v>464</v>
      </c>
      <c r="B231" s="6">
        <v>11.16</v>
      </c>
      <c r="C231" s="12">
        <f t="shared" si="4"/>
        <v>1.391365058783927E-3</v>
      </c>
    </row>
    <row r="232" spans="1:3" x14ac:dyDescent="0.3">
      <c r="A232" s="3" t="s">
        <v>465</v>
      </c>
      <c r="B232" s="6">
        <v>11.16</v>
      </c>
      <c r="C232" s="12">
        <f t="shared" si="4"/>
        <v>1.391365058783927E-3</v>
      </c>
    </row>
    <row r="233" spans="1:3" x14ac:dyDescent="0.3">
      <c r="A233" s="3" t="s">
        <v>466</v>
      </c>
      <c r="B233" s="6">
        <v>11.16</v>
      </c>
      <c r="C233" s="12">
        <f t="shared" si="4"/>
        <v>1.391365058783927E-3</v>
      </c>
    </row>
    <row r="234" spans="1:3" x14ac:dyDescent="0.3">
      <c r="A234" s="3" t="s">
        <v>467</v>
      </c>
      <c r="B234" s="6">
        <v>11.16</v>
      </c>
      <c r="C234" s="12">
        <f t="shared" si="4"/>
        <v>1.391365058783927E-3</v>
      </c>
    </row>
    <row r="235" spans="1:3" x14ac:dyDescent="0.3">
      <c r="A235" s="3" t="s">
        <v>468</v>
      </c>
      <c r="B235" s="6">
        <v>11.16</v>
      </c>
      <c r="C235" s="12">
        <f t="shared" si="4"/>
        <v>1.391365058783927E-3</v>
      </c>
    </row>
    <row r="236" spans="1:3" x14ac:dyDescent="0.3">
      <c r="A236" s="3" t="s">
        <v>469</v>
      </c>
      <c r="B236" s="6">
        <v>11.16</v>
      </c>
      <c r="C236" s="12">
        <f t="shared" si="4"/>
        <v>1.391365058783927E-3</v>
      </c>
    </row>
    <row r="237" spans="1:3" x14ac:dyDescent="0.3">
      <c r="A237" s="3" t="s">
        <v>470</v>
      </c>
      <c r="B237" s="6">
        <v>11.16</v>
      </c>
      <c r="C237" s="12">
        <f t="shared" si="4"/>
        <v>1.391365058783927E-3</v>
      </c>
    </row>
    <row r="238" spans="1:3" x14ac:dyDescent="0.3">
      <c r="A238" s="3" t="s">
        <v>471</v>
      </c>
      <c r="B238" s="6">
        <v>11.16</v>
      </c>
      <c r="C238" s="12">
        <f t="shared" si="4"/>
        <v>1.391365058783927E-3</v>
      </c>
    </row>
    <row r="239" spans="1:3" x14ac:dyDescent="0.3">
      <c r="A239" s="3" t="s">
        <v>472</v>
      </c>
      <c r="B239" s="6">
        <v>11.16</v>
      </c>
      <c r="C239" s="12">
        <f t="shared" si="4"/>
        <v>1.391365058783927E-3</v>
      </c>
    </row>
    <row r="240" spans="1:3" x14ac:dyDescent="0.3">
      <c r="A240" s="3" t="s">
        <v>473</v>
      </c>
      <c r="B240" s="6">
        <v>11.16</v>
      </c>
      <c r="C240" s="12">
        <f t="shared" si="4"/>
        <v>1.391365058783927E-3</v>
      </c>
    </row>
    <row r="241" spans="1:3" x14ac:dyDescent="0.3">
      <c r="A241" s="3" t="s">
        <v>474</v>
      </c>
      <c r="B241" s="6">
        <v>11.16</v>
      </c>
      <c r="C241" s="12">
        <f t="shared" si="4"/>
        <v>1.391365058783927E-3</v>
      </c>
    </row>
    <row r="242" spans="1:3" x14ac:dyDescent="0.3">
      <c r="A242" s="3" t="s">
        <v>475</v>
      </c>
      <c r="B242" s="6">
        <v>11.16</v>
      </c>
      <c r="C242" s="12">
        <f t="shared" si="4"/>
        <v>1.391365058783927E-3</v>
      </c>
    </row>
    <row r="243" spans="1:3" x14ac:dyDescent="0.3">
      <c r="A243" s="3" t="s">
        <v>476</v>
      </c>
      <c r="B243" s="6">
        <v>11.16</v>
      </c>
      <c r="C243" s="12">
        <f t="shared" si="4"/>
        <v>1.391365058783927E-3</v>
      </c>
    </row>
    <row r="244" spans="1:3" x14ac:dyDescent="0.3">
      <c r="A244" s="3" t="s">
        <v>477</v>
      </c>
      <c r="B244" s="6">
        <v>11.16</v>
      </c>
      <c r="C244" s="12">
        <f t="shared" si="4"/>
        <v>1.391365058783927E-3</v>
      </c>
    </row>
    <row r="245" spans="1:3" x14ac:dyDescent="0.3">
      <c r="A245" s="3" t="s">
        <v>478</v>
      </c>
      <c r="B245" s="6">
        <v>11.16</v>
      </c>
      <c r="C245" s="12">
        <f t="shared" si="4"/>
        <v>1.391365058783927E-3</v>
      </c>
    </row>
    <row r="246" spans="1:3" x14ac:dyDescent="0.3">
      <c r="A246" s="3" t="s">
        <v>479</v>
      </c>
      <c r="B246" s="6">
        <v>11.16</v>
      </c>
      <c r="C246" s="12">
        <f t="shared" si="4"/>
        <v>1.391365058783927E-3</v>
      </c>
    </row>
    <row r="247" spans="1:3" x14ac:dyDescent="0.3">
      <c r="A247" s="3" t="s">
        <v>480</v>
      </c>
      <c r="B247" s="6">
        <v>11.16</v>
      </c>
      <c r="C247" s="12">
        <f t="shared" si="4"/>
        <v>1.391365058783927E-3</v>
      </c>
    </row>
    <row r="248" spans="1:3" x14ac:dyDescent="0.3">
      <c r="A248" s="3" t="s">
        <v>481</v>
      </c>
      <c r="B248" s="6">
        <v>11.16</v>
      </c>
      <c r="C248" s="12">
        <f t="shared" si="4"/>
        <v>1.391365058783927E-3</v>
      </c>
    </row>
    <row r="249" spans="1:3" x14ac:dyDescent="0.3">
      <c r="A249" s="3" t="s">
        <v>482</v>
      </c>
      <c r="B249" s="6">
        <v>11.34</v>
      </c>
      <c r="C249" s="12">
        <f t="shared" si="4"/>
        <v>1.4138064306997969E-3</v>
      </c>
    </row>
    <row r="250" spans="1:3" x14ac:dyDescent="0.3">
      <c r="A250" s="3" t="s">
        <v>483</v>
      </c>
      <c r="B250" s="6">
        <v>11.34</v>
      </c>
      <c r="C250" s="12">
        <f t="shared" si="4"/>
        <v>1.4138064306997969E-3</v>
      </c>
    </row>
    <row r="251" spans="1:3" x14ac:dyDescent="0.3">
      <c r="A251" s="3" t="s">
        <v>484</v>
      </c>
      <c r="B251" s="6">
        <v>11.34</v>
      </c>
      <c r="C251" s="12">
        <f t="shared" si="4"/>
        <v>1.4138064306997969E-3</v>
      </c>
    </row>
    <row r="252" spans="1:3" x14ac:dyDescent="0.3">
      <c r="A252" s="3" t="s">
        <v>485</v>
      </c>
      <c r="B252" s="6">
        <v>11.34</v>
      </c>
      <c r="C252" s="12">
        <f t="shared" si="4"/>
        <v>1.4138064306997969E-3</v>
      </c>
    </row>
    <row r="253" spans="1:3" x14ac:dyDescent="0.3">
      <c r="A253" s="3" t="s">
        <v>486</v>
      </c>
      <c r="B253" s="6">
        <v>11.34</v>
      </c>
      <c r="C253" s="12">
        <f t="shared" si="4"/>
        <v>1.4138064306997969E-3</v>
      </c>
    </row>
    <row r="254" spans="1:3" x14ac:dyDescent="0.3">
      <c r="A254" s="3" t="s">
        <v>487</v>
      </c>
      <c r="B254" s="6">
        <v>11.34</v>
      </c>
      <c r="C254" s="12">
        <f t="shared" si="4"/>
        <v>1.4138064306997969E-3</v>
      </c>
    </row>
    <row r="255" spans="1:3" x14ac:dyDescent="0.3">
      <c r="A255" s="3" t="s">
        <v>488</v>
      </c>
      <c r="B255" s="6">
        <v>11.34</v>
      </c>
      <c r="C255" s="12">
        <f t="shared" si="4"/>
        <v>1.4138064306997969E-3</v>
      </c>
    </row>
    <row r="256" spans="1:3" x14ac:dyDescent="0.3">
      <c r="A256" s="3" t="s">
        <v>489</v>
      </c>
      <c r="B256" s="6">
        <v>11.34</v>
      </c>
      <c r="C256" s="12">
        <f t="shared" si="4"/>
        <v>1.4138064306997969E-3</v>
      </c>
    </row>
    <row r="257" spans="1:3" x14ac:dyDescent="0.3">
      <c r="A257" s="3" t="s">
        <v>490</v>
      </c>
      <c r="B257" s="6">
        <v>11.34</v>
      </c>
      <c r="C257" s="12">
        <f t="shared" si="4"/>
        <v>1.4138064306997969E-3</v>
      </c>
    </row>
    <row r="258" spans="1:3" x14ac:dyDescent="0.3">
      <c r="A258" s="3" t="s">
        <v>491</v>
      </c>
      <c r="B258" s="6">
        <v>11.34</v>
      </c>
      <c r="C258" s="12">
        <f t="shared" si="4"/>
        <v>1.4138064306997969E-3</v>
      </c>
    </row>
    <row r="259" spans="1:3" x14ac:dyDescent="0.3">
      <c r="A259" s="3" t="s">
        <v>492</v>
      </c>
      <c r="B259" s="6">
        <v>11.34</v>
      </c>
      <c r="C259" s="12">
        <f t="shared" ref="C259:C322" si="5">IFERROR(B259/$B$98,"")</f>
        <v>1.4138064306997969E-3</v>
      </c>
    </row>
    <row r="260" spans="1:3" x14ac:dyDescent="0.3">
      <c r="A260" s="3" t="s">
        <v>493</v>
      </c>
      <c r="B260" s="6">
        <v>11.34</v>
      </c>
      <c r="C260" s="12">
        <f t="shared" si="5"/>
        <v>1.4138064306997969E-3</v>
      </c>
    </row>
    <row r="261" spans="1:3" x14ac:dyDescent="0.3">
      <c r="A261" s="3" t="s">
        <v>494</v>
      </c>
      <c r="B261" s="6">
        <v>11.34</v>
      </c>
      <c r="C261" s="12">
        <f t="shared" si="5"/>
        <v>1.4138064306997969E-3</v>
      </c>
    </row>
    <row r="262" spans="1:3" x14ac:dyDescent="0.3">
      <c r="A262" s="3" t="s">
        <v>495</v>
      </c>
      <c r="B262" s="6">
        <v>11.34</v>
      </c>
      <c r="C262" s="12">
        <f t="shared" si="5"/>
        <v>1.4138064306997969E-3</v>
      </c>
    </row>
    <row r="263" spans="1:3" x14ac:dyDescent="0.3">
      <c r="A263" s="3" t="s">
        <v>496</v>
      </c>
      <c r="B263" s="6">
        <v>11.34</v>
      </c>
      <c r="C263" s="12">
        <f t="shared" si="5"/>
        <v>1.4138064306997969E-3</v>
      </c>
    </row>
    <row r="264" spans="1:3" x14ac:dyDescent="0.3">
      <c r="A264" s="3" t="s">
        <v>497</v>
      </c>
      <c r="B264" s="6">
        <v>11.34</v>
      </c>
      <c r="C264" s="12">
        <f t="shared" si="5"/>
        <v>1.4138064306997969E-3</v>
      </c>
    </row>
    <row r="265" spans="1:3" x14ac:dyDescent="0.3">
      <c r="A265" s="3" t="s">
        <v>498</v>
      </c>
      <c r="B265" s="6">
        <v>11.34</v>
      </c>
      <c r="C265" s="12">
        <f t="shared" si="5"/>
        <v>1.4138064306997969E-3</v>
      </c>
    </row>
    <row r="266" spans="1:3" x14ac:dyDescent="0.3">
      <c r="A266" s="3" t="s">
        <v>499</v>
      </c>
      <c r="B266" s="6">
        <v>11.34</v>
      </c>
      <c r="C266" s="12">
        <f t="shared" si="5"/>
        <v>1.4138064306997969E-3</v>
      </c>
    </row>
    <row r="267" spans="1:3" x14ac:dyDescent="0.3">
      <c r="A267" s="3" t="s">
        <v>500</v>
      </c>
      <c r="B267" s="6">
        <v>11.34</v>
      </c>
      <c r="C267" s="12">
        <f t="shared" si="5"/>
        <v>1.4138064306997969E-3</v>
      </c>
    </row>
    <row r="268" spans="1:3" x14ac:dyDescent="0.3">
      <c r="A268" s="3" t="s">
        <v>501</v>
      </c>
      <c r="B268" s="6">
        <v>11.34</v>
      </c>
      <c r="C268" s="12">
        <f t="shared" si="5"/>
        <v>1.4138064306997969E-3</v>
      </c>
    </row>
    <row r="269" spans="1:3" x14ac:dyDescent="0.3">
      <c r="A269" s="3" t="s">
        <v>502</v>
      </c>
      <c r="B269" s="6">
        <v>11.34</v>
      </c>
      <c r="C269" s="12">
        <f t="shared" si="5"/>
        <v>1.4138064306997969E-3</v>
      </c>
    </row>
    <row r="270" spans="1:3" x14ac:dyDescent="0.3">
      <c r="A270" s="3" t="s">
        <v>503</v>
      </c>
      <c r="B270" s="6">
        <v>11.34</v>
      </c>
      <c r="C270" s="12">
        <f t="shared" si="5"/>
        <v>1.4138064306997969E-3</v>
      </c>
    </row>
    <row r="271" spans="1:3" x14ac:dyDescent="0.3">
      <c r="A271" s="3" t="s">
        <v>504</v>
      </c>
      <c r="B271" s="6">
        <v>11.34</v>
      </c>
      <c r="C271" s="12">
        <f t="shared" si="5"/>
        <v>1.4138064306997969E-3</v>
      </c>
    </row>
    <row r="272" spans="1:3" x14ac:dyDescent="0.3">
      <c r="A272" s="3" t="s">
        <v>505</v>
      </c>
      <c r="B272" s="6">
        <v>11.34</v>
      </c>
      <c r="C272" s="12">
        <f t="shared" si="5"/>
        <v>1.4138064306997969E-3</v>
      </c>
    </row>
    <row r="273" spans="1:3" x14ac:dyDescent="0.3">
      <c r="A273" s="3" t="s">
        <v>506</v>
      </c>
      <c r="B273" s="6">
        <v>11.34</v>
      </c>
      <c r="C273" s="12">
        <f t="shared" si="5"/>
        <v>1.4138064306997969E-3</v>
      </c>
    </row>
    <row r="274" spans="1:3" x14ac:dyDescent="0.3">
      <c r="A274" s="3" t="s">
        <v>507</v>
      </c>
      <c r="B274" s="6">
        <v>11.34</v>
      </c>
      <c r="C274" s="12">
        <f t="shared" si="5"/>
        <v>1.4138064306997969E-3</v>
      </c>
    </row>
    <row r="275" spans="1:3" x14ac:dyDescent="0.3">
      <c r="A275" s="3" t="s">
        <v>508</v>
      </c>
      <c r="B275" s="6">
        <v>11.34</v>
      </c>
      <c r="C275" s="12">
        <f t="shared" si="5"/>
        <v>1.4138064306997969E-3</v>
      </c>
    </row>
    <row r="276" spans="1:3" x14ac:dyDescent="0.3">
      <c r="A276" s="3" t="s">
        <v>509</v>
      </c>
      <c r="B276" s="6">
        <v>11.34</v>
      </c>
      <c r="C276" s="12">
        <f t="shared" si="5"/>
        <v>1.4138064306997969E-3</v>
      </c>
    </row>
    <row r="277" spans="1:3" x14ac:dyDescent="0.3">
      <c r="A277" s="3" t="s">
        <v>510</v>
      </c>
      <c r="B277" s="6">
        <v>11.34</v>
      </c>
      <c r="C277" s="12">
        <f t="shared" si="5"/>
        <v>1.4138064306997969E-3</v>
      </c>
    </row>
    <row r="278" spans="1:3" x14ac:dyDescent="0.3">
      <c r="A278" s="3" t="s">
        <v>511</v>
      </c>
      <c r="B278" s="6">
        <v>11.34</v>
      </c>
      <c r="C278" s="12">
        <f t="shared" si="5"/>
        <v>1.4138064306997969E-3</v>
      </c>
    </row>
    <row r="279" spans="1:3" x14ac:dyDescent="0.3">
      <c r="A279" s="3" t="s">
        <v>512</v>
      </c>
      <c r="B279" s="6">
        <v>11.34</v>
      </c>
      <c r="C279" s="12">
        <f t="shared" si="5"/>
        <v>1.4138064306997969E-3</v>
      </c>
    </row>
    <row r="280" spans="1:3" x14ac:dyDescent="0.3">
      <c r="A280" s="3" t="s">
        <v>513</v>
      </c>
      <c r="B280" s="6">
        <v>11.34</v>
      </c>
      <c r="C280" s="12">
        <f t="shared" si="5"/>
        <v>1.4138064306997969E-3</v>
      </c>
    </row>
    <row r="281" spans="1:3" x14ac:dyDescent="0.3">
      <c r="A281" s="3" t="s">
        <v>514</v>
      </c>
      <c r="B281" s="6">
        <v>11.34</v>
      </c>
      <c r="C281" s="12">
        <f t="shared" si="5"/>
        <v>1.4138064306997969E-3</v>
      </c>
    </row>
    <row r="282" spans="1:3" x14ac:dyDescent="0.3">
      <c r="A282" s="3" t="s">
        <v>515</v>
      </c>
      <c r="B282" s="6">
        <v>11.34</v>
      </c>
      <c r="C282" s="12">
        <f t="shared" si="5"/>
        <v>1.4138064306997969E-3</v>
      </c>
    </row>
    <row r="283" spans="1:3" x14ac:dyDescent="0.3">
      <c r="A283" s="3" t="s">
        <v>516</v>
      </c>
      <c r="B283" s="6">
        <v>11.34</v>
      </c>
      <c r="C283" s="12">
        <f t="shared" si="5"/>
        <v>1.4138064306997969E-3</v>
      </c>
    </row>
    <row r="284" spans="1:3" x14ac:dyDescent="0.3">
      <c r="A284" s="3" t="s">
        <v>517</v>
      </c>
      <c r="B284" s="6">
        <v>11.34</v>
      </c>
      <c r="C284" s="12">
        <f t="shared" si="5"/>
        <v>1.4138064306997969E-3</v>
      </c>
    </row>
    <row r="285" spans="1:3" x14ac:dyDescent="0.3">
      <c r="A285" s="3" t="s">
        <v>518</v>
      </c>
      <c r="B285" s="6">
        <v>11.34</v>
      </c>
      <c r="C285" s="12">
        <f t="shared" si="5"/>
        <v>1.4138064306997969E-3</v>
      </c>
    </row>
    <row r="286" spans="1:3" x14ac:dyDescent="0.3">
      <c r="A286" s="3" t="s">
        <v>519</v>
      </c>
      <c r="B286" s="6">
        <v>11.34</v>
      </c>
      <c r="C286" s="12">
        <f t="shared" si="5"/>
        <v>1.4138064306997969E-3</v>
      </c>
    </row>
    <row r="287" spans="1:3" x14ac:dyDescent="0.3">
      <c r="A287" s="3" t="s">
        <v>520</v>
      </c>
      <c r="B287" s="6">
        <v>11.34</v>
      </c>
      <c r="C287" s="12">
        <f t="shared" si="5"/>
        <v>1.4138064306997969E-3</v>
      </c>
    </row>
    <row r="288" spans="1:3" x14ac:dyDescent="0.3">
      <c r="A288" s="3" t="s">
        <v>521</v>
      </c>
      <c r="B288" s="6">
        <v>11.34</v>
      </c>
      <c r="C288" s="12">
        <f t="shared" si="5"/>
        <v>1.4138064306997969E-3</v>
      </c>
    </row>
    <row r="289" spans="1:3" x14ac:dyDescent="0.3">
      <c r="A289" s="3" t="s">
        <v>522</v>
      </c>
      <c r="B289" s="6">
        <v>11.34</v>
      </c>
      <c r="C289" s="12">
        <f t="shared" si="5"/>
        <v>1.4138064306997969E-3</v>
      </c>
    </row>
    <row r="290" spans="1:3" x14ac:dyDescent="0.3">
      <c r="A290" s="3" t="s">
        <v>523</v>
      </c>
      <c r="B290" s="6">
        <v>11.34</v>
      </c>
      <c r="C290" s="12">
        <f t="shared" si="5"/>
        <v>1.4138064306997969E-3</v>
      </c>
    </row>
    <row r="291" spans="1:3" x14ac:dyDescent="0.3">
      <c r="A291" s="3" t="s">
        <v>524</v>
      </c>
      <c r="B291" s="6">
        <v>11.34</v>
      </c>
      <c r="C291" s="12">
        <f t="shared" si="5"/>
        <v>1.4138064306997969E-3</v>
      </c>
    </row>
    <row r="292" spans="1:3" x14ac:dyDescent="0.3">
      <c r="A292" s="3" t="s">
        <v>525</v>
      </c>
      <c r="B292" s="6">
        <v>11.34</v>
      </c>
      <c r="C292" s="12">
        <f t="shared" si="5"/>
        <v>1.4138064306997969E-3</v>
      </c>
    </row>
    <row r="293" spans="1:3" x14ac:dyDescent="0.3">
      <c r="A293" s="3" t="s">
        <v>526</v>
      </c>
      <c r="B293" s="6">
        <v>11.34</v>
      </c>
      <c r="C293" s="12">
        <f t="shared" si="5"/>
        <v>1.4138064306997969E-3</v>
      </c>
    </row>
    <row r="294" spans="1:3" x14ac:dyDescent="0.3">
      <c r="A294" s="3" t="s">
        <v>527</v>
      </c>
      <c r="B294" s="6">
        <v>11.34</v>
      </c>
      <c r="C294" s="12">
        <f t="shared" si="5"/>
        <v>1.4138064306997969E-3</v>
      </c>
    </row>
    <row r="295" spans="1:3" x14ac:dyDescent="0.3">
      <c r="A295" s="3" t="s">
        <v>528</v>
      </c>
      <c r="B295" s="6">
        <v>11.34</v>
      </c>
      <c r="C295" s="12">
        <f t="shared" si="5"/>
        <v>1.4138064306997969E-3</v>
      </c>
    </row>
    <row r="296" spans="1:3" x14ac:dyDescent="0.3">
      <c r="A296" s="3" t="s">
        <v>529</v>
      </c>
      <c r="B296" s="6">
        <v>11.34</v>
      </c>
      <c r="C296" s="12">
        <f t="shared" si="5"/>
        <v>1.4138064306997969E-3</v>
      </c>
    </row>
    <row r="297" spans="1:3" x14ac:dyDescent="0.3">
      <c r="A297" s="3" t="s">
        <v>530</v>
      </c>
      <c r="B297" s="6">
        <v>11.34</v>
      </c>
      <c r="C297" s="12">
        <f t="shared" si="5"/>
        <v>1.4138064306997969E-3</v>
      </c>
    </row>
    <row r="298" spans="1:3" x14ac:dyDescent="0.3">
      <c r="A298" s="3" t="s">
        <v>531</v>
      </c>
      <c r="B298" s="6">
        <v>11.34</v>
      </c>
      <c r="C298" s="12">
        <f t="shared" si="5"/>
        <v>1.4138064306997969E-3</v>
      </c>
    </row>
    <row r="299" spans="1:3" x14ac:dyDescent="0.3">
      <c r="A299" s="3" t="s">
        <v>532</v>
      </c>
      <c r="B299" s="6">
        <v>11.34</v>
      </c>
      <c r="C299" s="12">
        <f t="shared" si="5"/>
        <v>1.4138064306997969E-3</v>
      </c>
    </row>
    <row r="300" spans="1:3" x14ac:dyDescent="0.3">
      <c r="A300" s="3" t="s">
        <v>533</v>
      </c>
      <c r="B300" s="6">
        <v>11.34</v>
      </c>
      <c r="C300" s="12">
        <f t="shared" si="5"/>
        <v>1.4138064306997969E-3</v>
      </c>
    </row>
    <row r="301" spans="1:3" x14ac:dyDescent="0.3">
      <c r="A301" s="3" t="s">
        <v>534</v>
      </c>
      <c r="B301" s="6">
        <v>11.34</v>
      </c>
      <c r="C301" s="12">
        <f t="shared" si="5"/>
        <v>1.4138064306997969E-3</v>
      </c>
    </row>
    <row r="302" spans="1:3" x14ac:dyDescent="0.3">
      <c r="A302" s="3" t="s">
        <v>535</v>
      </c>
      <c r="B302" s="6">
        <v>11.34</v>
      </c>
      <c r="C302" s="12">
        <f t="shared" si="5"/>
        <v>1.4138064306997969E-3</v>
      </c>
    </row>
    <row r="303" spans="1:3" x14ac:dyDescent="0.3">
      <c r="A303" s="3" t="s">
        <v>536</v>
      </c>
      <c r="B303" s="6">
        <v>11.34</v>
      </c>
      <c r="C303" s="12">
        <f t="shared" si="5"/>
        <v>1.4138064306997969E-3</v>
      </c>
    </row>
    <row r="304" spans="1:3" x14ac:dyDescent="0.3">
      <c r="A304" s="3" t="s">
        <v>537</v>
      </c>
      <c r="B304" s="6">
        <v>11.34</v>
      </c>
      <c r="C304" s="12">
        <f t="shared" si="5"/>
        <v>1.4138064306997969E-3</v>
      </c>
    </row>
    <row r="305" spans="1:3" x14ac:dyDescent="0.3">
      <c r="A305" s="3" t="s">
        <v>538</v>
      </c>
      <c r="B305" s="6">
        <v>11.34</v>
      </c>
      <c r="C305" s="12">
        <f t="shared" si="5"/>
        <v>1.4138064306997969E-3</v>
      </c>
    </row>
    <row r="306" spans="1:3" x14ac:dyDescent="0.3">
      <c r="A306" s="3" t="s">
        <v>539</v>
      </c>
      <c r="B306" s="6">
        <v>11.34</v>
      </c>
      <c r="C306" s="12">
        <f t="shared" si="5"/>
        <v>1.4138064306997969E-3</v>
      </c>
    </row>
    <row r="307" spans="1:3" x14ac:dyDescent="0.3">
      <c r="A307" s="3" t="s">
        <v>540</v>
      </c>
      <c r="B307" s="6">
        <v>11.34</v>
      </c>
      <c r="C307" s="12">
        <f t="shared" si="5"/>
        <v>1.4138064306997969E-3</v>
      </c>
    </row>
    <row r="308" spans="1:3" x14ac:dyDescent="0.3">
      <c r="A308" s="3" t="s">
        <v>541</v>
      </c>
      <c r="B308" s="6">
        <v>11.34</v>
      </c>
      <c r="C308" s="12">
        <f t="shared" si="5"/>
        <v>1.4138064306997969E-3</v>
      </c>
    </row>
    <row r="309" spans="1:3" x14ac:dyDescent="0.3">
      <c r="A309" s="3" t="s">
        <v>542</v>
      </c>
      <c r="B309" s="6">
        <v>11.34</v>
      </c>
      <c r="C309" s="12">
        <f t="shared" si="5"/>
        <v>1.4138064306997969E-3</v>
      </c>
    </row>
    <row r="310" spans="1:3" x14ac:dyDescent="0.3">
      <c r="A310" s="3" t="s">
        <v>543</v>
      </c>
      <c r="B310" s="6">
        <v>11.34</v>
      </c>
      <c r="C310" s="12">
        <f t="shared" si="5"/>
        <v>1.4138064306997969E-3</v>
      </c>
    </row>
    <row r="311" spans="1:3" x14ac:dyDescent="0.3">
      <c r="A311" s="3" t="s">
        <v>544</v>
      </c>
      <c r="B311" s="6">
        <v>11.34</v>
      </c>
      <c r="C311" s="12">
        <f t="shared" si="5"/>
        <v>1.4138064306997969E-3</v>
      </c>
    </row>
    <row r="312" spans="1:3" x14ac:dyDescent="0.3">
      <c r="A312" s="3" t="s">
        <v>545</v>
      </c>
      <c r="B312" s="6">
        <v>11.34</v>
      </c>
      <c r="C312" s="12">
        <f t="shared" si="5"/>
        <v>1.4138064306997969E-3</v>
      </c>
    </row>
    <row r="313" spans="1:3" x14ac:dyDescent="0.3">
      <c r="A313" s="3" t="s">
        <v>546</v>
      </c>
      <c r="B313" s="6">
        <v>11.34</v>
      </c>
      <c r="C313" s="12">
        <f t="shared" si="5"/>
        <v>1.4138064306997969E-3</v>
      </c>
    </row>
    <row r="314" spans="1:3" x14ac:dyDescent="0.3">
      <c r="A314" s="3" t="s">
        <v>547</v>
      </c>
      <c r="B314" s="6">
        <v>11.34</v>
      </c>
      <c r="C314" s="12">
        <f t="shared" si="5"/>
        <v>1.4138064306997969E-3</v>
      </c>
    </row>
    <row r="315" spans="1:3" x14ac:dyDescent="0.3">
      <c r="A315" s="3" t="s">
        <v>548</v>
      </c>
      <c r="B315" s="6">
        <v>11.34</v>
      </c>
      <c r="C315" s="12">
        <f t="shared" si="5"/>
        <v>1.4138064306997969E-3</v>
      </c>
    </row>
    <row r="316" spans="1:3" x14ac:dyDescent="0.3">
      <c r="A316" s="3" t="s">
        <v>549</v>
      </c>
      <c r="B316" s="6">
        <v>11.34</v>
      </c>
      <c r="C316" s="12">
        <f t="shared" si="5"/>
        <v>1.4138064306997969E-3</v>
      </c>
    </row>
    <row r="317" spans="1:3" x14ac:dyDescent="0.3">
      <c r="A317" s="3" t="s">
        <v>550</v>
      </c>
      <c r="B317" s="6">
        <v>11.34</v>
      </c>
      <c r="C317" s="12">
        <f t="shared" si="5"/>
        <v>1.4138064306997969E-3</v>
      </c>
    </row>
    <row r="318" spans="1:3" x14ac:dyDescent="0.3">
      <c r="A318" s="3" t="s">
        <v>551</v>
      </c>
      <c r="B318" s="6">
        <v>11.34</v>
      </c>
      <c r="C318" s="12">
        <f t="shared" si="5"/>
        <v>1.4138064306997969E-3</v>
      </c>
    </row>
    <row r="319" spans="1:3" x14ac:dyDescent="0.3">
      <c r="A319" s="3" t="s">
        <v>552</v>
      </c>
      <c r="B319" s="6">
        <v>11.34</v>
      </c>
      <c r="C319" s="12">
        <f t="shared" si="5"/>
        <v>1.4138064306997969E-3</v>
      </c>
    </row>
    <row r="320" spans="1:3" x14ac:dyDescent="0.3">
      <c r="A320" s="3" t="s">
        <v>553</v>
      </c>
      <c r="B320" s="6">
        <v>11.34</v>
      </c>
      <c r="C320" s="12">
        <f t="shared" si="5"/>
        <v>1.4138064306997969E-3</v>
      </c>
    </row>
    <row r="321" spans="1:3" x14ac:dyDescent="0.3">
      <c r="A321" s="3" t="s">
        <v>554</v>
      </c>
      <c r="B321" s="6">
        <v>11.34</v>
      </c>
      <c r="C321" s="12">
        <f t="shared" si="5"/>
        <v>1.4138064306997969E-3</v>
      </c>
    </row>
    <row r="322" spans="1:3" x14ac:dyDescent="0.3">
      <c r="A322" s="3" t="s">
        <v>555</v>
      </c>
      <c r="B322" s="6">
        <v>11.34</v>
      </c>
      <c r="C322" s="12">
        <f t="shared" si="5"/>
        <v>1.4138064306997969E-3</v>
      </c>
    </row>
    <row r="323" spans="1:3" x14ac:dyDescent="0.3">
      <c r="A323" s="3" t="s">
        <v>556</v>
      </c>
      <c r="B323" s="6">
        <v>11.34</v>
      </c>
      <c r="C323" s="12">
        <f t="shared" ref="C323:C386" si="6">IFERROR(B323/$B$98,"")</f>
        <v>1.4138064306997969E-3</v>
      </c>
    </row>
    <row r="324" spans="1:3" x14ac:dyDescent="0.3">
      <c r="A324" s="3" t="s">
        <v>557</v>
      </c>
      <c r="B324" s="6">
        <v>11.34</v>
      </c>
      <c r="C324" s="12">
        <f t="shared" si="6"/>
        <v>1.4138064306997969E-3</v>
      </c>
    </row>
    <row r="325" spans="1:3" x14ac:dyDescent="0.3">
      <c r="A325" s="3" t="s">
        <v>558</v>
      </c>
      <c r="B325" s="6">
        <v>11.34</v>
      </c>
      <c r="C325" s="12">
        <f t="shared" si="6"/>
        <v>1.4138064306997969E-3</v>
      </c>
    </row>
    <row r="326" spans="1:3" x14ac:dyDescent="0.3">
      <c r="A326" s="3" t="s">
        <v>559</v>
      </c>
      <c r="B326" s="6">
        <v>11.34</v>
      </c>
      <c r="C326" s="12">
        <f t="shared" si="6"/>
        <v>1.4138064306997969E-3</v>
      </c>
    </row>
    <row r="327" spans="1:3" x14ac:dyDescent="0.3">
      <c r="A327" s="3" t="s">
        <v>560</v>
      </c>
      <c r="B327" s="6">
        <v>11.34</v>
      </c>
      <c r="C327" s="12">
        <f t="shared" si="6"/>
        <v>1.4138064306997969E-3</v>
      </c>
    </row>
    <row r="328" spans="1:3" x14ac:dyDescent="0.3">
      <c r="A328" s="3" t="s">
        <v>561</v>
      </c>
      <c r="B328" s="6">
        <v>11.34</v>
      </c>
      <c r="C328" s="12">
        <f t="shared" si="6"/>
        <v>1.4138064306997969E-3</v>
      </c>
    </row>
    <row r="329" spans="1:3" x14ac:dyDescent="0.3">
      <c r="A329" s="3" t="s">
        <v>562</v>
      </c>
      <c r="B329" s="6">
        <v>11.34</v>
      </c>
      <c r="C329" s="12">
        <f t="shared" si="6"/>
        <v>1.4138064306997969E-3</v>
      </c>
    </row>
    <row r="330" spans="1:3" x14ac:dyDescent="0.3">
      <c r="A330" s="3" t="s">
        <v>563</v>
      </c>
      <c r="B330" s="6">
        <v>11.34</v>
      </c>
      <c r="C330" s="12">
        <f t="shared" si="6"/>
        <v>1.4138064306997969E-3</v>
      </c>
    </row>
    <row r="331" spans="1:3" x14ac:dyDescent="0.3">
      <c r="A331" s="3" t="s">
        <v>564</v>
      </c>
      <c r="B331" s="6">
        <v>11.34</v>
      </c>
      <c r="C331" s="12">
        <f t="shared" si="6"/>
        <v>1.4138064306997969E-3</v>
      </c>
    </row>
    <row r="332" spans="1:3" x14ac:dyDescent="0.3">
      <c r="A332" s="3" t="s">
        <v>565</v>
      </c>
      <c r="B332" s="6">
        <v>11.34</v>
      </c>
      <c r="C332" s="12">
        <f t="shared" si="6"/>
        <v>1.4138064306997969E-3</v>
      </c>
    </row>
    <row r="333" spans="1:3" x14ac:dyDescent="0.3">
      <c r="A333" s="3" t="s">
        <v>566</v>
      </c>
      <c r="B333" s="6">
        <v>11.34</v>
      </c>
      <c r="C333" s="12">
        <f t="shared" si="6"/>
        <v>1.4138064306997969E-3</v>
      </c>
    </row>
    <row r="334" spans="1:3" x14ac:dyDescent="0.3">
      <c r="A334" s="3" t="s">
        <v>567</v>
      </c>
      <c r="B334" s="6">
        <v>11.34</v>
      </c>
      <c r="C334" s="12">
        <f t="shared" si="6"/>
        <v>1.4138064306997969E-3</v>
      </c>
    </row>
    <row r="335" spans="1:3" x14ac:dyDescent="0.3">
      <c r="A335" s="3" t="s">
        <v>568</v>
      </c>
      <c r="B335" s="6">
        <v>11.34</v>
      </c>
      <c r="C335" s="12">
        <f t="shared" si="6"/>
        <v>1.4138064306997969E-3</v>
      </c>
    </row>
    <row r="336" spans="1:3" x14ac:dyDescent="0.3">
      <c r="A336" s="3" t="s">
        <v>569</v>
      </c>
      <c r="B336" s="6">
        <v>11.34</v>
      </c>
      <c r="C336" s="12">
        <f t="shared" si="6"/>
        <v>1.4138064306997969E-3</v>
      </c>
    </row>
    <row r="337" spans="1:3" x14ac:dyDescent="0.3">
      <c r="A337" s="3" t="s">
        <v>570</v>
      </c>
      <c r="B337" s="6">
        <v>11.34</v>
      </c>
      <c r="C337" s="12">
        <f t="shared" si="6"/>
        <v>1.4138064306997969E-3</v>
      </c>
    </row>
    <row r="338" spans="1:3" x14ac:dyDescent="0.3">
      <c r="A338" s="3" t="s">
        <v>571</v>
      </c>
      <c r="B338" s="6">
        <v>11.34</v>
      </c>
      <c r="C338" s="12">
        <f t="shared" si="6"/>
        <v>1.4138064306997969E-3</v>
      </c>
    </row>
    <row r="339" spans="1:3" x14ac:dyDescent="0.3">
      <c r="A339" s="3" t="s">
        <v>572</v>
      </c>
      <c r="B339" s="6">
        <v>11.34</v>
      </c>
      <c r="C339" s="12">
        <f t="shared" si="6"/>
        <v>1.4138064306997969E-3</v>
      </c>
    </row>
    <row r="340" spans="1:3" x14ac:dyDescent="0.3">
      <c r="A340" s="3" t="s">
        <v>573</v>
      </c>
      <c r="B340" s="6">
        <v>11.34</v>
      </c>
      <c r="C340" s="12">
        <f t="shared" si="6"/>
        <v>1.4138064306997969E-3</v>
      </c>
    </row>
    <row r="341" spans="1:3" x14ac:dyDescent="0.3">
      <c r="A341" s="3" t="s">
        <v>574</v>
      </c>
      <c r="B341" s="6">
        <v>11.34</v>
      </c>
      <c r="C341" s="12">
        <f t="shared" si="6"/>
        <v>1.4138064306997969E-3</v>
      </c>
    </row>
    <row r="342" spans="1:3" x14ac:dyDescent="0.3">
      <c r="A342" s="3" t="s">
        <v>575</v>
      </c>
      <c r="B342" s="6">
        <v>11.34</v>
      </c>
      <c r="C342" s="12">
        <f t="shared" si="6"/>
        <v>1.4138064306997969E-3</v>
      </c>
    </row>
    <row r="343" spans="1:3" x14ac:dyDescent="0.3">
      <c r="A343" s="3" t="s">
        <v>576</v>
      </c>
      <c r="B343" s="6">
        <v>11.34</v>
      </c>
      <c r="C343" s="12">
        <f t="shared" si="6"/>
        <v>1.4138064306997969E-3</v>
      </c>
    </row>
    <row r="344" spans="1:3" x14ac:dyDescent="0.3">
      <c r="A344" s="3" t="s">
        <v>577</v>
      </c>
      <c r="B344" s="6">
        <v>11.34</v>
      </c>
      <c r="C344" s="12">
        <f t="shared" si="6"/>
        <v>1.4138064306997969E-3</v>
      </c>
    </row>
    <row r="345" spans="1:3" x14ac:dyDescent="0.3">
      <c r="A345" s="3" t="s">
        <v>578</v>
      </c>
      <c r="B345" s="6">
        <v>11.34</v>
      </c>
      <c r="C345" s="12">
        <f t="shared" si="6"/>
        <v>1.4138064306997969E-3</v>
      </c>
    </row>
    <row r="346" spans="1:3" x14ac:dyDescent="0.3">
      <c r="A346" s="3" t="s">
        <v>579</v>
      </c>
      <c r="B346" s="6">
        <v>11.34</v>
      </c>
      <c r="C346" s="12">
        <f t="shared" si="6"/>
        <v>1.4138064306997969E-3</v>
      </c>
    </row>
    <row r="347" spans="1:3" x14ac:dyDescent="0.3">
      <c r="A347" s="3" t="s">
        <v>580</v>
      </c>
      <c r="B347" s="6">
        <v>11.34</v>
      </c>
      <c r="C347" s="12">
        <f t="shared" si="6"/>
        <v>1.4138064306997969E-3</v>
      </c>
    </row>
    <row r="348" spans="1:3" x14ac:dyDescent="0.3">
      <c r="A348" s="3" t="s">
        <v>581</v>
      </c>
      <c r="B348" s="6">
        <v>11.34</v>
      </c>
      <c r="C348" s="12">
        <f t="shared" si="6"/>
        <v>1.4138064306997969E-3</v>
      </c>
    </row>
    <row r="349" spans="1:3" x14ac:dyDescent="0.3">
      <c r="A349" s="3" t="s">
        <v>582</v>
      </c>
      <c r="B349" s="6">
        <v>10.8</v>
      </c>
      <c r="C349" s="12">
        <f t="shared" si="6"/>
        <v>1.3464823149521876E-3</v>
      </c>
    </row>
    <row r="350" spans="1:3" x14ac:dyDescent="0.3">
      <c r="A350" s="3" t="s">
        <v>583</v>
      </c>
      <c r="B350" s="6">
        <v>10.8</v>
      </c>
      <c r="C350" s="12">
        <f t="shared" si="6"/>
        <v>1.3464823149521876E-3</v>
      </c>
    </row>
    <row r="351" spans="1:3" x14ac:dyDescent="0.3">
      <c r="A351" s="3" t="s">
        <v>584</v>
      </c>
      <c r="B351" s="6">
        <v>10.8</v>
      </c>
      <c r="C351" s="12">
        <f t="shared" si="6"/>
        <v>1.3464823149521876E-3</v>
      </c>
    </row>
    <row r="352" spans="1:3" x14ac:dyDescent="0.3">
      <c r="A352" s="3" t="s">
        <v>585</v>
      </c>
      <c r="B352" s="6">
        <v>10.8</v>
      </c>
      <c r="C352" s="12">
        <f t="shared" si="6"/>
        <v>1.3464823149521876E-3</v>
      </c>
    </row>
    <row r="353" spans="1:3" x14ac:dyDescent="0.3">
      <c r="A353" s="3" t="s">
        <v>586</v>
      </c>
      <c r="B353" s="6">
        <v>10.8</v>
      </c>
      <c r="C353" s="12">
        <f t="shared" si="6"/>
        <v>1.3464823149521876E-3</v>
      </c>
    </row>
    <row r="354" spans="1:3" x14ac:dyDescent="0.3">
      <c r="A354" s="3" t="s">
        <v>587</v>
      </c>
      <c r="B354" s="6">
        <v>10.8</v>
      </c>
      <c r="C354" s="12">
        <f t="shared" si="6"/>
        <v>1.3464823149521876E-3</v>
      </c>
    </row>
    <row r="355" spans="1:3" x14ac:dyDescent="0.3">
      <c r="A355" s="3" t="s">
        <v>588</v>
      </c>
      <c r="B355" s="6">
        <v>10.8</v>
      </c>
      <c r="C355" s="12">
        <f t="shared" si="6"/>
        <v>1.3464823149521876E-3</v>
      </c>
    </row>
    <row r="356" spans="1:3" x14ac:dyDescent="0.3">
      <c r="A356" s="3" t="s">
        <v>589</v>
      </c>
      <c r="B356" s="6">
        <v>10.8</v>
      </c>
      <c r="C356" s="12">
        <f t="shared" si="6"/>
        <v>1.3464823149521876E-3</v>
      </c>
    </row>
    <row r="357" spans="1:3" x14ac:dyDescent="0.3">
      <c r="A357" s="3" t="s">
        <v>590</v>
      </c>
      <c r="B357" s="6">
        <v>10.8</v>
      </c>
      <c r="C357" s="12">
        <f t="shared" si="6"/>
        <v>1.3464823149521876E-3</v>
      </c>
    </row>
    <row r="358" spans="1:3" x14ac:dyDescent="0.3">
      <c r="A358" s="3" t="s">
        <v>591</v>
      </c>
      <c r="B358" s="6">
        <v>10.8</v>
      </c>
      <c r="C358" s="12">
        <f t="shared" si="6"/>
        <v>1.3464823149521876E-3</v>
      </c>
    </row>
    <row r="359" spans="1:3" x14ac:dyDescent="0.3">
      <c r="A359" s="3" t="s">
        <v>592</v>
      </c>
      <c r="B359" s="6">
        <v>10.8</v>
      </c>
      <c r="C359" s="12">
        <f t="shared" si="6"/>
        <v>1.3464823149521876E-3</v>
      </c>
    </row>
    <row r="360" spans="1:3" x14ac:dyDescent="0.3">
      <c r="A360" s="3" t="s">
        <v>593</v>
      </c>
      <c r="B360" s="6">
        <v>10.8</v>
      </c>
      <c r="C360" s="12">
        <f t="shared" si="6"/>
        <v>1.3464823149521876E-3</v>
      </c>
    </row>
    <row r="361" spans="1:3" x14ac:dyDescent="0.3">
      <c r="A361" s="3" t="s">
        <v>594</v>
      </c>
      <c r="B361" s="6">
        <v>10.8</v>
      </c>
      <c r="C361" s="12">
        <f t="shared" si="6"/>
        <v>1.3464823149521876E-3</v>
      </c>
    </row>
    <row r="362" spans="1:3" x14ac:dyDescent="0.3">
      <c r="A362" s="3" t="s">
        <v>595</v>
      </c>
      <c r="B362" s="6">
        <v>10.8</v>
      </c>
      <c r="C362" s="12">
        <f t="shared" si="6"/>
        <v>1.3464823149521876E-3</v>
      </c>
    </row>
    <row r="363" spans="1:3" x14ac:dyDescent="0.3">
      <c r="A363" s="3" t="s">
        <v>596</v>
      </c>
      <c r="B363" s="6">
        <v>10.8</v>
      </c>
      <c r="C363" s="12">
        <f t="shared" si="6"/>
        <v>1.3464823149521876E-3</v>
      </c>
    </row>
    <row r="364" spans="1:3" x14ac:dyDescent="0.3">
      <c r="A364" s="3" t="s">
        <v>597</v>
      </c>
      <c r="B364" s="6">
        <v>10.8</v>
      </c>
      <c r="C364" s="12">
        <f t="shared" si="6"/>
        <v>1.3464823149521876E-3</v>
      </c>
    </row>
    <row r="365" spans="1:3" x14ac:dyDescent="0.3">
      <c r="A365" s="3" t="s">
        <v>598</v>
      </c>
      <c r="B365" s="6">
        <v>10.8</v>
      </c>
      <c r="C365" s="12">
        <f t="shared" si="6"/>
        <v>1.3464823149521876E-3</v>
      </c>
    </row>
    <row r="366" spans="1:3" x14ac:dyDescent="0.3">
      <c r="A366" s="3" t="s">
        <v>599</v>
      </c>
      <c r="B366" s="6">
        <v>10.8</v>
      </c>
      <c r="C366" s="12">
        <f t="shared" si="6"/>
        <v>1.3464823149521876E-3</v>
      </c>
    </row>
    <row r="367" spans="1:3" x14ac:dyDescent="0.3">
      <c r="A367" s="3" t="s">
        <v>600</v>
      </c>
      <c r="B367" s="6">
        <v>10.8</v>
      </c>
      <c r="C367" s="12">
        <f t="shared" si="6"/>
        <v>1.3464823149521876E-3</v>
      </c>
    </row>
    <row r="368" spans="1:3" x14ac:dyDescent="0.3">
      <c r="A368" s="3" t="s">
        <v>601</v>
      </c>
      <c r="B368" s="6">
        <v>10.8</v>
      </c>
      <c r="C368" s="12">
        <f t="shared" si="6"/>
        <v>1.3464823149521876E-3</v>
      </c>
    </row>
    <row r="369" spans="1:3" x14ac:dyDescent="0.3">
      <c r="A369" s="3" t="s">
        <v>602</v>
      </c>
      <c r="B369" s="6">
        <v>10.98</v>
      </c>
      <c r="C369" s="12">
        <f t="shared" si="6"/>
        <v>1.3689236868680574E-3</v>
      </c>
    </row>
    <row r="370" spans="1:3" x14ac:dyDescent="0.3">
      <c r="A370" s="3" t="s">
        <v>603</v>
      </c>
      <c r="B370" s="6">
        <v>10.98</v>
      </c>
      <c r="C370" s="12">
        <f t="shared" si="6"/>
        <v>1.3689236868680574E-3</v>
      </c>
    </row>
    <row r="371" spans="1:3" x14ac:dyDescent="0.3">
      <c r="A371" s="3" t="s">
        <v>604</v>
      </c>
      <c r="B371" s="6">
        <v>10.98</v>
      </c>
      <c r="C371" s="12">
        <f t="shared" si="6"/>
        <v>1.3689236868680574E-3</v>
      </c>
    </row>
    <row r="372" spans="1:3" x14ac:dyDescent="0.3">
      <c r="A372" s="3" t="s">
        <v>605</v>
      </c>
      <c r="B372" s="6">
        <v>10.98</v>
      </c>
      <c r="C372" s="12">
        <f t="shared" si="6"/>
        <v>1.3689236868680574E-3</v>
      </c>
    </row>
    <row r="373" spans="1:3" x14ac:dyDescent="0.3">
      <c r="A373" s="3" t="s">
        <v>606</v>
      </c>
      <c r="B373" s="6">
        <v>10.98</v>
      </c>
      <c r="C373" s="12">
        <f t="shared" si="6"/>
        <v>1.3689236868680574E-3</v>
      </c>
    </row>
    <row r="374" spans="1:3" x14ac:dyDescent="0.3">
      <c r="A374" s="3" t="s">
        <v>607</v>
      </c>
      <c r="B374" s="6">
        <v>10.98</v>
      </c>
      <c r="C374" s="12">
        <f t="shared" si="6"/>
        <v>1.3689236868680574E-3</v>
      </c>
    </row>
    <row r="375" spans="1:3" x14ac:dyDescent="0.3">
      <c r="A375" s="3" t="s">
        <v>608</v>
      </c>
      <c r="B375" s="6">
        <v>10.98</v>
      </c>
      <c r="C375" s="12">
        <f t="shared" si="6"/>
        <v>1.3689236868680574E-3</v>
      </c>
    </row>
    <row r="376" spans="1:3" x14ac:dyDescent="0.3">
      <c r="A376" s="3" t="s">
        <v>609</v>
      </c>
      <c r="B376" s="6">
        <v>10.98</v>
      </c>
      <c r="C376" s="12">
        <f t="shared" si="6"/>
        <v>1.3689236868680574E-3</v>
      </c>
    </row>
    <row r="377" spans="1:3" x14ac:dyDescent="0.3">
      <c r="A377" s="3" t="s">
        <v>610</v>
      </c>
      <c r="B377" s="6">
        <v>10.98</v>
      </c>
      <c r="C377" s="12">
        <f t="shared" si="6"/>
        <v>1.3689236868680574E-3</v>
      </c>
    </row>
    <row r="378" spans="1:3" x14ac:dyDescent="0.3">
      <c r="A378" s="3" t="s">
        <v>611</v>
      </c>
      <c r="B378" s="6">
        <v>10.98</v>
      </c>
      <c r="C378" s="12">
        <f t="shared" si="6"/>
        <v>1.3689236868680574E-3</v>
      </c>
    </row>
    <row r="379" spans="1:3" x14ac:dyDescent="0.3">
      <c r="A379" s="3" t="s">
        <v>612</v>
      </c>
      <c r="B379" s="6">
        <v>10.98</v>
      </c>
      <c r="C379" s="12">
        <f t="shared" si="6"/>
        <v>1.3689236868680574E-3</v>
      </c>
    </row>
    <row r="380" spans="1:3" x14ac:dyDescent="0.3">
      <c r="A380" s="3" t="s">
        <v>613</v>
      </c>
      <c r="B380" s="6">
        <v>10.98</v>
      </c>
      <c r="C380" s="12">
        <f t="shared" si="6"/>
        <v>1.3689236868680574E-3</v>
      </c>
    </row>
    <row r="381" spans="1:3" x14ac:dyDescent="0.3">
      <c r="A381" s="3" t="s">
        <v>614</v>
      </c>
      <c r="B381" s="6">
        <v>10.98</v>
      </c>
      <c r="C381" s="12">
        <f t="shared" si="6"/>
        <v>1.3689236868680574E-3</v>
      </c>
    </row>
    <row r="382" spans="1:3" x14ac:dyDescent="0.3">
      <c r="A382" s="3" t="s">
        <v>615</v>
      </c>
      <c r="B382" s="6">
        <v>10.98</v>
      </c>
      <c r="C382" s="12">
        <f t="shared" si="6"/>
        <v>1.3689236868680574E-3</v>
      </c>
    </row>
    <row r="383" spans="1:3" x14ac:dyDescent="0.3">
      <c r="A383" s="3" t="s">
        <v>616</v>
      </c>
      <c r="B383" s="6">
        <v>10.98</v>
      </c>
      <c r="C383" s="12">
        <f t="shared" si="6"/>
        <v>1.3689236868680574E-3</v>
      </c>
    </row>
    <row r="384" spans="1:3" x14ac:dyDescent="0.3">
      <c r="A384" s="3" t="s">
        <v>617</v>
      </c>
      <c r="B384" s="6">
        <v>10.98</v>
      </c>
      <c r="C384" s="12">
        <f t="shared" si="6"/>
        <v>1.3689236868680574E-3</v>
      </c>
    </row>
    <row r="385" spans="1:3" x14ac:dyDescent="0.3">
      <c r="A385" s="3" t="s">
        <v>618</v>
      </c>
      <c r="B385" s="6">
        <v>10.98</v>
      </c>
      <c r="C385" s="12">
        <f t="shared" si="6"/>
        <v>1.3689236868680574E-3</v>
      </c>
    </row>
    <row r="386" spans="1:3" x14ac:dyDescent="0.3">
      <c r="A386" s="3" t="s">
        <v>619</v>
      </c>
      <c r="B386" s="6">
        <v>10.98</v>
      </c>
      <c r="C386" s="12">
        <f t="shared" si="6"/>
        <v>1.3689236868680574E-3</v>
      </c>
    </row>
    <row r="387" spans="1:3" x14ac:dyDescent="0.3">
      <c r="A387" s="3" t="s">
        <v>620</v>
      </c>
      <c r="B387" s="6">
        <v>10.98</v>
      </c>
      <c r="C387" s="12">
        <f t="shared" ref="C387:C450" si="7">IFERROR(B387/$B$98,"")</f>
        <v>1.3689236868680574E-3</v>
      </c>
    </row>
    <row r="388" spans="1:3" x14ac:dyDescent="0.3">
      <c r="A388" s="3" t="s">
        <v>621</v>
      </c>
      <c r="B388" s="6">
        <v>10.98</v>
      </c>
      <c r="C388" s="12">
        <f t="shared" si="7"/>
        <v>1.3689236868680574E-3</v>
      </c>
    </row>
    <row r="389" spans="1:3" x14ac:dyDescent="0.3">
      <c r="A389" s="3" t="s">
        <v>622</v>
      </c>
      <c r="B389" s="6">
        <v>10.98</v>
      </c>
      <c r="C389" s="12">
        <f t="shared" si="7"/>
        <v>1.3689236868680574E-3</v>
      </c>
    </row>
    <row r="390" spans="1:3" x14ac:dyDescent="0.3">
      <c r="A390" s="3" t="s">
        <v>623</v>
      </c>
      <c r="B390" s="6">
        <v>10.98</v>
      </c>
      <c r="C390" s="12">
        <f t="shared" si="7"/>
        <v>1.3689236868680574E-3</v>
      </c>
    </row>
    <row r="391" spans="1:3" x14ac:dyDescent="0.3">
      <c r="A391" s="3" t="s">
        <v>624</v>
      </c>
      <c r="B391" s="6">
        <v>10.98</v>
      </c>
      <c r="C391" s="12">
        <f t="shared" si="7"/>
        <v>1.3689236868680574E-3</v>
      </c>
    </row>
    <row r="392" spans="1:3" x14ac:dyDescent="0.3">
      <c r="A392" s="3" t="s">
        <v>625</v>
      </c>
      <c r="B392" s="6">
        <v>10.98</v>
      </c>
      <c r="C392" s="12">
        <f t="shared" si="7"/>
        <v>1.3689236868680574E-3</v>
      </c>
    </row>
    <row r="393" spans="1:3" x14ac:dyDescent="0.3">
      <c r="A393" s="3" t="s">
        <v>626</v>
      </c>
      <c r="B393" s="6">
        <v>10.98</v>
      </c>
      <c r="C393" s="12">
        <f t="shared" si="7"/>
        <v>1.3689236868680574E-3</v>
      </c>
    </row>
    <row r="394" spans="1:3" x14ac:dyDescent="0.3">
      <c r="A394" s="3" t="s">
        <v>627</v>
      </c>
      <c r="B394" s="6">
        <v>10.98</v>
      </c>
      <c r="C394" s="12">
        <f t="shared" si="7"/>
        <v>1.3689236868680574E-3</v>
      </c>
    </row>
    <row r="395" spans="1:3" x14ac:dyDescent="0.3">
      <c r="A395" s="3" t="s">
        <v>628</v>
      </c>
      <c r="B395" s="6">
        <v>10.98</v>
      </c>
      <c r="C395" s="12">
        <f t="shared" si="7"/>
        <v>1.3689236868680574E-3</v>
      </c>
    </row>
    <row r="396" spans="1:3" x14ac:dyDescent="0.3">
      <c r="A396" s="3" t="s">
        <v>629</v>
      </c>
      <c r="B396" s="6">
        <v>10.98</v>
      </c>
      <c r="C396" s="12">
        <f t="shared" si="7"/>
        <v>1.3689236868680574E-3</v>
      </c>
    </row>
    <row r="397" spans="1:3" x14ac:dyDescent="0.3">
      <c r="A397" s="3" t="s">
        <v>630</v>
      </c>
      <c r="B397" s="6">
        <v>10.98</v>
      </c>
      <c r="C397" s="12">
        <f t="shared" si="7"/>
        <v>1.3689236868680574E-3</v>
      </c>
    </row>
    <row r="398" spans="1:3" x14ac:dyDescent="0.3">
      <c r="A398" s="3" t="s">
        <v>631</v>
      </c>
      <c r="B398" s="6">
        <v>10.98</v>
      </c>
      <c r="C398" s="12">
        <f t="shared" si="7"/>
        <v>1.3689236868680574E-3</v>
      </c>
    </row>
    <row r="399" spans="1:3" x14ac:dyDescent="0.3">
      <c r="A399" s="3" t="s">
        <v>632</v>
      </c>
      <c r="B399" s="6">
        <v>10.98</v>
      </c>
      <c r="C399" s="12">
        <f t="shared" si="7"/>
        <v>1.3689236868680574E-3</v>
      </c>
    </row>
    <row r="400" spans="1:3" x14ac:dyDescent="0.3">
      <c r="A400" s="3" t="s">
        <v>633</v>
      </c>
      <c r="B400" s="6">
        <v>10.98</v>
      </c>
      <c r="C400" s="12">
        <f t="shared" si="7"/>
        <v>1.3689236868680574E-3</v>
      </c>
    </row>
    <row r="401" spans="1:3" x14ac:dyDescent="0.3">
      <c r="A401" s="3" t="s">
        <v>634</v>
      </c>
      <c r="B401" s="6">
        <v>10.98</v>
      </c>
      <c r="C401" s="12">
        <f t="shared" si="7"/>
        <v>1.3689236868680574E-3</v>
      </c>
    </row>
    <row r="402" spans="1:3" x14ac:dyDescent="0.3">
      <c r="A402" s="3" t="s">
        <v>635</v>
      </c>
      <c r="B402" s="6">
        <v>10.98</v>
      </c>
      <c r="C402" s="12">
        <f t="shared" si="7"/>
        <v>1.3689236868680574E-3</v>
      </c>
    </row>
    <row r="403" spans="1:3" x14ac:dyDescent="0.3">
      <c r="A403" s="3" t="s">
        <v>636</v>
      </c>
      <c r="B403" s="6">
        <v>10.98</v>
      </c>
      <c r="C403" s="12">
        <f t="shared" si="7"/>
        <v>1.3689236868680574E-3</v>
      </c>
    </row>
    <row r="404" spans="1:3" x14ac:dyDescent="0.3">
      <c r="A404" s="3" t="s">
        <v>637</v>
      </c>
      <c r="B404" s="6">
        <v>10.98</v>
      </c>
      <c r="C404" s="12">
        <f t="shared" si="7"/>
        <v>1.3689236868680574E-3</v>
      </c>
    </row>
    <row r="405" spans="1:3" x14ac:dyDescent="0.3">
      <c r="A405" s="3" t="s">
        <v>638</v>
      </c>
      <c r="B405" s="6">
        <v>10.98</v>
      </c>
      <c r="C405" s="12">
        <f t="shared" si="7"/>
        <v>1.3689236868680574E-3</v>
      </c>
    </row>
    <row r="406" spans="1:3" x14ac:dyDescent="0.3">
      <c r="A406" s="3" t="s">
        <v>639</v>
      </c>
      <c r="B406" s="6">
        <v>10.98</v>
      </c>
      <c r="C406" s="12">
        <f t="shared" si="7"/>
        <v>1.3689236868680574E-3</v>
      </c>
    </row>
    <row r="407" spans="1:3" x14ac:dyDescent="0.3">
      <c r="A407" s="3" t="s">
        <v>640</v>
      </c>
      <c r="B407" s="6">
        <v>10.98</v>
      </c>
      <c r="C407" s="12">
        <f t="shared" si="7"/>
        <v>1.3689236868680574E-3</v>
      </c>
    </row>
    <row r="408" spans="1:3" x14ac:dyDescent="0.3">
      <c r="A408" s="3" t="s">
        <v>641</v>
      </c>
      <c r="B408" s="6">
        <v>10.98</v>
      </c>
      <c r="C408" s="12">
        <f t="shared" si="7"/>
        <v>1.3689236868680574E-3</v>
      </c>
    </row>
    <row r="409" spans="1:3" x14ac:dyDescent="0.3">
      <c r="A409" s="3" t="s">
        <v>642</v>
      </c>
      <c r="B409" s="6">
        <v>10.98</v>
      </c>
      <c r="C409" s="12">
        <f t="shared" si="7"/>
        <v>1.3689236868680574E-3</v>
      </c>
    </row>
    <row r="410" spans="1:3" x14ac:dyDescent="0.3">
      <c r="A410" s="3" t="s">
        <v>643</v>
      </c>
      <c r="B410" s="6">
        <v>10.98</v>
      </c>
      <c r="C410" s="12">
        <f t="shared" si="7"/>
        <v>1.3689236868680574E-3</v>
      </c>
    </row>
    <row r="411" spans="1:3" x14ac:dyDescent="0.3">
      <c r="A411" s="3" t="s">
        <v>644</v>
      </c>
      <c r="B411" s="6">
        <v>10.98</v>
      </c>
      <c r="C411" s="12">
        <f t="shared" si="7"/>
        <v>1.3689236868680574E-3</v>
      </c>
    </row>
    <row r="412" spans="1:3" x14ac:dyDescent="0.3">
      <c r="A412" s="3" t="s">
        <v>645</v>
      </c>
      <c r="B412" s="6">
        <v>10.98</v>
      </c>
      <c r="C412" s="12">
        <f t="shared" si="7"/>
        <v>1.3689236868680574E-3</v>
      </c>
    </row>
    <row r="413" spans="1:3" x14ac:dyDescent="0.3">
      <c r="A413" s="3" t="s">
        <v>646</v>
      </c>
      <c r="B413" s="6">
        <v>10.98</v>
      </c>
      <c r="C413" s="12">
        <f t="shared" si="7"/>
        <v>1.3689236868680574E-3</v>
      </c>
    </row>
    <row r="414" spans="1:3" x14ac:dyDescent="0.3">
      <c r="A414" s="3" t="s">
        <v>647</v>
      </c>
      <c r="B414" s="6">
        <v>10.98</v>
      </c>
      <c r="C414" s="12">
        <f t="shared" si="7"/>
        <v>1.3689236868680574E-3</v>
      </c>
    </row>
    <row r="415" spans="1:3" x14ac:dyDescent="0.3">
      <c r="A415" s="3" t="s">
        <v>648</v>
      </c>
      <c r="B415" s="6">
        <v>10.98</v>
      </c>
      <c r="C415" s="12">
        <f t="shared" si="7"/>
        <v>1.3689236868680574E-3</v>
      </c>
    </row>
    <row r="416" spans="1:3" x14ac:dyDescent="0.3">
      <c r="A416" s="3" t="s">
        <v>649</v>
      </c>
      <c r="B416" s="6">
        <v>10.98</v>
      </c>
      <c r="C416" s="12">
        <f t="shared" si="7"/>
        <v>1.3689236868680574E-3</v>
      </c>
    </row>
    <row r="417" spans="1:3" x14ac:dyDescent="0.3">
      <c r="A417" s="3" t="s">
        <v>650</v>
      </c>
      <c r="B417" s="6">
        <v>10.98</v>
      </c>
      <c r="C417" s="12">
        <f t="shared" si="7"/>
        <v>1.3689236868680574E-3</v>
      </c>
    </row>
    <row r="418" spans="1:3" x14ac:dyDescent="0.3">
      <c r="A418" s="3" t="s">
        <v>651</v>
      </c>
      <c r="B418" s="6">
        <v>10.98</v>
      </c>
      <c r="C418" s="12">
        <f t="shared" si="7"/>
        <v>1.3689236868680574E-3</v>
      </c>
    </row>
    <row r="419" spans="1:3" x14ac:dyDescent="0.3">
      <c r="A419" s="3" t="s">
        <v>652</v>
      </c>
      <c r="B419" s="6">
        <v>10.98</v>
      </c>
      <c r="C419" s="12">
        <f t="shared" si="7"/>
        <v>1.3689236868680574E-3</v>
      </c>
    </row>
    <row r="420" spans="1:3" x14ac:dyDescent="0.3">
      <c r="A420" s="3" t="s">
        <v>653</v>
      </c>
      <c r="B420" s="6">
        <v>10.98</v>
      </c>
      <c r="C420" s="12">
        <f t="shared" si="7"/>
        <v>1.3689236868680574E-3</v>
      </c>
    </row>
    <row r="421" spans="1:3" x14ac:dyDescent="0.3">
      <c r="A421" s="3" t="s">
        <v>654</v>
      </c>
      <c r="B421" s="6">
        <v>10.98</v>
      </c>
      <c r="C421" s="12">
        <f t="shared" si="7"/>
        <v>1.3689236868680574E-3</v>
      </c>
    </row>
    <row r="422" spans="1:3" x14ac:dyDescent="0.3">
      <c r="A422" s="3" t="s">
        <v>655</v>
      </c>
      <c r="B422" s="6">
        <v>10.98</v>
      </c>
      <c r="C422" s="12">
        <f t="shared" si="7"/>
        <v>1.3689236868680574E-3</v>
      </c>
    </row>
    <row r="423" spans="1:3" x14ac:dyDescent="0.3">
      <c r="A423" s="3" t="s">
        <v>656</v>
      </c>
      <c r="B423" s="6">
        <v>10.98</v>
      </c>
      <c r="C423" s="12">
        <f t="shared" si="7"/>
        <v>1.3689236868680574E-3</v>
      </c>
    </row>
    <row r="424" spans="1:3" x14ac:dyDescent="0.3">
      <c r="A424" s="3" t="s">
        <v>657</v>
      </c>
      <c r="B424" s="6">
        <v>10.98</v>
      </c>
      <c r="C424" s="12">
        <f t="shared" si="7"/>
        <v>1.3689236868680574E-3</v>
      </c>
    </row>
    <row r="425" spans="1:3" x14ac:dyDescent="0.3">
      <c r="A425" s="3" t="s">
        <v>658</v>
      </c>
      <c r="B425" s="6">
        <v>10.98</v>
      </c>
      <c r="C425" s="12">
        <f t="shared" si="7"/>
        <v>1.3689236868680574E-3</v>
      </c>
    </row>
    <row r="426" spans="1:3" x14ac:dyDescent="0.3">
      <c r="A426" s="3" t="s">
        <v>659</v>
      </c>
      <c r="B426" s="6">
        <v>10.98</v>
      </c>
      <c r="C426" s="12">
        <f t="shared" si="7"/>
        <v>1.3689236868680574E-3</v>
      </c>
    </row>
    <row r="427" spans="1:3" x14ac:dyDescent="0.3">
      <c r="A427" s="3" t="s">
        <v>660</v>
      </c>
      <c r="B427" s="6">
        <v>10.98</v>
      </c>
      <c r="C427" s="12">
        <f t="shared" si="7"/>
        <v>1.3689236868680574E-3</v>
      </c>
    </row>
    <row r="428" spans="1:3" x14ac:dyDescent="0.3">
      <c r="A428" s="3" t="s">
        <v>661</v>
      </c>
      <c r="B428" s="6">
        <v>10.98</v>
      </c>
      <c r="C428" s="12">
        <f t="shared" si="7"/>
        <v>1.3689236868680574E-3</v>
      </c>
    </row>
    <row r="429" spans="1:3" x14ac:dyDescent="0.3">
      <c r="A429" s="3" t="s">
        <v>662</v>
      </c>
      <c r="B429" s="6">
        <v>10.98</v>
      </c>
      <c r="C429" s="12">
        <f t="shared" si="7"/>
        <v>1.3689236868680574E-3</v>
      </c>
    </row>
    <row r="430" spans="1:3" x14ac:dyDescent="0.3">
      <c r="A430" s="3" t="s">
        <v>663</v>
      </c>
      <c r="B430" s="6">
        <v>10.98</v>
      </c>
      <c r="C430" s="12">
        <f t="shared" si="7"/>
        <v>1.3689236868680574E-3</v>
      </c>
    </row>
    <row r="431" spans="1:3" x14ac:dyDescent="0.3">
      <c r="A431" s="3" t="s">
        <v>664</v>
      </c>
      <c r="B431" s="6">
        <v>10.98</v>
      </c>
      <c r="C431" s="12">
        <f t="shared" si="7"/>
        <v>1.3689236868680574E-3</v>
      </c>
    </row>
    <row r="432" spans="1:3" x14ac:dyDescent="0.3">
      <c r="A432" s="3" t="s">
        <v>665</v>
      </c>
      <c r="B432" s="6">
        <v>10.98</v>
      </c>
      <c r="C432" s="12">
        <f t="shared" si="7"/>
        <v>1.3689236868680574E-3</v>
      </c>
    </row>
    <row r="433" spans="1:3" x14ac:dyDescent="0.3">
      <c r="A433" s="3" t="s">
        <v>666</v>
      </c>
      <c r="B433" s="6">
        <v>10.98</v>
      </c>
      <c r="C433" s="12">
        <f t="shared" si="7"/>
        <v>1.3689236868680574E-3</v>
      </c>
    </row>
    <row r="434" spans="1:3" x14ac:dyDescent="0.3">
      <c r="A434" s="3" t="s">
        <v>667</v>
      </c>
      <c r="B434" s="6">
        <v>10.98</v>
      </c>
      <c r="C434" s="12">
        <f t="shared" si="7"/>
        <v>1.3689236868680574E-3</v>
      </c>
    </row>
    <row r="435" spans="1:3" x14ac:dyDescent="0.3">
      <c r="A435" s="3" t="s">
        <v>668</v>
      </c>
      <c r="B435" s="6">
        <v>10.98</v>
      </c>
      <c r="C435" s="12">
        <f t="shared" si="7"/>
        <v>1.3689236868680574E-3</v>
      </c>
    </row>
    <row r="436" spans="1:3" x14ac:dyDescent="0.3">
      <c r="A436" s="3" t="s">
        <v>669</v>
      </c>
      <c r="B436" s="6">
        <v>10.98</v>
      </c>
      <c r="C436" s="12">
        <f t="shared" si="7"/>
        <v>1.3689236868680574E-3</v>
      </c>
    </row>
    <row r="437" spans="1:3" x14ac:dyDescent="0.3">
      <c r="A437" s="3" t="s">
        <v>670</v>
      </c>
      <c r="B437" s="6">
        <v>10.98</v>
      </c>
      <c r="C437" s="12">
        <f t="shared" si="7"/>
        <v>1.3689236868680574E-3</v>
      </c>
    </row>
    <row r="438" spans="1:3" x14ac:dyDescent="0.3">
      <c r="A438" s="3" t="s">
        <v>671</v>
      </c>
      <c r="B438" s="6">
        <v>10.98</v>
      </c>
      <c r="C438" s="12">
        <f t="shared" si="7"/>
        <v>1.3689236868680574E-3</v>
      </c>
    </row>
    <row r="439" spans="1:3" x14ac:dyDescent="0.3">
      <c r="A439" s="3" t="s">
        <v>672</v>
      </c>
      <c r="B439" s="6">
        <v>10.98</v>
      </c>
      <c r="C439" s="12">
        <f t="shared" si="7"/>
        <v>1.3689236868680574E-3</v>
      </c>
    </row>
    <row r="440" spans="1:3" x14ac:dyDescent="0.3">
      <c r="A440" s="3" t="s">
        <v>673</v>
      </c>
      <c r="B440" s="6">
        <v>10.98</v>
      </c>
      <c r="C440" s="12">
        <f t="shared" si="7"/>
        <v>1.3689236868680574E-3</v>
      </c>
    </row>
    <row r="441" spans="1:3" x14ac:dyDescent="0.3">
      <c r="A441" s="3" t="s">
        <v>674</v>
      </c>
      <c r="B441" s="6">
        <v>10.98</v>
      </c>
      <c r="C441" s="12">
        <f t="shared" si="7"/>
        <v>1.3689236868680574E-3</v>
      </c>
    </row>
    <row r="442" spans="1:3" x14ac:dyDescent="0.3">
      <c r="A442" s="3" t="s">
        <v>675</v>
      </c>
      <c r="B442" s="6">
        <v>10.98</v>
      </c>
      <c r="C442" s="12">
        <f t="shared" si="7"/>
        <v>1.3689236868680574E-3</v>
      </c>
    </row>
    <row r="443" spans="1:3" x14ac:dyDescent="0.3">
      <c r="A443" s="3" t="s">
        <v>676</v>
      </c>
      <c r="B443" s="6">
        <v>10.98</v>
      </c>
      <c r="C443" s="12">
        <f t="shared" si="7"/>
        <v>1.3689236868680574E-3</v>
      </c>
    </row>
    <row r="444" spans="1:3" x14ac:dyDescent="0.3">
      <c r="A444" s="3" t="s">
        <v>677</v>
      </c>
      <c r="B444" s="6">
        <v>10.98</v>
      </c>
      <c r="C444" s="12">
        <f t="shared" si="7"/>
        <v>1.3689236868680574E-3</v>
      </c>
    </row>
    <row r="445" spans="1:3" x14ac:dyDescent="0.3">
      <c r="A445" s="3" t="s">
        <v>678</v>
      </c>
      <c r="B445" s="6">
        <v>10.98</v>
      </c>
      <c r="C445" s="12">
        <f t="shared" si="7"/>
        <v>1.3689236868680574E-3</v>
      </c>
    </row>
    <row r="446" spans="1:3" x14ac:dyDescent="0.3">
      <c r="A446" s="3" t="s">
        <v>679</v>
      </c>
      <c r="B446" s="6">
        <v>10.98</v>
      </c>
      <c r="C446" s="12">
        <f t="shared" si="7"/>
        <v>1.3689236868680574E-3</v>
      </c>
    </row>
    <row r="447" spans="1:3" x14ac:dyDescent="0.3">
      <c r="A447" s="3" t="s">
        <v>680</v>
      </c>
      <c r="B447" s="6">
        <v>10.98</v>
      </c>
      <c r="C447" s="12">
        <f t="shared" si="7"/>
        <v>1.3689236868680574E-3</v>
      </c>
    </row>
    <row r="448" spans="1:3" x14ac:dyDescent="0.3">
      <c r="A448" s="3" t="s">
        <v>681</v>
      </c>
      <c r="B448" s="6">
        <v>10.98</v>
      </c>
      <c r="C448" s="12">
        <f t="shared" si="7"/>
        <v>1.3689236868680574E-3</v>
      </c>
    </row>
    <row r="449" spans="1:3" x14ac:dyDescent="0.3">
      <c r="A449" s="3" t="s">
        <v>682</v>
      </c>
      <c r="B449" s="6">
        <v>10.98</v>
      </c>
      <c r="C449" s="12">
        <f t="shared" si="7"/>
        <v>1.3689236868680574E-3</v>
      </c>
    </row>
    <row r="450" spans="1:3" x14ac:dyDescent="0.3">
      <c r="A450" s="3" t="s">
        <v>683</v>
      </c>
      <c r="B450" s="6">
        <v>10.98</v>
      </c>
      <c r="C450" s="12">
        <f t="shared" si="7"/>
        <v>1.3689236868680574E-3</v>
      </c>
    </row>
    <row r="451" spans="1:3" x14ac:dyDescent="0.3">
      <c r="A451" s="3" t="s">
        <v>684</v>
      </c>
      <c r="B451" s="6">
        <v>10.98</v>
      </c>
      <c r="C451" s="12">
        <f t="shared" ref="C451:C514" si="8">IFERROR(B451/$B$98,"")</f>
        <v>1.3689236868680574E-3</v>
      </c>
    </row>
    <row r="452" spans="1:3" x14ac:dyDescent="0.3">
      <c r="A452" s="3" t="s">
        <v>685</v>
      </c>
      <c r="B452" s="6">
        <v>10.98</v>
      </c>
      <c r="C452" s="12">
        <f t="shared" si="8"/>
        <v>1.3689236868680574E-3</v>
      </c>
    </row>
    <row r="453" spans="1:3" x14ac:dyDescent="0.3">
      <c r="A453" s="3" t="s">
        <v>686</v>
      </c>
      <c r="B453" s="6">
        <v>10.98</v>
      </c>
      <c r="C453" s="12">
        <f t="shared" si="8"/>
        <v>1.3689236868680574E-3</v>
      </c>
    </row>
    <row r="454" spans="1:3" x14ac:dyDescent="0.3">
      <c r="A454" s="3" t="s">
        <v>687</v>
      </c>
      <c r="B454" s="6">
        <v>10.98</v>
      </c>
      <c r="C454" s="12">
        <f t="shared" si="8"/>
        <v>1.3689236868680574E-3</v>
      </c>
    </row>
    <row r="455" spans="1:3" x14ac:dyDescent="0.3">
      <c r="A455" s="3" t="s">
        <v>688</v>
      </c>
      <c r="B455" s="6">
        <v>10.98</v>
      </c>
      <c r="C455" s="12">
        <f t="shared" si="8"/>
        <v>1.3689236868680574E-3</v>
      </c>
    </row>
    <row r="456" spans="1:3" x14ac:dyDescent="0.3">
      <c r="A456" s="3" t="s">
        <v>689</v>
      </c>
      <c r="B456" s="6">
        <v>10.98</v>
      </c>
      <c r="C456" s="12">
        <f t="shared" si="8"/>
        <v>1.3689236868680574E-3</v>
      </c>
    </row>
    <row r="457" spans="1:3" x14ac:dyDescent="0.3">
      <c r="A457" s="3" t="s">
        <v>690</v>
      </c>
      <c r="B457" s="6">
        <v>10.98</v>
      </c>
      <c r="C457" s="12">
        <f t="shared" si="8"/>
        <v>1.3689236868680574E-3</v>
      </c>
    </row>
    <row r="458" spans="1:3" x14ac:dyDescent="0.3">
      <c r="A458" s="3" t="s">
        <v>691</v>
      </c>
      <c r="B458" s="6">
        <v>10.98</v>
      </c>
      <c r="C458" s="12">
        <f t="shared" si="8"/>
        <v>1.3689236868680574E-3</v>
      </c>
    </row>
    <row r="459" spans="1:3" x14ac:dyDescent="0.3">
      <c r="A459" s="3" t="s">
        <v>692</v>
      </c>
      <c r="B459" s="6">
        <v>10.98</v>
      </c>
      <c r="C459" s="12">
        <f t="shared" si="8"/>
        <v>1.3689236868680574E-3</v>
      </c>
    </row>
    <row r="460" spans="1:3" x14ac:dyDescent="0.3">
      <c r="A460" s="3" t="s">
        <v>693</v>
      </c>
      <c r="B460" s="6">
        <v>10.98</v>
      </c>
      <c r="C460" s="12">
        <f t="shared" si="8"/>
        <v>1.3689236868680574E-3</v>
      </c>
    </row>
    <row r="461" spans="1:3" x14ac:dyDescent="0.3">
      <c r="A461" s="3" t="s">
        <v>694</v>
      </c>
      <c r="B461" s="6">
        <v>10.98</v>
      </c>
      <c r="C461" s="12">
        <f t="shared" si="8"/>
        <v>1.3689236868680574E-3</v>
      </c>
    </row>
    <row r="462" spans="1:3" x14ac:dyDescent="0.3">
      <c r="A462" s="3" t="s">
        <v>695</v>
      </c>
      <c r="B462" s="6">
        <v>10.98</v>
      </c>
      <c r="C462" s="12">
        <f t="shared" si="8"/>
        <v>1.3689236868680574E-3</v>
      </c>
    </row>
    <row r="463" spans="1:3" x14ac:dyDescent="0.3">
      <c r="A463" s="3" t="s">
        <v>696</v>
      </c>
      <c r="B463" s="6">
        <v>10.98</v>
      </c>
      <c r="C463" s="12">
        <f t="shared" si="8"/>
        <v>1.3689236868680574E-3</v>
      </c>
    </row>
    <row r="464" spans="1:3" x14ac:dyDescent="0.3">
      <c r="A464" s="3" t="s">
        <v>697</v>
      </c>
      <c r="B464" s="6">
        <v>10.98</v>
      </c>
      <c r="C464" s="12">
        <f t="shared" si="8"/>
        <v>1.3689236868680574E-3</v>
      </c>
    </row>
    <row r="465" spans="1:3" x14ac:dyDescent="0.3">
      <c r="A465" s="3" t="s">
        <v>698</v>
      </c>
      <c r="B465" s="6">
        <v>10.98</v>
      </c>
      <c r="C465" s="12">
        <f t="shared" si="8"/>
        <v>1.3689236868680574E-3</v>
      </c>
    </row>
    <row r="466" spans="1:3" x14ac:dyDescent="0.3">
      <c r="A466" s="3" t="s">
        <v>699</v>
      </c>
      <c r="B466" s="6">
        <v>10.98</v>
      </c>
      <c r="C466" s="12">
        <f t="shared" si="8"/>
        <v>1.3689236868680574E-3</v>
      </c>
    </row>
    <row r="467" spans="1:3" x14ac:dyDescent="0.3">
      <c r="A467" s="3" t="s">
        <v>700</v>
      </c>
      <c r="B467" s="6">
        <v>10.98</v>
      </c>
      <c r="C467" s="12">
        <f t="shared" si="8"/>
        <v>1.3689236868680574E-3</v>
      </c>
    </row>
    <row r="468" spans="1:3" x14ac:dyDescent="0.3">
      <c r="A468" s="3" t="s">
        <v>701</v>
      </c>
      <c r="B468" s="6">
        <v>10.98</v>
      </c>
      <c r="C468" s="12">
        <f t="shared" si="8"/>
        <v>1.3689236868680574E-3</v>
      </c>
    </row>
    <row r="469" spans="1:3" x14ac:dyDescent="0.3">
      <c r="A469" s="3" t="s">
        <v>702</v>
      </c>
      <c r="B469" s="6">
        <v>10.98</v>
      </c>
      <c r="C469" s="12">
        <f t="shared" si="8"/>
        <v>1.3689236868680574E-3</v>
      </c>
    </row>
    <row r="470" spans="1:3" x14ac:dyDescent="0.3">
      <c r="A470" s="3" t="s">
        <v>703</v>
      </c>
      <c r="B470" s="6">
        <v>10.98</v>
      </c>
      <c r="C470" s="12">
        <f t="shared" si="8"/>
        <v>1.3689236868680574E-3</v>
      </c>
    </row>
    <row r="471" spans="1:3" x14ac:dyDescent="0.3">
      <c r="A471" s="3" t="s">
        <v>704</v>
      </c>
      <c r="B471" s="6">
        <v>10.98</v>
      </c>
      <c r="C471" s="12">
        <f t="shared" si="8"/>
        <v>1.3689236868680574E-3</v>
      </c>
    </row>
    <row r="472" spans="1:3" x14ac:dyDescent="0.3">
      <c r="A472" s="3" t="s">
        <v>705</v>
      </c>
      <c r="B472" s="6">
        <v>10.98</v>
      </c>
      <c r="C472" s="12">
        <f t="shared" si="8"/>
        <v>1.3689236868680574E-3</v>
      </c>
    </row>
    <row r="473" spans="1:3" x14ac:dyDescent="0.3">
      <c r="A473" s="3" t="s">
        <v>706</v>
      </c>
      <c r="B473" s="6">
        <v>10.98</v>
      </c>
      <c r="C473" s="12">
        <f t="shared" si="8"/>
        <v>1.3689236868680574E-3</v>
      </c>
    </row>
    <row r="474" spans="1:3" x14ac:dyDescent="0.3">
      <c r="A474" s="3" t="s">
        <v>707</v>
      </c>
      <c r="B474" s="6">
        <v>10.98</v>
      </c>
      <c r="C474" s="12">
        <f t="shared" si="8"/>
        <v>1.3689236868680574E-3</v>
      </c>
    </row>
    <row r="475" spans="1:3" x14ac:dyDescent="0.3">
      <c r="A475" s="3" t="s">
        <v>708</v>
      </c>
      <c r="B475" s="6">
        <v>10.98</v>
      </c>
      <c r="C475" s="12">
        <f t="shared" si="8"/>
        <v>1.3689236868680574E-3</v>
      </c>
    </row>
    <row r="476" spans="1:3" x14ac:dyDescent="0.3">
      <c r="A476" s="3" t="s">
        <v>709</v>
      </c>
      <c r="B476" s="6">
        <v>10.98</v>
      </c>
      <c r="C476" s="12">
        <f t="shared" si="8"/>
        <v>1.3689236868680574E-3</v>
      </c>
    </row>
    <row r="477" spans="1:3" x14ac:dyDescent="0.3">
      <c r="A477" s="3" t="s">
        <v>710</v>
      </c>
      <c r="B477" s="6">
        <v>10.98</v>
      </c>
      <c r="C477" s="12">
        <f t="shared" si="8"/>
        <v>1.3689236868680574E-3</v>
      </c>
    </row>
    <row r="478" spans="1:3" x14ac:dyDescent="0.3">
      <c r="A478" s="3" t="s">
        <v>711</v>
      </c>
      <c r="B478" s="6">
        <v>10.98</v>
      </c>
      <c r="C478" s="12">
        <f t="shared" si="8"/>
        <v>1.3689236868680574E-3</v>
      </c>
    </row>
    <row r="479" spans="1:3" x14ac:dyDescent="0.3">
      <c r="A479" s="3" t="s">
        <v>712</v>
      </c>
      <c r="B479" s="6">
        <v>10.98</v>
      </c>
      <c r="C479" s="12">
        <f t="shared" si="8"/>
        <v>1.3689236868680574E-3</v>
      </c>
    </row>
    <row r="480" spans="1:3" x14ac:dyDescent="0.3">
      <c r="A480" s="3" t="s">
        <v>713</v>
      </c>
      <c r="B480" s="6">
        <v>10.98</v>
      </c>
      <c r="C480" s="12">
        <f t="shared" si="8"/>
        <v>1.3689236868680574E-3</v>
      </c>
    </row>
    <row r="481" spans="1:3" x14ac:dyDescent="0.3">
      <c r="A481" s="3" t="s">
        <v>714</v>
      </c>
      <c r="B481" s="6">
        <v>10.98</v>
      </c>
      <c r="C481" s="12">
        <f t="shared" si="8"/>
        <v>1.3689236868680574E-3</v>
      </c>
    </row>
    <row r="482" spans="1:3" x14ac:dyDescent="0.3">
      <c r="A482" s="3" t="s">
        <v>715</v>
      </c>
      <c r="B482" s="6">
        <v>10.98</v>
      </c>
      <c r="C482" s="12">
        <f t="shared" si="8"/>
        <v>1.3689236868680574E-3</v>
      </c>
    </row>
    <row r="483" spans="1:3" x14ac:dyDescent="0.3">
      <c r="A483" s="3" t="s">
        <v>716</v>
      </c>
      <c r="B483" s="6">
        <v>10.98</v>
      </c>
      <c r="C483" s="12">
        <f t="shared" si="8"/>
        <v>1.3689236868680574E-3</v>
      </c>
    </row>
    <row r="484" spans="1:3" x14ac:dyDescent="0.3">
      <c r="A484" s="3" t="s">
        <v>717</v>
      </c>
      <c r="B484" s="6">
        <v>10.98</v>
      </c>
      <c r="C484" s="12">
        <f t="shared" si="8"/>
        <v>1.3689236868680574E-3</v>
      </c>
    </row>
    <row r="485" spans="1:3" x14ac:dyDescent="0.3">
      <c r="A485" s="3" t="s">
        <v>718</v>
      </c>
      <c r="B485" s="6">
        <v>10.98</v>
      </c>
      <c r="C485" s="12">
        <f t="shared" si="8"/>
        <v>1.3689236868680574E-3</v>
      </c>
    </row>
    <row r="486" spans="1:3" x14ac:dyDescent="0.3">
      <c r="A486" s="3" t="s">
        <v>719</v>
      </c>
      <c r="B486" s="6">
        <v>10.98</v>
      </c>
      <c r="C486" s="12">
        <f t="shared" si="8"/>
        <v>1.3689236868680574E-3</v>
      </c>
    </row>
    <row r="487" spans="1:3" x14ac:dyDescent="0.3">
      <c r="A487" s="3" t="s">
        <v>720</v>
      </c>
      <c r="B487" s="6">
        <v>10.98</v>
      </c>
      <c r="C487" s="12">
        <f t="shared" si="8"/>
        <v>1.3689236868680574E-3</v>
      </c>
    </row>
    <row r="488" spans="1:3" x14ac:dyDescent="0.3">
      <c r="A488" s="3" t="s">
        <v>721</v>
      </c>
      <c r="B488" s="6">
        <v>10.98</v>
      </c>
      <c r="C488" s="12">
        <f t="shared" si="8"/>
        <v>1.3689236868680574E-3</v>
      </c>
    </row>
    <row r="489" spans="1:3" x14ac:dyDescent="0.3">
      <c r="A489" s="3" t="s">
        <v>722</v>
      </c>
      <c r="B489" s="6">
        <v>10.98</v>
      </c>
      <c r="C489" s="12">
        <f t="shared" si="8"/>
        <v>1.3689236868680574E-3</v>
      </c>
    </row>
    <row r="490" spans="1:3" x14ac:dyDescent="0.3">
      <c r="A490" s="3" t="s">
        <v>723</v>
      </c>
      <c r="B490" s="6">
        <v>10.98</v>
      </c>
      <c r="C490" s="12">
        <f t="shared" si="8"/>
        <v>1.3689236868680574E-3</v>
      </c>
    </row>
    <row r="491" spans="1:3" x14ac:dyDescent="0.3">
      <c r="A491" s="3" t="s">
        <v>724</v>
      </c>
      <c r="B491" s="6">
        <v>10.98</v>
      </c>
      <c r="C491" s="12">
        <f t="shared" si="8"/>
        <v>1.3689236868680574E-3</v>
      </c>
    </row>
    <row r="492" spans="1:3" x14ac:dyDescent="0.3">
      <c r="A492" s="3" t="s">
        <v>725</v>
      </c>
      <c r="B492" s="6">
        <v>10.98</v>
      </c>
      <c r="C492" s="12">
        <f t="shared" si="8"/>
        <v>1.3689236868680574E-3</v>
      </c>
    </row>
    <row r="493" spans="1:3" x14ac:dyDescent="0.3">
      <c r="A493" s="3" t="s">
        <v>726</v>
      </c>
      <c r="B493" s="6">
        <v>10.98</v>
      </c>
      <c r="C493" s="12">
        <f t="shared" si="8"/>
        <v>1.3689236868680574E-3</v>
      </c>
    </row>
    <row r="494" spans="1:3" x14ac:dyDescent="0.3">
      <c r="A494" s="3" t="s">
        <v>727</v>
      </c>
      <c r="B494" s="6">
        <v>10.98</v>
      </c>
      <c r="C494" s="12">
        <f t="shared" si="8"/>
        <v>1.3689236868680574E-3</v>
      </c>
    </row>
    <row r="495" spans="1:3" x14ac:dyDescent="0.3">
      <c r="A495" s="3" t="s">
        <v>728</v>
      </c>
      <c r="B495" s="6">
        <v>10.98</v>
      </c>
      <c r="C495" s="12">
        <f t="shared" si="8"/>
        <v>1.3689236868680574E-3</v>
      </c>
    </row>
    <row r="496" spans="1:3" x14ac:dyDescent="0.3">
      <c r="A496" s="3" t="s">
        <v>729</v>
      </c>
      <c r="B496" s="6">
        <v>10.98</v>
      </c>
      <c r="C496" s="12">
        <f t="shared" si="8"/>
        <v>1.3689236868680574E-3</v>
      </c>
    </row>
    <row r="497" spans="1:3" x14ac:dyDescent="0.3">
      <c r="A497" s="3" t="s">
        <v>730</v>
      </c>
      <c r="B497" s="6">
        <v>10.98</v>
      </c>
      <c r="C497" s="12">
        <f t="shared" si="8"/>
        <v>1.3689236868680574E-3</v>
      </c>
    </row>
    <row r="498" spans="1:3" x14ac:dyDescent="0.3">
      <c r="A498" s="3" t="s">
        <v>731</v>
      </c>
      <c r="B498" s="6">
        <v>10.98</v>
      </c>
      <c r="C498" s="12">
        <f t="shared" si="8"/>
        <v>1.3689236868680574E-3</v>
      </c>
    </row>
    <row r="499" spans="1:3" x14ac:dyDescent="0.3">
      <c r="A499" s="3" t="s">
        <v>732</v>
      </c>
      <c r="B499" s="6">
        <v>10.98</v>
      </c>
      <c r="C499" s="12">
        <f t="shared" si="8"/>
        <v>1.3689236868680574E-3</v>
      </c>
    </row>
    <row r="500" spans="1:3" x14ac:dyDescent="0.3">
      <c r="A500" s="3" t="s">
        <v>733</v>
      </c>
      <c r="B500" s="6">
        <v>10.98</v>
      </c>
      <c r="C500" s="12">
        <f t="shared" si="8"/>
        <v>1.3689236868680574E-3</v>
      </c>
    </row>
    <row r="501" spans="1:3" x14ac:dyDescent="0.3">
      <c r="A501" s="3" t="s">
        <v>734</v>
      </c>
      <c r="B501" s="6">
        <v>10.98</v>
      </c>
      <c r="C501" s="12">
        <f t="shared" si="8"/>
        <v>1.3689236868680574E-3</v>
      </c>
    </row>
    <row r="502" spans="1:3" x14ac:dyDescent="0.3">
      <c r="A502" s="3" t="s">
        <v>735</v>
      </c>
      <c r="B502" s="6">
        <v>10.98</v>
      </c>
      <c r="C502" s="12">
        <f t="shared" si="8"/>
        <v>1.3689236868680574E-3</v>
      </c>
    </row>
    <row r="503" spans="1:3" x14ac:dyDescent="0.3">
      <c r="A503" s="3" t="s">
        <v>736</v>
      </c>
      <c r="B503" s="6">
        <v>10.98</v>
      </c>
      <c r="C503" s="12">
        <f t="shared" si="8"/>
        <v>1.3689236868680574E-3</v>
      </c>
    </row>
    <row r="504" spans="1:3" x14ac:dyDescent="0.3">
      <c r="A504" s="3" t="s">
        <v>737</v>
      </c>
      <c r="B504" s="6">
        <v>10.98</v>
      </c>
      <c r="C504" s="12">
        <f t="shared" si="8"/>
        <v>1.3689236868680574E-3</v>
      </c>
    </row>
    <row r="505" spans="1:3" x14ac:dyDescent="0.3">
      <c r="A505" s="3" t="s">
        <v>738</v>
      </c>
      <c r="B505" s="6">
        <v>10.98</v>
      </c>
      <c r="C505" s="12">
        <f t="shared" si="8"/>
        <v>1.3689236868680574E-3</v>
      </c>
    </row>
    <row r="506" spans="1:3" x14ac:dyDescent="0.3">
      <c r="A506" s="3" t="s">
        <v>739</v>
      </c>
      <c r="B506" s="6">
        <v>10.98</v>
      </c>
      <c r="C506" s="12">
        <f t="shared" si="8"/>
        <v>1.3689236868680574E-3</v>
      </c>
    </row>
    <row r="507" spans="1:3" x14ac:dyDescent="0.3">
      <c r="A507" s="3" t="s">
        <v>740</v>
      </c>
      <c r="B507" s="6">
        <v>10.98</v>
      </c>
      <c r="C507" s="12">
        <f t="shared" si="8"/>
        <v>1.3689236868680574E-3</v>
      </c>
    </row>
    <row r="508" spans="1:3" x14ac:dyDescent="0.3">
      <c r="A508" s="3" t="s">
        <v>741</v>
      </c>
      <c r="B508" s="6">
        <v>10.98</v>
      </c>
      <c r="C508" s="12">
        <f t="shared" si="8"/>
        <v>1.3689236868680574E-3</v>
      </c>
    </row>
    <row r="509" spans="1:3" x14ac:dyDescent="0.3">
      <c r="A509" s="3" t="s">
        <v>742</v>
      </c>
      <c r="B509" s="6">
        <v>10.98</v>
      </c>
      <c r="C509" s="12">
        <f t="shared" si="8"/>
        <v>1.3689236868680574E-3</v>
      </c>
    </row>
    <row r="510" spans="1:3" x14ac:dyDescent="0.3">
      <c r="A510" s="3" t="s">
        <v>743</v>
      </c>
      <c r="B510" s="6">
        <v>10.98</v>
      </c>
      <c r="C510" s="12">
        <f t="shared" si="8"/>
        <v>1.3689236868680574E-3</v>
      </c>
    </row>
    <row r="511" spans="1:3" x14ac:dyDescent="0.3">
      <c r="A511" s="3" t="s">
        <v>744</v>
      </c>
      <c r="B511" s="6">
        <v>10.98</v>
      </c>
      <c r="C511" s="12">
        <f t="shared" si="8"/>
        <v>1.3689236868680574E-3</v>
      </c>
    </row>
    <row r="512" spans="1:3" x14ac:dyDescent="0.3">
      <c r="A512" s="3" t="s">
        <v>745</v>
      </c>
      <c r="B512" s="6">
        <v>10.98</v>
      </c>
      <c r="C512" s="12">
        <f t="shared" si="8"/>
        <v>1.3689236868680574E-3</v>
      </c>
    </row>
    <row r="513" spans="1:3" x14ac:dyDescent="0.3">
      <c r="A513" s="3" t="s">
        <v>746</v>
      </c>
      <c r="B513" s="6">
        <v>10.98</v>
      </c>
      <c r="C513" s="12">
        <f t="shared" si="8"/>
        <v>1.3689236868680574E-3</v>
      </c>
    </row>
    <row r="514" spans="1:3" x14ac:dyDescent="0.3">
      <c r="A514" s="3" t="s">
        <v>747</v>
      </c>
      <c r="B514" s="6">
        <v>10.98</v>
      </c>
      <c r="C514" s="12">
        <f t="shared" si="8"/>
        <v>1.3689236868680574E-3</v>
      </c>
    </row>
    <row r="515" spans="1:3" x14ac:dyDescent="0.3">
      <c r="A515" s="3" t="s">
        <v>748</v>
      </c>
      <c r="B515" s="6">
        <v>10.98</v>
      </c>
      <c r="C515" s="12">
        <f t="shared" ref="C515:C578" si="9">IFERROR(B515/$B$98,"")</f>
        <v>1.3689236868680574E-3</v>
      </c>
    </row>
    <row r="516" spans="1:3" x14ac:dyDescent="0.3">
      <c r="A516" s="3" t="s">
        <v>749</v>
      </c>
      <c r="B516" s="6">
        <v>10.98</v>
      </c>
      <c r="C516" s="12">
        <f t="shared" si="9"/>
        <v>1.3689236868680574E-3</v>
      </c>
    </row>
    <row r="517" spans="1:3" x14ac:dyDescent="0.3">
      <c r="A517" s="3" t="s">
        <v>750</v>
      </c>
      <c r="B517" s="6">
        <v>10.98</v>
      </c>
      <c r="C517" s="12">
        <f t="shared" si="9"/>
        <v>1.3689236868680574E-3</v>
      </c>
    </row>
    <row r="518" spans="1:3" x14ac:dyDescent="0.3">
      <c r="A518" s="3" t="s">
        <v>751</v>
      </c>
      <c r="B518" s="6">
        <v>10.98</v>
      </c>
      <c r="C518" s="12">
        <f t="shared" si="9"/>
        <v>1.3689236868680574E-3</v>
      </c>
    </row>
    <row r="519" spans="1:3" x14ac:dyDescent="0.3">
      <c r="A519" s="3" t="s">
        <v>752</v>
      </c>
      <c r="B519" s="6">
        <v>10.98</v>
      </c>
      <c r="C519" s="12">
        <f t="shared" si="9"/>
        <v>1.3689236868680574E-3</v>
      </c>
    </row>
    <row r="520" spans="1:3" x14ac:dyDescent="0.3">
      <c r="A520" s="3" t="s">
        <v>753</v>
      </c>
      <c r="B520" s="6">
        <v>10.98</v>
      </c>
      <c r="C520" s="12">
        <f t="shared" si="9"/>
        <v>1.3689236868680574E-3</v>
      </c>
    </row>
    <row r="521" spans="1:3" x14ac:dyDescent="0.3">
      <c r="A521" s="3" t="s">
        <v>754</v>
      </c>
      <c r="B521" s="6">
        <v>10.98</v>
      </c>
      <c r="C521" s="12">
        <f t="shared" si="9"/>
        <v>1.3689236868680574E-3</v>
      </c>
    </row>
    <row r="522" spans="1:3" x14ac:dyDescent="0.3">
      <c r="A522" s="3" t="s">
        <v>755</v>
      </c>
      <c r="B522" s="6">
        <v>10.98</v>
      </c>
      <c r="C522" s="12">
        <f t="shared" si="9"/>
        <v>1.3689236868680574E-3</v>
      </c>
    </row>
    <row r="523" spans="1:3" x14ac:dyDescent="0.3">
      <c r="A523" s="3" t="s">
        <v>756</v>
      </c>
      <c r="B523" s="6">
        <v>10.98</v>
      </c>
      <c r="C523" s="12">
        <f t="shared" si="9"/>
        <v>1.3689236868680574E-3</v>
      </c>
    </row>
    <row r="524" spans="1:3" x14ac:dyDescent="0.3">
      <c r="A524" s="3" t="s">
        <v>757</v>
      </c>
      <c r="B524" s="6">
        <v>10.98</v>
      </c>
      <c r="C524" s="12">
        <f t="shared" si="9"/>
        <v>1.3689236868680574E-3</v>
      </c>
    </row>
    <row r="525" spans="1:3" x14ac:dyDescent="0.3">
      <c r="A525" s="3" t="s">
        <v>758</v>
      </c>
      <c r="B525" s="6">
        <v>10.98</v>
      </c>
      <c r="C525" s="12">
        <f t="shared" si="9"/>
        <v>1.3689236868680574E-3</v>
      </c>
    </row>
    <row r="526" spans="1:3" x14ac:dyDescent="0.3">
      <c r="A526" s="3" t="s">
        <v>759</v>
      </c>
      <c r="B526" s="6">
        <v>10.98</v>
      </c>
      <c r="C526" s="12">
        <f t="shared" si="9"/>
        <v>1.3689236868680574E-3</v>
      </c>
    </row>
    <row r="527" spans="1:3" x14ac:dyDescent="0.3">
      <c r="A527" s="3" t="s">
        <v>760</v>
      </c>
      <c r="B527" s="6">
        <v>10.98</v>
      </c>
      <c r="C527" s="12">
        <f t="shared" si="9"/>
        <v>1.3689236868680574E-3</v>
      </c>
    </row>
    <row r="528" spans="1:3" x14ac:dyDescent="0.3">
      <c r="A528" s="3" t="s">
        <v>761</v>
      </c>
      <c r="B528" s="6">
        <v>10.98</v>
      </c>
      <c r="C528" s="12">
        <f t="shared" si="9"/>
        <v>1.3689236868680574E-3</v>
      </c>
    </row>
    <row r="529" spans="1:3" x14ac:dyDescent="0.3">
      <c r="A529" s="3" t="s">
        <v>762</v>
      </c>
      <c r="B529" s="6">
        <v>10.98</v>
      </c>
      <c r="C529" s="12">
        <f t="shared" si="9"/>
        <v>1.3689236868680574E-3</v>
      </c>
    </row>
    <row r="530" spans="1:3" x14ac:dyDescent="0.3">
      <c r="A530" s="3" t="s">
        <v>763</v>
      </c>
      <c r="B530" s="6">
        <v>10.98</v>
      </c>
      <c r="C530" s="12">
        <f t="shared" si="9"/>
        <v>1.3689236868680574E-3</v>
      </c>
    </row>
    <row r="531" spans="1:3" x14ac:dyDescent="0.3">
      <c r="A531" s="3" t="s">
        <v>764</v>
      </c>
      <c r="B531" s="6">
        <v>10.98</v>
      </c>
      <c r="C531" s="12">
        <f t="shared" si="9"/>
        <v>1.3689236868680574E-3</v>
      </c>
    </row>
    <row r="532" spans="1:3" x14ac:dyDescent="0.3">
      <c r="A532" s="3" t="s">
        <v>765</v>
      </c>
      <c r="B532" s="6">
        <v>10.98</v>
      </c>
      <c r="C532" s="12">
        <f t="shared" si="9"/>
        <v>1.3689236868680574E-3</v>
      </c>
    </row>
    <row r="533" spans="1:3" x14ac:dyDescent="0.3">
      <c r="A533" s="3" t="s">
        <v>766</v>
      </c>
      <c r="B533" s="6">
        <v>10.98</v>
      </c>
      <c r="C533" s="12">
        <f t="shared" si="9"/>
        <v>1.3689236868680574E-3</v>
      </c>
    </row>
    <row r="534" spans="1:3" x14ac:dyDescent="0.3">
      <c r="A534" s="3" t="s">
        <v>767</v>
      </c>
      <c r="B534" s="6">
        <v>10.98</v>
      </c>
      <c r="C534" s="12">
        <f t="shared" si="9"/>
        <v>1.3689236868680574E-3</v>
      </c>
    </row>
    <row r="535" spans="1:3" x14ac:dyDescent="0.3">
      <c r="A535" s="3" t="s">
        <v>768</v>
      </c>
      <c r="B535" s="6">
        <v>10.98</v>
      </c>
      <c r="C535" s="12">
        <f t="shared" si="9"/>
        <v>1.3689236868680574E-3</v>
      </c>
    </row>
    <row r="536" spans="1:3" x14ac:dyDescent="0.3">
      <c r="A536" s="3" t="s">
        <v>769</v>
      </c>
      <c r="B536" s="6">
        <v>10.98</v>
      </c>
      <c r="C536" s="12">
        <f t="shared" si="9"/>
        <v>1.3689236868680574E-3</v>
      </c>
    </row>
    <row r="537" spans="1:3" x14ac:dyDescent="0.3">
      <c r="A537" s="3" t="s">
        <v>770</v>
      </c>
      <c r="B537" s="6">
        <v>10.98</v>
      </c>
      <c r="C537" s="12">
        <f t="shared" si="9"/>
        <v>1.3689236868680574E-3</v>
      </c>
    </row>
    <row r="538" spans="1:3" x14ac:dyDescent="0.3">
      <c r="A538" s="3" t="s">
        <v>771</v>
      </c>
      <c r="B538" s="6">
        <v>10.98</v>
      </c>
      <c r="C538" s="12">
        <f t="shared" si="9"/>
        <v>1.3689236868680574E-3</v>
      </c>
    </row>
    <row r="539" spans="1:3" x14ac:dyDescent="0.3">
      <c r="A539" s="3" t="s">
        <v>772</v>
      </c>
      <c r="B539" s="6">
        <v>10.98</v>
      </c>
      <c r="C539" s="12">
        <f t="shared" si="9"/>
        <v>1.3689236868680574E-3</v>
      </c>
    </row>
    <row r="540" spans="1:3" x14ac:dyDescent="0.3">
      <c r="A540" s="3" t="s">
        <v>773</v>
      </c>
      <c r="B540" s="6">
        <v>10.98</v>
      </c>
      <c r="C540" s="12">
        <f t="shared" si="9"/>
        <v>1.3689236868680574E-3</v>
      </c>
    </row>
    <row r="541" spans="1:3" x14ac:dyDescent="0.3">
      <c r="A541" s="3" t="s">
        <v>774</v>
      </c>
      <c r="B541" s="6">
        <v>10.98</v>
      </c>
      <c r="C541" s="12">
        <f t="shared" si="9"/>
        <v>1.3689236868680574E-3</v>
      </c>
    </row>
    <row r="542" spans="1:3" x14ac:dyDescent="0.3">
      <c r="A542" s="3" t="s">
        <v>775</v>
      </c>
      <c r="B542" s="6">
        <v>10.98</v>
      </c>
      <c r="C542" s="12">
        <f t="shared" si="9"/>
        <v>1.3689236868680574E-3</v>
      </c>
    </row>
    <row r="543" spans="1:3" x14ac:dyDescent="0.3">
      <c r="A543" s="3" t="s">
        <v>776</v>
      </c>
      <c r="B543" s="6">
        <v>10.98</v>
      </c>
      <c r="C543" s="12">
        <f t="shared" si="9"/>
        <v>1.3689236868680574E-3</v>
      </c>
    </row>
    <row r="544" spans="1:3" x14ac:dyDescent="0.3">
      <c r="A544" s="3" t="s">
        <v>777</v>
      </c>
      <c r="B544" s="6">
        <v>10.98</v>
      </c>
      <c r="C544" s="12">
        <f t="shared" si="9"/>
        <v>1.3689236868680574E-3</v>
      </c>
    </row>
    <row r="545" spans="1:3" x14ac:dyDescent="0.3">
      <c r="A545" s="3" t="s">
        <v>778</v>
      </c>
      <c r="B545" s="6">
        <v>10.98</v>
      </c>
      <c r="C545" s="12">
        <f t="shared" si="9"/>
        <v>1.3689236868680574E-3</v>
      </c>
    </row>
    <row r="546" spans="1:3" x14ac:dyDescent="0.3">
      <c r="A546" s="3" t="s">
        <v>779</v>
      </c>
      <c r="B546" s="6">
        <v>10.98</v>
      </c>
      <c r="C546" s="12">
        <f t="shared" si="9"/>
        <v>1.3689236868680574E-3</v>
      </c>
    </row>
    <row r="547" spans="1:3" x14ac:dyDescent="0.3">
      <c r="A547" s="3" t="s">
        <v>780</v>
      </c>
      <c r="B547" s="6">
        <v>10.98</v>
      </c>
      <c r="C547" s="12">
        <f t="shared" si="9"/>
        <v>1.3689236868680574E-3</v>
      </c>
    </row>
    <row r="548" spans="1:3" x14ac:dyDescent="0.3">
      <c r="A548" s="3" t="s">
        <v>781</v>
      </c>
      <c r="B548" s="6">
        <v>10.98</v>
      </c>
      <c r="C548" s="12">
        <f t="shared" si="9"/>
        <v>1.3689236868680574E-3</v>
      </c>
    </row>
    <row r="549" spans="1:3" x14ac:dyDescent="0.3">
      <c r="A549" s="3" t="s">
        <v>782</v>
      </c>
      <c r="B549" s="6">
        <v>10.98</v>
      </c>
      <c r="C549" s="12">
        <f t="shared" si="9"/>
        <v>1.3689236868680574E-3</v>
      </c>
    </row>
    <row r="550" spans="1:3" x14ac:dyDescent="0.3">
      <c r="A550" s="3" t="s">
        <v>783</v>
      </c>
      <c r="B550" s="6">
        <v>10.98</v>
      </c>
      <c r="C550" s="12">
        <f t="shared" si="9"/>
        <v>1.3689236868680574E-3</v>
      </c>
    </row>
    <row r="551" spans="1:3" x14ac:dyDescent="0.3">
      <c r="A551" s="3" t="s">
        <v>784</v>
      </c>
      <c r="B551" s="6">
        <v>10.98</v>
      </c>
      <c r="C551" s="12">
        <f t="shared" si="9"/>
        <v>1.3689236868680574E-3</v>
      </c>
    </row>
    <row r="552" spans="1:3" x14ac:dyDescent="0.3">
      <c r="A552" s="3" t="s">
        <v>785</v>
      </c>
      <c r="B552" s="6">
        <v>10.98</v>
      </c>
      <c r="C552" s="12">
        <f t="shared" si="9"/>
        <v>1.3689236868680574E-3</v>
      </c>
    </row>
    <row r="553" spans="1:3" x14ac:dyDescent="0.3">
      <c r="A553" s="3" t="s">
        <v>786</v>
      </c>
      <c r="B553" s="6">
        <v>10.98</v>
      </c>
      <c r="C553" s="12">
        <f t="shared" si="9"/>
        <v>1.3689236868680574E-3</v>
      </c>
    </row>
    <row r="554" spans="1:3" x14ac:dyDescent="0.3">
      <c r="A554" s="3" t="s">
        <v>787</v>
      </c>
      <c r="B554" s="6">
        <v>10.98</v>
      </c>
      <c r="C554" s="12">
        <f t="shared" si="9"/>
        <v>1.3689236868680574E-3</v>
      </c>
    </row>
    <row r="555" spans="1:3" x14ac:dyDescent="0.3">
      <c r="A555" s="3" t="s">
        <v>788</v>
      </c>
      <c r="B555" s="6">
        <v>10.98</v>
      </c>
      <c r="C555" s="12">
        <f t="shared" si="9"/>
        <v>1.3689236868680574E-3</v>
      </c>
    </row>
    <row r="556" spans="1:3" x14ac:dyDescent="0.3">
      <c r="A556" s="3" t="s">
        <v>789</v>
      </c>
      <c r="B556" s="6">
        <v>10.98</v>
      </c>
      <c r="C556" s="12">
        <f t="shared" si="9"/>
        <v>1.3689236868680574E-3</v>
      </c>
    </row>
    <row r="557" spans="1:3" x14ac:dyDescent="0.3">
      <c r="A557" s="3" t="s">
        <v>790</v>
      </c>
      <c r="B557" s="6">
        <v>10.98</v>
      </c>
      <c r="C557" s="12">
        <f t="shared" si="9"/>
        <v>1.3689236868680574E-3</v>
      </c>
    </row>
    <row r="558" spans="1:3" x14ac:dyDescent="0.3">
      <c r="A558" s="3" t="s">
        <v>791</v>
      </c>
      <c r="B558" s="6">
        <v>10.98</v>
      </c>
      <c r="C558" s="12">
        <f t="shared" si="9"/>
        <v>1.3689236868680574E-3</v>
      </c>
    </row>
    <row r="559" spans="1:3" x14ac:dyDescent="0.3">
      <c r="A559" s="3" t="s">
        <v>792</v>
      </c>
      <c r="B559" s="6">
        <v>10.98</v>
      </c>
      <c r="C559" s="12">
        <f t="shared" si="9"/>
        <v>1.3689236868680574E-3</v>
      </c>
    </row>
    <row r="560" spans="1:3" x14ac:dyDescent="0.3">
      <c r="A560" s="3" t="s">
        <v>793</v>
      </c>
      <c r="B560" s="6">
        <v>10.98</v>
      </c>
      <c r="C560" s="12">
        <f t="shared" si="9"/>
        <v>1.3689236868680574E-3</v>
      </c>
    </row>
    <row r="561" spans="1:3" x14ac:dyDescent="0.3">
      <c r="A561" s="3" t="s">
        <v>794</v>
      </c>
      <c r="B561" s="6">
        <v>10.98</v>
      </c>
      <c r="C561" s="12">
        <f t="shared" si="9"/>
        <v>1.3689236868680574E-3</v>
      </c>
    </row>
    <row r="562" spans="1:3" x14ac:dyDescent="0.3">
      <c r="A562" s="3" t="s">
        <v>795</v>
      </c>
      <c r="B562" s="6">
        <v>10.98</v>
      </c>
      <c r="C562" s="12">
        <f t="shared" si="9"/>
        <v>1.3689236868680574E-3</v>
      </c>
    </row>
    <row r="563" spans="1:3" x14ac:dyDescent="0.3">
      <c r="A563" s="3" t="s">
        <v>796</v>
      </c>
      <c r="B563" s="6">
        <v>10.98</v>
      </c>
      <c r="C563" s="12">
        <f t="shared" si="9"/>
        <v>1.3689236868680574E-3</v>
      </c>
    </row>
    <row r="564" spans="1:3" x14ac:dyDescent="0.3">
      <c r="A564" s="3" t="s">
        <v>797</v>
      </c>
      <c r="B564" s="6">
        <v>10.98</v>
      </c>
      <c r="C564" s="12">
        <f t="shared" si="9"/>
        <v>1.3689236868680574E-3</v>
      </c>
    </row>
    <row r="565" spans="1:3" x14ac:dyDescent="0.3">
      <c r="A565" s="3" t="s">
        <v>798</v>
      </c>
      <c r="B565" s="6">
        <v>10.98</v>
      </c>
      <c r="C565" s="12">
        <f t="shared" si="9"/>
        <v>1.3689236868680574E-3</v>
      </c>
    </row>
    <row r="566" spans="1:3" x14ac:dyDescent="0.3">
      <c r="A566" s="3" t="s">
        <v>799</v>
      </c>
      <c r="B566" s="6">
        <v>10.98</v>
      </c>
      <c r="C566" s="12">
        <f t="shared" si="9"/>
        <v>1.3689236868680574E-3</v>
      </c>
    </row>
    <row r="567" spans="1:3" x14ac:dyDescent="0.3">
      <c r="A567" s="3" t="s">
        <v>800</v>
      </c>
      <c r="B567" s="6">
        <v>10.98</v>
      </c>
      <c r="C567" s="12">
        <f t="shared" si="9"/>
        <v>1.3689236868680574E-3</v>
      </c>
    </row>
    <row r="568" spans="1:3" x14ac:dyDescent="0.3">
      <c r="A568" s="3" t="s">
        <v>801</v>
      </c>
      <c r="B568" s="6">
        <v>10.98</v>
      </c>
      <c r="C568" s="12">
        <f t="shared" si="9"/>
        <v>1.3689236868680574E-3</v>
      </c>
    </row>
    <row r="569" spans="1:3" x14ac:dyDescent="0.3">
      <c r="A569" s="3" t="s">
        <v>802</v>
      </c>
      <c r="B569" s="6">
        <v>10.98</v>
      </c>
      <c r="C569" s="12">
        <f t="shared" si="9"/>
        <v>1.3689236868680574E-3</v>
      </c>
    </row>
    <row r="570" spans="1:3" x14ac:dyDescent="0.3">
      <c r="A570" s="3" t="s">
        <v>803</v>
      </c>
      <c r="B570" s="6">
        <v>10.98</v>
      </c>
      <c r="C570" s="12">
        <f t="shared" si="9"/>
        <v>1.3689236868680574E-3</v>
      </c>
    </row>
    <row r="571" spans="1:3" x14ac:dyDescent="0.3">
      <c r="A571" s="3" t="s">
        <v>804</v>
      </c>
      <c r="B571" s="6">
        <v>10.98</v>
      </c>
      <c r="C571" s="12">
        <f t="shared" si="9"/>
        <v>1.3689236868680574E-3</v>
      </c>
    </row>
    <row r="572" spans="1:3" x14ac:dyDescent="0.3">
      <c r="A572" s="3" t="s">
        <v>805</v>
      </c>
      <c r="B572" s="6">
        <v>10.98</v>
      </c>
      <c r="C572" s="12">
        <f t="shared" si="9"/>
        <v>1.3689236868680574E-3</v>
      </c>
    </row>
    <row r="573" spans="1:3" x14ac:dyDescent="0.3">
      <c r="A573" s="3" t="s">
        <v>806</v>
      </c>
      <c r="B573" s="6">
        <v>10.98</v>
      </c>
      <c r="C573" s="12">
        <f t="shared" si="9"/>
        <v>1.3689236868680574E-3</v>
      </c>
    </row>
    <row r="574" spans="1:3" x14ac:dyDescent="0.3">
      <c r="A574" s="3" t="s">
        <v>807</v>
      </c>
      <c r="B574" s="6">
        <v>10.98</v>
      </c>
      <c r="C574" s="12">
        <f t="shared" si="9"/>
        <v>1.3689236868680574E-3</v>
      </c>
    </row>
    <row r="575" spans="1:3" x14ac:dyDescent="0.3">
      <c r="A575" s="3" t="s">
        <v>808</v>
      </c>
      <c r="B575" s="6">
        <v>10.98</v>
      </c>
      <c r="C575" s="12">
        <f t="shared" si="9"/>
        <v>1.3689236868680574E-3</v>
      </c>
    </row>
    <row r="576" spans="1:3" x14ac:dyDescent="0.3">
      <c r="A576" s="3" t="s">
        <v>809</v>
      </c>
      <c r="B576" s="6">
        <v>10.98</v>
      </c>
      <c r="C576" s="12">
        <f t="shared" si="9"/>
        <v>1.3689236868680574E-3</v>
      </c>
    </row>
    <row r="577" spans="1:3" x14ac:dyDescent="0.3">
      <c r="A577" s="3" t="s">
        <v>810</v>
      </c>
      <c r="B577" s="6">
        <v>10.98</v>
      </c>
      <c r="C577" s="12">
        <f t="shared" si="9"/>
        <v>1.3689236868680574E-3</v>
      </c>
    </row>
    <row r="578" spans="1:3" x14ac:dyDescent="0.3">
      <c r="A578" s="3" t="s">
        <v>811</v>
      </c>
      <c r="B578" s="6">
        <v>10.98</v>
      </c>
      <c r="C578" s="12">
        <f t="shared" si="9"/>
        <v>1.3689236868680574E-3</v>
      </c>
    </row>
    <row r="579" spans="1:3" x14ac:dyDescent="0.3">
      <c r="A579" s="3" t="s">
        <v>812</v>
      </c>
      <c r="B579" s="6">
        <v>11.16</v>
      </c>
      <c r="C579" s="12">
        <f t="shared" ref="C579:C642" si="10">IFERROR(B579/$B$98,"")</f>
        <v>1.391365058783927E-3</v>
      </c>
    </row>
    <row r="580" spans="1:3" x14ac:dyDescent="0.3">
      <c r="A580" s="3" t="s">
        <v>813</v>
      </c>
      <c r="B580" s="6">
        <v>11.16</v>
      </c>
      <c r="C580" s="12">
        <f t="shared" si="10"/>
        <v>1.391365058783927E-3</v>
      </c>
    </row>
    <row r="581" spans="1:3" x14ac:dyDescent="0.3">
      <c r="A581" s="3" t="s">
        <v>814</v>
      </c>
      <c r="B581" s="6">
        <v>11.16</v>
      </c>
      <c r="C581" s="12">
        <f t="shared" si="10"/>
        <v>1.391365058783927E-3</v>
      </c>
    </row>
    <row r="582" spans="1:3" x14ac:dyDescent="0.3">
      <c r="A582" s="3" t="s">
        <v>815</v>
      </c>
      <c r="B582" s="6">
        <v>11.16</v>
      </c>
      <c r="C582" s="12">
        <f t="shared" si="10"/>
        <v>1.391365058783927E-3</v>
      </c>
    </row>
    <row r="583" spans="1:3" x14ac:dyDescent="0.3">
      <c r="A583" s="3" t="s">
        <v>816</v>
      </c>
      <c r="B583" s="6">
        <v>11.16</v>
      </c>
      <c r="C583" s="12">
        <f t="shared" si="10"/>
        <v>1.391365058783927E-3</v>
      </c>
    </row>
    <row r="584" spans="1:3" x14ac:dyDescent="0.3">
      <c r="A584" s="3" t="s">
        <v>817</v>
      </c>
      <c r="B584" s="6">
        <v>11.16</v>
      </c>
      <c r="C584" s="12">
        <f t="shared" si="10"/>
        <v>1.391365058783927E-3</v>
      </c>
    </row>
    <row r="585" spans="1:3" x14ac:dyDescent="0.3">
      <c r="A585" s="3" t="s">
        <v>818</v>
      </c>
      <c r="B585" s="6">
        <v>11.16</v>
      </c>
      <c r="C585" s="12">
        <f t="shared" si="10"/>
        <v>1.391365058783927E-3</v>
      </c>
    </row>
    <row r="586" spans="1:3" x14ac:dyDescent="0.3">
      <c r="A586" s="3" t="s">
        <v>819</v>
      </c>
      <c r="B586" s="6">
        <v>11.16</v>
      </c>
      <c r="C586" s="12">
        <f t="shared" si="10"/>
        <v>1.391365058783927E-3</v>
      </c>
    </row>
    <row r="587" spans="1:3" x14ac:dyDescent="0.3">
      <c r="A587" s="3" t="s">
        <v>820</v>
      </c>
      <c r="B587" s="6">
        <v>11.16</v>
      </c>
      <c r="C587" s="12">
        <f t="shared" si="10"/>
        <v>1.391365058783927E-3</v>
      </c>
    </row>
    <row r="588" spans="1:3" x14ac:dyDescent="0.3">
      <c r="A588" s="3" t="s">
        <v>821</v>
      </c>
      <c r="B588" s="6">
        <v>11.16</v>
      </c>
      <c r="C588" s="12">
        <f t="shared" si="10"/>
        <v>1.391365058783927E-3</v>
      </c>
    </row>
    <row r="589" spans="1:3" x14ac:dyDescent="0.3">
      <c r="A589" s="3" t="s">
        <v>822</v>
      </c>
      <c r="B589" s="6">
        <v>11.16</v>
      </c>
      <c r="C589" s="12">
        <f t="shared" si="10"/>
        <v>1.391365058783927E-3</v>
      </c>
    </row>
    <row r="590" spans="1:3" x14ac:dyDescent="0.3">
      <c r="A590" s="3" t="s">
        <v>823</v>
      </c>
      <c r="B590" s="6">
        <v>11.16</v>
      </c>
      <c r="C590" s="12">
        <f t="shared" si="10"/>
        <v>1.391365058783927E-3</v>
      </c>
    </row>
    <row r="591" spans="1:3" x14ac:dyDescent="0.3">
      <c r="A591" s="3" t="s">
        <v>824</v>
      </c>
      <c r="B591" s="6">
        <v>11.16</v>
      </c>
      <c r="C591" s="12">
        <f t="shared" si="10"/>
        <v>1.391365058783927E-3</v>
      </c>
    </row>
    <row r="592" spans="1:3" x14ac:dyDescent="0.3">
      <c r="A592" s="3" t="s">
        <v>825</v>
      </c>
      <c r="B592" s="6">
        <v>11.16</v>
      </c>
      <c r="C592" s="12">
        <f t="shared" si="10"/>
        <v>1.391365058783927E-3</v>
      </c>
    </row>
    <row r="593" spans="1:3" x14ac:dyDescent="0.3">
      <c r="A593" s="3" t="s">
        <v>826</v>
      </c>
      <c r="B593" s="6">
        <v>11.16</v>
      </c>
      <c r="C593" s="12">
        <f t="shared" si="10"/>
        <v>1.391365058783927E-3</v>
      </c>
    </row>
    <row r="594" spans="1:3" x14ac:dyDescent="0.3">
      <c r="A594" s="3" t="s">
        <v>827</v>
      </c>
      <c r="B594" s="6">
        <v>11.16</v>
      </c>
      <c r="C594" s="12">
        <f t="shared" si="10"/>
        <v>1.391365058783927E-3</v>
      </c>
    </row>
    <row r="595" spans="1:3" x14ac:dyDescent="0.3">
      <c r="A595" s="3" t="s">
        <v>828</v>
      </c>
      <c r="B595" s="6">
        <v>11.16</v>
      </c>
      <c r="C595" s="12">
        <f t="shared" si="10"/>
        <v>1.391365058783927E-3</v>
      </c>
    </row>
    <row r="596" spans="1:3" x14ac:dyDescent="0.3">
      <c r="A596" s="3" t="s">
        <v>829</v>
      </c>
      <c r="B596" s="6">
        <v>11.16</v>
      </c>
      <c r="C596" s="12">
        <f t="shared" si="10"/>
        <v>1.391365058783927E-3</v>
      </c>
    </row>
    <row r="597" spans="1:3" x14ac:dyDescent="0.3">
      <c r="A597" s="3" t="s">
        <v>830</v>
      </c>
      <c r="B597" s="6">
        <v>11.16</v>
      </c>
      <c r="C597" s="12">
        <f t="shared" si="10"/>
        <v>1.391365058783927E-3</v>
      </c>
    </row>
    <row r="598" spans="1:3" x14ac:dyDescent="0.3">
      <c r="A598" s="3" t="s">
        <v>831</v>
      </c>
      <c r="B598" s="6">
        <v>11.16</v>
      </c>
      <c r="C598" s="12">
        <f t="shared" si="10"/>
        <v>1.391365058783927E-3</v>
      </c>
    </row>
    <row r="599" spans="1:3" x14ac:dyDescent="0.3">
      <c r="A599" s="3" t="s">
        <v>832</v>
      </c>
      <c r="B599" s="6">
        <v>11.16</v>
      </c>
      <c r="C599" s="12">
        <f t="shared" si="10"/>
        <v>1.391365058783927E-3</v>
      </c>
    </row>
    <row r="600" spans="1:3" x14ac:dyDescent="0.3">
      <c r="A600" s="3" t="s">
        <v>833</v>
      </c>
      <c r="B600" s="6">
        <v>11.16</v>
      </c>
      <c r="C600" s="12">
        <f t="shared" si="10"/>
        <v>1.391365058783927E-3</v>
      </c>
    </row>
    <row r="601" spans="1:3" x14ac:dyDescent="0.3">
      <c r="A601" s="3" t="s">
        <v>834</v>
      </c>
      <c r="B601" s="6">
        <v>11.16</v>
      </c>
      <c r="C601" s="12">
        <f t="shared" si="10"/>
        <v>1.391365058783927E-3</v>
      </c>
    </row>
    <row r="602" spans="1:3" x14ac:dyDescent="0.3">
      <c r="A602" s="3" t="s">
        <v>835</v>
      </c>
      <c r="B602" s="6">
        <v>11.16</v>
      </c>
      <c r="C602" s="12">
        <f t="shared" si="10"/>
        <v>1.391365058783927E-3</v>
      </c>
    </row>
    <row r="603" spans="1:3" x14ac:dyDescent="0.3">
      <c r="A603" s="3" t="s">
        <v>836</v>
      </c>
      <c r="B603" s="6">
        <v>11.16</v>
      </c>
      <c r="C603" s="12">
        <f t="shared" si="10"/>
        <v>1.391365058783927E-3</v>
      </c>
    </row>
    <row r="604" spans="1:3" x14ac:dyDescent="0.3">
      <c r="A604" s="3" t="s">
        <v>837</v>
      </c>
      <c r="B604" s="6">
        <v>11.16</v>
      </c>
      <c r="C604" s="12">
        <f t="shared" si="10"/>
        <v>1.391365058783927E-3</v>
      </c>
    </row>
    <row r="605" spans="1:3" x14ac:dyDescent="0.3">
      <c r="A605" s="3" t="s">
        <v>838</v>
      </c>
      <c r="B605" s="6">
        <v>11.16</v>
      </c>
      <c r="C605" s="12">
        <f t="shared" si="10"/>
        <v>1.391365058783927E-3</v>
      </c>
    </row>
    <row r="606" spans="1:3" x14ac:dyDescent="0.3">
      <c r="A606" s="3" t="s">
        <v>839</v>
      </c>
      <c r="B606" s="6">
        <v>11.16</v>
      </c>
      <c r="C606" s="12">
        <f t="shared" si="10"/>
        <v>1.391365058783927E-3</v>
      </c>
    </row>
    <row r="607" spans="1:3" x14ac:dyDescent="0.3">
      <c r="A607" s="3" t="s">
        <v>840</v>
      </c>
      <c r="B607" s="6">
        <v>11.16</v>
      </c>
      <c r="C607" s="12">
        <f t="shared" si="10"/>
        <v>1.391365058783927E-3</v>
      </c>
    </row>
    <row r="608" spans="1:3" x14ac:dyDescent="0.3">
      <c r="A608" s="3" t="s">
        <v>841</v>
      </c>
      <c r="B608" s="6">
        <v>11.16</v>
      </c>
      <c r="C608" s="12">
        <f t="shared" si="10"/>
        <v>1.391365058783927E-3</v>
      </c>
    </row>
    <row r="609" spans="1:3" x14ac:dyDescent="0.3">
      <c r="A609" s="3" t="s">
        <v>842</v>
      </c>
      <c r="B609" s="6">
        <v>11.231999999999999</v>
      </c>
      <c r="C609" s="12">
        <f t="shared" si="10"/>
        <v>1.4003416075502749E-3</v>
      </c>
    </row>
    <row r="610" spans="1:3" x14ac:dyDescent="0.3">
      <c r="A610" s="3" t="s">
        <v>843</v>
      </c>
      <c r="B610" s="6">
        <v>11.231999999999999</v>
      </c>
      <c r="C610" s="12">
        <f t="shared" si="10"/>
        <v>1.4003416075502749E-3</v>
      </c>
    </row>
    <row r="611" spans="1:3" x14ac:dyDescent="0.3">
      <c r="A611" s="3" t="s">
        <v>844</v>
      </c>
      <c r="B611" s="6">
        <v>11.231999999999999</v>
      </c>
      <c r="C611" s="12">
        <f t="shared" si="10"/>
        <v>1.4003416075502749E-3</v>
      </c>
    </row>
    <row r="612" spans="1:3" x14ac:dyDescent="0.3">
      <c r="A612" s="3" t="s">
        <v>845</v>
      </c>
      <c r="B612" s="6">
        <v>11.231999999999999</v>
      </c>
      <c r="C612" s="12">
        <f t="shared" si="10"/>
        <v>1.4003416075502749E-3</v>
      </c>
    </row>
    <row r="613" spans="1:3" x14ac:dyDescent="0.3">
      <c r="A613" s="3" t="s">
        <v>846</v>
      </c>
      <c r="B613" s="6">
        <v>11.231999999999999</v>
      </c>
      <c r="C613" s="12">
        <f t="shared" si="10"/>
        <v>1.4003416075502749E-3</v>
      </c>
    </row>
    <row r="614" spans="1:3" x14ac:dyDescent="0.3">
      <c r="A614" s="3" t="s">
        <v>847</v>
      </c>
      <c r="B614" s="6">
        <v>11.231999999999999</v>
      </c>
      <c r="C614" s="12">
        <f t="shared" si="10"/>
        <v>1.4003416075502749E-3</v>
      </c>
    </row>
    <row r="615" spans="1:3" x14ac:dyDescent="0.3">
      <c r="A615" s="3" t="s">
        <v>848</v>
      </c>
      <c r="B615" s="6">
        <v>11.231999999999999</v>
      </c>
      <c r="C615" s="12">
        <f t="shared" si="10"/>
        <v>1.4003416075502749E-3</v>
      </c>
    </row>
    <row r="616" spans="1:3" x14ac:dyDescent="0.3">
      <c r="A616" s="3" t="s">
        <v>849</v>
      </c>
      <c r="B616" s="6">
        <v>11.231999999999999</v>
      </c>
      <c r="C616" s="12">
        <f t="shared" si="10"/>
        <v>1.4003416075502749E-3</v>
      </c>
    </row>
    <row r="617" spans="1:3" x14ac:dyDescent="0.3">
      <c r="A617" s="3" t="s">
        <v>850</v>
      </c>
      <c r="B617" s="6">
        <v>11.231999999999999</v>
      </c>
      <c r="C617" s="12">
        <f t="shared" si="10"/>
        <v>1.4003416075502749E-3</v>
      </c>
    </row>
    <row r="618" spans="1:3" x14ac:dyDescent="0.3">
      <c r="A618" s="3" t="s">
        <v>851</v>
      </c>
      <c r="B618" s="6">
        <v>11.231999999999999</v>
      </c>
      <c r="C618" s="12">
        <f t="shared" si="10"/>
        <v>1.4003416075502749E-3</v>
      </c>
    </row>
    <row r="619" spans="1:3" x14ac:dyDescent="0.3">
      <c r="A619" s="3" t="s">
        <v>852</v>
      </c>
      <c r="B619" s="6">
        <v>11.231999999999999</v>
      </c>
      <c r="C619" s="12">
        <f t="shared" si="10"/>
        <v>1.4003416075502749E-3</v>
      </c>
    </row>
    <row r="620" spans="1:3" x14ac:dyDescent="0.3">
      <c r="A620" s="3" t="s">
        <v>853</v>
      </c>
      <c r="B620" s="6">
        <v>11.231999999999999</v>
      </c>
      <c r="C620" s="12">
        <f t="shared" si="10"/>
        <v>1.4003416075502749E-3</v>
      </c>
    </row>
    <row r="621" spans="1:3" x14ac:dyDescent="0.3">
      <c r="A621" s="3" t="s">
        <v>854</v>
      </c>
      <c r="B621" s="6">
        <v>11.231999999999999</v>
      </c>
      <c r="C621" s="12">
        <f t="shared" si="10"/>
        <v>1.4003416075502749E-3</v>
      </c>
    </row>
    <row r="622" spans="1:3" x14ac:dyDescent="0.3">
      <c r="A622" s="3" t="s">
        <v>855</v>
      </c>
      <c r="B622" s="6">
        <v>11.231999999999999</v>
      </c>
      <c r="C622" s="12">
        <f t="shared" si="10"/>
        <v>1.4003416075502749E-3</v>
      </c>
    </row>
    <row r="623" spans="1:3" x14ac:dyDescent="0.3">
      <c r="A623" s="3" t="s">
        <v>856</v>
      </c>
      <c r="B623" s="6">
        <v>11.231999999999999</v>
      </c>
      <c r="C623" s="12">
        <f t="shared" si="10"/>
        <v>1.4003416075502749E-3</v>
      </c>
    </row>
    <row r="624" spans="1:3" x14ac:dyDescent="0.3">
      <c r="A624" s="3" t="s">
        <v>857</v>
      </c>
      <c r="B624" s="6">
        <v>11.231999999999999</v>
      </c>
      <c r="C624" s="12">
        <f t="shared" si="10"/>
        <v>1.4003416075502749E-3</v>
      </c>
    </row>
    <row r="625" spans="1:3" x14ac:dyDescent="0.3">
      <c r="A625" s="3" t="s">
        <v>858</v>
      </c>
      <c r="B625" s="6">
        <v>11.231999999999999</v>
      </c>
      <c r="C625" s="12">
        <f t="shared" si="10"/>
        <v>1.4003416075502749E-3</v>
      </c>
    </row>
    <row r="626" spans="1:3" x14ac:dyDescent="0.3">
      <c r="A626" s="3" t="s">
        <v>859</v>
      </c>
      <c r="B626" s="6">
        <v>11.231999999999999</v>
      </c>
      <c r="C626" s="12">
        <f t="shared" si="10"/>
        <v>1.4003416075502749E-3</v>
      </c>
    </row>
    <row r="627" spans="1:3" x14ac:dyDescent="0.3">
      <c r="A627" s="3" t="s">
        <v>860</v>
      </c>
      <c r="B627" s="6">
        <v>11.231999999999999</v>
      </c>
      <c r="C627" s="12">
        <f t="shared" si="10"/>
        <v>1.4003416075502749E-3</v>
      </c>
    </row>
    <row r="628" spans="1:3" x14ac:dyDescent="0.3">
      <c r="A628" s="3" t="s">
        <v>861</v>
      </c>
      <c r="B628" s="6">
        <v>11.231999999999999</v>
      </c>
      <c r="C628" s="12">
        <f t="shared" si="10"/>
        <v>1.4003416075502749E-3</v>
      </c>
    </row>
    <row r="629" spans="1:3" x14ac:dyDescent="0.3">
      <c r="A629" s="3" t="s">
        <v>862</v>
      </c>
      <c r="B629" s="6">
        <v>11.231999999999999</v>
      </c>
      <c r="C629" s="12">
        <f t="shared" si="10"/>
        <v>1.4003416075502749E-3</v>
      </c>
    </row>
    <row r="630" spans="1:3" x14ac:dyDescent="0.3">
      <c r="A630" s="3" t="s">
        <v>863</v>
      </c>
      <c r="B630" s="6">
        <v>11.231999999999999</v>
      </c>
      <c r="C630" s="12">
        <f t="shared" si="10"/>
        <v>1.4003416075502749E-3</v>
      </c>
    </row>
    <row r="631" spans="1:3" x14ac:dyDescent="0.3">
      <c r="A631" s="3" t="s">
        <v>864</v>
      </c>
      <c r="B631" s="6">
        <v>11.231999999999999</v>
      </c>
      <c r="C631" s="12">
        <f t="shared" si="10"/>
        <v>1.4003416075502749E-3</v>
      </c>
    </row>
    <row r="632" spans="1:3" x14ac:dyDescent="0.3">
      <c r="A632" s="3" t="s">
        <v>865</v>
      </c>
      <c r="B632" s="6">
        <v>11.231999999999999</v>
      </c>
      <c r="C632" s="12">
        <f t="shared" si="10"/>
        <v>1.4003416075502749E-3</v>
      </c>
    </row>
    <row r="633" spans="1:3" x14ac:dyDescent="0.3">
      <c r="A633" s="3" t="s">
        <v>866</v>
      </c>
      <c r="B633" s="6">
        <v>11.231999999999999</v>
      </c>
      <c r="C633" s="12">
        <f t="shared" si="10"/>
        <v>1.4003416075502749E-3</v>
      </c>
    </row>
    <row r="634" spans="1:3" x14ac:dyDescent="0.3">
      <c r="A634" s="3" t="s">
        <v>867</v>
      </c>
      <c r="B634" s="6">
        <v>11.231999999999999</v>
      </c>
      <c r="C634" s="12">
        <f t="shared" si="10"/>
        <v>1.4003416075502749E-3</v>
      </c>
    </row>
    <row r="635" spans="1:3" x14ac:dyDescent="0.3">
      <c r="A635" s="3" t="s">
        <v>868</v>
      </c>
      <c r="B635" s="6">
        <v>11.231999999999999</v>
      </c>
      <c r="C635" s="12">
        <f t="shared" si="10"/>
        <v>1.4003416075502749E-3</v>
      </c>
    </row>
    <row r="636" spans="1:3" x14ac:dyDescent="0.3">
      <c r="A636" s="3" t="s">
        <v>869</v>
      </c>
      <c r="B636" s="6">
        <v>11.231999999999999</v>
      </c>
      <c r="C636" s="12">
        <f t="shared" si="10"/>
        <v>1.4003416075502749E-3</v>
      </c>
    </row>
    <row r="637" spans="1:3" x14ac:dyDescent="0.3">
      <c r="A637" s="3" t="s">
        <v>870</v>
      </c>
      <c r="B637" s="6">
        <v>11.231999999999999</v>
      </c>
      <c r="C637" s="12">
        <f t="shared" si="10"/>
        <v>1.4003416075502749E-3</v>
      </c>
    </row>
    <row r="638" spans="1:3" x14ac:dyDescent="0.3">
      <c r="A638" s="3" t="s">
        <v>871</v>
      </c>
      <c r="B638" s="6">
        <v>11.231999999999999</v>
      </c>
      <c r="C638" s="12">
        <f t="shared" si="10"/>
        <v>1.4003416075502749E-3</v>
      </c>
    </row>
    <row r="639" spans="1:3" x14ac:dyDescent="0.3">
      <c r="A639" s="3" t="s">
        <v>872</v>
      </c>
      <c r="B639" s="6">
        <v>11.231999999999999</v>
      </c>
      <c r="C639" s="12">
        <f t="shared" si="10"/>
        <v>1.4003416075502749E-3</v>
      </c>
    </row>
    <row r="640" spans="1:3" x14ac:dyDescent="0.3">
      <c r="A640" s="3" t="s">
        <v>873</v>
      </c>
      <c r="B640" s="6">
        <v>11.231999999999999</v>
      </c>
      <c r="C640" s="12">
        <f t="shared" si="10"/>
        <v>1.4003416075502749E-3</v>
      </c>
    </row>
    <row r="641" spans="1:3" x14ac:dyDescent="0.3">
      <c r="A641" s="3" t="s">
        <v>874</v>
      </c>
      <c r="B641" s="6">
        <v>11.231999999999999</v>
      </c>
      <c r="C641" s="12">
        <f t="shared" si="10"/>
        <v>1.4003416075502749E-3</v>
      </c>
    </row>
    <row r="642" spans="1:3" x14ac:dyDescent="0.3">
      <c r="A642" s="3" t="s">
        <v>875</v>
      </c>
      <c r="B642" s="6">
        <v>11.231999999999999</v>
      </c>
      <c r="C642" s="12">
        <f t="shared" si="10"/>
        <v>1.4003416075502749E-3</v>
      </c>
    </row>
    <row r="643" spans="1:3" x14ac:dyDescent="0.3">
      <c r="A643" s="3" t="s">
        <v>876</v>
      </c>
      <c r="B643" s="6">
        <v>11.231999999999999</v>
      </c>
      <c r="C643" s="12">
        <f t="shared" ref="C643:C706" si="11">IFERROR(B643/$B$98,"")</f>
        <v>1.4003416075502749E-3</v>
      </c>
    </row>
    <row r="644" spans="1:3" x14ac:dyDescent="0.3">
      <c r="A644" s="3" t="s">
        <v>877</v>
      </c>
      <c r="B644" s="6">
        <v>11.231999999999999</v>
      </c>
      <c r="C644" s="12">
        <f t="shared" si="11"/>
        <v>1.4003416075502749E-3</v>
      </c>
    </row>
    <row r="645" spans="1:3" x14ac:dyDescent="0.3">
      <c r="A645" s="3" t="s">
        <v>878</v>
      </c>
      <c r="B645" s="6">
        <v>11.231999999999999</v>
      </c>
      <c r="C645" s="12">
        <f t="shared" si="11"/>
        <v>1.4003416075502749E-3</v>
      </c>
    </row>
    <row r="646" spans="1:3" x14ac:dyDescent="0.3">
      <c r="A646" s="3" t="s">
        <v>879</v>
      </c>
      <c r="B646" s="6">
        <v>11.231999999999999</v>
      </c>
      <c r="C646" s="12">
        <f t="shared" si="11"/>
        <v>1.4003416075502749E-3</v>
      </c>
    </row>
    <row r="647" spans="1:3" x14ac:dyDescent="0.3">
      <c r="A647" s="3" t="s">
        <v>880</v>
      </c>
      <c r="B647" s="6">
        <v>11.231999999999999</v>
      </c>
      <c r="C647" s="12">
        <f t="shared" si="11"/>
        <v>1.4003416075502749E-3</v>
      </c>
    </row>
    <row r="648" spans="1:3" x14ac:dyDescent="0.3">
      <c r="A648" s="3" t="s">
        <v>881</v>
      </c>
      <c r="B648" s="6">
        <v>11.231999999999999</v>
      </c>
      <c r="C648" s="12">
        <f t="shared" si="11"/>
        <v>1.4003416075502749E-3</v>
      </c>
    </row>
    <row r="649" spans="1:3" x14ac:dyDescent="0.3">
      <c r="A649" s="3" t="s">
        <v>882</v>
      </c>
      <c r="B649" s="6">
        <v>10.98</v>
      </c>
      <c r="C649" s="12">
        <f t="shared" si="11"/>
        <v>1.3689236868680574E-3</v>
      </c>
    </row>
    <row r="650" spans="1:3" x14ac:dyDescent="0.3">
      <c r="A650" s="3" t="s">
        <v>883</v>
      </c>
      <c r="B650" s="6">
        <v>10.98</v>
      </c>
      <c r="C650" s="12">
        <f t="shared" si="11"/>
        <v>1.3689236868680574E-3</v>
      </c>
    </row>
    <row r="651" spans="1:3" x14ac:dyDescent="0.3">
      <c r="A651" s="3" t="s">
        <v>884</v>
      </c>
      <c r="B651" s="6">
        <v>10.98</v>
      </c>
      <c r="C651" s="12">
        <f t="shared" si="11"/>
        <v>1.3689236868680574E-3</v>
      </c>
    </row>
    <row r="652" spans="1:3" x14ac:dyDescent="0.3">
      <c r="A652" s="3" t="s">
        <v>885</v>
      </c>
      <c r="B652" s="6">
        <v>10.98</v>
      </c>
      <c r="C652" s="12">
        <f t="shared" si="11"/>
        <v>1.3689236868680574E-3</v>
      </c>
    </row>
    <row r="653" spans="1:3" x14ac:dyDescent="0.3">
      <c r="A653" s="3" t="s">
        <v>886</v>
      </c>
      <c r="B653" s="6">
        <v>10.98</v>
      </c>
      <c r="C653" s="12">
        <f t="shared" si="11"/>
        <v>1.3689236868680574E-3</v>
      </c>
    </row>
    <row r="654" spans="1:3" x14ac:dyDescent="0.3">
      <c r="A654" s="3" t="s">
        <v>887</v>
      </c>
      <c r="B654" s="6">
        <v>10.98</v>
      </c>
      <c r="C654" s="12">
        <f t="shared" si="11"/>
        <v>1.3689236868680574E-3</v>
      </c>
    </row>
    <row r="655" spans="1:3" x14ac:dyDescent="0.3">
      <c r="A655" s="3" t="s">
        <v>888</v>
      </c>
      <c r="B655" s="6">
        <v>10.98</v>
      </c>
      <c r="C655" s="12">
        <f t="shared" si="11"/>
        <v>1.3689236868680574E-3</v>
      </c>
    </row>
    <row r="656" spans="1:3" x14ac:dyDescent="0.3">
      <c r="A656" s="3" t="s">
        <v>889</v>
      </c>
      <c r="B656" s="6">
        <v>10.98</v>
      </c>
      <c r="C656" s="12">
        <f t="shared" si="11"/>
        <v>1.3689236868680574E-3</v>
      </c>
    </row>
    <row r="657" spans="1:3" x14ac:dyDescent="0.3">
      <c r="A657" s="3" t="s">
        <v>890</v>
      </c>
      <c r="B657" s="6">
        <v>10.98</v>
      </c>
      <c r="C657" s="12">
        <f t="shared" si="11"/>
        <v>1.3689236868680574E-3</v>
      </c>
    </row>
    <row r="658" spans="1:3" x14ac:dyDescent="0.3">
      <c r="A658" s="3" t="s">
        <v>891</v>
      </c>
      <c r="B658" s="6">
        <v>10.98</v>
      </c>
      <c r="C658" s="12">
        <f t="shared" si="11"/>
        <v>1.3689236868680574E-3</v>
      </c>
    </row>
    <row r="659" spans="1:3" x14ac:dyDescent="0.3">
      <c r="A659" s="3" t="s">
        <v>892</v>
      </c>
      <c r="B659" s="6">
        <v>10.98</v>
      </c>
      <c r="C659" s="12">
        <f t="shared" si="11"/>
        <v>1.3689236868680574E-3</v>
      </c>
    </row>
    <row r="660" spans="1:3" x14ac:dyDescent="0.3">
      <c r="A660" s="3" t="s">
        <v>893</v>
      </c>
      <c r="B660" s="6">
        <v>10.98</v>
      </c>
      <c r="C660" s="12">
        <f t="shared" si="11"/>
        <v>1.3689236868680574E-3</v>
      </c>
    </row>
    <row r="661" spans="1:3" x14ac:dyDescent="0.3">
      <c r="A661" s="3" t="s">
        <v>894</v>
      </c>
      <c r="B661" s="6">
        <v>10.98</v>
      </c>
      <c r="C661" s="12">
        <f t="shared" si="11"/>
        <v>1.3689236868680574E-3</v>
      </c>
    </row>
    <row r="662" spans="1:3" x14ac:dyDescent="0.3">
      <c r="A662" s="3" t="s">
        <v>895</v>
      </c>
      <c r="B662" s="6">
        <v>10.98</v>
      </c>
      <c r="C662" s="12">
        <f t="shared" si="11"/>
        <v>1.3689236868680574E-3</v>
      </c>
    </row>
    <row r="663" spans="1:3" x14ac:dyDescent="0.3">
      <c r="A663" s="3" t="s">
        <v>896</v>
      </c>
      <c r="B663" s="6">
        <v>10.98</v>
      </c>
      <c r="C663" s="12">
        <f t="shared" si="11"/>
        <v>1.3689236868680574E-3</v>
      </c>
    </row>
    <row r="664" spans="1:3" x14ac:dyDescent="0.3">
      <c r="A664" s="3" t="s">
        <v>897</v>
      </c>
      <c r="B664" s="6">
        <v>10.98</v>
      </c>
      <c r="C664" s="12">
        <f t="shared" si="11"/>
        <v>1.3689236868680574E-3</v>
      </c>
    </row>
    <row r="665" spans="1:3" x14ac:dyDescent="0.3">
      <c r="A665" s="3" t="s">
        <v>898</v>
      </c>
      <c r="B665" s="6">
        <v>10.98</v>
      </c>
      <c r="C665" s="12">
        <f t="shared" si="11"/>
        <v>1.3689236868680574E-3</v>
      </c>
    </row>
    <row r="666" spans="1:3" x14ac:dyDescent="0.3">
      <c r="A666" s="3" t="s">
        <v>899</v>
      </c>
      <c r="B666" s="6">
        <v>10.98</v>
      </c>
      <c r="C666" s="12">
        <f t="shared" si="11"/>
        <v>1.3689236868680574E-3</v>
      </c>
    </row>
    <row r="667" spans="1:3" x14ac:dyDescent="0.3">
      <c r="A667" s="3" t="s">
        <v>900</v>
      </c>
      <c r="B667" s="6">
        <v>10.98</v>
      </c>
      <c r="C667" s="12">
        <f t="shared" si="11"/>
        <v>1.3689236868680574E-3</v>
      </c>
    </row>
    <row r="668" spans="1:3" x14ac:dyDescent="0.3">
      <c r="A668" s="3" t="s">
        <v>901</v>
      </c>
      <c r="B668" s="6">
        <v>10.98</v>
      </c>
      <c r="C668" s="12">
        <f t="shared" si="11"/>
        <v>1.3689236868680574E-3</v>
      </c>
    </row>
    <row r="669" spans="1:3" x14ac:dyDescent="0.3">
      <c r="A669" s="3" t="s">
        <v>902</v>
      </c>
      <c r="B669" s="6">
        <v>10.98</v>
      </c>
      <c r="C669" s="12">
        <f t="shared" si="11"/>
        <v>1.3689236868680574E-3</v>
      </c>
    </row>
    <row r="670" spans="1:3" x14ac:dyDescent="0.3">
      <c r="A670" s="3" t="s">
        <v>903</v>
      </c>
      <c r="B670" s="6">
        <v>10.98</v>
      </c>
      <c r="C670" s="12">
        <f t="shared" si="11"/>
        <v>1.3689236868680574E-3</v>
      </c>
    </row>
    <row r="671" spans="1:3" x14ac:dyDescent="0.3">
      <c r="A671" s="3" t="s">
        <v>904</v>
      </c>
      <c r="B671" s="6">
        <v>10.98</v>
      </c>
      <c r="C671" s="12">
        <f t="shared" si="11"/>
        <v>1.3689236868680574E-3</v>
      </c>
    </row>
    <row r="672" spans="1:3" x14ac:dyDescent="0.3">
      <c r="A672" s="3" t="s">
        <v>905</v>
      </c>
      <c r="B672" s="6">
        <v>10.98</v>
      </c>
      <c r="C672" s="12">
        <f t="shared" si="11"/>
        <v>1.3689236868680574E-3</v>
      </c>
    </row>
    <row r="673" spans="1:3" x14ac:dyDescent="0.3">
      <c r="A673" s="3" t="s">
        <v>906</v>
      </c>
      <c r="B673" s="6">
        <v>10.98</v>
      </c>
      <c r="C673" s="12">
        <f t="shared" si="11"/>
        <v>1.3689236868680574E-3</v>
      </c>
    </row>
    <row r="674" spans="1:3" x14ac:dyDescent="0.3">
      <c r="A674" s="3" t="s">
        <v>907</v>
      </c>
      <c r="B674" s="6">
        <v>10.98</v>
      </c>
      <c r="C674" s="12">
        <f t="shared" si="11"/>
        <v>1.3689236868680574E-3</v>
      </c>
    </row>
    <row r="675" spans="1:3" x14ac:dyDescent="0.3">
      <c r="A675" s="3" t="s">
        <v>908</v>
      </c>
      <c r="B675" s="6">
        <v>10.98</v>
      </c>
      <c r="C675" s="12">
        <f t="shared" si="11"/>
        <v>1.3689236868680574E-3</v>
      </c>
    </row>
    <row r="676" spans="1:3" x14ac:dyDescent="0.3">
      <c r="A676" s="3" t="s">
        <v>909</v>
      </c>
      <c r="B676" s="6">
        <v>10.98</v>
      </c>
      <c r="C676" s="12">
        <f t="shared" si="11"/>
        <v>1.3689236868680574E-3</v>
      </c>
    </row>
    <row r="677" spans="1:3" x14ac:dyDescent="0.3">
      <c r="A677" s="3" t="s">
        <v>910</v>
      </c>
      <c r="B677" s="6">
        <v>10.98</v>
      </c>
      <c r="C677" s="12">
        <f t="shared" si="11"/>
        <v>1.3689236868680574E-3</v>
      </c>
    </row>
    <row r="678" spans="1:3" x14ac:dyDescent="0.3">
      <c r="A678" s="3" t="s">
        <v>911</v>
      </c>
      <c r="B678" s="6">
        <v>10.98</v>
      </c>
      <c r="C678" s="12">
        <f t="shared" si="11"/>
        <v>1.3689236868680574E-3</v>
      </c>
    </row>
    <row r="679" spans="1:3" x14ac:dyDescent="0.3">
      <c r="A679" s="3" t="s">
        <v>912</v>
      </c>
      <c r="B679" s="6">
        <v>10.98</v>
      </c>
      <c r="C679" s="12">
        <f t="shared" si="11"/>
        <v>1.3689236868680574E-3</v>
      </c>
    </row>
    <row r="680" spans="1:3" x14ac:dyDescent="0.3">
      <c r="A680" s="3" t="s">
        <v>913</v>
      </c>
      <c r="B680" s="6">
        <v>10.98</v>
      </c>
      <c r="C680" s="12">
        <f t="shared" si="11"/>
        <v>1.3689236868680574E-3</v>
      </c>
    </row>
    <row r="681" spans="1:3" x14ac:dyDescent="0.3">
      <c r="A681" s="3" t="s">
        <v>914</v>
      </c>
      <c r="B681" s="6">
        <v>10.98</v>
      </c>
      <c r="C681" s="12">
        <f t="shared" si="11"/>
        <v>1.3689236868680574E-3</v>
      </c>
    </row>
    <row r="682" spans="1:3" x14ac:dyDescent="0.3">
      <c r="A682" s="3" t="s">
        <v>915</v>
      </c>
      <c r="B682" s="6">
        <v>10.98</v>
      </c>
      <c r="C682" s="12">
        <f t="shared" si="11"/>
        <v>1.3689236868680574E-3</v>
      </c>
    </row>
    <row r="683" spans="1:3" x14ac:dyDescent="0.3">
      <c r="A683" s="3" t="s">
        <v>916</v>
      </c>
      <c r="B683" s="6">
        <v>10.98</v>
      </c>
      <c r="C683" s="12">
        <f t="shared" si="11"/>
        <v>1.3689236868680574E-3</v>
      </c>
    </row>
    <row r="684" spans="1:3" x14ac:dyDescent="0.3">
      <c r="A684" s="3" t="s">
        <v>917</v>
      </c>
      <c r="B684" s="6">
        <v>10.98</v>
      </c>
      <c r="C684" s="12">
        <f t="shared" si="11"/>
        <v>1.3689236868680574E-3</v>
      </c>
    </row>
    <row r="685" spans="1:3" x14ac:dyDescent="0.3">
      <c r="A685" s="3" t="s">
        <v>918</v>
      </c>
      <c r="B685" s="6">
        <v>10.98</v>
      </c>
      <c r="C685" s="12">
        <f t="shared" si="11"/>
        <v>1.3689236868680574E-3</v>
      </c>
    </row>
    <row r="686" spans="1:3" x14ac:dyDescent="0.3">
      <c r="A686" s="3" t="s">
        <v>919</v>
      </c>
      <c r="B686" s="6">
        <v>10.98</v>
      </c>
      <c r="C686" s="12">
        <f t="shared" si="11"/>
        <v>1.3689236868680574E-3</v>
      </c>
    </row>
    <row r="687" spans="1:3" x14ac:dyDescent="0.3">
      <c r="A687" s="3" t="s">
        <v>920</v>
      </c>
      <c r="B687" s="6">
        <v>10.98</v>
      </c>
      <c r="C687" s="12">
        <f t="shared" si="11"/>
        <v>1.3689236868680574E-3</v>
      </c>
    </row>
    <row r="688" spans="1:3" x14ac:dyDescent="0.3">
      <c r="A688" s="3" t="s">
        <v>921</v>
      </c>
      <c r="B688" s="6">
        <v>10.98</v>
      </c>
      <c r="C688" s="12">
        <f t="shared" si="11"/>
        <v>1.3689236868680574E-3</v>
      </c>
    </row>
    <row r="689" spans="1:3" x14ac:dyDescent="0.3">
      <c r="A689" s="3" t="s">
        <v>922</v>
      </c>
      <c r="B689" s="6">
        <v>10.98</v>
      </c>
      <c r="C689" s="12">
        <f t="shared" si="11"/>
        <v>1.3689236868680574E-3</v>
      </c>
    </row>
    <row r="690" spans="1:3" x14ac:dyDescent="0.3">
      <c r="A690" s="3" t="s">
        <v>923</v>
      </c>
      <c r="B690" s="6">
        <v>10.98</v>
      </c>
      <c r="C690" s="12">
        <f t="shared" si="11"/>
        <v>1.3689236868680574E-3</v>
      </c>
    </row>
    <row r="691" spans="1:3" x14ac:dyDescent="0.3">
      <c r="A691" s="3" t="s">
        <v>924</v>
      </c>
      <c r="B691" s="6">
        <v>10.98</v>
      </c>
      <c r="C691" s="12">
        <f t="shared" si="11"/>
        <v>1.3689236868680574E-3</v>
      </c>
    </row>
    <row r="692" spans="1:3" x14ac:dyDescent="0.3">
      <c r="A692" s="3" t="s">
        <v>925</v>
      </c>
      <c r="B692" s="6">
        <v>10.98</v>
      </c>
      <c r="C692" s="12">
        <f t="shared" si="11"/>
        <v>1.3689236868680574E-3</v>
      </c>
    </row>
    <row r="693" spans="1:3" x14ac:dyDescent="0.3">
      <c r="A693" s="3" t="s">
        <v>926</v>
      </c>
      <c r="B693" s="6">
        <v>10.98</v>
      </c>
      <c r="C693" s="12">
        <f t="shared" si="11"/>
        <v>1.3689236868680574E-3</v>
      </c>
    </row>
    <row r="694" spans="1:3" x14ac:dyDescent="0.3">
      <c r="A694" s="3" t="s">
        <v>927</v>
      </c>
      <c r="B694" s="6">
        <v>10.98</v>
      </c>
      <c r="C694" s="12">
        <f t="shared" si="11"/>
        <v>1.3689236868680574E-3</v>
      </c>
    </row>
    <row r="695" spans="1:3" x14ac:dyDescent="0.3">
      <c r="A695" s="3" t="s">
        <v>928</v>
      </c>
      <c r="B695" s="6">
        <v>10.98</v>
      </c>
      <c r="C695" s="12">
        <f t="shared" si="11"/>
        <v>1.3689236868680574E-3</v>
      </c>
    </row>
    <row r="696" spans="1:3" x14ac:dyDescent="0.3">
      <c r="A696" s="3" t="s">
        <v>929</v>
      </c>
      <c r="B696" s="6">
        <v>10.98</v>
      </c>
      <c r="C696" s="12">
        <f t="shared" si="11"/>
        <v>1.3689236868680574E-3</v>
      </c>
    </row>
    <row r="697" spans="1:3" x14ac:dyDescent="0.3">
      <c r="A697" s="3" t="s">
        <v>930</v>
      </c>
      <c r="B697" s="6">
        <v>10.98</v>
      </c>
      <c r="C697" s="12">
        <f t="shared" si="11"/>
        <v>1.3689236868680574E-3</v>
      </c>
    </row>
    <row r="698" spans="1:3" x14ac:dyDescent="0.3">
      <c r="A698" s="3" t="s">
        <v>931</v>
      </c>
      <c r="B698" s="6">
        <v>10.98</v>
      </c>
      <c r="C698" s="12">
        <f t="shared" si="11"/>
        <v>1.3689236868680574E-3</v>
      </c>
    </row>
    <row r="699" spans="1:3" x14ac:dyDescent="0.3">
      <c r="A699" s="3" t="s">
        <v>932</v>
      </c>
      <c r="B699" s="6">
        <v>11.34</v>
      </c>
      <c r="C699" s="12">
        <f t="shared" si="11"/>
        <v>1.4138064306997969E-3</v>
      </c>
    </row>
    <row r="700" spans="1:3" x14ac:dyDescent="0.3">
      <c r="A700" s="3" t="s">
        <v>331</v>
      </c>
      <c r="B700" s="6">
        <v>11.34</v>
      </c>
      <c r="C700" s="12">
        <f t="shared" si="11"/>
        <v>1.4138064306997969E-3</v>
      </c>
    </row>
    <row r="701" spans="1:3" x14ac:dyDescent="0.3">
      <c r="A701" s="3" t="s">
        <v>933</v>
      </c>
      <c r="B701" s="6">
        <v>11.34</v>
      </c>
      <c r="C701" s="12">
        <f t="shared" si="11"/>
        <v>1.4138064306997969E-3</v>
      </c>
    </row>
    <row r="702" spans="1:3" x14ac:dyDescent="0.3">
      <c r="A702" s="3" t="s">
        <v>934</v>
      </c>
      <c r="B702" s="6">
        <v>11.34</v>
      </c>
      <c r="C702" s="12">
        <f t="shared" si="11"/>
        <v>1.4138064306997969E-3</v>
      </c>
    </row>
    <row r="703" spans="1:3" x14ac:dyDescent="0.3">
      <c r="A703" s="3" t="s">
        <v>935</v>
      </c>
      <c r="B703" s="6">
        <v>11.34</v>
      </c>
      <c r="C703" s="12">
        <f t="shared" si="11"/>
        <v>1.4138064306997969E-3</v>
      </c>
    </row>
    <row r="704" spans="1:3" x14ac:dyDescent="0.3">
      <c r="A704" s="3" t="s">
        <v>936</v>
      </c>
      <c r="B704" s="6">
        <v>11.34</v>
      </c>
      <c r="C704" s="12">
        <f t="shared" si="11"/>
        <v>1.4138064306997969E-3</v>
      </c>
    </row>
    <row r="705" spans="1:3" x14ac:dyDescent="0.3">
      <c r="A705" s="3" t="s">
        <v>937</v>
      </c>
      <c r="B705" s="6">
        <v>11.34</v>
      </c>
      <c r="C705" s="12">
        <f t="shared" si="11"/>
        <v>1.4138064306997969E-3</v>
      </c>
    </row>
    <row r="706" spans="1:3" x14ac:dyDescent="0.3">
      <c r="A706" s="3" t="s">
        <v>938</v>
      </c>
      <c r="B706" s="6">
        <v>11.34</v>
      </c>
      <c r="C706" s="12">
        <f t="shared" si="11"/>
        <v>1.4138064306997969E-3</v>
      </c>
    </row>
    <row r="707" spans="1:3" x14ac:dyDescent="0.3">
      <c r="A707" s="3" t="s">
        <v>939</v>
      </c>
      <c r="B707" s="6">
        <v>11.34</v>
      </c>
      <c r="C707" s="12">
        <f t="shared" ref="C707:C770" si="12">IFERROR(B707/$B$98,"")</f>
        <v>1.4138064306997969E-3</v>
      </c>
    </row>
    <row r="708" spans="1:3" x14ac:dyDescent="0.3">
      <c r="A708" s="3" t="s">
        <v>940</v>
      </c>
      <c r="B708" s="6">
        <v>11.34</v>
      </c>
      <c r="C708" s="12">
        <f t="shared" si="12"/>
        <v>1.4138064306997969E-3</v>
      </c>
    </row>
    <row r="709" spans="1:3" x14ac:dyDescent="0.3">
      <c r="A709" s="3" t="s">
        <v>941</v>
      </c>
      <c r="B709" s="6">
        <v>11.34</v>
      </c>
      <c r="C709" s="12">
        <f t="shared" si="12"/>
        <v>1.4138064306997969E-3</v>
      </c>
    </row>
    <row r="710" spans="1:3" x14ac:dyDescent="0.3">
      <c r="A710" s="3" t="s">
        <v>942</v>
      </c>
      <c r="B710" s="6">
        <v>11.34</v>
      </c>
      <c r="C710" s="12">
        <f t="shared" si="12"/>
        <v>1.4138064306997969E-3</v>
      </c>
    </row>
    <row r="711" spans="1:3" x14ac:dyDescent="0.3">
      <c r="A711" s="3" t="s">
        <v>943</v>
      </c>
      <c r="B711" s="6">
        <v>11.34</v>
      </c>
      <c r="C711" s="12">
        <f t="shared" si="12"/>
        <v>1.4138064306997969E-3</v>
      </c>
    </row>
    <row r="712" spans="1:3" x14ac:dyDescent="0.3">
      <c r="A712" s="3" t="s">
        <v>944</v>
      </c>
      <c r="B712" s="6">
        <v>11.34</v>
      </c>
      <c r="C712" s="12">
        <f t="shared" si="12"/>
        <v>1.4138064306997969E-3</v>
      </c>
    </row>
    <row r="713" spans="1:3" x14ac:dyDescent="0.3">
      <c r="A713" s="3" t="s">
        <v>945</v>
      </c>
      <c r="B713" s="6">
        <v>11.34</v>
      </c>
      <c r="C713" s="12">
        <f t="shared" si="12"/>
        <v>1.4138064306997969E-3</v>
      </c>
    </row>
    <row r="714" spans="1:3" x14ac:dyDescent="0.3">
      <c r="A714" s="3" t="s">
        <v>946</v>
      </c>
      <c r="B714" s="6">
        <v>11.34</v>
      </c>
      <c r="C714" s="12">
        <f t="shared" si="12"/>
        <v>1.4138064306997969E-3</v>
      </c>
    </row>
    <row r="715" spans="1:3" x14ac:dyDescent="0.3">
      <c r="A715" s="3" t="s">
        <v>947</v>
      </c>
      <c r="B715" s="6">
        <v>11.34</v>
      </c>
      <c r="C715" s="12">
        <f t="shared" si="12"/>
        <v>1.4138064306997969E-3</v>
      </c>
    </row>
    <row r="716" spans="1:3" x14ac:dyDescent="0.3">
      <c r="A716" s="3" t="s">
        <v>948</v>
      </c>
      <c r="B716" s="6">
        <v>11.34</v>
      </c>
      <c r="C716" s="12">
        <f t="shared" si="12"/>
        <v>1.4138064306997969E-3</v>
      </c>
    </row>
    <row r="717" spans="1:3" x14ac:dyDescent="0.3">
      <c r="A717" s="3" t="s">
        <v>949</v>
      </c>
      <c r="B717" s="6">
        <v>11.34</v>
      </c>
      <c r="C717" s="12">
        <f t="shared" si="12"/>
        <v>1.4138064306997969E-3</v>
      </c>
    </row>
    <row r="718" spans="1:3" x14ac:dyDescent="0.3">
      <c r="A718" s="3" t="s">
        <v>950</v>
      </c>
      <c r="B718" s="6">
        <v>11.34</v>
      </c>
      <c r="C718" s="12">
        <f t="shared" si="12"/>
        <v>1.4138064306997969E-3</v>
      </c>
    </row>
    <row r="719" spans="1:3" x14ac:dyDescent="0.3">
      <c r="A719" s="3" t="s">
        <v>951</v>
      </c>
      <c r="B719" s="6">
        <v>11.34</v>
      </c>
      <c r="C719" s="12">
        <f t="shared" si="12"/>
        <v>1.4138064306997969E-3</v>
      </c>
    </row>
    <row r="720" spans="1:3" x14ac:dyDescent="0.3">
      <c r="A720" s="3" t="s">
        <v>952</v>
      </c>
      <c r="B720" s="6">
        <v>11.34</v>
      </c>
      <c r="C720" s="12">
        <f t="shared" si="12"/>
        <v>1.4138064306997969E-3</v>
      </c>
    </row>
    <row r="721" spans="1:3" x14ac:dyDescent="0.3">
      <c r="A721" s="3" t="s">
        <v>953</v>
      </c>
      <c r="B721" s="6">
        <v>11.34</v>
      </c>
      <c r="C721" s="12">
        <f t="shared" si="12"/>
        <v>1.4138064306997969E-3</v>
      </c>
    </row>
    <row r="722" spans="1:3" x14ac:dyDescent="0.3">
      <c r="A722" s="3" t="s">
        <v>954</v>
      </c>
      <c r="B722" s="6">
        <v>11.34</v>
      </c>
      <c r="C722" s="12">
        <f t="shared" si="12"/>
        <v>1.4138064306997969E-3</v>
      </c>
    </row>
    <row r="723" spans="1:3" x14ac:dyDescent="0.3">
      <c r="A723" s="3" t="s">
        <v>955</v>
      </c>
      <c r="B723" s="6">
        <v>11.34</v>
      </c>
      <c r="C723" s="12">
        <f t="shared" si="12"/>
        <v>1.4138064306997969E-3</v>
      </c>
    </row>
    <row r="724" spans="1:3" x14ac:dyDescent="0.3">
      <c r="A724" s="3" t="s">
        <v>956</v>
      </c>
      <c r="B724" s="6">
        <v>11.34</v>
      </c>
      <c r="C724" s="12">
        <f t="shared" si="12"/>
        <v>1.4138064306997969E-3</v>
      </c>
    </row>
    <row r="725" spans="1:3" x14ac:dyDescent="0.3">
      <c r="A725" s="3" t="s">
        <v>957</v>
      </c>
      <c r="B725" s="6">
        <v>11.34</v>
      </c>
      <c r="C725" s="12">
        <f t="shared" si="12"/>
        <v>1.4138064306997969E-3</v>
      </c>
    </row>
    <row r="726" spans="1:3" x14ac:dyDescent="0.3">
      <c r="A726" s="3" t="s">
        <v>958</v>
      </c>
      <c r="B726" s="6">
        <v>11.34</v>
      </c>
      <c r="C726" s="12">
        <f t="shared" si="12"/>
        <v>1.4138064306997969E-3</v>
      </c>
    </row>
    <row r="727" spans="1:3" x14ac:dyDescent="0.3">
      <c r="A727" s="3" t="s">
        <v>959</v>
      </c>
      <c r="B727" s="6">
        <v>11.34</v>
      </c>
      <c r="C727" s="12">
        <f t="shared" si="12"/>
        <v>1.4138064306997969E-3</v>
      </c>
    </row>
    <row r="728" spans="1:3" x14ac:dyDescent="0.3">
      <c r="A728" s="3" t="s">
        <v>960</v>
      </c>
      <c r="B728" s="6">
        <v>11.34</v>
      </c>
      <c r="C728" s="12">
        <f t="shared" si="12"/>
        <v>1.4138064306997969E-3</v>
      </c>
    </row>
    <row r="729" spans="1:3" x14ac:dyDescent="0.3">
      <c r="A729" s="3" t="s">
        <v>961</v>
      </c>
      <c r="B729" s="6">
        <v>11.34</v>
      </c>
      <c r="C729" s="12">
        <f t="shared" si="12"/>
        <v>1.4138064306997969E-3</v>
      </c>
    </row>
    <row r="730" spans="1:3" x14ac:dyDescent="0.3">
      <c r="A730" s="3" t="s">
        <v>962</v>
      </c>
      <c r="B730" s="6">
        <v>11.34</v>
      </c>
      <c r="C730" s="12">
        <f t="shared" si="12"/>
        <v>1.4138064306997969E-3</v>
      </c>
    </row>
    <row r="731" spans="1:3" x14ac:dyDescent="0.3">
      <c r="A731" s="3" t="s">
        <v>963</v>
      </c>
      <c r="B731" s="6">
        <v>11.34</v>
      </c>
      <c r="C731" s="12">
        <f t="shared" si="12"/>
        <v>1.4138064306997969E-3</v>
      </c>
    </row>
    <row r="732" spans="1:3" x14ac:dyDescent="0.3">
      <c r="A732" s="3" t="s">
        <v>964</v>
      </c>
      <c r="B732" s="6">
        <v>11.34</v>
      </c>
      <c r="C732" s="12">
        <f t="shared" si="12"/>
        <v>1.4138064306997969E-3</v>
      </c>
    </row>
    <row r="733" spans="1:3" x14ac:dyDescent="0.3">
      <c r="A733" s="3" t="s">
        <v>965</v>
      </c>
      <c r="B733" s="6">
        <v>11.34</v>
      </c>
      <c r="C733" s="12">
        <f t="shared" si="12"/>
        <v>1.4138064306997969E-3</v>
      </c>
    </row>
    <row r="734" spans="1:3" x14ac:dyDescent="0.3">
      <c r="A734" s="3" t="s">
        <v>966</v>
      </c>
      <c r="B734" s="6">
        <v>11.34</v>
      </c>
      <c r="C734" s="12">
        <f t="shared" si="12"/>
        <v>1.4138064306997969E-3</v>
      </c>
    </row>
    <row r="735" spans="1:3" x14ac:dyDescent="0.3">
      <c r="A735" s="3" t="s">
        <v>967</v>
      </c>
      <c r="B735" s="6">
        <v>11.34</v>
      </c>
      <c r="C735" s="12">
        <f t="shared" si="12"/>
        <v>1.4138064306997969E-3</v>
      </c>
    </row>
    <row r="736" spans="1:3" x14ac:dyDescent="0.3">
      <c r="A736" s="3" t="s">
        <v>968</v>
      </c>
      <c r="B736" s="6">
        <v>11.34</v>
      </c>
      <c r="C736" s="12">
        <f t="shared" si="12"/>
        <v>1.4138064306997969E-3</v>
      </c>
    </row>
    <row r="737" spans="1:3" x14ac:dyDescent="0.3">
      <c r="A737" s="3" t="s">
        <v>969</v>
      </c>
      <c r="B737" s="6">
        <v>11.34</v>
      </c>
      <c r="C737" s="12">
        <f t="shared" si="12"/>
        <v>1.4138064306997969E-3</v>
      </c>
    </row>
    <row r="738" spans="1:3" x14ac:dyDescent="0.3">
      <c r="A738" s="3" t="s">
        <v>970</v>
      </c>
      <c r="B738" s="6">
        <v>11.34</v>
      </c>
      <c r="C738" s="12">
        <f t="shared" si="12"/>
        <v>1.4138064306997969E-3</v>
      </c>
    </row>
    <row r="739" spans="1:3" x14ac:dyDescent="0.3">
      <c r="A739" s="3" t="s">
        <v>971</v>
      </c>
      <c r="B739" s="6">
        <v>11.34</v>
      </c>
      <c r="C739" s="12">
        <f t="shared" si="12"/>
        <v>1.4138064306997969E-3</v>
      </c>
    </row>
    <row r="740" spans="1:3" x14ac:dyDescent="0.3">
      <c r="A740" s="3" t="s">
        <v>972</v>
      </c>
      <c r="B740" s="6">
        <v>11.34</v>
      </c>
      <c r="C740" s="12">
        <f t="shared" si="12"/>
        <v>1.4138064306997969E-3</v>
      </c>
    </row>
    <row r="741" spans="1:3" x14ac:dyDescent="0.3">
      <c r="A741" s="3" t="s">
        <v>973</v>
      </c>
      <c r="B741" s="6">
        <v>11.34</v>
      </c>
      <c r="C741" s="12">
        <f t="shared" si="12"/>
        <v>1.4138064306997969E-3</v>
      </c>
    </row>
    <row r="742" spans="1:3" x14ac:dyDescent="0.3">
      <c r="A742" s="3" t="s">
        <v>974</v>
      </c>
      <c r="B742" s="6">
        <v>11.34</v>
      </c>
      <c r="C742" s="12">
        <f t="shared" si="12"/>
        <v>1.4138064306997969E-3</v>
      </c>
    </row>
    <row r="743" spans="1:3" x14ac:dyDescent="0.3">
      <c r="A743" s="3" t="s">
        <v>975</v>
      </c>
      <c r="B743" s="6">
        <v>11.34</v>
      </c>
      <c r="C743" s="12">
        <f t="shared" si="12"/>
        <v>1.4138064306997969E-3</v>
      </c>
    </row>
    <row r="744" spans="1:3" x14ac:dyDescent="0.3">
      <c r="A744" s="3" t="s">
        <v>976</v>
      </c>
      <c r="B744" s="6">
        <v>11.34</v>
      </c>
      <c r="C744" s="12">
        <f t="shared" si="12"/>
        <v>1.4138064306997969E-3</v>
      </c>
    </row>
    <row r="745" spans="1:3" x14ac:dyDescent="0.3">
      <c r="A745" s="3" t="s">
        <v>977</v>
      </c>
      <c r="B745" s="6">
        <v>11.34</v>
      </c>
      <c r="C745" s="12">
        <f t="shared" si="12"/>
        <v>1.4138064306997969E-3</v>
      </c>
    </row>
    <row r="746" spans="1:3" x14ac:dyDescent="0.3">
      <c r="A746" s="3" t="s">
        <v>978</v>
      </c>
      <c r="B746" s="6">
        <v>11.34</v>
      </c>
      <c r="C746" s="12">
        <f t="shared" si="12"/>
        <v>1.4138064306997969E-3</v>
      </c>
    </row>
    <row r="747" spans="1:3" x14ac:dyDescent="0.3">
      <c r="A747" s="3" t="s">
        <v>979</v>
      </c>
      <c r="B747" s="6">
        <v>11.34</v>
      </c>
      <c r="C747" s="12">
        <f t="shared" si="12"/>
        <v>1.4138064306997969E-3</v>
      </c>
    </row>
    <row r="748" spans="1:3" x14ac:dyDescent="0.3">
      <c r="A748" s="3" t="s">
        <v>980</v>
      </c>
      <c r="B748" s="6">
        <v>11.34</v>
      </c>
      <c r="C748" s="12">
        <f t="shared" si="12"/>
        <v>1.4138064306997969E-3</v>
      </c>
    </row>
    <row r="749" spans="1:3" x14ac:dyDescent="0.3">
      <c r="A749" s="3" t="s">
        <v>981</v>
      </c>
      <c r="B749" s="6">
        <v>11.34</v>
      </c>
      <c r="C749" s="12">
        <f t="shared" si="12"/>
        <v>1.4138064306997969E-3</v>
      </c>
    </row>
    <row r="750" spans="1:3" x14ac:dyDescent="0.3">
      <c r="A750" s="3" t="s">
        <v>982</v>
      </c>
      <c r="B750" s="6">
        <v>11.34</v>
      </c>
      <c r="C750" s="12">
        <f t="shared" si="12"/>
        <v>1.4138064306997969E-3</v>
      </c>
    </row>
    <row r="751" spans="1:3" x14ac:dyDescent="0.3">
      <c r="A751" s="3" t="s">
        <v>983</v>
      </c>
      <c r="B751" s="6">
        <v>11.34</v>
      </c>
      <c r="C751" s="12">
        <f t="shared" si="12"/>
        <v>1.4138064306997969E-3</v>
      </c>
    </row>
    <row r="752" spans="1:3" x14ac:dyDescent="0.3">
      <c r="A752" s="3" t="s">
        <v>984</v>
      </c>
      <c r="B752" s="6">
        <v>11.34</v>
      </c>
      <c r="C752" s="12">
        <f t="shared" si="12"/>
        <v>1.4138064306997969E-3</v>
      </c>
    </row>
    <row r="753" spans="1:3" x14ac:dyDescent="0.3">
      <c r="A753" s="3" t="s">
        <v>985</v>
      </c>
      <c r="B753" s="6">
        <v>11.34</v>
      </c>
      <c r="C753" s="12">
        <f t="shared" si="12"/>
        <v>1.4138064306997969E-3</v>
      </c>
    </row>
    <row r="754" spans="1:3" x14ac:dyDescent="0.3">
      <c r="A754" s="3" t="s">
        <v>986</v>
      </c>
      <c r="B754" s="6">
        <v>11.34</v>
      </c>
      <c r="C754" s="12">
        <f t="shared" si="12"/>
        <v>1.4138064306997969E-3</v>
      </c>
    </row>
    <row r="755" spans="1:3" x14ac:dyDescent="0.3">
      <c r="A755" s="3" t="s">
        <v>987</v>
      </c>
      <c r="B755" s="6">
        <v>11.34</v>
      </c>
      <c r="C755" s="12">
        <f t="shared" si="12"/>
        <v>1.4138064306997969E-3</v>
      </c>
    </row>
    <row r="756" spans="1:3" x14ac:dyDescent="0.3">
      <c r="A756" s="3" t="s">
        <v>988</v>
      </c>
      <c r="B756" s="6">
        <v>11.34</v>
      </c>
      <c r="C756" s="12">
        <f t="shared" si="12"/>
        <v>1.4138064306997969E-3</v>
      </c>
    </row>
    <row r="757" spans="1:3" x14ac:dyDescent="0.3">
      <c r="A757" s="3" t="s">
        <v>989</v>
      </c>
      <c r="B757" s="6">
        <v>11.34</v>
      </c>
      <c r="C757" s="12">
        <f t="shared" si="12"/>
        <v>1.4138064306997969E-3</v>
      </c>
    </row>
    <row r="758" spans="1:3" x14ac:dyDescent="0.3">
      <c r="A758" s="3" t="s">
        <v>990</v>
      </c>
      <c r="B758" s="6">
        <v>11.34</v>
      </c>
      <c r="C758" s="12">
        <f t="shared" si="12"/>
        <v>1.4138064306997969E-3</v>
      </c>
    </row>
    <row r="759" spans="1:3" x14ac:dyDescent="0.3">
      <c r="A759" s="3" t="s">
        <v>991</v>
      </c>
      <c r="B759" s="6">
        <v>11.34</v>
      </c>
      <c r="C759" s="12">
        <f t="shared" si="12"/>
        <v>1.4138064306997969E-3</v>
      </c>
    </row>
    <row r="760" spans="1:3" x14ac:dyDescent="0.3">
      <c r="A760" s="3" t="s">
        <v>992</v>
      </c>
      <c r="B760" s="6">
        <v>11.34</v>
      </c>
      <c r="C760" s="12">
        <f t="shared" si="12"/>
        <v>1.4138064306997969E-3</v>
      </c>
    </row>
    <row r="761" spans="1:3" x14ac:dyDescent="0.3">
      <c r="A761" s="3" t="s">
        <v>993</v>
      </c>
      <c r="B761" s="6">
        <v>11.34</v>
      </c>
      <c r="C761" s="12">
        <f t="shared" si="12"/>
        <v>1.4138064306997969E-3</v>
      </c>
    </row>
    <row r="762" spans="1:3" x14ac:dyDescent="0.3">
      <c r="A762" s="3" t="s">
        <v>994</v>
      </c>
      <c r="B762" s="6">
        <v>11.34</v>
      </c>
      <c r="C762" s="12">
        <f t="shared" si="12"/>
        <v>1.4138064306997969E-3</v>
      </c>
    </row>
    <row r="763" spans="1:3" x14ac:dyDescent="0.3">
      <c r="A763" s="3" t="s">
        <v>995</v>
      </c>
      <c r="B763" s="6">
        <v>11.34</v>
      </c>
      <c r="C763" s="12">
        <f t="shared" si="12"/>
        <v>1.4138064306997969E-3</v>
      </c>
    </row>
    <row r="764" spans="1:3" x14ac:dyDescent="0.3">
      <c r="A764" s="3" t="s">
        <v>996</v>
      </c>
      <c r="B764" s="6">
        <v>11.34</v>
      </c>
      <c r="C764" s="12">
        <f t="shared" si="12"/>
        <v>1.4138064306997969E-3</v>
      </c>
    </row>
    <row r="765" spans="1:3" x14ac:dyDescent="0.3">
      <c r="A765" s="3" t="s">
        <v>997</v>
      </c>
      <c r="B765" s="6">
        <v>11.34</v>
      </c>
      <c r="C765" s="12">
        <f t="shared" si="12"/>
        <v>1.4138064306997969E-3</v>
      </c>
    </row>
    <row r="766" spans="1:3" x14ac:dyDescent="0.3">
      <c r="A766" s="3" t="s">
        <v>998</v>
      </c>
      <c r="B766" s="6">
        <v>11.34</v>
      </c>
      <c r="C766" s="12">
        <f t="shared" si="12"/>
        <v>1.4138064306997969E-3</v>
      </c>
    </row>
    <row r="767" spans="1:3" x14ac:dyDescent="0.3">
      <c r="A767" s="3" t="s">
        <v>999</v>
      </c>
      <c r="B767" s="6">
        <v>11.34</v>
      </c>
      <c r="C767" s="12">
        <f t="shared" si="12"/>
        <v>1.4138064306997969E-3</v>
      </c>
    </row>
    <row r="768" spans="1:3" x14ac:dyDescent="0.3">
      <c r="A768" s="3" t="s">
        <v>1000</v>
      </c>
      <c r="B768" s="6">
        <v>11.34</v>
      </c>
      <c r="C768" s="12">
        <f t="shared" si="12"/>
        <v>1.4138064306997969E-3</v>
      </c>
    </row>
    <row r="769" spans="1:3" x14ac:dyDescent="0.3">
      <c r="A769" s="3" t="s">
        <v>1001</v>
      </c>
      <c r="B769" s="6">
        <v>11.34</v>
      </c>
      <c r="C769" s="12">
        <f t="shared" si="12"/>
        <v>1.4138064306997969E-3</v>
      </c>
    </row>
    <row r="770" spans="1:3" x14ac:dyDescent="0.3">
      <c r="A770" s="3" t="s">
        <v>1002</v>
      </c>
      <c r="B770" s="6">
        <v>11.34</v>
      </c>
      <c r="C770" s="12">
        <f t="shared" si="12"/>
        <v>1.4138064306997969E-3</v>
      </c>
    </row>
    <row r="771" spans="1:3" x14ac:dyDescent="0.3">
      <c r="A771" s="3" t="s">
        <v>1003</v>
      </c>
      <c r="B771" s="6">
        <v>11.34</v>
      </c>
      <c r="C771" s="12">
        <f t="shared" ref="C771:C818" si="13">IFERROR(B771/$B$98,"")</f>
        <v>1.4138064306997969E-3</v>
      </c>
    </row>
    <row r="772" spans="1:3" x14ac:dyDescent="0.3">
      <c r="A772" s="3" t="s">
        <v>1004</v>
      </c>
      <c r="B772" s="6">
        <v>11.34</v>
      </c>
      <c r="C772" s="12">
        <f t="shared" si="13"/>
        <v>1.4138064306997969E-3</v>
      </c>
    </row>
    <row r="773" spans="1:3" x14ac:dyDescent="0.3">
      <c r="A773" s="3" t="s">
        <v>1005</v>
      </c>
      <c r="B773" s="6">
        <v>11.34</v>
      </c>
      <c r="C773" s="12">
        <f t="shared" si="13"/>
        <v>1.4138064306997969E-3</v>
      </c>
    </row>
    <row r="774" spans="1:3" x14ac:dyDescent="0.3">
      <c r="A774" s="3" t="s">
        <v>1006</v>
      </c>
      <c r="B774" s="6">
        <v>11.34</v>
      </c>
      <c r="C774" s="12">
        <f t="shared" si="13"/>
        <v>1.4138064306997969E-3</v>
      </c>
    </row>
    <row r="775" spans="1:3" x14ac:dyDescent="0.3">
      <c r="A775" s="3" t="s">
        <v>1007</v>
      </c>
      <c r="B775" s="6">
        <v>11.34</v>
      </c>
      <c r="C775" s="12">
        <f t="shared" si="13"/>
        <v>1.4138064306997969E-3</v>
      </c>
    </row>
    <row r="776" spans="1:3" x14ac:dyDescent="0.3">
      <c r="A776" s="3" t="s">
        <v>1008</v>
      </c>
      <c r="B776" s="6">
        <v>11.34</v>
      </c>
      <c r="C776" s="12">
        <f t="shared" si="13"/>
        <v>1.4138064306997969E-3</v>
      </c>
    </row>
    <row r="777" spans="1:3" x14ac:dyDescent="0.3">
      <c r="A777" s="3" t="s">
        <v>1009</v>
      </c>
      <c r="B777" s="6">
        <v>11.34</v>
      </c>
      <c r="C777" s="12">
        <f t="shared" si="13"/>
        <v>1.4138064306997969E-3</v>
      </c>
    </row>
    <row r="778" spans="1:3" x14ac:dyDescent="0.3">
      <c r="A778" s="3" t="s">
        <v>1010</v>
      </c>
      <c r="B778" s="6">
        <v>11.34</v>
      </c>
      <c r="C778" s="12">
        <f t="shared" si="13"/>
        <v>1.4138064306997969E-3</v>
      </c>
    </row>
    <row r="779" spans="1:3" x14ac:dyDescent="0.3">
      <c r="A779" s="3" t="s">
        <v>1011</v>
      </c>
      <c r="B779" s="6">
        <v>11.34</v>
      </c>
      <c r="C779" s="12">
        <f t="shared" si="13"/>
        <v>1.4138064306997969E-3</v>
      </c>
    </row>
    <row r="780" spans="1:3" x14ac:dyDescent="0.3">
      <c r="A780" s="3" t="s">
        <v>1012</v>
      </c>
      <c r="B780" s="6">
        <v>11.34</v>
      </c>
      <c r="C780" s="12">
        <f t="shared" si="13"/>
        <v>1.4138064306997969E-3</v>
      </c>
    </row>
    <row r="781" spans="1:3" x14ac:dyDescent="0.3">
      <c r="A781" s="3" t="s">
        <v>1013</v>
      </c>
      <c r="B781" s="6">
        <v>11.34</v>
      </c>
      <c r="C781" s="12">
        <f t="shared" si="13"/>
        <v>1.4138064306997969E-3</v>
      </c>
    </row>
    <row r="782" spans="1:3" x14ac:dyDescent="0.3">
      <c r="A782" s="3" t="s">
        <v>1014</v>
      </c>
      <c r="B782" s="6">
        <v>11.34</v>
      </c>
      <c r="C782" s="12">
        <f t="shared" si="13"/>
        <v>1.4138064306997969E-3</v>
      </c>
    </row>
    <row r="783" spans="1:3" x14ac:dyDescent="0.3">
      <c r="A783" s="3" t="s">
        <v>1015</v>
      </c>
      <c r="B783" s="6">
        <v>11.34</v>
      </c>
      <c r="C783" s="12">
        <f t="shared" si="13"/>
        <v>1.4138064306997969E-3</v>
      </c>
    </row>
    <row r="784" spans="1:3" x14ac:dyDescent="0.3">
      <c r="A784" s="3" t="s">
        <v>1016</v>
      </c>
      <c r="B784" s="6">
        <v>11.34</v>
      </c>
      <c r="C784" s="12">
        <f t="shared" si="13"/>
        <v>1.4138064306997969E-3</v>
      </c>
    </row>
    <row r="785" spans="1:3" x14ac:dyDescent="0.3">
      <c r="A785" s="3" t="s">
        <v>1017</v>
      </c>
      <c r="B785" s="6">
        <v>11.34</v>
      </c>
      <c r="C785" s="12">
        <f t="shared" si="13"/>
        <v>1.4138064306997969E-3</v>
      </c>
    </row>
    <row r="786" spans="1:3" x14ac:dyDescent="0.3">
      <c r="A786" s="3" t="s">
        <v>1018</v>
      </c>
      <c r="B786" s="6">
        <v>11.34</v>
      </c>
      <c r="C786" s="12">
        <f t="shared" si="13"/>
        <v>1.4138064306997969E-3</v>
      </c>
    </row>
    <row r="787" spans="1:3" x14ac:dyDescent="0.3">
      <c r="A787" s="3" t="s">
        <v>1019</v>
      </c>
      <c r="B787" s="6">
        <v>11.34</v>
      </c>
      <c r="C787" s="12">
        <f t="shared" si="13"/>
        <v>1.4138064306997969E-3</v>
      </c>
    </row>
    <row r="788" spans="1:3" x14ac:dyDescent="0.3">
      <c r="A788" s="3" t="s">
        <v>1020</v>
      </c>
      <c r="B788" s="6">
        <v>11.34</v>
      </c>
      <c r="C788" s="12">
        <f t="shared" si="13"/>
        <v>1.4138064306997969E-3</v>
      </c>
    </row>
    <row r="789" spans="1:3" x14ac:dyDescent="0.3">
      <c r="A789" s="3" t="s">
        <v>1021</v>
      </c>
      <c r="B789" s="6">
        <v>11.34</v>
      </c>
      <c r="C789" s="12">
        <f t="shared" si="13"/>
        <v>1.4138064306997969E-3</v>
      </c>
    </row>
    <row r="790" spans="1:3" x14ac:dyDescent="0.3">
      <c r="A790" s="3" t="s">
        <v>1022</v>
      </c>
      <c r="B790" s="6">
        <v>11.34</v>
      </c>
      <c r="C790" s="12">
        <f t="shared" si="13"/>
        <v>1.4138064306997969E-3</v>
      </c>
    </row>
    <row r="791" spans="1:3" x14ac:dyDescent="0.3">
      <c r="A791" s="3" t="s">
        <v>1023</v>
      </c>
      <c r="B791" s="6">
        <v>11.34</v>
      </c>
      <c r="C791" s="12">
        <f t="shared" si="13"/>
        <v>1.4138064306997969E-3</v>
      </c>
    </row>
    <row r="792" spans="1:3" x14ac:dyDescent="0.3">
      <c r="A792" s="3" t="s">
        <v>1024</v>
      </c>
      <c r="B792" s="6">
        <v>11.34</v>
      </c>
      <c r="C792" s="12">
        <f t="shared" si="13"/>
        <v>1.4138064306997969E-3</v>
      </c>
    </row>
    <row r="793" spans="1:3" x14ac:dyDescent="0.3">
      <c r="A793" s="3" t="s">
        <v>1025</v>
      </c>
      <c r="B793" s="6">
        <v>11.34</v>
      </c>
      <c r="C793" s="12">
        <f t="shared" si="13"/>
        <v>1.4138064306997969E-3</v>
      </c>
    </row>
    <row r="794" spans="1:3" x14ac:dyDescent="0.3">
      <c r="A794" s="3" t="s">
        <v>1026</v>
      </c>
      <c r="B794" s="6">
        <v>11.34</v>
      </c>
      <c r="C794" s="12">
        <f t="shared" si="13"/>
        <v>1.4138064306997969E-3</v>
      </c>
    </row>
    <row r="795" spans="1:3" x14ac:dyDescent="0.3">
      <c r="A795" s="3" t="s">
        <v>1027</v>
      </c>
      <c r="B795" s="6">
        <v>11.34</v>
      </c>
      <c r="C795" s="12">
        <f t="shared" si="13"/>
        <v>1.4138064306997969E-3</v>
      </c>
    </row>
    <row r="796" spans="1:3" x14ac:dyDescent="0.3">
      <c r="A796" s="3" t="s">
        <v>1028</v>
      </c>
      <c r="B796" s="6">
        <v>11.34</v>
      </c>
      <c r="C796" s="12">
        <f t="shared" si="13"/>
        <v>1.4138064306997969E-3</v>
      </c>
    </row>
    <row r="797" spans="1:3" x14ac:dyDescent="0.3">
      <c r="A797" s="3" t="s">
        <v>1029</v>
      </c>
      <c r="B797" s="6">
        <v>11.34</v>
      </c>
      <c r="C797" s="12">
        <f t="shared" si="13"/>
        <v>1.4138064306997969E-3</v>
      </c>
    </row>
    <row r="798" spans="1:3" x14ac:dyDescent="0.3">
      <c r="A798" s="3" t="s">
        <v>1030</v>
      </c>
      <c r="B798" s="6">
        <v>11.34</v>
      </c>
      <c r="C798" s="12">
        <f t="shared" si="13"/>
        <v>1.4138064306997969E-3</v>
      </c>
    </row>
    <row r="799" spans="1:3" x14ac:dyDescent="0.3">
      <c r="A799" s="3" t="s">
        <v>1031</v>
      </c>
      <c r="B799" s="6">
        <v>11.34</v>
      </c>
      <c r="C799" s="12">
        <f t="shared" si="13"/>
        <v>1.4138064306997969E-3</v>
      </c>
    </row>
    <row r="800" spans="1:3" x14ac:dyDescent="0.3">
      <c r="A800" s="3" t="s">
        <v>1032</v>
      </c>
      <c r="B800" s="6">
        <v>11.34</v>
      </c>
      <c r="C800" s="12">
        <f t="shared" si="13"/>
        <v>1.4138064306997969E-3</v>
      </c>
    </row>
    <row r="801" spans="1:3" x14ac:dyDescent="0.3">
      <c r="A801" s="3" t="s">
        <v>1033</v>
      </c>
      <c r="B801" s="6">
        <v>11.34</v>
      </c>
      <c r="C801" s="12">
        <f t="shared" si="13"/>
        <v>1.4138064306997969E-3</v>
      </c>
    </row>
    <row r="802" spans="1:3" x14ac:dyDescent="0.3">
      <c r="A802" s="3" t="s">
        <v>1034</v>
      </c>
      <c r="B802" s="6">
        <v>11.34</v>
      </c>
      <c r="C802" s="12">
        <f t="shared" si="13"/>
        <v>1.4138064306997969E-3</v>
      </c>
    </row>
    <row r="803" spans="1:3" x14ac:dyDescent="0.3">
      <c r="A803" s="3" t="s">
        <v>1035</v>
      </c>
      <c r="B803" s="6">
        <v>11.34</v>
      </c>
      <c r="C803" s="12">
        <f t="shared" si="13"/>
        <v>1.4138064306997969E-3</v>
      </c>
    </row>
    <row r="804" spans="1:3" x14ac:dyDescent="0.3">
      <c r="A804" s="3" t="s">
        <v>1036</v>
      </c>
      <c r="B804" s="6">
        <v>11.34</v>
      </c>
      <c r="C804" s="12">
        <f t="shared" si="13"/>
        <v>1.4138064306997969E-3</v>
      </c>
    </row>
    <row r="805" spans="1:3" x14ac:dyDescent="0.3">
      <c r="A805" s="3" t="s">
        <v>1037</v>
      </c>
      <c r="B805" s="6">
        <v>11.34</v>
      </c>
      <c r="C805" s="12">
        <f t="shared" si="13"/>
        <v>1.4138064306997969E-3</v>
      </c>
    </row>
    <row r="806" spans="1:3" x14ac:dyDescent="0.3">
      <c r="A806" s="3" t="s">
        <v>1038</v>
      </c>
      <c r="B806" s="6">
        <v>11.34</v>
      </c>
      <c r="C806" s="12">
        <f t="shared" si="13"/>
        <v>1.4138064306997969E-3</v>
      </c>
    </row>
    <row r="807" spans="1:3" x14ac:dyDescent="0.3">
      <c r="A807" s="3" t="s">
        <v>1039</v>
      </c>
      <c r="B807" s="6">
        <v>11.34</v>
      </c>
      <c r="C807" s="12">
        <f t="shared" si="13"/>
        <v>1.4138064306997969E-3</v>
      </c>
    </row>
    <row r="808" spans="1:3" x14ac:dyDescent="0.3">
      <c r="A808" s="3" t="s">
        <v>1040</v>
      </c>
      <c r="B808" s="6">
        <v>11.34</v>
      </c>
      <c r="C808" s="12">
        <f t="shared" si="13"/>
        <v>1.4138064306997969E-3</v>
      </c>
    </row>
    <row r="809" spans="1:3" x14ac:dyDescent="0.3">
      <c r="A809" s="3" t="s">
        <v>1041</v>
      </c>
      <c r="B809" s="6">
        <v>11.34</v>
      </c>
      <c r="C809" s="12">
        <f t="shared" si="13"/>
        <v>1.4138064306997969E-3</v>
      </c>
    </row>
    <row r="810" spans="1:3" x14ac:dyDescent="0.3">
      <c r="A810" s="3" t="s">
        <v>1042</v>
      </c>
      <c r="B810" s="6">
        <v>11.34</v>
      </c>
      <c r="C810" s="12">
        <f t="shared" si="13"/>
        <v>1.4138064306997969E-3</v>
      </c>
    </row>
    <row r="811" spans="1:3" x14ac:dyDescent="0.3">
      <c r="A811" s="3" t="s">
        <v>1043</v>
      </c>
      <c r="B811" s="6">
        <v>11.34</v>
      </c>
      <c r="C811" s="12">
        <f t="shared" si="13"/>
        <v>1.4138064306997969E-3</v>
      </c>
    </row>
    <row r="812" spans="1:3" x14ac:dyDescent="0.3">
      <c r="A812" s="3" t="s">
        <v>1044</v>
      </c>
      <c r="B812" s="6">
        <v>11.34</v>
      </c>
      <c r="C812" s="12">
        <f t="shared" si="13"/>
        <v>1.4138064306997969E-3</v>
      </c>
    </row>
    <row r="813" spans="1:3" x14ac:dyDescent="0.3">
      <c r="A813" s="3" t="s">
        <v>1045</v>
      </c>
      <c r="B813" s="6">
        <v>11.34</v>
      </c>
      <c r="C813" s="12">
        <f t="shared" si="13"/>
        <v>1.4138064306997969E-3</v>
      </c>
    </row>
    <row r="814" spans="1:3" x14ac:dyDescent="0.3">
      <c r="A814" s="3" t="s">
        <v>1046</v>
      </c>
      <c r="B814" s="6">
        <v>11.34</v>
      </c>
      <c r="C814" s="12">
        <f t="shared" si="13"/>
        <v>1.4138064306997969E-3</v>
      </c>
    </row>
    <row r="815" spans="1:3" x14ac:dyDescent="0.3">
      <c r="A815" s="3" t="s">
        <v>1047</v>
      </c>
      <c r="B815" s="6">
        <v>11.34</v>
      </c>
      <c r="C815" s="12">
        <f t="shared" si="13"/>
        <v>1.4138064306997969E-3</v>
      </c>
    </row>
    <row r="816" spans="1:3" x14ac:dyDescent="0.3">
      <c r="A816" s="3" t="s">
        <v>1048</v>
      </c>
      <c r="B816" s="6">
        <v>11.34</v>
      </c>
      <c r="C816" s="12">
        <f t="shared" si="13"/>
        <v>1.4138064306997969E-3</v>
      </c>
    </row>
    <row r="817" spans="1:3" x14ac:dyDescent="0.3">
      <c r="A817" s="3" t="s">
        <v>1049</v>
      </c>
      <c r="B817" s="6">
        <v>11.34</v>
      </c>
      <c r="C817" s="12">
        <f t="shared" si="13"/>
        <v>1.4138064306997969E-3</v>
      </c>
    </row>
    <row r="818" spans="1:3" x14ac:dyDescent="0.3">
      <c r="A818" s="3" t="s">
        <v>1050</v>
      </c>
      <c r="B818" s="6">
        <v>11.34</v>
      </c>
      <c r="C818" s="12">
        <f t="shared" si="13"/>
        <v>1.4138064306997969E-3</v>
      </c>
    </row>
  </sheetData>
  <sheetProtection algorithmName="SHA-512" hashValue="NRixLMEtIYNGlo/FecK6/at9en+s1m3/yx3OZygw/FwpVXIpGPgHIyk9/XZ/7HZyrMxsRWtJS6g16mpOOoV6Cw==" saltValue="HMx1Fj6akRaY6ZIwwDy6FQ==" spinCount="100000" sheet="1" objects="1" scenarios="1"/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65"/>
  <sheetViews>
    <sheetView topLeftCell="E2" zoomScaleNormal="100" workbookViewId="0">
      <pane xSplit="4" ySplit="2" topLeftCell="I11" activePane="bottomRight" state="frozen"/>
      <selection activeCell="E2" sqref="E2"/>
      <selection pane="topRight" activeCell="I2" sqref="I2"/>
      <selection pane="bottomLeft" activeCell="E4" sqref="E4"/>
      <selection pane="bottomRight" activeCell="I35" sqref="I35:I365"/>
    </sheetView>
  </sheetViews>
  <sheetFormatPr defaultRowHeight="14.4" x14ac:dyDescent="0.3"/>
  <cols>
    <col min="1" max="1" width="11.33203125" customWidth="1"/>
    <col min="2" max="2" width="11.109375" customWidth="1"/>
    <col min="4" max="4" width="14.109375" customWidth="1"/>
    <col min="5" max="5" width="13" customWidth="1"/>
    <col min="6" max="6" width="9" style="2" customWidth="1"/>
    <col min="8" max="8" width="11.88671875" customWidth="1"/>
    <col min="9" max="9" width="10.33203125" style="2" bestFit="1" customWidth="1"/>
    <col min="10" max="21" width="10.33203125" style="2" customWidth="1"/>
    <col min="22" max="24" width="10.33203125" style="2" bestFit="1" customWidth="1"/>
    <col min="25" max="26" width="8.6640625" style="2"/>
  </cols>
  <sheetData>
    <row r="1" spans="1:26" hidden="1" x14ac:dyDescent="0.3">
      <c r="V1" s="2">
        <f>VLOOKUP(V3,'Basic Data'!$A$1:$B$19,2,0)</f>
        <v>2694.6</v>
      </c>
      <c r="W1" s="2">
        <f>VLOOKUP(W3,'Basic Data'!$A$1:$B$19,2,0)</f>
        <v>2630.8</v>
      </c>
      <c r="X1" s="2">
        <f>VLOOKUP(X3,'Basic Data'!$A$1:$B$19,2,0)</f>
        <v>2695.5</v>
      </c>
    </row>
    <row r="2" spans="1:26" x14ac:dyDescent="0.3">
      <c r="I2" s="2" t="s">
        <v>3</v>
      </c>
      <c r="J2" s="5">
        <v>669.6</v>
      </c>
      <c r="K2" s="5">
        <v>669.6</v>
      </c>
      <c r="L2" s="5">
        <v>674.99999999999989</v>
      </c>
      <c r="M2" s="5">
        <v>680.4</v>
      </c>
      <c r="N2" s="5">
        <v>658.8</v>
      </c>
      <c r="O2" s="5">
        <v>658.8</v>
      </c>
      <c r="P2" s="5">
        <v>658.8</v>
      </c>
      <c r="Q2" s="5">
        <v>658.8</v>
      </c>
      <c r="R2" s="5">
        <v>671.76</v>
      </c>
      <c r="S2" s="5">
        <v>661.31999999999994</v>
      </c>
      <c r="T2" s="5">
        <v>680.04000000000008</v>
      </c>
      <c r="U2" s="5">
        <v>680.04000000000008</v>
      </c>
      <c r="V2" s="5">
        <v>2694.6</v>
      </c>
      <c r="W2" s="5">
        <v>2630.8</v>
      </c>
      <c r="X2" s="5">
        <v>2695.5</v>
      </c>
    </row>
    <row r="3" spans="1:26" ht="24.6" thickBot="1" x14ac:dyDescent="0.35">
      <c r="A3" s="21" t="s">
        <v>52</v>
      </c>
      <c r="B3" s="21" t="s">
        <v>85</v>
      </c>
      <c r="C3" s="21" t="s">
        <v>53</v>
      </c>
      <c r="D3" s="21" t="s">
        <v>54</v>
      </c>
      <c r="E3" s="21" t="s">
        <v>57</v>
      </c>
      <c r="F3" s="2" t="s">
        <v>40</v>
      </c>
      <c r="G3" s="21" t="s">
        <v>55</v>
      </c>
      <c r="H3" s="22" t="s">
        <v>41</v>
      </c>
      <c r="I3" s="23" t="s">
        <v>56</v>
      </c>
      <c r="J3" s="16" t="s">
        <v>231</v>
      </c>
      <c r="K3" s="16" t="s">
        <v>232</v>
      </c>
      <c r="L3" s="16" t="s">
        <v>233</v>
      </c>
      <c r="M3" s="16" t="s">
        <v>234</v>
      </c>
      <c r="N3" s="16" t="s">
        <v>235</v>
      </c>
      <c r="O3" s="16" t="s">
        <v>236</v>
      </c>
      <c r="P3" s="16" t="s">
        <v>237</v>
      </c>
      <c r="Q3" s="16" t="s">
        <v>238</v>
      </c>
      <c r="R3" s="16" t="s">
        <v>240</v>
      </c>
      <c r="S3" s="16" t="s">
        <v>241</v>
      </c>
      <c r="T3" s="16" t="s">
        <v>242</v>
      </c>
      <c r="U3" s="16" t="s">
        <v>239</v>
      </c>
      <c r="V3" s="16" t="s">
        <v>180</v>
      </c>
      <c r="W3" s="16" t="s">
        <v>181</v>
      </c>
      <c r="X3" s="16" t="s">
        <v>182</v>
      </c>
      <c r="Y3" s="24" t="s">
        <v>86</v>
      </c>
      <c r="Z3" s="24" t="s">
        <v>87</v>
      </c>
    </row>
    <row r="4" spans="1:26" ht="15" thickTop="1" x14ac:dyDescent="0.3">
      <c r="A4" s="55" t="s">
        <v>107</v>
      </c>
      <c r="B4" s="55">
        <v>4</v>
      </c>
      <c r="C4" s="121">
        <f>YEAR(Table12[[#This Row],[Date]])</f>
        <v>2025</v>
      </c>
      <c r="D4" s="55" t="s">
        <v>329</v>
      </c>
      <c r="E4" s="55" t="s">
        <v>329</v>
      </c>
      <c r="F4" s="122" t="str">
        <f>TEXT(Table12[[#This Row],[Date]],"mmm-yy")</f>
        <v>Mar-25</v>
      </c>
      <c r="G4" s="121">
        <f t="shared" ref="G4:G34" si="0">DAY(EOMONTH(F4,0))</f>
        <v>31</v>
      </c>
      <c r="H4" s="123">
        <v>45745</v>
      </c>
      <c r="I4" s="1">
        <v>8.0208999999999993</v>
      </c>
      <c r="J4" s="1">
        <f>'Raw Data'!K4/Inv_SY!J$2</f>
        <v>2.8879928315412187</v>
      </c>
      <c r="K4" s="1">
        <f>'Raw Data'!L4/Inv_SY!K$2</f>
        <v>3.0117980884109916</v>
      </c>
      <c r="L4" s="1">
        <f>'Raw Data'!M4/Inv_SY!L$2</f>
        <v>0</v>
      </c>
      <c r="M4" s="1">
        <f>'Raw Data'!N4/Inv_SY!M$2</f>
        <v>2.8453850676072898</v>
      </c>
      <c r="N4" s="1">
        <f>'Raw Data'!O4/Inv_SY!N$2</f>
        <v>4.1709168184578029</v>
      </c>
      <c r="O4" s="1">
        <f>'Raw Data'!P4/Inv_SY!O$2</f>
        <v>4.0203400121432908</v>
      </c>
      <c r="P4" s="1">
        <f>'Raw Data'!Q4/Inv_SY!P$2</f>
        <v>4.0238312082574383</v>
      </c>
      <c r="Q4" s="1">
        <f>'Raw Data'!R4/Inv_SY!Q$2</f>
        <v>0</v>
      </c>
      <c r="R4" s="1">
        <f>'Raw Data'!S4/Inv_SY!R$2</f>
        <v>4.1775336429677266</v>
      </c>
      <c r="S4" s="1">
        <f>'Raw Data'!T4/Inv_SY!S$2</f>
        <v>4.2531603459747176</v>
      </c>
      <c r="T4" s="1">
        <f>'Raw Data'!U4/Inv_SY!T$2</f>
        <v>4.1197576613140399</v>
      </c>
      <c r="U4" s="1">
        <f>'Raw Data'!V4/Inv_SY!U$2</f>
        <v>4.1859302393976821</v>
      </c>
      <c r="V4" s="1">
        <f>'Raw Data'!W4/Inv_SY!V$2</f>
        <v>2.1845542937727309</v>
      </c>
      <c r="W4" s="1">
        <f>'Raw Data'!X4/Inv_SY!W$2</f>
        <v>3.0588794283107794</v>
      </c>
      <c r="X4" s="1">
        <f>'Raw Data'!Y4/Inv_SY!X$2</f>
        <v>4.180003709886849</v>
      </c>
      <c r="Y4" s="1">
        <f t="shared" ref="Y4:Y35" si="1">IFERROR(AVERAGEIF(V4:X4,"&gt;"&amp;0,V4:X4),"")</f>
        <v>3.1411458106567864</v>
      </c>
      <c r="Z4" s="1">
        <f t="shared" ref="Z4:Z35" si="2">MAXA(V4:X4)</f>
        <v>4.180003709886849</v>
      </c>
    </row>
    <row r="5" spans="1:26" x14ac:dyDescent="0.3">
      <c r="A5" s="55" t="s">
        <v>107</v>
      </c>
      <c r="B5" s="55">
        <v>4</v>
      </c>
      <c r="C5" s="121">
        <f>YEAR(Table12[[#This Row],[Date]])</f>
        <v>2025</v>
      </c>
      <c r="D5" s="55" t="s">
        <v>329</v>
      </c>
      <c r="E5" s="55" t="s">
        <v>329</v>
      </c>
      <c r="F5" s="122" t="str">
        <f>TEXT(Table12[[#This Row],[Date]],"mmm-yy")</f>
        <v>Mar-25</v>
      </c>
      <c r="G5" s="121">
        <f t="shared" si="0"/>
        <v>31</v>
      </c>
      <c r="H5" s="123">
        <f t="shared" ref="H5:H68" si="3">H4+1</f>
        <v>45746</v>
      </c>
      <c r="I5" s="1">
        <v>8.0208999999999993</v>
      </c>
      <c r="J5" s="1">
        <f>'Raw Data'!K5/Inv_SY!J$2</f>
        <v>3.2410394265232969</v>
      </c>
      <c r="K5" s="1">
        <f>'Raw Data'!L5/Inv_SY!K$2</f>
        <v>3.2452210274790918</v>
      </c>
      <c r="L5" s="1">
        <f>'Raw Data'!M5/Inv_SY!L$2</f>
        <v>0</v>
      </c>
      <c r="M5" s="1">
        <f>'Raw Data'!N5/Inv_SY!M$2</f>
        <v>3.3214285714285716</v>
      </c>
      <c r="N5" s="1">
        <f>'Raw Data'!O5/Inv_SY!N$2</f>
        <v>4.5044019429265338</v>
      </c>
      <c r="O5" s="1">
        <f>'Raw Data'!P5/Inv_SY!O$2</f>
        <v>4.3500303582270803</v>
      </c>
      <c r="P5" s="1">
        <f>'Raw Data'!Q5/Inv_SY!P$2</f>
        <v>4.3510928961748636</v>
      </c>
      <c r="Q5" s="1">
        <f>'Raw Data'!R5/Inv_SY!Q$2</f>
        <v>0</v>
      </c>
      <c r="R5" s="1">
        <f>'Raw Data'!S5/Inv_SY!R$2</f>
        <v>4.6122126950101228</v>
      </c>
      <c r="S5" s="1">
        <f>'Raw Data'!T5/Inv_SY!S$2</f>
        <v>4.5828040887921127</v>
      </c>
      <c r="T5" s="1">
        <f>'Raw Data'!U5/Inv_SY!T$2</f>
        <v>4.4460619963531549</v>
      </c>
      <c r="U5" s="1">
        <f>'Raw Data'!V5/Inv_SY!U$2</f>
        <v>4.4094465031468735</v>
      </c>
      <c r="V5" s="1">
        <f>'Raw Data'!W5/Inv_SY!V$2</f>
        <v>2.4504935797520968</v>
      </c>
      <c r="W5" s="1">
        <f>'Raw Data'!X5/Inv_SY!W$2</f>
        <v>3.3069028432415992</v>
      </c>
      <c r="X5" s="1">
        <f>'Raw Data'!Y5/Inv_SY!X$2</f>
        <v>4.5079206084214434</v>
      </c>
      <c r="Y5" s="1">
        <f t="shared" si="1"/>
        <v>3.4217723438050469</v>
      </c>
      <c r="Z5" s="1">
        <f t="shared" si="2"/>
        <v>4.5079206084214434</v>
      </c>
    </row>
    <row r="6" spans="1:26" x14ac:dyDescent="0.3">
      <c r="A6" s="55" t="s">
        <v>107</v>
      </c>
      <c r="B6" s="55">
        <v>4</v>
      </c>
      <c r="C6" s="121">
        <f>YEAR(Table12[[#This Row],[Date]])</f>
        <v>2025</v>
      </c>
      <c r="D6" s="55" t="s">
        <v>329</v>
      </c>
      <c r="E6" s="55" t="s">
        <v>329</v>
      </c>
      <c r="F6" s="122" t="str">
        <f>TEXT(Table12[[#This Row],[Date]],"mmm-yy")</f>
        <v>Mar-25</v>
      </c>
      <c r="G6" s="121">
        <f t="shared" si="0"/>
        <v>31</v>
      </c>
      <c r="H6" s="123">
        <f t="shared" si="3"/>
        <v>45747</v>
      </c>
      <c r="I6" s="1">
        <v>8.0208999999999993</v>
      </c>
      <c r="J6" s="1">
        <f>'Raw Data'!K6/Inv_SY!J$2</f>
        <v>3.4304062126642769</v>
      </c>
      <c r="K6" s="1">
        <f>'Raw Data'!L6/Inv_SY!K$2</f>
        <v>3.3064516129032255</v>
      </c>
      <c r="L6" s="1">
        <f>'Raw Data'!M6/Inv_SY!L$2</f>
        <v>0</v>
      </c>
      <c r="M6" s="1">
        <f>'Raw Data'!N6/Inv_SY!M$2</f>
        <v>3.2554379776602</v>
      </c>
      <c r="N6" s="1">
        <f>'Raw Data'!O6/Inv_SY!N$2</f>
        <v>4.3973891924711603</v>
      </c>
      <c r="O6" s="1">
        <f>'Raw Data'!P6/Inv_SY!O$2</f>
        <v>4.3674863387978151</v>
      </c>
      <c r="P6" s="1">
        <f>'Raw Data'!Q6/Inv_SY!P$2</f>
        <v>4.5025804493017612</v>
      </c>
      <c r="Q6" s="1">
        <f>'Raw Data'!R6/Inv_SY!Q$2</f>
        <v>0</v>
      </c>
      <c r="R6" s="1">
        <f>'Raw Data'!S6/Inv_SY!R$2</f>
        <v>4.5321245682982019</v>
      </c>
      <c r="S6" s="1">
        <f>'Raw Data'!T6/Inv_SY!S$2</f>
        <v>4.6088126776749538</v>
      </c>
      <c r="T6" s="1">
        <f>'Raw Data'!U6/Inv_SY!T$2</f>
        <v>4.5663490382918646</v>
      </c>
      <c r="U6" s="1">
        <f>'Raw Data'!V6/Inv_SY!U$2</f>
        <v>4.4290041762249279</v>
      </c>
      <c r="V6" s="1">
        <f>'Raw Data'!W6/Inv_SY!V$2</f>
        <v>2.4961033177466043</v>
      </c>
      <c r="W6" s="1">
        <f>'Raw Data'!X6/Inv_SY!W$2</f>
        <v>3.3224114337844002</v>
      </c>
      <c r="X6" s="1">
        <f>'Raw Data'!Y6/Inv_SY!X$2</f>
        <v>4.5296234464848819</v>
      </c>
      <c r="Y6" s="1">
        <f t="shared" si="1"/>
        <v>3.4493793993386288</v>
      </c>
      <c r="Z6" s="1">
        <f t="shared" si="2"/>
        <v>4.5296234464848819</v>
      </c>
    </row>
    <row r="7" spans="1:26" x14ac:dyDescent="0.3">
      <c r="A7" s="55" t="s">
        <v>107</v>
      </c>
      <c r="B7" s="55">
        <v>4</v>
      </c>
      <c r="C7" s="121">
        <f>YEAR(Table12[[#This Row],[Date]])</f>
        <v>2025</v>
      </c>
      <c r="D7" s="55" t="s">
        <v>329</v>
      </c>
      <c r="E7" s="55" t="s">
        <v>329</v>
      </c>
      <c r="F7" s="122" t="str">
        <f>TEXT(Table12[[#This Row],[Date]],"mmm-yy")</f>
        <v>Apr-25</v>
      </c>
      <c r="G7" s="121">
        <f t="shared" si="0"/>
        <v>30</v>
      </c>
      <c r="H7" s="123">
        <f t="shared" si="3"/>
        <v>45748</v>
      </c>
      <c r="I7" s="1">
        <v>8.0208999999999993</v>
      </c>
      <c r="J7" s="1">
        <f>'Raw Data'!K7/Inv_SY!J$2</f>
        <v>3.3475209080047788</v>
      </c>
      <c r="K7" s="1">
        <f>'Raw Data'!L7/Inv_SY!K$2</f>
        <v>3.4828255675029864</v>
      </c>
      <c r="L7" s="1">
        <f>'Raw Data'!M7/Inv_SY!L$2</f>
        <v>0</v>
      </c>
      <c r="M7" s="1">
        <f>'Raw Data'!N7/Inv_SY!M$2</f>
        <v>3.2985008818342156</v>
      </c>
      <c r="N7" s="1">
        <f>'Raw Data'!O7/Inv_SY!N$2</f>
        <v>4.5554037644201584</v>
      </c>
      <c r="O7" s="1">
        <f>'Raw Data'!P7/Inv_SY!O$2</f>
        <v>4.389344262295082</v>
      </c>
      <c r="P7" s="1">
        <f>'Raw Data'!Q7/Inv_SY!P$2</f>
        <v>4.3945051608986034</v>
      </c>
      <c r="Q7" s="1">
        <f>'Raw Data'!R7/Inv_SY!Q$2</f>
        <v>0</v>
      </c>
      <c r="R7" s="1">
        <f>'Raw Data'!S7/Inv_SY!R$2</f>
        <v>4.5592175777063231</v>
      </c>
      <c r="S7" s="1">
        <f>'Raw Data'!T7/Inv_SY!S$2</f>
        <v>4.6364846065444869</v>
      </c>
      <c r="T7" s="1">
        <f>'Raw Data'!U7/Inv_SY!T$2</f>
        <v>4.4907652491029939</v>
      </c>
      <c r="U7" s="1">
        <f>'Raw Data'!V7/Inv_SY!U$2</f>
        <v>4.5497323686841948</v>
      </c>
      <c r="V7" s="1">
        <f>'Raw Data'!W7/Inv_SY!V$2</f>
        <v>2.5302085652787056</v>
      </c>
      <c r="W7" s="1">
        <f>'Raw Data'!X7/Inv_SY!W$2</f>
        <v>3.3403907556636763</v>
      </c>
      <c r="X7" s="1">
        <f>'Raw Data'!Y7/Inv_SY!X$2</f>
        <v>4.5545538861064738</v>
      </c>
      <c r="Y7" s="1">
        <f t="shared" si="1"/>
        <v>3.4750510690162852</v>
      </c>
      <c r="Z7" s="1">
        <f t="shared" si="2"/>
        <v>4.5545538861064738</v>
      </c>
    </row>
    <row r="8" spans="1:26" x14ac:dyDescent="0.3">
      <c r="A8" s="55" t="s">
        <v>107</v>
      </c>
      <c r="B8" s="55">
        <v>4</v>
      </c>
      <c r="C8" s="121">
        <f>YEAR(Table12[[#This Row],[Date]])</f>
        <v>2025</v>
      </c>
      <c r="D8" s="55" t="s">
        <v>329</v>
      </c>
      <c r="E8" s="55" t="s">
        <v>329</v>
      </c>
      <c r="F8" s="122" t="str">
        <f>TEXT(Table12[[#This Row],[Date]],"mmm-yy")</f>
        <v>Apr-25</v>
      </c>
      <c r="G8" s="121">
        <f t="shared" si="0"/>
        <v>30</v>
      </c>
      <c r="H8" s="123">
        <f t="shared" si="3"/>
        <v>45749</v>
      </c>
      <c r="I8" s="1">
        <v>8.0208999999999993</v>
      </c>
      <c r="J8" s="1">
        <f>'Raw Data'!K8/Inv_SY!J$2</f>
        <v>2.7948028673835128</v>
      </c>
      <c r="K8" s="1">
        <f>'Raw Data'!L8/Inv_SY!K$2</f>
        <v>2.7977897252090802</v>
      </c>
      <c r="L8" s="1">
        <f>'Raw Data'!M8/Inv_SY!L$2</f>
        <v>0</v>
      </c>
      <c r="M8" s="1">
        <f>'Raw Data'!N8/Inv_SY!M$2</f>
        <v>2.8838918283362731</v>
      </c>
      <c r="N8" s="1">
        <f>'Raw Data'!O8/Inv_SY!N$2</f>
        <v>5.0291438979963567</v>
      </c>
      <c r="O8" s="1">
        <f>'Raw Data'!P8/Inv_SY!O$2</f>
        <v>4.8545840922890102</v>
      </c>
      <c r="P8" s="1">
        <f>'Raw Data'!Q8/Inv_SY!P$2</f>
        <v>4.8611111111111116</v>
      </c>
      <c r="Q8" s="1">
        <f>'Raw Data'!R8/Inv_SY!Q$2</f>
        <v>0</v>
      </c>
      <c r="R8" s="1">
        <f>'Raw Data'!S8/Inv_SY!R$2</f>
        <v>5.1722341312373468</v>
      </c>
      <c r="S8" s="1">
        <f>'Raw Data'!T8/Inv_SY!S$2</f>
        <v>5.1506078751587738</v>
      </c>
      <c r="T8" s="1">
        <f>'Raw Data'!U8/Inv_SY!T$2</f>
        <v>4.9891182871595783</v>
      </c>
      <c r="U8" s="1">
        <f>'Raw Data'!V8/Inv_SY!U$2</f>
        <v>4.9504440915240275</v>
      </c>
      <c r="V8" s="1">
        <f>'Raw Data'!W8/Inv_SY!V$2</f>
        <v>2.1179395828694427</v>
      </c>
      <c r="W8" s="1">
        <f>'Raw Data'!X8/Inv_SY!W$2</f>
        <v>3.6923749429831227</v>
      </c>
      <c r="X8" s="1">
        <f>'Raw Data'!Y8/Inv_SY!X$2</f>
        <v>5.060285661287331</v>
      </c>
      <c r="Y8" s="1">
        <f t="shared" si="1"/>
        <v>3.6235333957132987</v>
      </c>
      <c r="Z8" s="1">
        <f t="shared" si="2"/>
        <v>5.060285661287331</v>
      </c>
    </row>
    <row r="9" spans="1:26" x14ac:dyDescent="0.3">
      <c r="A9" s="55" t="s">
        <v>107</v>
      </c>
      <c r="B9" s="55">
        <v>4</v>
      </c>
      <c r="C9" s="121">
        <f>YEAR(Table12[[#This Row],[Date]])</f>
        <v>2025</v>
      </c>
      <c r="D9" s="55" t="s">
        <v>329</v>
      </c>
      <c r="E9" s="55" t="s">
        <v>329</v>
      </c>
      <c r="F9" s="122" t="str">
        <f>TEXT(Table12[[#This Row],[Date]],"mmm-yy")</f>
        <v>Apr-25</v>
      </c>
      <c r="G9" s="121">
        <f t="shared" si="0"/>
        <v>30</v>
      </c>
      <c r="H9" s="123">
        <f t="shared" si="3"/>
        <v>45750</v>
      </c>
      <c r="I9" s="1">
        <v>8.0208999999999993</v>
      </c>
      <c r="J9" s="1">
        <f>'Raw Data'!K9/Inv_SY!J$2</f>
        <v>1.9498207885304657</v>
      </c>
      <c r="K9" s="1">
        <f>'Raw Data'!L9/Inv_SY!K$2</f>
        <v>1.9405615292712068</v>
      </c>
      <c r="L9" s="1">
        <f>'Raw Data'!M9/Inv_SY!L$2</f>
        <v>0</v>
      </c>
      <c r="M9" s="1">
        <f>'Raw Data'!N9/Inv_SY!M$2</f>
        <v>1.807907113462669</v>
      </c>
      <c r="N9" s="1">
        <f>'Raw Data'!O9/Inv_SY!N$2</f>
        <v>2.3161809350333944</v>
      </c>
      <c r="O9" s="1">
        <f>'Raw Data'!P9/Inv_SY!O$2</f>
        <v>2.4987856709168188</v>
      </c>
      <c r="P9" s="1">
        <f>'Raw Data'!Q9/Inv_SY!P$2</f>
        <v>2.3028233151183972</v>
      </c>
      <c r="Q9" s="1">
        <f>'Raw Data'!R9/Inv_SY!Q$2</f>
        <v>0</v>
      </c>
      <c r="R9" s="1">
        <f>'Raw Data'!S9/Inv_SY!R$2</f>
        <v>2.3818030248898419</v>
      </c>
      <c r="S9" s="1">
        <f>'Raw Data'!T9/Inv_SY!S$2</f>
        <v>2.7112441783100469</v>
      </c>
      <c r="T9" s="1">
        <f>'Raw Data'!U9/Inv_SY!T$2</f>
        <v>2.3511852243985647</v>
      </c>
      <c r="U9" s="1">
        <f>'Raw Data'!V9/Inv_SY!U$2</f>
        <v>2.3338333039232984</v>
      </c>
      <c r="V9" s="1">
        <f>'Raw Data'!W9/Inv_SY!V$2</f>
        <v>1.4232539152378831</v>
      </c>
      <c r="W9" s="1">
        <f>'Raw Data'!X9/Inv_SY!W$2</f>
        <v>1.7824235973848261</v>
      </c>
      <c r="X9" s="1">
        <f>'Raw Data'!Y9/Inv_SY!X$2</f>
        <v>2.4407345575959933</v>
      </c>
      <c r="Y9" s="1">
        <f t="shared" si="1"/>
        <v>1.8821373567395676</v>
      </c>
      <c r="Z9" s="1">
        <f t="shared" si="2"/>
        <v>2.4407345575959933</v>
      </c>
    </row>
    <row r="10" spans="1:26" x14ac:dyDescent="0.3">
      <c r="A10" s="55" t="s">
        <v>107</v>
      </c>
      <c r="B10" s="55">
        <v>4</v>
      </c>
      <c r="C10" s="121">
        <f>YEAR(Table12[[#This Row],[Date]])</f>
        <v>2025</v>
      </c>
      <c r="D10" s="55" t="s">
        <v>329</v>
      </c>
      <c r="E10" s="55" t="s">
        <v>329</v>
      </c>
      <c r="F10" s="122" t="str">
        <f>TEXT(Table12[[#This Row],[Date]],"mmm-yy")</f>
        <v>Apr-25</v>
      </c>
      <c r="G10" s="121">
        <f t="shared" si="0"/>
        <v>30</v>
      </c>
      <c r="H10" s="123">
        <f t="shared" si="3"/>
        <v>45751</v>
      </c>
      <c r="I10" s="1">
        <v>8.0208999999999993</v>
      </c>
      <c r="J10" s="1">
        <f>'Raw Data'!K10/Inv_SY!J$2</f>
        <v>2.8330346475507766</v>
      </c>
      <c r="K10" s="1">
        <f>'Raw Data'!L10/Inv_SY!K$2</f>
        <v>2.896654719235364</v>
      </c>
      <c r="L10" s="1">
        <f>'Raw Data'!M10/Inv_SY!L$2</f>
        <v>0</v>
      </c>
      <c r="M10" s="1">
        <f>'Raw Data'!N10/Inv_SY!M$2</f>
        <v>2.8203997648442094</v>
      </c>
      <c r="N10" s="1">
        <f>'Raw Data'!O10/Inv_SY!N$2</f>
        <v>6.2704918032786887</v>
      </c>
      <c r="O10" s="1">
        <f>'Raw Data'!P10/Inv_SY!O$2</f>
        <v>6.3527625986642384</v>
      </c>
      <c r="P10" s="1">
        <f>'Raw Data'!Q10/Inv_SY!P$2</f>
        <v>6.2355798421372199</v>
      </c>
      <c r="Q10" s="1">
        <f>'Raw Data'!R10/Inv_SY!Q$2</f>
        <v>0</v>
      </c>
      <c r="R10" s="1">
        <f>'Raw Data'!S10/Inv_SY!R$2</f>
        <v>5.3900202453257116</v>
      </c>
      <c r="S10" s="1">
        <f>'Raw Data'!T10/Inv_SY!S$2</f>
        <v>5.3446138026976353</v>
      </c>
      <c r="T10" s="1">
        <f>'Raw Data'!U10/Inv_SY!T$2</f>
        <v>5.1771954590906413</v>
      </c>
      <c r="U10" s="1">
        <f>'Raw Data'!V10/Inv_SY!U$2</f>
        <v>5.1380801129345324</v>
      </c>
      <c r="V10" s="1">
        <f>'Raw Data'!W10/Inv_SY!V$2</f>
        <v>2.1359756550137314</v>
      </c>
      <c r="W10" s="1">
        <f>'Raw Data'!X10/Inv_SY!W$2</f>
        <v>4.7225938877907856</v>
      </c>
      <c r="X10" s="1">
        <f>'Raw Data'!Y10/Inv_SY!X$2</f>
        <v>5.2569467631237252</v>
      </c>
      <c r="Y10" s="1">
        <f t="shared" si="1"/>
        <v>4.0385054353094141</v>
      </c>
      <c r="Z10" s="1">
        <f t="shared" si="2"/>
        <v>5.2569467631237252</v>
      </c>
    </row>
    <row r="11" spans="1:26" x14ac:dyDescent="0.3">
      <c r="A11" s="55" t="s">
        <v>107</v>
      </c>
      <c r="B11" s="55">
        <v>4</v>
      </c>
      <c r="C11" s="121">
        <f>YEAR(Table12[[#This Row],[Date]])</f>
        <v>2025</v>
      </c>
      <c r="D11" s="55" t="s">
        <v>329</v>
      </c>
      <c r="E11" s="55" t="s">
        <v>329</v>
      </c>
      <c r="F11" s="122" t="str">
        <f>TEXT(Table12[[#This Row],[Date]],"mmm-yy")</f>
        <v>Apr-25</v>
      </c>
      <c r="G11" s="121">
        <f t="shared" si="0"/>
        <v>30</v>
      </c>
      <c r="H11" s="123">
        <f t="shared" si="3"/>
        <v>45752</v>
      </c>
      <c r="I11" s="1">
        <v>8.0208999999999993</v>
      </c>
      <c r="J11" s="1">
        <f>'Raw Data'!K11/Inv_SY!J$2</f>
        <v>2.4414575866188768</v>
      </c>
      <c r="K11" s="1">
        <f>'Raw Data'!L11/Inv_SY!K$2</f>
        <v>2.446385902031063</v>
      </c>
      <c r="L11" s="1">
        <f>'Raw Data'!M11/Inv_SY!L$2</f>
        <v>0</v>
      </c>
      <c r="M11" s="1">
        <f>'Raw Data'!N11/Inv_SY!M$2</f>
        <v>2.5107289829512052</v>
      </c>
      <c r="N11" s="1">
        <f>'Raw Data'!O11/Inv_SY!N$2</f>
        <v>6.316029143897997</v>
      </c>
      <c r="O11" s="1">
        <f>'Raw Data'!P11/Inv_SY!O$2</f>
        <v>6.2701882210078939</v>
      </c>
      <c r="P11" s="1">
        <f>'Raw Data'!Q11/Inv_SY!P$2</f>
        <v>6.3817547055251982</v>
      </c>
      <c r="Q11" s="1">
        <f>'Raw Data'!R11/Inv_SY!Q$2</f>
        <v>0</v>
      </c>
      <c r="R11" s="1">
        <f>'Raw Data'!S11/Inv_SY!R$2</f>
        <v>5.3343455996189117</v>
      </c>
      <c r="S11" s="1">
        <f>'Raw Data'!T11/Inv_SY!S$2</f>
        <v>5.5151817576967286</v>
      </c>
      <c r="T11" s="1">
        <f>'Raw Data'!U11/Inv_SY!T$2</f>
        <v>5.2493970942885708</v>
      </c>
      <c r="U11" s="1">
        <f>'Raw Data'!V11/Inv_SY!U$2</f>
        <v>5.2073407446620781</v>
      </c>
      <c r="V11" s="1">
        <f>'Raw Data'!W11/Inv_SY!V$2</f>
        <v>1.8485860610109106</v>
      </c>
      <c r="W11" s="1">
        <f>'Raw Data'!X11/Inv_SY!W$2</f>
        <v>4.7499239774973381</v>
      </c>
      <c r="X11" s="1">
        <f>'Raw Data'!Y11/Inv_SY!X$2</f>
        <v>5.3206084214431462</v>
      </c>
      <c r="Y11" s="1">
        <f t="shared" si="1"/>
        <v>3.9730394866504652</v>
      </c>
      <c r="Z11" s="1">
        <f t="shared" si="2"/>
        <v>5.3206084214431462</v>
      </c>
    </row>
    <row r="12" spans="1:26" x14ac:dyDescent="0.3">
      <c r="A12" s="55" t="s">
        <v>107</v>
      </c>
      <c r="B12" s="55">
        <v>4</v>
      </c>
      <c r="C12" s="121">
        <f>YEAR(Table12[[#This Row],[Date]])</f>
        <v>2025</v>
      </c>
      <c r="D12" s="55" t="s">
        <v>329</v>
      </c>
      <c r="E12" s="55" t="s">
        <v>329</v>
      </c>
      <c r="F12" s="122" t="str">
        <f>TEXT(Table12[[#This Row],[Date]],"mmm-yy")</f>
        <v>Apr-25</v>
      </c>
      <c r="G12" s="121">
        <f t="shared" si="0"/>
        <v>30</v>
      </c>
      <c r="H12" s="123">
        <f t="shared" si="3"/>
        <v>45753</v>
      </c>
      <c r="I12" s="1">
        <v>8.0208999999999993</v>
      </c>
      <c r="J12" s="1">
        <f>'Raw Data'!K12/Inv_SY!J$2</f>
        <v>3.252986857825567</v>
      </c>
      <c r="K12" s="1">
        <f>'Raw Data'!L12/Inv_SY!K$2</f>
        <v>3.2583632019115893</v>
      </c>
      <c r="L12" s="1">
        <f>'Raw Data'!M12/Inv_SY!L$2</f>
        <v>0</v>
      </c>
      <c r="M12" s="1">
        <f>'Raw Data'!N12/Inv_SY!M$2</f>
        <v>3.2965902410346857</v>
      </c>
      <c r="N12" s="1">
        <f>'Raw Data'!O12/Inv_SY!N$2</f>
        <v>6.8970856102003655</v>
      </c>
      <c r="O12" s="1">
        <f>'Raw Data'!P12/Inv_SY!O$2</f>
        <v>6.7742865816636311</v>
      </c>
      <c r="P12" s="1">
        <f>'Raw Data'!Q12/Inv_SY!P$2</f>
        <v>6.7880995749848214</v>
      </c>
      <c r="Q12" s="1">
        <f>'Raw Data'!R12/Inv_SY!Q$2</f>
        <v>0</v>
      </c>
      <c r="R12" s="1">
        <f>'Raw Data'!S12/Inv_SY!R$2</f>
        <v>5.2771823270215554</v>
      </c>
      <c r="S12" s="1">
        <f>'Raw Data'!T12/Inv_SY!S$2</f>
        <v>5.3680517752374044</v>
      </c>
      <c r="T12" s="1">
        <f>'Raw Data'!U12/Inv_SY!T$2</f>
        <v>5.266896064937356</v>
      </c>
      <c r="U12" s="1">
        <f>'Raw Data'!V12/Inv_SY!U$2</f>
        <v>5.1563143344509141</v>
      </c>
      <c r="V12" s="1">
        <f>'Raw Data'!W12/Inv_SY!V$2</f>
        <v>2.4504564684925407</v>
      </c>
      <c r="W12" s="1">
        <f>'Raw Data'!X12/Inv_SY!W$2</f>
        <v>5.1234225330697889</v>
      </c>
      <c r="X12" s="1">
        <f>'Raw Data'!Y12/Inv_SY!X$2</f>
        <v>5.2618067148951964</v>
      </c>
      <c r="Y12" s="1">
        <f t="shared" si="1"/>
        <v>4.2785619054858417</v>
      </c>
      <c r="Z12" s="1">
        <f t="shared" si="2"/>
        <v>5.2618067148951964</v>
      </c>
    </row>
    <row r="13" spans="1:26" x14ac:dyDescent="0.3">
      <c r="A13" s="55" t="s">
        <v>107</v>
      </c>
      <c r="B13" s="55">
        <v>4</v>
      </c>
      <c r="C13" s="121">
        <f>YEAR(Table12[[#This Row],[Date]])</f>
        <v>2025</v>
      </c>
      <c r="D13" s="55" t="s">
        <v>329</v>
      </c>
      <c r="E13" s="55" t="s">
        <v>329</v>
      </c>
      <c r="F13" s="122" t="str">
        <f>TEXT(Table12[[#This Row],[Date]],"mmm-yy")</f>
        <v>Apr-25</v>
      </c>
      <c r="G13" s="121">
        <f t="shared" si="0"/>
        <v>30</v>
      </c>
      <c r="H13" s="123">
        <f t="shared" si="3"/>
        <v>45754</v>
      </c>
      <c r="I13" s="1">
        <v>8.0208999999999993</v>
      </c>
      <c r="J13" s="1">
        <f>'Raw Data'!K13/Inv_SY!J$2</f>
        <v>4.9357825567502989</v>
      </c>
      <c r="K13" s="1">
        <f>'Raw Data'!L13/Inv_SY!K$2</f>
        <v>4.8378136200716844</v>
      </c>
      <c r="L13" s="1">
        <f>'Raw Data'!M13/Inv_SY!L$2</f>
        <v>0</v>
      </c>
      <c r="M13" s="1">
        <f>'Raw Data'!N13/Inv_SY!M$2</f>
        <v>4.7607289829512052</v>
      </c>
      <c r="N13" s="1">
        <f>'Raw Data'!O13/Inv_SY!N$2</f>
        <v>6.1592289010321801</v>
      </c>
      <c r="O13" s="1">
        <f>'Raw Data'!P13/Inv_SY!O$2</f>
        <v>6.0183667273831212</v>
      </c>
      <c r="P13" s="1">
        <f>'Raw Data'!Q13/Inv_SY!P$2</f>
        <v>6.0276259866423807</v>
      </c>
      <c r="Q13" s="1">
        <f>'Raw Data'!R13/Inv_SY!Q$2</f>
        <v>0</v>
      </c>
      <c r="R13" s="1">
        <f>'Raw Data'!S13/Inv_SY!R$2</f>
        <v>5.1360604977968318</v>
      </c>
      <c r="S13" s="1">
        <f>'Raw Data'!T13/Inv_SY!S$2</f>
        <v>5.2209217927780802</v>
      </c>
      <c r="T13" s="1">
        <f>'Raw Data'!U13/Inv_SY!T$2</f>
        <v>5.0548497147226632</v>
      </c>
      <c r="U13" s="1">
        <f>'Raw Data'!V13/Inv_SY!U$2</f>
        <v>5.0988177166049056</v>
      </c>
      <c r="V13" s="1">
        <f>'Raw Data'!W13/Inv_SY!V$2</f>
        <v>3.630817189935426</v>
      </c>
      <c r="W13" s="1">
        <f>'Raw Data'!X13/Inv_SY!W$2</f>
        <v>4.5589174395621104</v>
      </c>
      <c r="X13" s="1">
        <f>'Raw Data'!Y13/Inv_SY!X$2</f>
        <v>5.1225375626043403</v>
      </c>
      <c r="Y13" s="1">
        <f t="shared" si="1"/>
        <v>4.4374240640339586</v>
      </c>
      <c r="Z13" s="1">
        <f t="shared" si="2"/>
        <v>5.1225375626043403</v>
      </c>
    </row>
    <row r="14" spans="1:26" x14ac:dyDescent="0.3">
      <c r="A14" s="55" t="s">
        <v>107</v>
      </c>
      <c r="B14" s="55">
        <v>4</v>
      </c>
      <c r="C14" s="121">
        <f>YEAR(Table12[[#This Row],[Date]])</f>
        <v>2025</v>
      </c>
      <c r="D14" s="55" t="s">
        <v>329</v>
      </c>
      <c r="E14" s="55" t="s">
        <v>329</v>
      </c>
      <c r="F14" s="122" t="str">
        <f>TEXT(Table12[[#This Row],[Date]],"mmm-yy")</f>
        <v>Apr-25</v>
      </c>
      <c r="G14" s="121">
        <f t="shared" si="0"/>
        <v>30</v>
      </c>
      <c r="H14" s="123">
        <f t="shared" si="3"/>
        <v>45755</v>
      </c>
      <c r="I14" s="1">
        <v>8.0208999999999993</v>
      </c>
      <c r="J14" s="1">
        <f>'Raw Data'!K14/Inv_SY!J$2</f>
        <v>5.8585722819593791</v>
      </c>
      <c r="K14" s="1">
        <f>'Raw Data'!L14/Inv_SY!K$2</f>
        <v>5.8578255675029869</v>
      </c>
      <c r="L14" s="1">
        <f>'Raw Data'!M14/Inv_SY!L$2</f>
        <v>0</v>
      </c>
      <c r="M14" s="1">
        <f>'Raw Data'!N14/Inv_SY!M$2</f>
        <v>5.8893298059964732</v>
      </c>
      <c r="N14" s="1">
        <f>'Raw Data'!O14/Inv_SY!N$2</f>
        <v>5.9039162112932608</v>
      </c>
      <c r="O14" s="1">
        <f>'Raw Data'!P14/Inv_SY!O$2</f>
        <v>5.7515179113539769</v>
      </c>
      <c r="P14" s="1">
        <f>'Raw Data'!Q14/Inv_SY!P$2</f>
        <v>5.7615361262902249</v>
      </c>
      <c r="Q14" s="1">
        <f>'Raw Data'!R14/Inv_SY!Q$2</f>
        <v>0</v>
      </c>
      <c r="R14" s="1">
        <f>'Raw Data'!S14/Inv_SY!R$2</f>
        <v>4.6095331666071218</v>
      </c>
      <c r="S14" s="1">
        <f>'Raw Data'!T14/Inv_SY!S$2</f>
        <v>4.5679852416379365</v>
      </c>
      <c r="T14" s="1">
        <f>'Raw Data'!U14/Inv_SY!T$2</f>
        <v>4.4253279218869475</v>
      </c>
      <c r="U14" s="1">
        <f>'Raw Data'!V14/Inv_SY!U$2</f>
        <v>4.3884183283336275</v>
      </c>
      <c r="V14" s="1">
        <f>'Raw Data'!W14/Inv_SY!V$2</f>
        <v>4.3985749276330441</v>
      </c>
      <c r="W14" s="1">
        <f>'Raw Data'!X14/Inv_SY!W$2</f>
        <v>4.3615250114033746</v>
      </c>
      <c r="X14" s="1">
        <f>'Raw Data'!Y14/Inv_SY!X$2</f>
        <v>4.4930810610276382</v>
      </c>
      <c r="Y14" s="1">
        <f t="shared" si="1"/>
        <v>4.417727000021352</v>
      </c>
      <c r="Z14" s="1">
        <f t="shared" si="2"/>
        <v>4.4930810610276382</v>
      </c>
    </row>
    <row r="15" spans="1:26" x14ac:dyDescent="0.3">
      <c r="A15" s="55" t="s">
        <v>107</v>
      </c>
      <c r="B15" s="55">
        <v>4</v>
      </c>
      <c r="C15" s="121">
        <f>YEAR(Table12[[#This Row],[Date]])</f>
        <v>2025</v>
      </c>
      <c r="D15" s="55" t="s">
        <v>329</v>
      </c>
      <c r="E15" s="55" t="s">
        <v>329</v>
      </c>
      <c r="F15" s="122" t="str">
        <f>TEXT(Table12[[#This Row],[Date]],"mmm-yy")</f>
        <v>Apr-25</v>
      </c>
      <c r="G15" s="121">
        <f t="shared" si="0"/>
        <v>30</v>
      </c>
      <c r="H15" s="123">
        <f t="shared" si="3"/>
        <v>45756</v>
      </c>
      <c r="I15" s="1">
        <v>8.0208999999999993</v>
      </c>
      <c r="J15" s="1">
        <f>'Raw Data'!K15/Inv_SY!J$2</f>
        <v>6.0800477897252083</v>
      </c>
      <c r="K15" s="1">
        <f>'Raw Data'!L15/Inv_SY!K$2</f>
        <v>6.2168458781362004</v>
      </c>
      <c r="L15" s="1">
        <f>'Raw Data'!M15/Inv_SY!L$2</f>
        <v>0</v>
      </c>
      <c r="M15" s="1">
        <f>'Raw Data'!N15/Inv_SY!M$2</f>
        <v>5.996031746031746</v>
      </c>
      <c r="N15" s="1">
        <f>'Raw Data'!O15/Inv_SY!N$2</f>
        <v>5.8107164541590777</v>
      </c>
      <c r="O15" s="1">
        <f>'Raw Data'!P15/Inv_SY!O$2</f>
        <v>5.9127200971463276</v>
      </c>
      <c r="P15" s="1">
        <f>'Raw Data'!Q15/Inv_SY!P$2</f>
        <v>5.7850637522768675</v>
      </c>
      <c r="Q15" s="1">
        <f>'Raw Data'!R15/Inv_SY!Q$2</f>
        <v>0</v>
      </c>
      <c r="R15" s="1">
        <f>'Raw Data'!S15/Inv_SY!R$2</f>
        <v>4.8745087531261166</v>
      </c>
      <c r="S15" s="1">
        <f>'Raw Data'!T15/Inv_SY!S$2</f>
        <v>5.0730357466884417</v>
      </c>
      <c r="T15" s="1">
        <f>'Raw Data'!U15/Inv_SY!T$2</f>
        <v>4.8010411152285153</v>
      </c>
      <c r="U15" s="1">
        <f>'Raw Data'!V15/Inv_SY!U$2</f>
        <v>4.7606023175107346</v>
      </c>
      <c r="V15" s="1">
        <f>'Raw Data'!W15/Inv_SY!V$2</f>
        <v>4.5697691679655614</v>
      </c>
      <c r="W15" s="1">
        <f>'Raw Data'!X15/Inv_SY!W$2</f>
        <v>4.3844457959556022</v>
      </c>
      <c r="X15" s="1">
        <f>'Raw Data'!Y15/Inv_SY!X$2</f>
        <v>4.8717121127805596</v>
      </c>
      <c r="Y15" s="1">
        <f t="shared" si="1"/>
        <v>4.6086423589005747</v>
      </c>
      <c r="Z15" s="1">
        <f t="shared" si="2"/>
        <v>4.8717121127805596</v>
      </c>
    </row>
    <row r="16" spans="1:26" x14ac:dyDescent="0.3">
      <c r="A16" s="55" t="s">
        <v>107</v>
      </c>
      <c r="B16" s="55">
        <v>4</v>
      </c>
      <c r="C16" s="121">
        <f>YEAR(Table12[[#This Row],[Date]])</f>
        <v>2025</v>
      </c>
      <c r="D16" s="55" t="s">
        <v>329</v>
      </c>
      <c r="E16" s="55" t="s">
        <v>329</v>
      </c>
      <c r="F16" s="122" t="str">
        <f>TEXT(Table12[[#This Row],[Date]],"mmm-yy")</f>
        <v>Apr-25</v>
      </c>
      <c r="G16" s="121">
        <f t="shared" si="0"/>
        <v>30</v>
      </c>
      <c r="H16" s="123">
        <f t="shared" si="3"/>
        <v>45757</v>
      </c>
      <c r="I16" s="1">
        <v>8.0208999999999993</v>
      </c>
      <c r="J16" s="1">
        <f>'Raw Data'!K16/Inv_SY!J$2</f>
        <v>5.4952210274790918</v>
      </c>
      <c r="K16" s="1">
        <f>'Raw Data'!L16/Inv_SY!K$2</f>
        <v>5.4958183990442055</v>
      </c>
      <c r="L16" s="1">
        <f>'Raw Data'!M16/Inv_SY!L$2</f>
        <v>0</v>
      </c>
      <c r="M16" s="1">
        <f>'Raw Data'!N16/Inv_SY!M$2</f>
        <v>5.5217519106407993</v>
      </c>
      <c r="N16" s="1">
        <f>'Raw Data'!O16/Inv_SY!N$2</f>
        <v>5.3729508196721314</v>
      </c>
      <c r="O16" s="1">
        <f>'Raw Data'!P16/Inv_SY!O$2</f>
        <v>5.3415300546448092</v>
      </c>
      <c r="P16" s="1">
        <f>'Raw Data'!Q16/Inv_SY!P$2</f>
        <v>5.4688828172434736</v>
      </c>
      <c r="Q16" s="1">
        <f>'Raw Data'!R16/Inv_SY!Q$2</f>
        <v>0</v>
      </c>
      <c r="R16" s="1">
        <f>'Raw Data'!S16/Inv_SY!R$2</f>
        <v>4.1688996070025013</v>
      </c>
      <c r="S16" s="1">
        <f>'Raw Data'!T16/Inv_SY!S$2</f>
        <v>4.2427266678763695</v>
      </c>
      <c r="T16" s="1">
        <f>'Raw Data'!U16/Inv_SY!T$2</f>
        <v>4.2181342273983882</v>
      </c>
      <c r="U16" s="1">
        <f>'Raw Data'!V16/Inv_SY!U$2</f>
        <v>4.0762308099523556</v>
      </c>
      <c r="V16" s="1">
        <f>'Raw Data'!W16/Inv_SY!V$2</f>
        <v>4.1255102798188972</v>
      </c>
      <c r="W16" s="1">
        <f>'Raw Data'!X16/Inv_SY!W$2</f>
        <v>4.0526075718412651</v>
      </c>
      <c r="X16" s="1">
        <f>'Raw Data'!Y16/Inv_SY!X$2</f>
        <v>4.1724355407160081</v>
      </c>
      <c r="Y16" s="1">
        <f t="shared" si="1"/>
        <v>4.1168511307920568</v>
      </c>
      <c r="Z16" s="1">
        <f t="shared" si="2"/>
        <v>4.1724355407160081</v>
      </c>
    </row>
    <row r="17" spans="1:26" x14ac:dyDescent="0.3">
      <c r="A17" s="55" t="s">
        <v>107</v>
      </c>
      <c r="B17" s="55">
        <v>4</v>
      </c>
      <c r="C17" s="121">
        <f>YEAR(Table12[[#This Row],[Date]])</f>
        <v>2025</v>
      </c>
      <c r="D17" s="55" t="s">
        <v>329</v>
      </c>
      <c r="E17" s="55" t="s">
        <v>329</v>
      </c>
      <c r="F17" s="122" t="str">
        <f>TEXT(Table12[[#This Row],[Date]],"mmm-yy")</f>
        <v>Apr-25</v>
      </c>
      <c r="G17" s="121">
        <f t="shared" si="0"/>
        <v>30</v>
      </c>
      <c r="H17" s="123">
        <f t="shared" si="3"/>
        <v>45758</v>
      </c>
      <c r="I17" s="1">
        <v>8.0208999999999993</v>
      </c>
      <c r="J17" s="1">
        <f>'Raw Data'!K17/Inv_SY!J$2</f>
        <v>6.5519713261648738</v>
      </c>
      <c r="K17" s="1">
        <f>'Raw Data'!L17/Inv_SY!K$2</f>
        <v>6.5549581839904416</v>
      </c>
      <c r="L17" s="1">
        <f>'Raw Data'!M17/Inv_SY!L$2</f>
        <v>0</v>
      </c>
      <c r="M17" s="1">
        <f>'Raw Data'!N17/Inv_SY!M$2</f>
        <v>6.5474720752498525</v>
      </c>
      <c r="N17" s="1">
        <f>'Raw Data'!O17/Inv_SY!N$2</f>
        <v>6.3896478445658778</v>
      </c>
      <c r="O17" s="1">
        <f>'Raw Data'!P17/Inv_SY!O$2</f>
        <v>6.2534911961141475</v>
      </c>
      <c r="P17" s="1">
        <f>'Raw Data'!Q17/Inv_SY!P$2</f>
        <v>6.2630540376442028</v>
      </c>
      <c r="Q17" s="1">
        <f>'Raw Data'!R17/Inv_SY!Q$2</f>
        <v>0</v>
      </c>
      <c r="R17" s="1">
        <f>'Raw Data'!S17/Inv_SY!R$2</f>
        <v>5.2091520781231395</v>
      </c>
      <c r="S17" s="1">
        <f>'Raw Data'!T17/Inv_SY!S$2</f>
        <v>5.2987963467005388</v>
      </c>
      <c r="T17" s="1">
        <f>'Raw Data'!U17/Inv_SY!T$2</f>
        <v>5.1332274572083989</v>
      </c>
      <c r="U17" s="1">
        <f>'Raw Data'!V17/Inv_SY!U$2</f>
        <v>5.1780777601317567</v>
      </c>
      <c r="V17" s="1">
        <f>'Raw Data'!W17/Inv_SY!V$2</f>
        <v>4.9103020856527868</v>
      </c>
      <c r="W17" s="1">
        <f>'Raw Data'!X17/Inv_SY!W$2</f>
        <v>4.7344533982058685</v>
      </c>
      <c r="X17" s="1">
        <f>'Raw Data'!Y17/Inv_SY!X$2</f>
        <v>5.199629011315154</v>
      </c>
      <c r="Y17" s="1">
        <f t="shared" si="1"/>
        <v>4.9481281650579367</v>
      </c>
      <c r="Z17" s="1">
        <f t="shared" si="2"/>
        <v>5.199629011315154</v>
      </c>
    </row>
    <row r="18" spans="1:26" x14ac:dyDescent="0.3">
      <c r="A18" s="55" t="s">
        <v>107</v>
      </c>
      <c r="B18" s="55">
        <v>4</v>
      </c>
      <c r="C18" s="121">
        <f>YEAR(Table12[[#This Row],[Date]])</f>
        <v>2025</v>
      </c>
      <c r="D18" s="55" t="s">
        <v>329</v>
      </c>
      <c r="E18" s="55" t="s">
        <v>329</v>
      </c>
      <c r="F18" s="122" t="str">
        <f>TEXT(Table12[[#This Row],[Date]],"mmm-yy")</f>
        <v>Apr-25</v>
      </c>
      <c r="G18" s="121">
        <f t="shared" si="0"/>
        <v>30</v>
      </c>
      <c r="H18" s="123">
        <f t="shared" si="3"/>
        <v>45759</v>
      </c>
      <c r="I18" s="1">
        <v>8.0208999999999993</v>
      </c>
      <c r="J18" s="1">
        <f>'Raw Data'!K18/Inv_SY!J$2</f>
        <v>6.5773596176821982</v>
      </c>
      <c r="K18" s="1">
        <f>'Raw Data'!L18/Inv_SY!K$2</f>
        <v>6.6536738351254483</v>
      </c>
      <c r="L18" s="1">
        <f>'Raw Data'!M18/Inv_SY!L$2</f>
        <v>0</v>
      </c>
      <c r="M18" s="1">
        <f>'Raw Data'!N18/Inv_SY!M$2</f>
        <v>6.4847148736037621</v>
      </c>
      <c r="N18" s="1">
        <f>'Raw Data'!O18/Inv_SY!N$2</f>
        <v>5.9140862173649058</v>
      </c>
      <c r="O18" s="1">
        <f>'Raw Data'!P18/Inv_SY!O$2</f>
        <v>5.9526411657559199</v>
      </c>
      <c r="P18" s="1">
        <f>'Raw Data'!Q18/Inv_SY!P$2</f>
        <v>5.8840315725561636</v>
      </c>
      <c r="Q18" s="1">
        <f>'Raw Data'!R18/Inv_SY!Q$2</f>
        <v>0</v>
      </c>
      <c r="R18" s="1">
        <f>'Raw Data'!S18/Inv_SY!R$2</f>
        <v>5.282690246516613</v>
      </c>
      <c r="S18" s="1">
        <f>'Raw Data'!T18/Inv_SY!S$2</f>
        <v>5.4397266073912789</v>
      </c>
      <c r="T18" s="1">
        <f>'Raw Data'!U18/Inv_SY!T$2</f>
        <v>5.2057231927533669</v>
      </c>
      <c r="U18" s="1">
        <f>'Raw Data'!V18/Inv_SY!U$2</f>
        <v>5.1657255455561435</v>
      </c>
      <c r="V18" s="1">
        <f>'Raw Data'!W18/Inv_SY!V$2</f>
        <v>4.9252950345134714</v>
      </c>
      <c r="W18" s="1">
        <f>'Raw Data'!X18/Inv_SY!W$2</f>
        <v>4.445111753078911</v>
      </c>
      <c r="X18" s="1">
        <f>'Raw Data'!Y18/Inv_SY!X$2</f>
        <v>5.2677054349842329</v>
      </c>
      <c r="Y18" s="1">
        <f t="shared" si="1"/>
        <v>4.8793707408588718</v>
      </c>
      <c r="Z18" s="1">
        <f t="shared" si="2"/>
        <v>5.2677054349842329</v>
      </c>
    </row>
    <row r="19" spans="1:26" x14ac:dyDescent="0.3">
      <c r="A19" s="55" t="s">
        <v>107</v>
      </c>
      <c r="B19" s="55">
        <v>4</v>
      </c>
      <c r="C19" s="121">
        <f>YEAR(Table12[[#This Row],[Date]])</f>
        <v>2025</v>
      </c>
      <c r="D19" s="55" t="s">
        <v>329</v>
      </c>
      <c r="E19" s="55" t="s">
        <v>329</v>
      </c>
      <c r="F19" s="122" t="str">
        <f>TEXT(Table12[[#This Row],[Date]],"mmm-yy")</f>
        <v>Apr-25</v>
      </c>
      <c r="G19" s="121">
        <f t="shared" si="0"/>
        <v>30</v>
      </c>
      <c r="H19" s="123">
        <f t="shared" si="3"/>
        <v>45760</v>
      </c>
      <c r="I19" s="1">
        <v>8.0208999999999993</v>
      </c>
      <c r="J19" s="1">
        <f>'Raw Data'!K19/Inv_SY!J$2</f>
        <v>6.193548387096774</v>
      </c>
      <c r="K19" s="1">
        <f>'Raw Data'!L19/Inv_SY!K$2</f>
        <v>6.1968339307048979</v>
      </c>
      <c r="L19" s="1">
        <f>'Raw Data'!M19/Inv_SY!L$2</f>
        <v>0</v>
      </c>
      <c r="M19" s="1">
        <f>'Raw Data'!N19/Inv_SY!M$2</f>
        <v>6.1941504997060557</v>
      </c>
      <c r="N19" s="1">
        <f>'Raw Data'!O19/Inv_SY!N$2</f>
        <v>5.6299332119004255</v>
      </c>
      <c r="O19" s="1">
        <f>'Raw Data'!P19/Inv_SY!O$2</f>
        <v>5.5025804493017612</v>
      </c>
      <c r="P19" s="1">
        <f>'Raw Data'!Q19/Inv_SY!P$2</f>
        <v>5.5109289617486343</v>
      </c>
      <c r="Q19" s="1">
        <f>'Raw Data'!R19/Inv_SY!Q$2</f>
        <v>0</v>
      </c>
      <c r="R19" s="1">
        <f>'Raw Data'!S19/Inv_SY!R$2</f>
        <v>4.9182743837084679</v>
      </c>
      <c r="S19" s="1">
        <f>'Raw Data'!T19/Inv_SY!S$2</f>
        <v>5.0066533599467737</v>
      </c>
      <c r="T19" s="1">
        <f>'Raw Data'!U19/Inv_SY!T$2</f>
        <v>4.8492735721428142</v>
      </c>
      <c r="U19" s="1">
        <f>'Raw Data'!V19/Inv_SY!U$2</f>
        <v>4.8997117816599021</v>
      </c>
      <c r="V19" s="1">
        <f>'Raw Data'!W19/Inv_SY!V$2</f>
        <v>4.6430267943293995</v>
      </c>
      <c r="W19" s="1">
        <f>'Raw Data'!X19/Inv_SY!W$2</f>
        <v>4.1678196746236882</v>
      </c>
      <c r="X19" s="1">
        <f>'Raw Data'!Y19/Inv_SY!X$2</f>
        <v>4.9135967352995724</v>
      </c>
      <c r="Y19" s="1">
        <f t="shared" si="1"/>
        <v>4.5748144014175534</v>
      </c>
      <c r="Z19" s="1">
        <f t="shared" si="2"/>
        <v>4.9135967352995724</v>
      </c>
    </row>
    <row r="20" spans="1:26" x14ac:dyDescent="0.3">
      <c r="A20" s="55" t="s">
        <v>107</v>
      </c>
      <c r="B20" s="55">
        <v>4</v>
      </c>
      <c r="C20" s="121">
        <f>YEAR(Table12[[#This Row],[Date]])</f>
        <v>2025</v>
      </c>
      <c r="D20" s="55" t="s">
        <v>329</v>
      </c>
      <c r="E20" s="55" t="s">
        <v>329</v>
      </c>
      <c r="F20" s="122" t="str">
        <f>TEXT(Table12[[#This Row],[Date]],"mmm-yy")</f>
        <v>Apr-25</v>
      </c>
      <c r="G20" s="121">
        <f t="shared" si="0"/>
        <v>30</v>
      </c>
      <c r="H20" s="123">
        <f t="shared" si="3"/>
        <v>45761</v>
      </c>
      <c r="I20" s="1">
        <v>8.0208999999999993</v>
      </c>
      <c r="J20" s="1">
        <f>'Raw Data'!K20/Inv_SY!J$2</f>
        <v>6.5527180406212659</v>
      </c>
      <c r="K20" s="1">
        <f>'Raw Data'!L20/Inv_SY!K$2</f>
        <v>6.4390681003584236</v>
      </c>
      <c r="L20" s="1">
        <f>'Raw Data'!M20/Inv_SY!L$2</f>
        <v>0</v>
      </c>
      <c r="M20" s="1">
        <f>'Raw Data'!N20/Inv_SY!M$2</f>
        <v>6.3337742504409169</v>
      </c>
      <c r="N20" s="1">
        <f>'Raw Data'!O20/Inv_SY!N$2</f>
        <v>6.1273527625986643</v>
      </c>
      <c r="O20" s="1">
        <f>'Raw Data'!P20/Inv_SY!O$2</f>
        <v>6.2084092289010329</v>
      </c>
      <c r="P20" s="1">
        <f>'Raw Data'!Q20/Inv_SY!P$2</f>
        <v>6.0974499089253191</v>
      </c>
      <c r="Q20" s="1">
        <f>'Raw Data'!R20/Inv_SY!Q$2</f>
        <v>0</v>
      </c>
      <c r="R20" s="1">
        <f>'Raw Data'!S20/Inv_SY!R$2</f>
        <v>5.2743539359294989</v>
      </c>
      <c r="S20" s="1">
        <f>'Raw Data'!T20/Inv_SY!S$2</f>
        <v>5.2393697453577701</v>
      </c>
      <c r="T20" s="1">
        <f>'Raw Data'!U20/Inv_SY!T$2</f>
        <v>5.0730839362390441</v>
      </c>
      <c r="U20" s="1">
        <f>'Raw Data'!V20/Inv_SY!U$2</f>
        <v>5.0313216869595898</v>
      </c>
      <c r="V20" s="1">
        <f>'Raw Data'!W20/Inv_SY!V$2</f>
        <v>4.8277295331403547</v>
      </c>
      <c r="W20" s="1">
        <f>'Raw Data'!X20/Inv_SY!W$2</f>
        <v>4.6160103390603613</v>
      </c>
      <c r="X20" s="1">
        <f>'Raw Data'!Y20/Inv_SY!X$2</f>
        <v>5.1491003524392509</v>
      </c>
      <c r="Y20" s="1">
        <f t="shared" si="1"/>
        <v>4.8642800748799893</v>
      </c>
      <c r="Z20" s="1">
        <f t="shared" si="2"/>
        <v>5.1491003524392509</v>
      </c>
    </row>
    <row r="21" spans="1:26" x14ac:dyDescent="0.3">
      <c r="A21" s="55" t="s">
        <v>107</v>
      </c>
      <c r="B21" s="55">
        <v>4</v>
      </c>
      <c r="C21" s="121">
        <f>YEAR(Table12[[#This Row],[Date]])</f>
        <v>2025</v>
      </c>
      <c r="D21" s="55" t="s">
        <v>329</v>
      </c>
      <c r="E21" s="55" t="s">
        <v>329</v>
      </c>
      <c r="F21" s="122" t="str">
        <f>TEXT(Table12[[#This Row],[Date]],"mmm-yy")</f>
        <v>Apr-25</v>
      </c>
      <c r="G21" s="121">
        <f t="shared" si="0"/>
        <v>30</v>
      </c>
      <c r="H21" s="123">
        <f t="shared" si="3"/>
        <v>45762</v>
      </c>
      <c r="I21" s="1">
        <v>8.0208999999999993</v>
      </c>
      <c r="J21" s="1">
        <f>'Raw Data'!K21/Inv_SY!J$2</f>
        <v>5.7777777777777777</v>
      </c>
      <c r="K21" s="1">
        <f>'Raw Data'!L21/Inv_SY!K$2</f>
        <v>5.8751493428912784</v>
      </c>
      <c r="L21" s="1">
        <f>'Raw Data'!M21/Inv_SY!L$2</f>
        <v>0</v>
      </c>
      <c r="M21" s="1">
        <f>'Raw Data'!N21/Inv_SY!M$2</f>
        <v>5.6872427983539096</v>
      </c>
      <c r="N21" s="1">
        <f>'Raw Data'!O21/Inv_SY!N$2</f>
        <v>5.5708864602307226</v>
      </c>
      <c r="O21" s="1">
        <f>'Raw Data'!P21/Inv_SY!O$2</f>
        <v>5.4356405585913787</v>
      </c>
      <c r="P21" s="1">
        <f>'Raw Data'!Q21/Inv_SY!P$2</f>
        <v>5.4417122040072865</v>
      </c>
      <c r="Q21" s="1">
        <f>'Raw Data'!R21/Inv_SY!Q$2</f>
        <v>0</v>
      </c>
      <c r="R21" s="1">
        <f>'Raw Data'!S21/Inv_SY!R$2</f>
        <v>4.3898118375610338</v>
      </c>
      <c r="S21" s="1">
        <f>'Raw Data'!T21/Inv_SY!S$2</f>
        <v>4.5663219016512437</v>
      </c>
      <c r="T21" s="1">
        <f>'Raw Data'!U21/Inv_SY!T$2</f>
        <v>4.3288630080583497</v>
      </c>
      <c r="U21" s="1">
        <f>'Raw Data'!V21/Inv_SY!U$2</f>
        <v>4.2923945650255861</v>
      </c>
      <c r="V21" s="1">
        <f>'Raw Data'!W21/Inv_SY!V$2</f>
        <v>4.3317746604319751</v>
      </c>
      <c r="W21" s="1">
        <f>'Raw Data'!X21/Inv_SY!W$2</f>
        <v>4.1189372054128022</v>
      </c>
      <c r="X21" s="1">
        <f>'Raw Data'!Y21/Inv_SY!X$2</f>
        <v>4.3893526247449453</v>
      </c>
      <c r="Y21" s="1">
        <f t="shared" si="1"/>
        <v>4.2800214968632408</v>
      </c>
      <c r="Z21" s="1">
        <f t="shared" si="2"/>
        <v>4.3893526247449453</v>
      </c>
    </row>
    <row r="22" spans="1:26" x14ac:dyDescent="0.3">
      <c r="A22" s="55" t="s">
        <v>107</v>
      </c>
      <c r="B22" s="55">
        <v>4</v>
      </c>
      <c r="C22" s="121">
        <f>YEAR(Table12[[#This Row],[Date]])</f>
        <v>2025</v>
      </c>
      <c r="D22" s="55" t="s">
        <v>329</v>
      </c>
      <c r="E22" s="55" t="s">
        <v>329</v>
      </c>
      <c r="F22" s="122" t="str">
        <f>TEXT(Table12[[#This Row],[Date]],"mmm-yy")</f>
        <v>Apr-25</v>
      </c>
      <c r="G22" s="121">
        <f t="shared" si="0"/>
        <v>30</v>
      </c>
      <c r="H22" s="123">
        <f t="shared" si="3"/>
        <v>45763</v>
      </c>
      <c r="I22" s="1">
        <v>8.0208999999999993</v>
      </c>
      <c r="J22" s="1">
        <f>'Raw Data'!K22/Inv_SY!J$2</f>
        <v>4.9169653524492229</v>
      </c>
      <c r="K22" s="1">
        <f>'Raw Data'!L22/Inv_SY!K$2</f>
        <v>4.9136798088410991</v>
      </c>
      <c r="L22" s="1">
        <f>'Raw Data'!M22/Inv_SY!L$2</f>
        <v>0</v>
      </c>
      <c r="M22" s="1">
        <f>'Raw Data'!N22/Inv_SY!M$2</f>
        <v>5.0327748383303943</v>
      </c>
      <c r="N22" s="1">
        <f>'Raw Data'!O22/Inv_SY!N$2</f>
        <v>4.8365209471766857</v>
      </c>
      <c r="O22" s="1">
        <f>'Raw Data'!P22/Inv_SY!O$2</f>
        <v>4.9336672738312091</v>
      </c>
      <c r="P22" s="1">
        <f>'Raw Data'!Q22/Inv_SY!P$2</f>
        <v>4.8155737704918034</v>
      </c>
      <c r="Q22" s="1">
        <f>'Raw Data'!R22/Inv_SY!Q$2</f>
        <v>0</v>
      </c>
      <c r="R22" s="1">
        <f>'Raw Data'!S22/Inv_SY!R$2</f>
        <v>3.7949565320947962</v>
      </c>
      <c r="S22" s="1">
        <f>'Raw Data'!T22/Inv_SY!S$2</f>
        <v>3.8619730236496705</v>
      </c>
      <c r="T22" s="1">
        <f>'Raw Data'!U22/Inv_SY!T$2</f>
        <v>3.8456561378742422</v>
      </c>
      <c r="U22" s="1">
        <f>'Raw Data'!V22/Inv_SY!U$2</f>
        <v>3.7128698311864006</v>
      </c>
      <c r="V22" s="1">
        <f>'Raw Data'!W22/Inv_SY!V$2</f>
        <v>3.7136866325243085</v>
      </c>
      <c r="W22" s="1">
        <f>'Raw Data'!X22/Inv_SY!W$2</f>
        <v>3.6525391515888703</v>
      </c>
      <c r="X22" s="1">
        <f>'Raw Data'!Y22/Inv_SY!X$2</f>
        <v>3.8001854943424225</v>
      </c>
      <c r="Y22" s="1">
        <f t="shared" si="1"/>
        <v>3.7221370928185338</v>
      </c>
      <c r="Z22" s="1">
        <f t="shared" si="2"/>
        <v>3.8001854943424225</v>
      </c>
    </row>
    <row r="23" spans="1:26" x14ac:dyDescent="0.3">
      <c r="A23" s="55" t="s">
        <v>107</v>
      </c>
      <c r="B23" s="55">
        <v>4</v>
      </c>
      <c r="C23" s="121">
        <f>YEAR(Table12[[#This Row],[Date]])</f>
        <v>2025</v>
      </c>
      <c r="D23" s="55" t="s">
        <v>329</v>
      </c>
      <c r="E23" s="55" t="s">
        <v>329</v>
      </c>
      <c r="F23" s="122" t="str">
        <f>TEXT(Table12[[#This Row],[Date]],"mmm-yy")</f>
        <v>Apr-25</v>
      </c>
      <c r="G23" s="121">
        <f t="shared" si="0"/>
        <v>30</v>
      </c>
      <c r="H23" s="123">
        <f t="shared" si="3"/>
        <v>45764</v>
      </c>
      <c r="I23" s="1">
        <v>8.0208999999999993</v>
      </c>
      <c r="J23" s="1">
        <f>'Raw Data'!K23/Inv_SY!J$2</f>
        <v>5.9817801672640378</v>
      </c>
      <c r="K23" s="1">
        <f>'Raw Data'!L23/Inv_SY!K$2</f>
        <v>5.9820788530465947</v>
      </c>
      <c r="L23" s="1">
        <f>'Raw Data'!M23/Inv_SY!L$2</f>
        <v>0</v>
      </c>
      <c r="M23" s="1">
        <f>'Raw Data'!N23/Inv_SY!M$2</f>
        <v>5.9894179894179898</v>
      </c>
      <c r="N23" s="1">
        <f>'Raw Data'!O23/Inv_SY!N$2</f>
        <v>5.9172738312082584</v>
      </c>
      <c r="O23" s="1">
        <f>'Raw Data'!P23/Inv_SY!O$2</f>
        <v>5.8826654523375836</v>
      </c>
      <c r="P23" s="1">
        <f>'Raw Data'!Q23/Inv_SY!P$2</f>
        <v>6.0007589556769894</v>
      </c>
      <c r="Q23" s="1">
        <f>'Raw Data'!R23/Inv_SY!Q$2</f>
        <v>0</v>
      </c>
      <c r="R23" s="1">
        <f>'Raw Data'!S23/Inv_SY!R$2</f>
        <v>4.5785697272835533</v>
      </c>
      <c r="S23" s="1">
        <f>'Raw Data'!T23/Inv_SY!S$2</f>
        <v>4.6615859190709497</v>
      </c>
      <c r="T23" s="1">
        <f>'Raw Data'!U23/Inv_SY!T$2</f>
        <v>4.5169401799894118</v>
      </c>
      <c r="U23" s="1">
        <f>'Raw Data'!V23/Inv_SY!U$2</f>
        <v>4.57458384800894</v>
      </c>
      <c r="V23" s="1">
        <f>'Raw Data'!W23/Inv_SY!V$2</f>
        <v>4.485341052475321</v>
      </c>
      <c r="W23" s="1">
        <f>'Raw Data'!X23/Inv_SY!W$2</f>
        <v>4.457617454766611</v>
      </c>
      <c r="X23" s="1">
        <f>'Raw Data'!Y23/Inv_SY!X$2</f>
        <v>4.5784084585420146</v>
      </c>
      <c r="Y23" s="1">
        <f t="shared" si="1"/>
        <v>4.5071223219279828</v>
      </c>
      <c r="Z23" s="1">
        <f t="shared" si="2"/>
        <v>4.5784084585420146</v>
      </c>
    </row>
    <row r="24" spans="1:26" x14ac:dyDescent="0.3">
      <c r="A24" s="55" t="s">
        <v>107</v>
      </c>
      <c r="B24" s="55">
        <v>4</v>
      </c>
      <c r="C24" s="121">
        <f>YEAR(Table12[[#This Row],[Date]])</f>
        <v>2025</v>
      </c>
      <c r="D24" s="55" t="s">
        <v>329</v>
      </c>
      <c r="E24" s="55" t="s">
        <v>329</v>
      </c>
      <c r="F24" s="122" t="str">
        <f>TEXT(Table12[[#This Row],[Date]],"mmm-yy")</f>
        <v>Apr-25</v>
      </c>
      <c r="G24" s="121">
        <f t="shared" si="0"/>
        <v>30</v>
      </c>
      <c r="H24" s="123">
        <f t="shared" si="3"/>
        <v>45765</v>
      </c>
      <c r="I24" s="1">
        <v>8.0208999999999993</v>
      </c>
      <c r="J24" s="1">
        <f>'Raw Data'!K24/Inv_SY!J$2</f>
        <v>4.4904420549581845</v>
      </c>
      <c r="K24" s="1">
        <f>'Raw Data'!L24/Inv_SY!K$2</f>
        <v>4.5845280764635605</v>
      </c>
      <c r="L24" s="1">
        <f>'Raw Data'!M24/Inv_SY!L$2</f>
        <v>0</v>
      </c>
      <c r="M24" s="1">
        <f>'Raw Data'!N24/Inv_SY!M$2</f>
        <v>4.4629629629629628</v>
      </c>
      <c r="N24" s="1">
        <f>'Raw Data'!O24/Inv_SY!N$2</f>
        <v>4.5798421372191864</v>
      </c>
      <c r="O24" s="1">
        <f>'Raw Data'!P24/Inv_SY!O$2</f>
        <v>4.4332119004250155</v>
      </c>
      <c r="P24" s="1">
        <f>'Raw Data'!Q24/Inv_SY!P$2</f>
        <v>4.4414086217364908</v>
      </c>
      <c r="Q24" s="1">
        <f>'Raw Data'!R24/Inv_SY!Q$2</f>
        <v>0</v>
      </c>
      <c r="R24" s="1">
        <f>'Raw Data'!S24/Inv_SY!R$2</f>
        <v>3.5133083244015717</v>
      </c>
      <c r="S24" s="1">
        <f>'Raw Data'!T24/Inv_SY!S$2</f>
        <v>3.4853021230266745</v>
      </c>
      <c r="T24" s="1">
        <f>'Raw Data'!U24/Inv_SY!T$2</f>
        <v>3.4034762661019937</v>
      </c>
      <c r="U24" s="1">
        <f>'Raw Data'!V24/Inv_SY!U$2</f>
        <v>3.357155461443444</v>
      </c>
      <c r="V24" s="1">
        <f>'Raw Data'!W24/Inv_SY!V$2</f>
        <v>3.3820233058710016</v>
      </c>
      <c r="W24" s="1">
        <f>'Raw Data'!X24/Inv_SY!W$2</f>
        <v>3.369241295423445</v>
      </c>
      <c r="X24" s="1">
        <f>'Raw Data'!Y24/Inv_SY!X$2</f>
        <v>3.4362826933778519</v>
      </c>
      <c r="Y24" s="1">
        <f t="shared" si="1"/>
        <v>3.3958490982240992</v>
      </c>
      <c r="Z24" s="1">
        <f t="shared" si="2"/>
        <v>3.4362826933778519</v>
      </c>
    </row>
    <row r="25" spans="1:26" x14ac:dyDescent="0.3">
      <c r="A25" s="55" t="s">
        <v>107</v>
      </c>
      <c r="B25" s="55">
        <v>4</v>
      </c>
      <c r="C25" s="121">
        <f>YEAR(Table12[[#This Row],[Date]])</f>
        <v>2025</v>
      </c>
      <c r="D25" s="55" t="s">
        <v>329</v>
      </c>
      <c r="E25" s="55" t="s">
        <v>329</v>
      </c>
      <c r="F25" s="122" t="str">
        <f>TEXT(Table12[[#This Row],[Date]],"mmm-yy")</f>
        <v>Apr-25</v>
      </c>
      <c r="G25" s="121">
        <f t="shared" si="0"/>
        <v>30</v>
      </c>
      <c r="H25" s="123">
        <f t="shared" si="3"/>
        <v>45766</v>
      </c>
      <c r="I25" s="1">
        <v>8.0208999999999993</v>
      </c>
      <c r="J25" s="1">
        <f>'Raw Data'!K25/Inv_SY!J$2</f>
        <v>5.6184289127837514</v>
      </c>
      <c r="K25" s="1">
        <f>'Raw Data'!L25/Inv_SY!K$2</f>
        <v>5.6167861409796895</v>
      </c>
      <c r="L25" s="1">
        <f>'Raw Data'!M25/Inv_SY!L$2</f>
        <v>0</v>
      </c>
      <c r="M25" s="1">
        <f>'Raw Data'!N25/Inv_SY!M$2</f>
        <v>5.6353615520282192</v>
      </c>
      <c r="N25" s="1">
        <f>'Raw Data'!O25/Inv_SY!N$2</f>
        <v>5.4978749241044325</v>
      </c>
      <c r="O25" s="1">
        <f>'Raw Data'!P25/Inv_SY!O$2</f>
        <v>5.6443533697632065</v>
      </c>
      <c r="P25" s="1">
        <f>'Raw Data'!Q25/Inv_SY!P$2</f>
        <v>5.4723740133576202</v>
      </c>
      <c r="Q25" s="1">
        <f>'Raw Data'!R25/Inv_SY!Q$2</f>
        <v>0</v>
      </c>
      <c r="R25" s="1">
        <f>'Raw Data'!S25/Inv_SY!R$2</f>
        <v>4.2274026438013577</v>
      </c>
      <c r="S25" s="1">
        <f>'Raw Data'!T25/Inv_SY!S$2</f>
        <v>4.4132946228754619</v>
      </c>
      <c r="T25" s="1">
        <f>'Raw Data'!U25/Inv_SY!T$2</f>
        <v>4.1801952826304332</v>
      </c>
      <c r="U25" s="1">
        <f>'Raw Data'!V25/Inv_SY!U$2</f>
        <v>4.1428445385565551</v>
      </c>
      <c r="V25" s="1">
        <f>'Raw Data'!W25/Inv_SY!V$2</f>
        <v>4.2148741928301057</v>
      </c>
      <c r="W25" s="1">
        <f>'Raw Data'!X25/Inv_SY!W$2</f>
        <v>4.160597536870914</v>
      </c>
      <c r="X25" s="1">
        <f>'Raw Data'!Y25/Inv_SY!X$2</f>
        <v>4.236097199035429</v>
      </c>
      <c r="Y25" s="1">
        <f t="shared" si="1"/>
        <v>4.203856309578816</v>
      </c>
      <c r="Z25" s="1">
        <f t="shared" si="2"/>
        <v>4.236097199035429</v>
      </c>
    </row>
    <row r="26" spans="1:26" x14ac:dyDescent="0.3">
      <c r="A26" s="55" t="s">
        <v>107</v>
      </c>
      <c r="B26" s="55">
        <v>4</v>
      </c>
      <c r="C26" s="121">
        <f>YEAR(Table12[[#This Row],[Date]])</f>
        <v>2025</v>
      </c>
      <c r="D26" s="55" t="s">
        <v>329</v>
      </c>
      <c r="E26" s="55" t="s">
        <v>329</v>
      </c>
      <c r="F26" s="122" t="str">
        <f>TEXT(Table12[[#This Row],[Date]],"mmm-yy")</f>
        <v>Apr-25</v>
      </c>
      <c r="G26" s="121">
        <f t="shared" si="0"/>
        <v>30</v>
      </c>
      <c r="H26" s="123">
        <f t="shared" si="3"/>
        <v>45767</v>
      </c>
      <c r="I26" s="1">
        <v>8.0208999999999993</v>
      </c>
      <c r="J26" s="1">
        <f>'Raw Data'!K26/Inv_SY!J$2</f>
        <v>6.8246714456391873</v>
      </c>
      <c r="K26" s="1">
        <f>'Raw Data'!L26/Inv_SY!K$2</f>
        <v>6.8249701314217441</v>
      </c>
      <c r="L26" s="1">
        <f>'Raw Data'!M26/Inv_SY!L$2</f>
        <v>0</v>
      </c>
      <c r="M26" s="1">
        <f>'Raw Data'!N26/Inv_SY!M$2</f>
        <v>6.8149617871840089</v>
      </c>
      <c r="N26" s="1">
        <f>'Raw Data'!O26/Inv_SY!N$2</f>
        <v>6.5425015179113544</v>
      </c>
      <c r="O26" s="1">
        <f>'Raw Data'!P26/Inv_SY!O$2</f>
        <v>6.4960534304796607</v>
      </c>
      <c r="P26" s="1">
        <f>'Raw Data'!Q26/Inv_SY!P$2</f>
        <v>6.616272009714633</v>
      </c>
      <c r="Q26" s="1">
        <f>'Raw Data'!R26/Inv_SY!Q$2</f>
        <v>0</v>
      </c>
      <c r="R26" s="1">
        <f>'Raw Data'!S26/Inv_SY!R$2</f>
        <v>5.1649398594736216</v>
      </c>
      <c r="S26" s="1">
        <f>'Raw Data'!T26/Inv_SY!S$2</f>
        <v>5.2496522107300549</v>
      </c>
      <c r="T26" s="1">
        <f>'Raw Data'!U26/Inv_SY!T$2</f>
        <v>5.1866066701958697</v>
      </c>
      <c r="U26" s="1">
        <f>'Raw Data'!V26/Inv_SY!U$2</f>
        <v>5.047056055526145</v>
      </c>
      <c r="V26" s="1">
        <f>'Raw Data'!W26/Inv_SY!V$2</f>
        <v>5.1127068952720256</v>
      </c>
      <c r="W26" s="1">
        <f>'Raw Data'!X26/Inv_SY!W$2</f>
        <v>4.9219248897673706</v>
      </c>
      <c r="X26" s="1">
        <f>'Raw Data'!Y26/Inv_SY!X$2</f>
        <v>5.1569653125579666</v>
      </c>
      <c r="Y26" s="1">
        <f t="shared" si="1"/>
        <v>5.0638656991991207</v>
      </c>
      <c r="Z26" s="1">
        <f t="shared" si="2"/>
        <v>5.1569653125579666</v>
      </c>
    </row>
    <row r="27" spans="1:26" x14ac:dyDescent="0.3">
      <c r="A27" s="55" t="s">
        <v>107</v>
      </c>
      <c r="B27" s="55">
        <v>4</v>
      </c>
      <c r="C27" s="121">
        <f>YEAR(Table12[[#This Row],[Date]])</f>
        <v>2025</v>
      </c>
      <c r="D27" s="55" t="s">
        <v>329</v>
      </c>
      <c r="E27" s="55" t="s">
        <v>329</v>
      </c>
      <c r="F27" s="122" t="str">
        <f>TEXT(Table12[[#This Row],[Date]],"mmm-yy")</f>
        <v>Apr-25</v>
      </c>
      <c r="G27" s="121">
        <f t="shared" si="0"/>
        <v>30</v>
      </c>
      <c r="H27" s="123">
        <f t="shared" si="3"/>
        <v>45768</v>
      </c>
      <c r="I27" s="1">
        <v>8.0208999999999993</v>
      </c>
      <c r="J27" s="1">
        <f>'Raw Data'!K27/Inv_SY!J$2</f>
        <v>4.9030764635603346</v>
      </c>
      <c r="K27" s="1">
        <f>'Raw Data'!L27/Inv_SY!K$2</f>
        <v>4.8591696535244919</v>
      </c>
      <c r="L27" s="1">
        <f>'Raw Data'!M27/Inv_SY!L$2</f>
        <v>0</v>
      </c>
      <c r="M27" s="1">
        <f>'Raw Data'!N27/Inv_SY!M$2</f>
        <v>4.8270135214579666</v>
      </c>
      <c r="N27" s="1">
        <f>'Raw Data'!O27/Inv_SY!N$2</f>
        <v>4.8800850030358234</v>
      </c>
      <c r="O27" s="1">
        <f>'Raw Data'!P27/Inv_SY!O$2</f>
        <v>4.7414996964177289</v>
      </c>
      <c r="P27" s="1">
        <f>'Raw Data'!Q27/Inv_SY!P$2</f>
        <v>4.7460534304796598</v>
      </c>
      <c r="Q27" s="1">
        <f>'Raw Data'!R27/Inv_SY!Q$2</f>
        <v>0</v>
      </c>
      <c r="R27" s="1">
        <f>'Raw Data'!S27/Inv_SY!R$2</f>
        <v>3.8290460878885315</v>
      </c>
      <c r="S27" s="1">
        <f>'Raw Data'!T27/Inv_SY!S$2</f>
        <v>3.7919615314824897</v>
      </c>
      <c r="T27" s="1">
        <f>'Raw Data'!U27/Inv_SY!T$2</f>
        <v>3.6734603846832532</v>
      </c>
      <c r="U27" s="1">
        <f>'Raw Data'!V27/Inv_SY!U$2</f>
        <v>3.6430209987647784</v>
      </c>
      <c r="V27" s="1">
        <f>'Raw Data'!W27/Inv_SY!V$2</f>
        <v>3.6447339122689821</v>
      </c>
      <c r="W27" s="1">
        <f>'Raw Data'!X27/Inv_SY!W$2</f>
        <v>3.5979169834270941</v>
      </c>
      <c r="X27" s="1">
        <f>'Raw Data'!Y27/Inv_SY!X$2</f>
        <v>3.7304396215915414</v>
      </c>
      <c r="Y27" s="1">
        <f t="shared" si="1"/>
        <v>3.6576968390958728</v>
      </c>
      <c r="Z27" s="1">
        <f t="shared" si="2"/>
        <v>3.7304396215915414</v>
      </c>
    </row>
    <row r="28" spans="1:26" x14ac:dyDescent="0.3">
      <c r="A28" s="55" t="s">
        <v>107</v>
      </c>
      <c r="B28" s="55">
        <v>4</v>
      </c>
      <c r="C28" s="121">
        <f>YEAR(Table12[[#This Row],[Date]])</f>
        <v>2025</v>
      </c>
      <c r="D28" s="55" t="s">
        <v>329</v>
      </c>
      <c r="E28" s="55" t="s">
        <v>329</v>
      </c>
      <c r="F28" s="122" t="str">
        <f>TEXT(Table12[[#This Row],[Date]],"mmm-yy")</f>
        <v>Apr-25</v>
      </c>
      <c r="G28" s="121">
        <f t="shared" si="0"/>
        <v>30</v>
      </c>
      <c r="H28" s="123">
        <f t="shared" si="3"/>
        <v>45769</v>
      </c>
      <c r="I28" s="1">
        <v>8.0208999999999993</v>
      </c>
      <c r="J28" s="1">
        <f>'Raw Data'!K28/Inv_SY!J$2</f>
        <v>5.7071385902031064</v>
      </c>
      <c r="K28" s="1">
        <f>'Raw Data'!L28/Inv_SY!K$2</f>
        <v>5.7044504181600955</v>
      </c>
      <c r="L28" s="1">
        <f>'Raw Data'!M28/Inv_SY!L$2</f>
        <v>0</v>
      </c>
      <c r="M28" s="1">
        <f>'Raw Data'!N28/Inv_SY!M$2</f>
        <v>5.6850382128159911</v>
      </c>
      <c r="N28" s="1">
        <f>'Raw Data'!O28/Inv_SY!N$2</f>
        <v>5.7317850637522767</v>
      </c>
      <c r="O28" s="1">
        <f>'Raw Data'!P28/Inv_SY!O$2</f>
        <v>5.591985428051002</v>
      </c>
      <c r="P28" s="1">
        <f>'Raw Data'!Q28/Inv_SY!P$2</f>
        <v>5.6013964784456585</v>
      </c>
      <c r="Q28" s="1">
        <f>'Raw Data'!R28/Inv_SY!Q$2</f>
        <v>0</v>
      </c>
      <c r="R28" s="1">
        <f>'Raw Data'!S28/Inv_SY!R$2</f>
        <v>4.3263963320233421</v>
      </c>
      <c r="S28" s="1">
        <f>'Raw Data'!T28/Inv_SY!S$2</f>
        <v>4.4296255972902685</v>
      </c>
      <c r="T28" s="1">
        <f>'Raw Data'!U28/Inv_SY!T$2</f>
        <v>4.3513616846067871</v>
      </c>
      <c r="U28" s="1">
        <f>'Raw Data'!V28/Inv_SY!U$2</f>
        <v>4.2304864419740014</v>
      </c>
      <c r="V28" s="1">
        <f>'Raw Data'!W28/Inv_SY!V$2</f>
        <v>4.2712461960958956</v>
      </c>
      <c r="W28" s="1">
        <f>'Raw Data'!X28/Inv_SY!W$2</f>
        <v>4.2383685570928993</v>
      </c>
      <c r="X28" s="1">
        <f>'Raw Data'!Y28/Inv_SY!X$2</f>
        <v>4.3300686329066966</v>
      </c>
      <c r="Y28" s="1">
        <f t="shared" si="1"/>
        <v>4.2798944620318311</v>
      </c>
      <c r="Z28" s="1">
        <f t="shared" si="2"/>
        <v>4.3300686329066966</v>
      </c>
    </row>
    <row r="29" spans="1:26" x14ac:dyDescent="0.3">
      <c r="A29" s="55" t="s">
        <v>107</v>
      </c>
      <c r="B29" s="55">
        <v>4</v>
      </c>
      <c r="C29" s="121">
        <f>YEAR(Table12[[#This Row],[Date]])</f>
        <v>2025</v>
      </c>
      <c r="D29" s="55" t="s">
        <v>329</v>
      </c>
      <c r="E29" s="55" t="s">
        <v>329</v>
      </c>
      <c r="F29" s="122" t="str">
        <f>TEXT(Table12[[#This Row],[Date]],"mmm-yy")</f>
        <v>Apr-25</v>
      </c>
      <c r="G29" s="121">
        <f t="shared" si="0"/>
        <v>30</v>
      </c>
      <c r="H29" s="123">
        <f t="shared" si="3"/>
        <v>45770</v>
      </c>
      <c r="I29" s="1">
        <v>8.0208999999999993</v>
      </c>
      <c r="J29" s="1">
        <f>'Raw Data'!K29/Inv_SY!J$2</f>
        <v>5.5017921146953404</v>
      </c>
      <c r="K29" s="1">
        <f>'Raw Data'!L29/Inv_SY!K$2</f>
        <v>5.4997013142174431</v>
      </c>
      <c r="L29" s="1">
        <f>'Raw Data'!M29/Inv_SY!L$2</f>
        <v>0</v>
      </c>
      <c r="M29" s="1">
        <f>'Raw Data'!N29/Inv_SY!M$2</f>
        <v>5.5169018224573776</v>
      </c>
      <c r="N29" s="1">
        <f>'Raw Data'!O29/Inv_SY!N$2</f>
        <v>5.3986035215543415</v>
      </c>
      <c r="O29" s="1">
        <f>'Raw Data'!P29/Inv_SY!O$2</f>
        <v>5.4773831208257437</v>
      </c>
      <c r="P29" s="1">
        <f>'Raw Data'!Q29/Inv_SY!P$2</f>
        <v>5.377808136004858</v>
      </c>
      <c r="Q29" s="1">
        <f>'Raw Data'!R29/Inv_SY!Q$2</f>
        <v>0</v>
      </c>
      <c r="R29" s="1">
        <f>'Raw Data'!S29/Inv_SY!R$2</f>
        <v>4.1662200785994994</v>
      </c>
      <c r="S29" s="1">
        <f>'Raw Data'!T29/Inv_SY!S$2</f>
        <v>4.2393999879029822</v>
      </c>
      <c r="T29" s="1">
        <f>'Raw Data'!U29/Inv_SY!T$2</f>
        <v>4.2091641668137161</v>
      </c>
      <c r="U29" s="1">
        <f>'Raw Data'!V29/Inv_SY!U$2</f>
        <v>4.070937003705664</v>
      </c>
      <c r="V29" s="1">
        <f>'Raw Data'!W29/Inv_SY!V$2</f>
        <v>4.1268833964224747</v>
      </c>
      <c r="W29" s="1">
        <f>'Raw Data'!X29/Inv_SY!W$2</f>
        <v>4.0702447924585679</v>
      </c>
      <c r="X29" s="1">
        <f>'Raw Data'!Y29/Inv_SY!X$2</f>
        <v>4.1673529957336299</v>
      </c>
      <c r="Y29" s="1">
        <f t="shared" si="1"/>
        <v>4.1214937282048902</v>
      </c>
      <c r="Z29" s="1">
        <f t="shared" si="2"/>
        <v>4.1673529957336299</v>
      </c>
    </row>
    <row r="30" spans="1:26" x14ac:dyDescent="0.3">
      <c r="A30" s="55" t="s">
        <v>107</v>
      </c>
      <c r="B30" s="55">
        <v>4</v>
      </c>
      <c r="C30" s="121">
        <f>YEAR(Table12[[#This Row],[Date]])</f>
        <v>2025</v>
      </c>
      <c r="D30" s="55" t="s">
        <v>329</v>
      </c>
      <c r="E30" s="55" t="s">
        <v>329</v>
      </c>
      <c r="F30" s="122" t="str">
        <f>TEXT(Table12[[#This Row],[Date]],"mmm-yy")</f>
        <v>Apr-25</v>
      </c>
      <c r="G30" s="121">
        <f t="shared" si="0"/>
        <v>30</v>
      </c>
      <c r="H30" s="123">
        <f t="shared" si="3"/>
        <v>45771</v>
      </c>
      <c r="I30" s="1">
        <v>8.0208999999999993</v>
      </c>
      <c r="J30" s="1">
        <f>'Raw Data'!K30/Inv_SY!J$2</f>
        <v>6.0419653524492229</v>
      </c>
      <c r="K30" s="1">
        <f>'Raw Data'!L30/Inv_SY!K$2</f>
        <v>5.9296594982078847</v>
      </c>
      <c r="L30" s="1">
        <f>'Raw Data'!M30/Inv_SY!L$2</f>
        <v>0</v>
      </c>
      <c r="M30" s="1">
        <f>'Raw Data'!N30/Inv_SY!M$2</f>
        <v>5.833039388594945</v>
      </c>
      <c r="N30" s="1">
        <f>'Raw Data'!O30/Inv_SY!N$2</f>
        <v>5.808894960534305</v>
      </c>
      <c r="O30" s="1">
        <f>'Raw Data'!P30/Inv_SY!O$2</f>
        <v>5.7756527018822101</v>
      </c>
      <c r="P30" s="1">
        <f>'Raw Data'!Q30/Inv_SY!P$2</f>
        <v>5.9028536733454775</v>
      </c>
      <c r="Q30" s="1">
        <f>'Raw Data'!R30/Inv_SY!Q$2</f>
        <v>0</v>
      </c>
      <c r="R30" s="1">
        <f>'Raw Data'!S30/Inv_SY!R$2</f>
        <v>4.4905918780516849</v>
      </c>
      <c r="S30" s="1">
        <f>'Raw Data'!T30/Inv_SY!S$2</f>
        <v>4.5660194761991173</v>
      </c>
      <c r="T30" s="1">
        <f>'Raw Data'!U30/Inv_SY!T$2</f>
        <v>4.424445620845832</v>
      </c>
      <c r="U30" s="1">
        <f>'Raw Data'!V30/Inv_SY!U$2</f>
        <v>4.4845891418151869</v>
      </c>
      <c r="V30" s="1">
        <f>'Raw Data'!W30/Inv_SY!V$2</f>
        <v>4.4477844578044978</v>
      </c>
      <c r="W30" s="1">
        <f>'Raw Data'!X30/Inv_SY!W$2</f>
        <v>4.3791622320206782</v>
      </c>
      <c r="X30" s="1">
        <f>'Raw Data'!Y30/Inv_SY!X$2</f>
        <v>4.4869968465961794</v>
      </c>
      <c r="Y30" s="1">
        <f t="shared" si="1"/>
        <v>4.4379811788071182</v>
      </c>
      <c r="Z30" s="1">
        <f t="shared" si="2"/>
        <v>4.4869968465961794</v>
      </c>
    </row>
    <row r="31" spans="1:26" x14ac:dyDescent="0.3">
      <c r="A31" s="55" t="s">
        <v>107</v>
      </c>
      <c r="B31" s="55">
        <v>4</v>
      </c>
      <c r="C31" s="121">
        <f>YEAR(Table12[[#This Row],[Date]])</f>
        <v>2025</v>
      </c>
      <c r="D31" s="55" t="s">
        <v>329</v>
      </c>
      <c r="E31" s="55" t="s">
        <v>329</v>
      </c>
      <c r="F31" s="122" t="str">
        <f>TEXT(Table12[[#This Row],[Date]],"mmm-yy")</f>
        <v>Apr-25</v>
      </c>
      <c r="G31" s="121">
        <f t="shared" si="0"/>
        <v>30</v>
      </c>
      <c r="H31" s="123">
        <f t="shared" si="3"/>
        <v>45772</v>
      </c>
      <c r="I31" s="1">
        <v>8.0208999999999993</v>
      </c>
      <c r="J31" s="1">
        <f>'Raw Data'!K31/Inv_SY!J$2</f>
        <v>5.3599163679808841</v>
      </c>
      <c r="K31" s="1">
        <f>'Raw Data'!L31/Inv_SY!K$2</f>
        <v>5.3345280764635605</v>
      </c>
      <c r="L31" s="1">
        <f>'Raw Data'!M31/Inv_SY!L$2</f>
        <v>0</v>
      </c>
      <c r="M31" s="1">
        <f>'Raw Data'!N31/Inv_SY!M$2</f>
        <v>5.3542034097589655</v>
      </c>
      <c r="N31" s="1">
        <f>'Raw Data'!O31/Inv_SY!N$2</f>
        <v>5.3491196114146939</v>
      </c>
      <c r="O31" s="1">
        <f>'Raw Data'!P31/Inv_SY!O$2</f>
        <v>5.2109896782027931</v>
      </c>
      <c r="P31" s="1">
        <f>'Raw Data'!Q31/Inv_SY!P$2</f>
        <v>5.2276867030965395</v>
      </c>
      <c r="Q31" s="1">
        <f>'Raw Data'!R31/Inv_SY!Q$2</f>
        <v>0</v>
      </c>
      <c r="R31" s="1">
        <f>'Raw Data'!S31/Inv_SY!R$2</f>
        <v>4.1354055019649874</v>
      </c>
      <c r="S31" s="1">
        <f>'Raw Data'!T31/Inv_SY!S$2</f>
        <v>4.0918163672654693</v>
      </c>
      <c r="T31" s="1">
        <f>'Raw Data'!U31/Inv_SY!T$2</f>
        <v>3.9924122110464086</v>
      </c>
      <c r="U31" s="1">
        <f>'Raw Data'!V31/Inv_SY!U$2</f>
        <v>3.9365331451091108</v>
      </c>
      <c r="V31" s="1">
        <f>'Raw Data'!W31/Inv_SY!V$2</f>
        <v>4.0095004824463745</v>
      </c>
      <c r="W31" s="1">
        <f>'Raw Data'!X31/Inv_SY!W$2</f>
        <v>3.9535502508742586</v>
      </c>
      <c r="X31" s="1">
        <f>'Raw Data'!Y31/Inv_SY!X$2</f>
        <v>4.0348729363754403</v>
      </c>
      <c r="Y31" s="1">
        <f t="shared" si="1"/>
        <v>3.9993078898986916</v>
      </c>
      <c r="Z31" s="1">
        <f t="shared" si="2"/>
        <v>4.0348729363754403</v>
      </c>
    </row>
    <row r="32" spans="1:26" x14ac:dyDescent="0.3">
      <c r="A32" s="55" t="s">
        <v>107</v>
      </c>
      <c r="B32" s="55">
        <v>4</v>
      </c>
      <c r="C32" s="121">
        <f>YEAR(Table12[[#This Row],[Date]])</f>
        <v>2025</v>
      </c>
      <c r="D32" s="55" t="s">
        <v>329</v>
      </c>
      <c r="E32" s="55" t="s">
        <v>329</v>
      </c>
      <c r="F32" s="122" t="str">
        <f>TEXT(Table12[[#This Row],[Date]],"mmm-yy")</f>
        <v>Apr-25</v>
      </c>
      <c r="G32" s="121">
        <f t="shared" si="0"/>
        <v>30</v>
      </c>
      <c r="H32" s="123">
        <f t="shared" si="3"/>
        <v>45773</v>
      </c>
      <c r="I32" s="1">
        <v>8.0208999999999993</v>
      </c>
      <c r="J32" s="1">
        <f>'Raw Data'!K32/Inv_SY!J$2</f>
        <v>6.2873357228195932</v>
      </c>
      <c r="K32" s="1">
        <f>'Raw Data'!L32/Inv_SY!K$2</f>
        <v>6.203255675029868</v>
      </c>
      <c r="L32" s="1">
        <f>'Raw Data'!M32/Inv_SY!L$2</f>
        <v>0</v>
      </c>
      <c r="M32" s="1">
        <f>'Raw Data'!N32/Inv_SY!M$2</f>
        <v>6.0999412110523217</v>
      </c>
      <c r="N32" s="1">
        <f>'Raw Data'!O32/Inv_SY!N$2</f>
        <v>6.1021554341226478</v>
      </c>
      <c r="O32" s="1">
        <f>'Raw Data'!P32/Inv_SY!O$2</f>
        <v>6.0648148148148149</v>
      </c>
      <c r="P32" s="1">
        <f>'Raw Data'!Q32/Inv_SY!P$2</f>
        <v>6.1630236794171225</v>
      </c>
      <c r="Q32" s="1">
        <f>'Raw Data'!R32/Inv_SY!Q$2</f>
        <v>0</v>
      </c>
      <c r="R32" s="1">
        <f>'Raw Data'!S32/Inv_SY!R$2</f>
        <v>4.6951292128141002</v>
      </c>
      <c r="S32" s="1">
        <f>'Raw Data'!T32/Inv_SY!S$2</f>
        <v>4.779229419947983</v>
      </c>
      <c r="T32" s="1">
        <f>'Raw Data'!U32/Inv_SY!T$2</f>
        <v>4.7132521616375502</v>
      </c>
      <c r="U32" s="1">
        <f>'Raw Data'!V32/Inv_SY!U$2</f>
        <v>4.5931121698723603</v>
      </c>
      <c r="V32" s="1">
        <f>'Raw Data'!W32/Inv_SY!V$2</f>
        <v>4.6441401321160845</v>
      </c>
      <c r="W32" s="1">
        <f>'Raw Data'!X32/Inv_SY!W$2</f>
        <v>4.5901626881556936</v>
      </c>
      <c r="X32" s="1">
        <f>'Raw Data'!Y32/Inv_SY!X$2</f>
        <v>4.6905212391022069</v>
      </c>
      <c r="Y32" s="1">
        <f t="shared" si="1"/>
        <v>4.6416080197913283</v>
      </c>
      <c r="Z32" s="1">
        <f t="shared" si="2"/>
        <v>4.6905212391022069</v>
      </c>
    </row>
    <row r="33" spans="1:26" x14ac:dyDescent="0.3">
      <c r="A33" s="55" t="s">
        <v>107</v>
      </c>
      <c r="B33" s="55">
        <v>4</v>
      </c>
      <c r="C33" s="121">
        <f>YEAR(Table12[[#This Row],[Date]])</f>
        <v>2025</v>
      </c>
      <c r="D33" s="55" t="s">
        <v>329</v>
      </c>
      <c r="E33" s="55" t="s">
        <v>329</v>
      </c>
      <c r="F33" s="122" t="str">
        <f>TEXT(Table12[[#This Row],[Date]],"mmm-yy")</f>
        <v>Apr-25</v>
      </c>
      <c r="G33" s="121">
        <f t="shared" si="0"/>
        <v>30</v>
      </c>
      <c r="H33" s="123">
        <f t="shared" si="3"/>
        <v>45774</v>
      </c>
      <c r="I33" s="1">
        <v>8.0208999999999993</v>
      </c>
      <c r="J33" s="1">
        <f>'Raw Data'!K33/Inv_SY!J$2</f>
        <v>4.5791517323775386</v>
      </c>
      <c r="K33" s="1">
        <f>'Raw Data'!L33/Inv_SY!K$2</f>
        <v>4.7081839904420546</v>
      </c>
      <c r="L33" s="1">
        <f>'Raw Data'!M33/Inv_SY!L$2</f>
        <v>0</v>
      </c>
      <c r="M33" s="1">
        <f>'Raw Data'!N33/Inv_SY!M$2</f>
        <v>4.54512051734274</v>
      </c>
      <c r="N33" s="1">
        <f>'Raw Data'!O33/Inv_SY!N$2</f>
        <v>4.6246205221615062</v>
      </c>
      <c r="O33" s="1">
        <f>'Raw Data'!P33/Inv_SY!O$2</f>
        <v>4.50136612021858</v>
      </c>
      <c r="P33" s="1">
        <f>'Raw Data'!Q33/Inv_SY!P$2</f>
        <v>4.4656952034001218</v>
      </c>
      <c r="Q33" s="1">
        <f>'Raw Data'!R33/Inv_SY!Q$2</f>
        <v>0</v>
      </c>
      <c r="R33" s="1">
        <f>'Raw Data'!S33/Inv_SY!R$2</f>
        <v>3.5003572704537338</v>
      </c>
      <c r="S33" s="1">
        <f>'Raw Data'!T33/Inv_SY!S$2</f>
        <v>3.5182664973084137</v>
      </c>
      <c r="T33" s="1">
        <f>'Raw Data'!U33/Inv_SY!T$2</f>
        <v>3.4211222869242981</v>
      </c>
      <c r="U33" s="1">
        <f>'Raw Data'!V33/Inv_SY!U$2</f>
        <v>3.5265572613375675</v>
      </c>
      <c r="V33" s="1">
        <f>'Raw Data'!W33/Inv_SY!V$2</f>
        <v>3.4555407110517331</v>
      </c>
      <c r="W33" s="1">
        <f>'Raw Data'!X33/Inv_SY!W$2</f>
        <v>3.4036034666261212</v>
      </c>
      <c r="X33" s="1">
        <f>'Raw Data'!Y33/Inv_SY!X$2</f>
        <v>3.488332405861621</v>
      </c>
      <c r="Y33" s="1">
        <f t="shared" si="1"/>
        <v>3.449158861179825</v>
      </c>
      <c r="Z33" s="1">
        <f t="shared" si="2"/>
        <v>3.488332405861621</v>
      </c>
    </row>
    <row r="34" spans="1:26" x14ac:dyDescent="0.3">
      <c r="A34" s="55" t="s">
        <v>107</v>
      </c>
      <c r="B34" s="55">
        <v>4</v>
      </c>
      <c r="C34" s="121">
        <f>YEAR(Table12[[#This Row],[Date]])</f>
        <v>2025</v>
      </c>
      <c r="D34" s="55" t="s">
        <v>329</v>
      </c>
      <c r="E34" s="55" t="s">
        <v>329</v>
      </c>
      <c r="F34" s="122" t="str">
        <f>TEXT(Table12[[#This Row],[Date]],"mmm-yy")</f>
        <v>Apr-25</v>
      </c>
      <c r="G34" s="121">
        <f t="shared" si="0"/>
        <v>30</v>
      </c>
      <c r="H34" s="123">
        <f t="shared" si="3"/>
        <v>45775</v>
      </c>
      <c r="I34" s="1">
        <v>8.0208999999999993</v>
      </c>
      <c r="J34" s="1">
        <f>'Raw Data'!K34/Inv_SY!J$2</f>
        <v>6.7888291517323776</v>
      </c>
      <c r="K34" s="1">
        <f>'Raw Data'!L34/Inv_SY!K$2</f>
        <v>6.7862903225806459</v>
      </c>
      <c r="L34" s="1">
        <f>'Raw Data'!M34/Inv_SY!L$2</f>
        <v>0</v>
      </c>
      <c r="M34" s="1">
        <f>'Raw Data'!N34/Inv_SY!M$2</f>
        <v>6.7723398001175772</v>
      </c>
      <c r="N34" s="1">
        <f>'Raw Data'!O34/Inv_SY!N$2</f>
        <v>6.7531876138433518</v>
      </c>
      <c r="O34" s="1">
        <f>'Raw Data'!P34/Inv_SY!O$2</f>
        <v>6.6135397692774749</v>
      </c>
      <c r="P34" s="1">
        <f>'Raw Data'!Q34/Inv_SY!P$2</f>
        <v>6.620522161505769</v>
      </c>
      <c r="Q34" s="1">
        <f>'Raw Data'!R34/Inv_SY!Q$2</f>
        <v>0</v>
      </c>
      <c r="R34" s="1">
        <f>'Raw Data'!S34/Inv_SY!R$2</f>
        <v>5.151393354769561</v>
      </c>
      <c r="S34" s="1">
        <f>'Raw Data'!T34/Inv_SY!S$2</f>
        <v>5.334633762777476</v>
      </c>
      <c r="T34" s="1">
        <f>'Raw Data'!U34/Inv_SY!T$2</f>
        <v>5.0813187459561195</v>
      </c>
      <c r="U34" s="1">
        <f>'Raw Data'!V34/Inv_SY!U$2</f>
        <v>5.0379389447679541</v>
      </c>
      <c r="V34" s="1">
        <f>'Raw Data'!W34/Inv_SY!V$2</f>
        <v>5.0834261114822246</v>
      </c>
      <c r="W34" s="1">
        <f>'Raw Data'!X34/Inv_SY!W$2</f>
        <v>5.0051695301809334</v>
      </c>
      <c r="X34" s="1">
        <f>'Raw Data'!Y34/Inv_SY!X$2</f>
        <v>5.1455759599332218</v>
      </c>
      <c r="Y34" s="1">
        <f t="shared" si="1"/>
        <v>5.0780572005321263</v>
      </c>
      <c r="Z34" s="1">
        <f t="shared" si="2"/>
        <v>5.1455759599332218</v>
      </c>
    </row>
    <row r="35" spans="1:26" x14ac:dyDescent="0.3">
      <c r="A35" s="55" t="s">
        <v>107</v>
      </c>
      <c r="B35" s="55">
        <v>4</v>
      </c>
      <c r="C35" s="121">
        <f>YEAR(Table12[[#This Row],[Date]])</f>
        <v>2025</v>
      </c>
      <c r="D35" s="55" t="s">
        <v>329</v>
      </c>
      <c r="E35" s="55" t="s">
        <v>329</v>
      </c>
      <c r="F35" s="122" t="str">
        <f>TEXT(Table12[[#This Row],[Date]],"mmm-yy")</f>
        <v>Apr-25</v>
      </c>
      <c r="G35" s="121">
        <f t="shared" ref="G35" si="4">DAY(EOMONTH(F35,0))</f>
        <v>30</v>
      </c>
      <c r="H35" s="123">
        <f t="shared" si="3"/>
        <v>45776</v>
      </c>
      <c r="I35" s="1">
        <v>8.0208999999999993</v>
      </c>
      <c r="J35" s="1">
        <f>'Raw Data'!K35/Inv_SY!J$2</f>
        <v>5.8661887694145758</v>
      </c>
      <c r="K35" s="1">
        <f>'Raw Data'!L35/Inv_SY!K$2</f>
        <v>5.7635902031063324</v>
      </c>
      <c r="L35" s="1">
        <f>'Raw Data'!M35/Inv_SY!L$2</f>
        <v>0</v>
      </c>
      <c r="M35" s="1">
        <f>'Raw Data'!N35/Inv_SY!M$2</f>
        <v>5.6734273956496182</v>
      </c>
      <c r="N35" s="1">
        <f>'Raw Data'!O35/Inv_SY!N$2</f>
        <v>5.5145719489981788</v>
      </c>
      <c r="O35" s="1">
        <f>'Raw Data'!P35/Inv_SY!O$2</f>
        <v>5.4825440194292661</v>
      </c>
      <c r="P35" s="1">
        <f>'Raw Data'!Q35/Inv_SY!P$2</f>
        <v>5.5887978142076511</v>
      </c>
      <c r="Q35" s="1">
        <f>'Raw Data'!R35/Inv_SY!Q$2</f>
        <v>0</v>
      </c>
      <c r="R35" s="1">
        <f>'Raw Data'!S35/Inv_SY!R$2</f>
        <v>4.3613790639514116</v>
      </c>
      <c r="S35" s="1">
        <f>'Raw Data'!T35/Inv_SY!S$2</f>
        <v>4.4269037682211341</v>
      </c>
      <c r="T35" s="1">
        <f>'Raw Data'!U35/Inv_SY!T$2</f>
        <v>4.3959178871831064</v>
      </c>
      <c r="U35" s="1">
        <f>'Raw Data'!V35/Inv_SY!U$2</f>
        <v>4.2663666843126871</v>
      </c>
      <c r="V35" s="1">
        <f>'Raw Data'!W35/Inv_SY!V$2</f>
        <v>4.3225339568024941</v>
      </c>
      <c r="W35" s="1">
        <f>'Raw Data'!X35/Inv_SY!W$2</f>
        <v>4.1534134103694687</v>
      </c>
      <c r="X35" s="1">
        <f>'Raw Data'!Y35/Inv_SY!X$2</f>
        <v>4.3584121684288624</v>
      </c>
      <c r="Y35" s="1">
        <f t="shared" si="1"/>
        <v>4.2781198452002753</v>
      </c>
      <c r="Z35" s="1">
        <f t="shared" si="2"/>
        <v>4.3584121684288624</v>
      </c>
    </row>
    <row r="36" spans="1:26" x14ac:dyDescent="0.3">
      <c r="A36" s="55" t="s">
        <v>1206</v>
      </c>
      <c r="B36" s="55">
        <v>5</v>
      </c>
      <c r="C36" s="121">
        <f>YEAR(Table12[[#This Row],[Date]])</f>
        <v>2025</v>
      </c>
      <c r="D36" s="55" t="s">
        <v>329</v>
      </c>
      <c r="E36" s="55" t="s">
        <v>329</v>
      </c>
      <c r="F36" s="122" t="str">
        <f>TEXT(Table12[[#This Row],[Date]],"mmm-yy")</f>
        <v>Apr-25</v>
      </c>
      <c r="G36" s="121">
        <f t="shared" ref="G36:G99" si="5">DAY(EOMONTH(F36,0))</f>
        <v>30</v>
      </c>
      <c r="H36" s="123">
        <f t="shared" si="3"/>
        <v>45777</v>
      </c>
      <c r="I36" s="1">
        <v>8.0208999999999993</v>
      </c>
      <c r="J36" s="1">
        <f>'Raw Data'!K36/Inv_SY!J$2</f>
        <v>6.6972819593787332</v>
      </c>
      <c r="K36" s="1">
        <f>'Raw Data'!L36/Inv_SY!K$2</f>
        <v>6.8031660692951004</v>
      </c>
      <c r="L36" s="1">
        <f>'Raw Data'!M36/Inv_SY!L$2</f>
        <v>0</v>
      </c>
      <c r="M36" s="1">
        <f>'Raw Data'!N36/Inv_SY!M$2</f>
        <v>6.58671369782481</v>
      </c>
      <c r="N36" s="1">
        <f>'Raw Data'!O36/Inv_SY!N$2</f>
        <v>6.6756223436551307</v>
      </c>
      <c r="O36" s="1">
        <f>'Raw Data'!P36/Inv_SY!O$2</f>
        <v>6.5130540376442019</v>
      </c>
      <c r="P36" s="1">
        <f>'Raw Data'!Q36/Inv_SY!P$2</f>
        <v>6.5261080752884029</v>
      </c>
      <c r="Q36" s="1">
        <f>'Raw Data'!R36/Inv_SY!Q$2</f>
        <v>0</v>
      </c>
      <c r="R36" s="1">
        <f>'Raw Data'!S36/Inv_SY!R$2</f>
        <v>5.0440633559604624</v>
      </c>
      <c r="S36" s="1">
        <f>'Raw Data'!T36/Inv_SY!S$2</f>
        <v>5.1333696243875888</v>
      </c>
      <c r="T36" s="1">
        <f>'Raw Data'!U36/Inv_SY!T$2</f>
        <v>4.970001764602082</v>
      </c>
      <c r="U36" s="1">
        <f>'Raw Data'!V36/Inv_SY!U$2</f>
        <v>5.0304393859184753</v>
      </c>
      <c r="V36" s="1">
        <f>'Raw Data'!W36/Inv_SY!V$2</f>
        <v>5.0179989608847322</v>
      </c>
      <c r="W36" s="1">
        <f>'Raw Data'!X36/Inv_SY!W$2</f>
        <v>4.9369393340428767</v>
      </c>
      <c r="X36" s="1">
        <f>'Raw Data'!Y36/Inv_SY!X$2</f>
        <v>5.0394731960675196</v>
      </c>
      <c r="Y36" s="1">
        <f t="shared" ref="Y36:Y99" si="6">IFERROR(AVERAGEIF(V36:X36,"&gt;"&amp;0,V36:X36),"")</f>
        <v>4.9981371636650422</v>
      </c>
      <c r="Z36" s="1">
        <f t="shared" ref="Z36:Z99" si="7">MAXA(V36:X36)</f>
        <v>5.0394731960675196</v>
      </c>
    </row>
    <row r="37" spans="1:26" x14ac:dyDescent="0.3">
      <c r="A37" s="55" t="s">
        <v>1207</v>
      </c>
      <c r="B37" s="55">
        <v>6</v>
      </c>
      <c r="C37" s="121">
        <f>YEAR(Table12[[#This Row],[Date]])</f>
        <v>2025</v>
      </c>
      <c r="D37" s="55" t="s">
        <v>329</v>
      </c>
      <c r="E37" s="55" t="s">
        <v>329</v>
      </c>
      <c r="F37" s="122" t="str">
        <f>TEXT(Table12[[#This Row],[Date]],"mmm-yy")</f>
        <v>May-25</v>
      </c>
      <c r="G37" s="121">
        <f t="shared" si="5"/>
        <v>31</v>
      </c>
      <c r="H37" s="123">
        <f t="shared" si="3"/>
        <v>45778</v>
      </c>
      <c r="I37" s="1">
        <v>8.0208999999999993</v>
      </c>
      <c r="J37" s="1">
        <f>'Raw Data'!K37/Inv_SY!J$2</f>
        <v>6.3046594982078856</v>
      </c>
      <c r="K37" s="1">
        <f>'Raw Data'!L37/Inv_SY!K$2</f>
        <v>6.3015232974910393</v>
      </c>
      <c r="L37" s="1">
        <f>'Raw Data'!M37/Inv_SY!L$2</f>
        <v>0</v>
      </c>
      <c r="M37" s="1">
        <f>'Raw Data'!N37/Inv_SY!M$2</f>
        <v>6.306878306878307</v>
      </c>
      <c r="N37" s="1">
        <f>'Raw Data'!O37/Inv_SY!N$2</f>
        <v>6.1848816029143903</v>
      </c>
      <c r="O37" s="1">
        <f>'Raw Data'!P37/Inv_SY!O$2</f>
        <v>6.2676077717061336</v>
      </c>
      <c r="P37" s="1">
        <f>'Raw Data'!Q37/Inv_SY!P$2</f>
        <v>6.1605950212507592</v>
      </c>
      <c r="Q37" s="1">
        <f>'Raw Data'!R37/Inv_SY!Q$2</f>
        <v>0</v>
      </c>
      <c r="R37" s="1">
        <f>'Raw Data'!S37/Inv_SY!R$2</f>
        <v>4.8511373109443854</v>
      </c>
      <c r="S37" s="1">
        <f>'Raw Data'!T37/Inv_SY!S$2</f>
        <v>4.8347244904131141</v>
      </c>
      <c r="T37" s="1">
        <f>'Raw Data'!U37/Inv_SY!T$2</f>
        <v>4.6888418328333623</v>
      </c>
      <c r="U37" s="1">
        <f>'Raw Data'!V37/Inv_SY!U$2</f>
        <v>4.6513440385859646</v>
      </c>
      <c r="V37" s="1">
        <f>'Raw Data'!W37/Inv_SY!V$2</f>
        <v>4.7251169004676017</v>
      </c>
      <c r="W37" s="1">
        <f>'Raw Data'!X37/Inv_SY!W$2</f>
        <v>4.6610536718868785</v>
      </c>
      <c r="X37" s="1">
        <f>'Raw Data'!Y37/Inv_SY!X$2</f>
        <v>4.7515488777592285</v>
      </c>
      <c r="Y37" s="1">
        <f t="shared" si="6"/>
        <v>4.7125731500379029</v>
      </c>
      <c r="Z37" s="1">
        <f t="shared" si="7"/>
        <v>4.7515488777592285</v>
      </c>
    </row>
    <row r="38" spans="1:26" x14ac:dyDescent="0.3">
      <c r="A38" s="55" t="s">
        <v>1208</v>
      </c>
      <c r="B38" s="55">
        <v>7</v>
      </c>
      <c r="C38" s="121">
        <f>YEAR(Table12[[#This Row],[Date]])</f>
        <v>2025</v>
      </c>
      <c r="D38" s="55" t="s">
        <v>329</v>
      </c>
      <c r="E38" s="55" t="s">
        <v>329</v>
      </c>
      <c r="F38" s="122" t="str">
        <f>TEXT(Table12[[#This Row],[Date]],"mmm-yy")</f>
        <v>May-25</v>
      </c>
      <c r="G38" s="121">
        <f t="shared" si="5"/>
        <v>31</v>
      </c>
      <c r="H38" s="123">
        <f t="shared" si="3"/>
        <v>45779</v>
      </c>
      <c r="I38" s="1">
        <v>8.0208999999999993</v>
      </c>
      <c r="J38" s="1">
        <f>'Raw Data'!K38/Inv_SY!J$2</f>
        <v>5.3003285543608119</v>
      </c>
      <c r="K38" s="1">
        <f>'Raw Data'!L38/Inv_SY!K$2</f>
        <v>5.2411887694145758</v>
      </c>
      <c r="L38" s="1">
        <f>'Raw Data'!M38/Inv_SY!L$2</f>
        <v>0</v>
      </c>
      <c r="M38" s="1">
        <f>'Raw Data'!N38/Inv_SY!M$2</f>
        <v>5.1582892416225752</v>
      </c>
      <c r="N38" s="1">
        <f>'Raw Data'!O38/Inv_SY!N$2</f>
        <v>5.2061323618700674</v>
      </c>
      <c r="O38" s="1">
        <f>'Raw Data'!P38/Inv_SY!O$2</f>
        <v>5.117941712204007</v>
      </c>
      <c r="P38" s="1">
        <f>'Raw Data'!Q38/Inv_SY!P$2</f>
        <v>5.1247723132969032</v>
      </c>
      <c r="Q38" s="1">
        <f>'Raw Data'!R38/Inv_SY!Q$2</f>
        <v>0</v>
      </c>
      <c r="R38" s="1">
        <f>'Raw Data'!S38/Inv_SY!R$2</f>
        <v>3.941437418125521</v>
      </c>
      <c r="S38" s="1">
        <f>'Raw Data'!T38/Inv_SY!S$2</f>
        <v>4.0101614951914355</v>
      </c>
      <c r="T38" s="1">
        <f>'Raw Data'!U38/Inv_SY!T$2</f>
        <v>3.9428563025704371</v>
      </c>
      <c r="U38" s="1">
        <f>'Raw Data'!V38/Inv_SY!U$2</f>
        <v>3.8537438974177984</v>
      </c>
      <c r="V38" s="1">
        <f>'Raw Data'!W38/Inv_SY!V$2</f>
        <v>3.9220292436725299</v>
      </c>
      <c r="W38" s="1">
        <f>'Raw Data'!X38/Inv_SY!W$2</f>
        <v>3.8686711266534894</v>
      </c>
      <c r="X38" s="1">
        <f>'Raw Data'!Y38/Inv_SY!X$2</f>
        <v>3.9331107401224266</v>
      </c>
      <c r="Y38" s="1">
        <f t="shared" si="6"/>
        <v>3.9079370368161488</v>
      </c>
      <c r="Z38" s="1">
        <f t="shared" si="7"/>
        <v>3.9331107401224266</v>
      </c>
    </row>
    <row r="39" spans="1:26" x14ac:dyDescent="0.3">
      <c r="A39" s="55" t="s">
        <v>1209</v>
      </c>
      <c r="B39" s="55">
        <v>8</v>
      </c>
      <c r="C39" s="121">
        <f>YEAR(Table12[[#This Row],[Date]])</f>
        <v>2025</v>
      </c>
      <c r="D39" s="55" t="s">
        <v>329</v>
      </c>
      <c r="E39" s="55" t="s">
        <v>329</v>
      </c>
      <c r="F39" s="122" t="str">
        <f>TEXT(Table12[[#This Row],[Date]],"mmm-yy")</f>
        <v>May-25</v>
      </c>
      <c r="G39" s="121">
        <f t="shared" si="5"/>
        <v>31</v>
      </c>
      <c r="H39" s="123">
        <f t="shared" si="3"/>
        <v>45780</v>
      </c>
      <c r="I39" s="1">
        <v>8.0208999999999993</v>
      </c>
      <c r="J39" s="1">
        <f>'Raw Data'!K39/Inv_SY!J$2</f>
        <v>6.4419056152927121</v>
      </c>
      <c r="K39" s="1">
        <f>'Raw Data'!L39/Inv_SY!K$2</f>
        <v>6.5491338112305852</v>
      </c>
      <c r="L39" s="1">
        <f>'Raw Data'!M39/Inv_SY!L$2</f>
        <v>0</v>
      </c>
      <c r="M39" s="1">
        <f>'Raw Data'!N39/Inv_SY!M$2</f>
        <v>6.3364197530864201</v>
      </c>
      <c r="N39" s="1">
        <f>'Raw Data'!O39/Inv_SY!N$2</f>
        <v>6.4518822100789315</v>
      </c>
      <c r="O39" s="1">
        <f>'Raw Data'!P39/Inv_SY!O$2</f>
        <v>6.2940194292653313</v>
      </c>
      <c r="P39" s="1">
        <f>'Raw Data'!Q39/Inv_SY!P$2</f>
        <v>6.3051001821493635</v>
      </c>
      <c r="Q39" s="1">
        <f>'Raw Data'!R39/Inv_SY!Q$2</f>
        <v>0</v>
      </c>
      <c r="R39" s="1">
        <f>'Raw Data'!S39/Inv_SY!R$2</f>
        <v>4.8660235798499469</v>
      </c>
      <c r="S39" s="1">
        <f>'Raw Data'!T39/Inv_SY!S$2</f>
        <v>4.951460714933769</v>
      </c>
      <c r="T39" s="1">
        <f>'Raw Data'!U39/Inv_SY!T$2</f>
        <v>4.7982471619316502</v>
      </c>
      <c r="U39" s="1">
        <f>'Raw Data'!V39/Inv_SY!U$2</f>
        <v>4.8610375860243504</v>
      </c>
      <c r="V39" s="1">
        <f>'Raw Data'!W39/Inv_SY!V$2</f>
        <v>4.8282119795145846</v>
      </c>
      <c r="W39" s="1">
        <f>'Raw Data'!X39/Inv_SY!W$2</f>
        <v>4.7707161319750639</v>
      </c>
      <c r="X39" s="1">
        <f>'Raw Data'!Y39/Inv_SY!X$2</f>
        <v>4.8644036356891114</v>
      </c>
      <c r="Y39" s="1">
        <f t="shared" si="6"/>
        <v>4.8211105823929197</v>
      </c>
      <c r="Z39" s="1">
        <f t="shared" si="7"/>
        <v>4.8644036356891114</v>
      </c>
    </row>
    <row r="40" spans="1:26" x14ac:dyDescent="0.3">
      <c r="A40" s="55" t="s">
        <v>1210</v>
      </c>
      <c r="B40" s="55">
        <v>9</v>
      </c>
      <c r="C40" s="121">
        <f>YEAR(Table12[[#This Row],[Date]])</f>
        <v>2025</v>
      </c>
      <c r="D40" s="55" t="s">
        <v>329</v>
      </c>
      <c r="E40" s="55" t="s">
        <v>329</v>
      </c>
      <c r="F40" s="122" t="str">
        <f>TEXT(Table12[[#This Row],[Date]],"mmm-yy")</f>
        <v>May-25</v>
      </c>
      <c r="G40" s="121">
        <f t="shared" si="5"/>
        <v>31</v>
      </c>
      <c r="H40" s="123">
        <f t="shared" si="3"/>
        <v>45781</v>
      </c>
      <c r="I40" s="1">
        <v>8.0208999999999993</v>
      </c>
      <c r="J40" s="1">
        <f>'Raw Data'!K40/Inv_SY!J$2</f>
        <v>3.4330943847072879</v>
      </c>
      <c r="K40" s="1">
        <f>'Raw Data'!L40/Inv_SY!K$2</f>
        <v>3.432945041816009</v>
      </c>
      <c r="L40" s="1">
        <f>'Raw Data'!M40/Inv_SY!L$2</f>
        <v>0</v>
      </c>
      <c r="M40" s="1">
        <f>'Raw Data'!N40/Inv_SY!M$2</f>
        <v>3.5311581422692533</v>
      </c>
      <c r="N40" s="1">
        <f>'Raw Data'!O40/Inv_SY!N$2</f>
        <v>3.3441105039465695</v>
      </c>
      <c r="O40" s="1">
        <f>'Raw Data'!P40/Inv_SY!O$2</f>
        <v>3.4670613236187009</v>
      </c>
      <c r="P40" s="1">
        <f>'Raw Data'!Q40/Inv_SY!P$2</f>
        <v>3.3302975106253796</v>
      </c>
      <c r="Q40" s="1">
        <f>'Raw Data'!R40/Inv_SY!Q$2</f>
        <v>0</v>
      </c>
      <c r="R40" s="1">
        <f>'Raw Data'!S40/Inv_SY!R$2</f>
        <v>2.7600631177801596</v>
      </c>
      <c r="S40" s="1">
        <f>'Raw Data'!T40/Inv_SY!S$2</f>
        <v>2.6540857678582235</v>
      </c>
      <c r="T40" s="1">
        <f>'Raw Data'!U40/Inv_SY!T$2</f>
        <v>2.573378036586083</v>
      </c>
      <c r="U40" s="1">
        <f>'Raw Data'!V40/Inv_SY!U$2</f>
        <v>2.5548497147226632</v>
      </c>
      <c r="V40" s="1">
        <f>'Raw Data'!W40/Inv_SY!V$2</f>
        <v>2.5978252801900097</v>
      </c>
      <c r="W40" s="1">
        <f>'Raw Data'!X40/Inv_SY!W$2</f>
        <v>2.5396077238862702</v>
      </c>
      <c r="X40" s="1">
        <f>'Raw Data'!Y40/Inv_SY!X$2</f>
        <v>2.6327953997403082</v>
      </c>
      <c r="Y40" s="1">
        <f t="shared" si="6"/>
        <v>2.5900761346055297</v>
      </c>
      <c r="Z40" s="1">
        <f t="shared" si="7"/>
        <v>2.6327953997403082</v>
      </c>
    </row>
    <row r="41" spans="1:26" x14ac:dyDescent="0.3">
      <c r="A41" s="55" t="s">
        <v>1211</v>
      </c>
      <c r="B41" s="55">
        <v>10</v>
      </c>
      <c r="C41" s="121">
        <f>YEAR(Table12[[#This Row],[Date]])</f>
        <v>2025</v>
      </c>
      <c r="D41" s="55" t="s">
        <v>329</v>
      </c>
      <c r="E41" s="55" t="s">
        <v>329</v>
      </c>
      <c r="F41" s="122" t="str">
        <f>TEXT(Table12[[#This Row],[Date]],"mmm-yy")</f>
        <v>May-25</v>
      </c>
      <c r="G41" s="121">
        <f t="shared" si="5"/>
        <v>31</v>
      </c>
      <c r="H41" s="123">
        <f t="shared" si="3"/>
        <v>45782</v>
      </c>
      <c r="I41" s="1">
        <v>8.0208999999999993</v>
      </c>
      <c r="J41" s="1">
        <f>'Raw Data'!K41/Inv_SY!J$2</f>
        <v>6.8113799283154117</v>
      </c>
      <c r="K41" s="1">
        <f>'Raw Data'!L41/Inv_SY!K$2</f>
        <v>6.8112305854241342</v>
      </c>
      <c r="L41" s="1">
        <f>'Raw Data'!M41/Inv_SY!L$2</f>
        <v>0</v>
      </c>
      <c r="M41" s="1">
        <f>'Raw Data'!N41/Inv_SY!M$2</f>
        <v>6.8104056437389779</v>
      </c>
      <c r="N41" s="1">
        <f>'Raw Data'!O41/Inv_SY!N$2</f>
        <v>6.6677292046144503</v>
      </c>
      <c r="O41" s="1">
        <f>'Raw Data'!P41/Inv_SY!O$2</f>
        <v>6.6288706739526422</v>
      </c>
      <c r="P41" s="1">
        <f>'Raw Data'!Q41/Inv_SY!P$2</f>
        <v>6.7581967213114762</v>
      </c>
      <c r="Q41" s="1">
        <f>'Raw Data'!R41/Inv_SY!Q$2</f>
        <v>0</v>
      </c>
      <c r="R41" s="1">
        <f>'Raw Data'!S41/Inv_SY!R$2</f>
        <v>5.1612182922472307</v>
      </c>
      <c r="S41" s="1">
        <f>'Raw Data'!T41/Inv_SY!S$2</f>
        <v>5.3576180971390555</v>
      </c>
      <c r="T41" s="1">
        <f>'Raw Data'!U41/Inv_SY!T$2</f>
        <v>5.0861714016822539</v>
      </c>
      <c r="U41" s="1">
        <f>'Raw Data'!V41/Inv_SY!U$2</f>
        <v>5.0407328980648192</v>
      </c>
      <c r="V41" s="1">
        <f>'Raw Data'!W41/Inv_SY!V$2</f>
        <v>5.1048393082461221</v>
      </c>
      <c r="W41" s="1">
        <f>'Raw Data'!X41/Inv_SY!W$2</f>
        <v>5.0220845370229581</v>
      </c>
      <c r="X41" s="1">
        <f>'Raw Data'!Y41/Inv_SY!X$2</f>
        <v>5.1555926544240398</v>
      </c>
      <c r="Y41" s="1">
        <f t="shared" si="6"/>
        <v>5.0941721665643733</v>
      </c>
      <c r="Z41" s="1">
        <f t="shared" si="7"/>
        <v>5.1555926544240398</v>
      </c>
    </row>
    <row r="42" spans="1:26" x14ac:dyDescent="0.3">
      <c r="A42" s="55" t="s">
        <v>1212</v>
      </c>
      <c r="B42" s="55">
        <v>11</v>
      </c>
      <c r="C42" s="121">
        <f>YEAR(Table12[[#This Row],[Date]])</f>
        <v>2025</v>
      </c>
      <c r="D42" s="55" t="s">
        <v>329</v>
      </c>
      <c r="E42" s="55" t="s">
        <v>329</v>
      </c>
      <c r="F42" s="122" t="str">
        <f>TEXT(Table12[[#This Row],[Date]],"mmm-yy")</f>
        <v>May-25</v>
      </c>
      <c r="G42" s="121">
        <f t="shared" si="5"/>
        <v>31</v>
      </c>
      <c r="H42" s="123">
        <f t="shared" si="3"/>
        <v>45783</v>
      </c>
      <c r="I42" s="1">
        <v>8.0208999999999993</v>
      </c>
      <c r="J42" s="1">
        <f>'Raw Data'!K42/Inv_SY!J$2</f>
        <v>6.5988649940262842</v>
      </c>
      <c r="K42" s="1">
        <f>'Raw Data'!L42/Inv_SY!K$2</f>
        <v>6.47879330943847</v>
      </c>
      <c r="L42" s="1">
        <f>'Raw Data'!M42/Inv_SY!L$2</f>
        <v>0</v>
      </c>
      <c r="M42" s="1">
        <f>'Raw Data'!N42/Inv_SY!M$2</f>
        <v>6.374926513815403</v>
      </c>
      <c r="N42" s="1">
        <f>'Raw Data'!O42/Inv_SY!N$2</f>
        <v>6.494080145719491</v>
      </c>
      <c r="O42" s="1">
        <f>'Raw Data'!P42/Inv_SY!O$2</f>
        <v>6.337583485124469</v>
      </c>
      <c r="P42" s="1">
        <f>'Raw Data'!Q42/Inv_SY!P$2</f>
        <v>6.347753491196114</v>
      </c>
      <c r="Q42" s="1">
        <f>'Raw Data'!R42/Inv_SY!Q$2</f>
        <v>0</v>
      </c>
      <c r="R42" s="1">
        <f>'Raw Data'!S42/Inv_SY!R$2</f>
        <v>4.9184232463975226</v>
      </c>
      <c r="S42" s="1">
        <f>'Raw Data'!T42/Inv_SY!S$2</f>
        <v>5.0058972963164585</v>
      </c>
      <c r="T42" s="1">
        <f>'Raw Data'!U42/Inv_SY!T$2</f>
        <v>4.9536791953414498</v>
      </c>
      <c r="U42" s="1">
        <f>'Raw Data'!V42/Inv_SY!U$2</f>
        <v>4.8111875772013404</v>
      </c>
      <c r="V42" s="1">
        <f>'Raw Data'!W42/Inv_SY!V$2</f>
        <v>4.8594596600608622</v>
      </c>
      <c r="W42" s="1">
        <f>'Raw Data'!X42/Inv_SY!W$2</f>
        <v>4.8028736506005769</v>
      </c>
      <c r="X42" s="1">
        <f>'Raw Data'!Y42/Inv_SY!X$2</f>
        <v>4.9174550176219629</v>
      </c>
      <c r="Y42" s="1">
        <f t="shared" si="6"/>
        <v>4.8599294427611337</v>
      </c>
      <c r="Z42" s="1">
        <f t="shared" si="7"/>
        <v>4.9174550176219629</v>
      </c>
    </row>
    <row r="43" spans="1:26" x14ac:dyDescent="0.3">
      <c r="A43" s="55" t="s">
        <v>1213</v>
      </c>
      <c r="B43" s="55">
        <v>12</v>
      </c>
      <c r="C43" s="121">
        <f>YEAR(Table12[[#This Row],[Date]])</f>
        <v>2025</v>
      </c>
      <c r="D43" s="55" t="s">
        <v>329</v>
      </c>
      <c r="E43" s="55" t="s">
        <v>329</v>
      </c>
      <c r="F43" s="122" t="str">
        <f>TEXT(Table12[[#This Row],[Date]],"mmm-yy")</f>
        <v>May-25</v>
      </c>
      <c r="G43" s="121">
        <f t="shared" si="5"/>
        <v>31</v>
      </c>
      <c r="H43" s="123">
        <f t="shared" si="3"/>
        <v>45784</v>
      </c>
      <c r="I43" s="1">
        <v>8.0208999999999993</v>
      </c>
      <c r="J43" s="1">
        <f>'Raw Data'!K43/Inv_SY!J$2</f>
        <v>6.5209080047789714</v>
      </c>
      <c r="K43" s="1">
        <f>'Raw Data'!L43/Inv_SY!K$2</f>
        <v>6.6321684587813614</v>
      </c>
      <c r="L43" s="1">
        <f>'Raw Data'!M43/Inv_SY!L$2</f>
        <v>0</v>
      </c>
      <c r="M43" s="1">
        <f>'Raw Data'!N43/Inv_SY!M$2</f>
        <v>6.420194003527337</v>
      </c>
      <c r="N43" s="1">
        <f>'Raw Data'!O43/Inv_SY!N$2</f>
        <v>6.6048876745598069</v>
      </c>
      <c r="O43" s="1">
        <f>'Raw Data'!P43/Inv_SY!O$2</f>
        <v>6.4420157862780822</v>
      </c>
      <c r="P43" s="1">
        <f>'Raw Data'!Q43/Inv_SY!P$2</f>
        <v>6.4550698239222841</v>
      </c>
      <c r="Q43" s="1">
        <f>'Raw Data'!R43/Inv_SY!Q$2</f>
        <v>0</v>
      </c>
      <c r="R43" s="1">
        <f>'Raw Data'!S43/Inv_SY!R$2</f>
        <v>4.9807967131118263</v>
      </c>
      <c r="S43" s="1">
        <f>'Raw Data'!T43/Inv_SY!S$2</f>
        <v>5.0716748321538745</v>
      </c>
      <c r="T43" s="1">
        <f>'Raw Data'!U43/Inv_SY!T$2</f>
        <v>4.9129462972766298</v>
      </c>
      <c r="U43" s="1">
        <f>'Raw Data'!V43/Inv_SY!U$2</f>
        <v>4.9776483736250805</v>
      </c>
      <c r="V43" s="1">
        <f>'Raw Data'!W43/Inv_SY!V$2</f>
        <v>4.8896311140800117</v>
      </c>
      <c r="W43" s="1">
        <f>'Raw Data'!X43/Inv_SY!W$2</f>
        <v>4.8836475596776641</v>
      </c>
      <c r="X43" s="1">
        <f>'Raw Data'!Y43/Inv_SY!X$2</f>
        <v>4.980856983861992</v>
      </c>
      <c r="Y43" s="1">
        <f t="shared" si="6"/>
        <v>4.9180452192065562</v>
      </c>
      <c r="Z43" s="1">
        <f t="shared" si="7"/>
        <v>4.980856983861992</v>
      </c>
    </row>
    <row r="44" spans="1:26" x14ac:dyDescent="0.3">
      <c r="A44" s="55" t="s">
        <v>1214</v>
      </c>
      <c r="B44" s="55">
        <v>13</v>
      </c>
      <c r="C44" s="121">
        <f>YEAR(Table12[[#This Row],[Date]])</f>
        <v>2025</v>
      </c>
      <c r="D44" s="55" t="s">
        <v>329</v>
      </c>
      <c r="E44" s="55" t="s">
        <v>329</v>
      </c>
      <c r="F44" s="122" t="str">
        <f>TEXT(Table12[[#This Row],[Date]],"mmm-yy")</f>
        <v>May-25</v>
      </c>
      <c r="G44" s="121">
        <f t="shared" si="5"/>
        <v>31</v>
      </c>
      <c r="H44" s="123">
        <f t="shared" si="3"/>
        <v>45785</v>
      </c>
      <c r="I44" s="1">
        <v>8.0208999999999993</v>
      </c>
      <c r="J44" s="1">
        <f>'Raw Data'!K44/Inv_SY!J$2</f>
        <v>6.5123954599761049</v>
      </c>
      <c r="K44" s="1">
        <f>'Raw Data'!L44/Inv_SY!K$2</f>
        <v>6.5123954599761049</v>
      </c>
      <c r="L44" s="1">
        <f>'Raw Data'!M44/Inv_SY!L$2</f>
        <v>0</v>
      </c>
      <c r="M44" s="1">
        <f>'Raw Data'!N44/Inv_SY!M$2</f>
        <v>6.5802469135802468</v>
      </c>
      <c r="N44" s="1">
        <f>'Raw Data'!O44/Inv_SY!N$2</f>
        <v>6.4092289010321792</v>
      </c>
      <c r="O44" s="1">
        <f>'Raw Data'!P44/Inv_SY!O$2</f>
        <v>6.5441712204007292</v>
      </c>
      <c r="P44" s="1">
        <f>'Raw Data'!Q44/Inv_SY!P$2</f>
        <v>6.3822100789313918</v>
      </c>
      <c r="Q44" s="1">
        <f>'Raw Data'!R44/Inv_SY!Q$2</f>
        <v>0</v>
      </c>
      <c r="R44" s="1">
        <f>'Raw Data'!S44/Inv_SY!R$2</f>
        <v>5.1384423008217226</v>
      </c>
      <c r="S44" s="1">
        <f>'Raw Data'!T44/Inv_SY!S$2</f>
        <v>5.0582168995342656</v>
      </c>
      <c r="T44" s="1">
        <f>'Raw Data'!U44/Inv_SY!T$2</f>
        <v>4.8997117816599021</v>
      </c>
      <c r="U44" s="1">
        <f>'Raw Data'!V44/Inv_SY!U$2</f>
        <v>4.8620669372389855</v>
      </c>
      <c r="V44" s="1">
        <f>'Raw Data'!W44/Inv_SY!V$2</f>
        <v>4.8981667037779255</v>
      </c>
      <c r="W44" s="1">
        <f>'Raw Data'!X44/Inv_SY!W$2</f>
        <v>4.8419872282195531</v>
      </c>
      <c r="X44" s="1">
        <f>'Raw Data'!Y44/Inv_SY!X$2</f>
        <v>4.9843442774995363</v>
      </c>
      <c r="Y44" s="1">
        <f t="shared" si="6"/>
        <v>4.9081660698323386</v>
      </c>
      <c r="Z44" s="1">
        <f t="shared" si="7"/>
        <v>4.9843442774995363</v>
      </c>
    </row>
    <row r="45" spans="1:26" x14ac:dyDescent="0.3">
      <c r="A45" s="55" t="s">
        <v>1215</v>
      </c>
      <c r="B45" s="55">
        <v>14</v>
      </c>
      <c r="C45" s="121">
        <f>YEAR(Table12[[#This Row],[Date]])</f>
        <v>2025</v>
      </c>
      <c r="D45" s="55" t="s">
        <v>329</v>
      </c>
      <c r="E45" s="55" t="s">
        <v>329</v>
      </c>
      <c r="F45" s="122" t="str">
        <f>TEXT(Table12[[#This Row],[Date]],"mmm-yy")</f>
        <v>May-25</v>
      </c>
      <c r="G45" s="121">
        <f t="shared" si="5"/>
        <v>31</v>
      </c>
      <c r="H45" s="123">
        <f t="shared" si="3"/>
        <v>45786</v>
      </c>
      <c r="I45" s="1">
        <v>8.0208999999999993</v>
      </c>
      <c r="J45" s="1">
        <f>'Raw Data'!K45/Inv_SY!J$2</f>
        <v>6.5191158900836319</v>
      </c>
      <c r="K45" s="1">
        <f>'Raw Data'!L45/Inv_SY!K$2</f>
        <v>6.5177718040621269</v>
      </c>
      <c r="L45" s="1">
        <f>'Raw Data'!M45/Inv_SY!L$2</f>
        <v>0</v>
      </c>
      <c r="M45" s="1">
        <f>'Raw Data'!N45/Inv_SY!M$2</f>
        <v>6.5285126396237514</v>
      </c>
      <c r="N45" s="1">
        <f>'Raw Data'!O45/Inv_SY!N$2</f>
        <v>6.3717364905889502</v>
      </c>
      <c r="O45" s="1">
        <f>'Raw Data'!P45/Inv_SY!O$2</f>
        <v>6.3310564663023676</v>
      </c>
      <c r="P45" s="1">
        <f>'Raw Data'!Q45/Inv_SY!P$2</f>
        <v>6.4623557984213722</v>
      </c>
      <c r="Q45" s="1">
        <f>'Raw Data'!R45/Inv_SY!Q$2</f>
        <v>0</v>
      </c>
      <c r="R45" s="1">
        <f>'Raw Data'!S45/Inv_SY!R$2</f>
        <v>4.9121710134571872</v>
      </c>
      <c r="S45" s="1">
        <f>'Raw Data'!T45/Inv_SY!S$2</f>
        <v>5.1202141172201054</v>
      </c>
      <c r="T45" s="1">
        <f>'Raw Data'!U45/Inv_SY!T$2</f>
        <v>4.8470678195400261</v>
      </c>
      <c r="U45" s="1">
        <f>'Raw Data'!V45/Inv_SY!U$2</f>
        <v>4.8086877242515138</v>
      </c>
      <c r="V45" s="1">
        <f>'Raw Data'!W45/Inv_SY!V$2</f>
        <v>4.8881095524382099</v>
      </c>
      <c r="W45" s="1">
        <f>'Raw Data'!X45/Inv_SY!W$2</f>
        <v>4.7993005929755199</v>
      </c>
      <c r="X45" s="1">
        <f>'Raw Data'!Y45/Inv_SY!X$2</f>
        <v>4.9164162493043957</v>
      </c>
      <c r="Y45" s="1">
        <f t="shared" si="6"/>
        <v>4.8679421315727085</v>
      </c>
      <c r="Z45" s="1">
        <f t="shared" si="7"/>
        <v>4.9164162493043957</v>
      </c>
    </row>
    <row r="46" spans="1:26" x14ac:dyDescent="0.3">
      <c r="A46" s="55" t="s">
        <v>1216</v>
      </c>
      <c r="B46" s="55">
        <v>15</v>
      </c>
      <c r="C46" s="121">
        <f>YEAR(Table12[[#This Row],[Date]])</f>
        <v>2025</v>
      </c>
      <c r="D46" s="55" t="s">
        <v>329</v>
      </c>
      <c r="E46" s="55" t="s">
        <v>329</v>
      </c>
      <c r="F46" s="122" t="str">
        <f>TEXT(Table12[[#This Row],[Date]],"mmm-yy")</f>
        <v>May-25</v>
      </c>
      <c r="G46" s="121">
        <f t="shared" si="5"/>
        <v>31</v>
      </c>
      <c r="H46" s="123">
        <f t="shared" si="3"/>
        <v>45787</v>
      </c>
      <c r="I46" s="1">
        <v>8.0208999999999993</v>
      </c>
      <c r="J46" s="1">
        <f>'Raw Data'!K46/Inv_SY!J$2</f>
        <v>5.60752688172043</v>
      </c>
      <c r="K46" s="1">
        <f>'Raw Data'!L46/Inv_SY!K$2</f>
        <v>5.4826762246117084</v>
      </c>
      <c r="L46" s="1">
        <f>'Raw Data'!M46/Inv_SY!L$2</f>
        <v>0</v>
      </c>
      <c r="M46" s="1">
        <f>'Raw Data'!N46/Inv_SY!M$2</f>
        <v>5.3953556731334507</v>
      </c>
      <c r="N46" s="1">
        <f>'Raw Data'!O46/Inv_SY!N$2</f>
        <v>5.5736187006678817</v>
      </c>
      <c r="O46" s="1">
        <f>'Raw Data'!P46/Inv_SY!O$2</f>
        <v>5.4107468123861571</v>
      </c>
      <c r="P46" s="1">
        <f>'Raw Data'!Q46/Inv_SY!P$2</f>
        <v>5.418032786885246</v>
      </c>
      <c r="Q46" s="1">
        <f>'Raw Data'!R46/Inv_SY!Q$2</f>
        <v>0</v>
      </c>
      <c r="R46" s="1">
        <f>'Raw Data'!S46/Inv_SY!R$2</f>
        <v>4.1431463617958793</v>
      </c>
      <c r="S46" s="1">
        <f>'Raw Data'!T46/Inv_SY!S$2</f>
        <v>4.2241275025706164</v>
      </c>
      <c r="T46" s="1">
        <f>'Raw Data'!U46/Inv_SY!T$2</f>
        <v>4.21034056820187</v>
      </c>
      <c r="U46" s="1">
        <f>'Raw Data'!V46/Inv_SY!U$2</f>
        <v>4.0607905417328389</v>
      </c>
      <c r="V46" s="1">
        <f>'Raw Data'!W46/Inv_SY!V$2</f>
        <v>4.1182364729458918</v>
      </c>
      <c r="W46" s="1">
        <f>'Raw Data'!X46/Inv_SY!W$2</f>
        <v>4.1074578075110226</v>
      </c>
      <c r="X46" s="1">
        <f>'Raw Data'!Y46/Inv_SY!X$2</f>
        <v>4.1555926544240398</v>
      </c>
      <c r="Y46" s="1">
        <f t="shared" si="6"/>
        <v>4.1270956449603178</v>
      </c>
      <c r="Z46" s="1">
        <f t="shared" si="7"/>
        <v>4.1555926544240398</v>
      </c>
    </row>
    <row r="47" spans="1:26" x14ac:dyDescent="0.3">
      <c r="A47" s="55" t="s">
        <v>1217</v>
      </c>
      <c r="B47" s="55">
        <v>16</v>
      </c>
      <c r="C47" s="121">
        <f>YEAR(Table12[[#This Row],[Date]])</f>
        <v>2025</v>
      </c>
      <c r="D47" s="55" t="s">
        <v>329</v>
      </c>
      <c r="E47" s="55" t="s">
        <v>329</v>
      </c>
      <c r="F47" s="122" t="str">
        <f>TEXT(Table12[[#This Row],[Date]],"mmm-yy")</f>
        <v>May-25</v>
      </c>
      <c r="G47" s="121">
        <f t="shared" si="5"/>
        <v>31</v>
      </c>
      <c r="H47" s="123">
        <f t="shared" si="3"/>
        <v>45788</v>
      </c>
      <c r="I47" s="1">
        <v>8.0208999999999993</v>
      </c>
      <c r="J47" s="1">
        <f>'Raw Data'!K47/Inv_SY!J$2</f>
        <v>5.7906212664277179</v>
      </c>
      <c r="K47" s="1">
        <f>'Raw Data'!L47/Inv_SY!K$2</f>
        <v>5.8811230585424132</v>
      </c>
      <c r="L47" s="1">
        <f>'Raw Data'!M47/Inv_SY!L$2</f>
        <v>0</v>
      </c>
      <c r="M47" s="1">
        <f>'Raw Data'!N47/Inv_SY!M$2</f>
        <v>5.6975308641975309</v>
      </c>
      <c r="N47" s="1">
        <f>'Raw Data'!O47/Inv_SY!N$2</f>
        <v>5.5851548269581057</v>
      </c>
      <c r="O47" s="1">
        <f>'Raw Data'!P47/Inv_SY!O$2</f>
        <v>5.4529447480267157</v>
      </c>
      <c r="P47" s="1">
        <f>'Raw Data'!Q47/Inv_SY!P$2</f>
        <v>5.4612932604735889</v>
      </c>
      <c r="Q47" s="1">
        <f>'Raw Data'!R47/Inv_SY!Q$2</f>
        <v>0</v>
      </c>
      <c r="R47" s="1">
        <f>'Raw Data'!S47/Inv_SY!R$2</f>
        <v>4.2987078718589968</v>
      </c>
      <c r="S47" s="1">
        <f>'Raw Data'!T47/Inv_SY!S$2</f>
        <v>4.3810863122240375</v>
      </c>
      <c r="T47" s="1">
        <f>'Raw Data'!U47/Inv_SY!T$2</f>
        <v>4.2422504558555376</v>
      </c>
      <c r="U47" s="1">
        <f>'Raw Data'!V47/Inv_SY!U$2</f>
        <v>4.2962178695370854</v>
      </c>
      <c r="V47" s="1">
        <f>'Raw Data'!W47/Inv_SY!V$2</f>
        <v>4.3390484673049805</v>
      </c>
      <c r="W47" s="1">
        <f>'Raw Data'!X47/Inv_SY!W$2</f>
        <v>4.1317469971111445</v>
      </c>
      <c r="X47" s="1">
        <f>'Raw Data'!Y47/Inv_SY!X$2</f>
        <v>4.3003153403821184</v>
      </c>
      <c r="Y47" s="1">
        <f t="shared" si="6"/>
        <v>4.2570369349327475</v>
      </c>
      <c r="Z47" s="1">
        <f t="shared" si="7"/>
        <v>4.3390484673049805</v>
      </c>
    </row>
    <row r="48" spans="1:26" x14ac:dyDescent="0.3">
      <c r="A48" s="55" t="s">
        <v>1218</v>
      </c>
      <c r="B48" s="55">
        <v>17</v>
      </c>
      <c r="C48" s="121">
        <f>YEAR(Table12[[#This Row],[Date]])</f>
        <v>2025</v>
      </c>
      <c r="D48" s="55" t="s">
        <v>329</v>
      </c>
      <c r="E48" s="55" t="s">
        <v>329</v>
      </c>
      <c r="F48" s="122" t="str">
        <f>TEXT(Table12[[#This Row],[Date]],"mmm-yy")</f>
        <v>May-25</v>
      </c>
      <c r="G48" s="121">
        <f t="shared" si="5"/>
        <v>31</v>
      </c>
      <c r="H48" s="123">
        <f t="shared" si="3"/>
        <v>45789</v>
      </c>
      <c r="I48" s="1">
        <v>8.0208999999999993</v>
      </c>
      <c r="J48" s="1">
        <f>'Raw Data'!K48/Inv_SY!J$2</f>
        <v>6.6890681003584227</v>
      </c>
      <c r="K48" s="1">
        <f>'Raw Data'!L48/Inv_SY!K$2</f>
        <v>6.6928016726403818</v>
      </c>
      <c r="L48" s="1">
        <f>'Raw Data'!M48/Inv_SY!L$2</f>
        <v>0</v>
      </c>
      <c r="M48" s="1">
        <f>'Raw Data'!N48/Inv_SY!M$2</f>
        <v>6.685479129923575</v>
      </c>
      <c r="N48" s="1">
        <f>'Raw Data'!O48/Inv_SY!N$2</f>
        <v>6.5352155434122645</v>
      </c>
      <c r="O48" s="1">
        <f>'Raw Data'!P48/Inv_SY!O$2</f>
        <v>6.4908925318761383</v>
      </c>
      <c r="P48" s="1">
        <f>'Raw Data'!Q48/Inv_SY!P$2</f>
        <v>6.6089860352155441</v>
      </c>
      <c r="Q48" s="1">
        <f>'Raw Data'!R48/Inv_SY!Q$2</f>
        <v>0</v>
      </c>
      <c r="R48" s="1">
        <f>'Raw Data'!S48/Inv_SY!R$2</f>
        <v>5.026795284030011</v>
      </c>
      <c r="S48" s="1">
        <f>'Raw Data'!T48/Inv_SY!S$2</f>
        <v>5.2192584527913874</v>
      </c>
      <c r="T48" s="1">
        <f>'Raw Data'!U48/Inv_SY!T$2</f>
        <v>4.9535321451679302</v>
      </c>
      <c r="U48" s="1">
        <f>'Raw Data'!V48/Inv_SY!U$2</f>
        <v>4.9170637021351684</v>
      </c>
      <c r="V48" s="1">
        <f>'Raw Data'!W48/Inv_SY!V$2</f>
        <v>5.0134713872188819</v>
      </c>
      <c r="W48" s="1">
        <f>'Raw Data'!X48/Inv_SY!W$2</f>
        <v>4.9169834270944195</v>
      </c>
      <c r="X48" s="1">
        <f>'Raw Data'!Y48/Inv_SY!X$2</f>
        <v>5.0234835837506955</v>
      </c>
      <c r="Y48" s="1">
        <f t="shared" si="6"/>
        <v>4.9846461326879989</v>
      </c>
      <c r="Z48" s="1">
        <f t="shared" si="7"/>
        <v>5.0234835837506955</v>
      </c>
    </row>
    <row r="49" spans="1:26" x14ac:dyDescent="0.3">
      <c r="A49" s="55" t="s">
        <v>1219</v>
      </c>
      <c r="B49" s="55">
        <v>18</v>
      </c>
      <c r="C49" s="121">
        <f>YEAR(Table12[[#This Row],[Date]])</f>
        <v>2025</v>
      </c>
      <c r="D49" s="55" t="s">
        <v>329</v>
      </c>
      <c r="E49" s="55" t="s">
        <v>329</v>
      </c>
      <c r="F49" s="122" t="str">
        <f>TEXT(Table12[[#This Row],[Date]],"mmm-yy")</f>
        <v>May-25</v>
      </c>
      <c r="G49" s="121">
        <f t="shared" si="5"/>
        <v>31</v>
      </c>
      <c r="H49" s="123">
        <f t="shared" si="3"/>
        <v>45790</v>
      </c>
      <c r="I49" s="1">
        <v>8.0208999999999993</v>
      </c>
      <c r="J49" s="1">
        <f>'Raw Data'!K49/Inv_SY!J$2</f>
        <v>5.9135304659498207</v>
      </c>
      <c r="K49" s="1">
        <f>'Raw Data'!L49/Inv_SY!K$2</f>
        <v>5.8176523297491034</v>
      </c>
      <c r="L49" s="1">
        <f>'Raw Data'!M49/Inv_SY!L$2</f>
        <v>0</v>
      </c>
      <c r="M49" s="1">
        <f>'Raw Data'!N49/Inv_SY!M$2</f>
        <v>5.7253086419753085</v>
      </c>
      <c r="N49" s="1">
        <f>'Raw Data'!O49/Inv_SY!N$2</f>
        <v>5.8321190042501518</v>
      </c>
      <c r="O49" s="1">
        <f>'Raw Data'!P49/Inv_SY!O$2</f>
        <v>5.6908014571949002</v>
      </c>
      <c r="P49" s="1">
        <f>'Raw Data'!Q49/Inv_SY!P$2</f>
        <v>5.699605343047967</v>
      </c>
      <c r="Q49" s="1">
        <f>'Raw Data'!R49/Inv_SY!Q$2</f>
        <v>0</v>
      </c>
      <c r="R49" s="1">
        <f>'Raw Data'!S49/Inv_SY!R$2</f>
        <v>4.3889186614267004</v>
      </c>
      <c r="S49" s="1">
        <f>'Raw Data'!T49/Inv_SY!S$2</f>
        <v>4.4699993951490962</v>
      </c>
      <c r="T49" s="1">
        <f>'Raw Data'!U49/Inv_SY!T$2</f>
        <v>4.4229751191106406</v>
      </c>
      <c r="U49" s="1">
        <f>'Raw Data'!V49/Inv_SY!U$2</f>
        <v>4.2984236221398735</v>
      </c>
      <c r="V49" s="1">
        <f>'Raw Data'!W49/Inv_SY!V$2</f>
        <v>4.3608327766644406</v>
      </c>
      <c r="W49" s="1">
        <f>'Raw Data'!X49/Inv_SY!W$2</f>
        <v>4.3128325984491402</v>
      </c>
      <c r="X49" s="1">
        <f>'Raw Data'!Y49/Inv_SY!X$2</f>
        <v>4.3907623817473569</v>
      </c>
      <c r="Y49" s="1">
        <f t="shared" si="6"/>
        <v>4.3548092522869792</v>
      </c>
      <c r="Z49" s="1">
        <f t="shared" si="7"/>
        <v>4.3907623817473569</v>
      </c>
    </row>
    <row r="50" spans="1:26" x14ac:dyDescent="0.3">
      <c r="A50" s="55" t="s">
        <v>1220</v>
      </c>
      <c r="B50" s="55">
        <v>19</v>
      </c>
      <c r="C50" s="121">
        <f>YEAR(Table12[[#This Row],[Date]])</f>
        <v>2025</v>
      </c>
      <c r="D50" s="55" t="s">
        <v>329</v>
      </c>
      <c r="E50" s="55" t="s">
        <v>329</v>
      </c>
      <c r="F50" s="122" t="str">
        <f>TEXT(Table12[[#This Row],[Date]],"mmm-yy")</f>
        <v>May-25</v>
      </c>
      <c r="G50" s="121">
        <f t="shared" si="5"/>
        <v>31</v>
      </c>
      <c r="H50" s="123">
        <f t="shared" si="3"/>
        <v>45791</v>
      </c>
      <c r="I50" s="1">
        <v>8.0208999999999993</v>
      </c>
      <c r="J50" s="1">
        <f>'Raw Data'!K50/Inv_SY!J$2</f>
        <v>5.6883213859020314</v>
      </c>
      <c r="K50" s="1">
        <f>'Raw Data'!L50/Inv_SY!K$2</f>
        <v>5.7901732377538826</v>
      </c>
      <c r="L50" s="1">
        <f>'Raw Data'!M50/Inv_SY!L$2</f>
        <v>0</v>
      </c>
      <c r="M50" s="1">
        <f>'Raw Data'!N50/Inv_SY!M$2</f>
        <v>5.5992063492063489</v>
      </c>
      <c r="N50" s="1">
        <f>'Raw Data'!O50/Inv_SY!N$2</f>
        <v>5.6756223436551307</v>
      </c>
      <c r="O50" s="1">
        <f>'Raw Data'!P50/Inv_SY!O$2</f>
        <v>5.5236794171220405</v>
      </c>
      <c r="P50" s="1">
        <f>'Raw Data'!Q50/Inv_SY!P$2</f>
        <v>5.5336976320582885</v>
      </c>
      <c r="Q50" s="1">
        <f>'Raw Data'!R50/Inv_SY!Q$2</f>
        <v>0</v>
      </c>
      <c r="R50" s="1">
        <f>'Raw Data'!S50/Inv_SY!R$2</f>
        <v>4.333095153030845</v>
      </c>
      <c r="S50" s="1">
        <f>'Raw Data'!T50/Inv_SY!S$2</f>
        <v>4.4135970483275884</v>
      </c>
      <c r="T50" s="1">
        <f>'Raw Data'!U50/Inv_SY!T$2</f>
        <v>4.2804835009705311</v>
      </c>
      <c r="U50" s="1">
        <f>'Raw Data'!V50/Inv_SY!U$2</f>
        <v>4.3468031292276921</v>
      </c>
      <c r="V50" s="1">
        <f>'Raw Data'!W50/Inv_SY!V$2</f>
        <v>4.2661990647962593</v>
      </c>
      <c r="W50" s="1">
        <f>'Raw Data'!X50/Inv_SY!W$2</f>
        <v>4.1902463129086209</v>
      </c>
      <c r="X50" s="1">
        <f>'Raw Data'!Y50/Inv_SY!X$2</f>
        <v>4.3392691522908553</v>
      </c>
      <c r="Y50" s="1">
        <f t="shared" si="6"/>
        <v>4.2652381766652452</v>
      </c>
      <c r="Z50" s="1">
        <f t="shared" si="7"/>
        <v>4.3392691522908553</v>
      </c>
    </row>
    <row r="51" spans="1:26" x14ac:dyDescent="0.3">
      <c r="A51" s="55" t="s">
        <v>1221</v>
      </c>
      <c r="B51" s="55">
        <v>20</v>
      </c>
      <c r="C51" s="121">
        <f>YEAR(Table12[[#This Row],[Date]])</f>
        <v>2025</v>
      </c>
      <c r="D51" s="55" t="s">
        <v>329</v>
      </c>
      <c r="E51" s="55" t="s">
        <v>329</v>
      </c>
      <c r="F51" s="122" t="str">
        <f>TEXT(Table12[[#This Row],[Date]],"mmm-yy")</f>
        <v>May-25</v>
      </c>
      <c r="G51" s="121">
        <f t="shared" si="5"/>
        <v>31</v>
      </c>
      <c r="H51" s="123">
        <f t="shared" si="3"/>
        <v>45792</v>
      </c>
      <c r="I51" s="1">
        <v>8.0208999999999993</v>
      </c>
      <c r="J51" s="1">
        <f>'Raw Data'!K51/Inv_SY!J$2</f>
        <v>3.3850059737156508</v>
      </c>
      <c r="K51" s="1">
        <f>'Raw Data'!L51/Inv_SY!K$2</f>
        <v>3.384557945041816</v>
      </c>
      <c r="L51" s="1">
        <f>'Raw Data'!M51/Inv_SY!L$2</f>
        <v>0</v>
      </c>
      <c r="M51" s="1">
        <f>'Raw Data'!N51/Inv_SY!M$2</f>
        <v>3.4850088183421515</v>
      </c>
      <c r="N51" s="1">
        <f>'Raw Data'!O51/Inv_SY!N$2</f>
        <v>3.079083181542198</v>
      </c>
      <c r="O51" s="1">
        <f>'Raw Data'!P51/Inv_SY!O$2</f>
        <v>3.0591985428051007</v>
      </c>
      <c r="P51" s="1">
        <f>'Raw Data'!Q51/Inv_SY!P$2</f>
        <v>3.0625379477838495</v>
      </c>
      <c r="Q51" s="1">
        <f>'Raw Data'!R51/Inv_SY!Q$2</f>
        <v>0</v>
      </c>
      <c r="R51" s="1">
        <f>'Raw Data'!S51/Inv_SY!R$2</f>
        <v>2.2153745385256642</v>
      </c>
      <c r="S51" s="1">
        <f>'Raw Data'!T51/Inv_SY!S$2</f>
        <v>2.260176616464042</v>
      </c>
      <c r="T51" s="1">
        <f>'Raw Data'!U51/Inv_SY!T$2</f>
        <v>2.3405976119051819</v>
      </c>
      <c r="U51" s="1">
        <f>'Raw Data'!V51/Inv_SY!U$2</f>
        <v>2.1751661666960764</v>
      </c>
      <c r="V51" s="1">
        <f>'Raw Data'!W51/Inv_SY!V$2</f>
        <v>2.5621984710161061</v>
      </c>
      <c r="W51" s="1">
        <f>'Raw Data'!X51/Inv_SY!W$2</f>
        <v>2.3040519993918198</v>
      </c>
      <c r="X51" s="1">
        <f>'Raw Data'!Y51/Inv_SY!X$2</f>
        <v>2.2458913003153405</v>
      </c>
      <c r="Y51" s="1">
        <f t="shared" si="6"/>
        <v>2.3707139235744221</v>
      </c>
      <c r="Z51" s="1">
        <f t="shared" si="7"/>
        <v>2.5621984710161061</v>
      </c>
    </row>
    <row r="52" spans="1:26" x14ac:dyDescent="0.3">
      <c r="A52" s="55" t="s">
        <v>1222</v>
      </c>
      <c r="B52" s="55">
        <v>21</v>
      </c>
      <c r="C52" s="121">
        <f>YEAR(Table12[[#This Row],[Date]])</f>
        <v>2025</v>
      </c>
      <c r="D52" s="55" t="s">
        <v>329</v>
      </c>
      <c r="E52" s="55" t="s">
        <v>329</v>
      </c>
      <c r="F52" s="122" t="str">
        <f>TEXT(Table12[[#This Row],[Date]],"mmm-yy")</f>
        <v>May-25</v>
      </c>
      <c r="G52" s="121">
        <f t="shared" si="5"/>
        <v>31</v>
      </c>
      <c r="H52" s="123">
        <f t="shared" si="3"/>
        <v>45793</v>
      </c>
      <c r="I52" s="1">
        <v>8.0208999999999993</v>
      </c>
      <c r="J52" s="1">
        <f>'Raw Data'!K52/Inv_SY!J$2</f>
        <v>3.8960573476702511</v>
      </c>
      <c r="K52" s="1">
        <f>'Raw Data'!L52/Inv_SY!K$2</f>
        <v>3.7644862604540021</v>
      </c>
      <c r="L52" s="1">
        <f>'Raw Data'!M52/Inv_SY!L$2</f>
        <v>0</v>
      </c>
      <c r="M52" s="1">
        <f>'Raw Data'!N52/Inv_SY!M$2</f>
        <v>3.7056143445032337</v>
      </c>
      <c r="N52" s="1">
        <f>'Raw Data'!O52/Inv_SY!N$2</f>
        <v>5.5768063145112325</v>
      </c>
      <c r="O52" s="1">
        <f>'Raw Data'!P52/Inv_SY!O$2</f>
        <v>5.4083181542197938</v>
      </c>
      <c r="P52" s="1">
        <f>'Raw Data'!Q52/Inv_SY!P$2</f>
        <v>5.4171220400728606</v>
      </c>
      <c r="Q52" s="1">
        <f>'Raw Data'!R52/Inv_SY!Q$2</f>
        <v>0</v>
      </c>
      <c r="R52" s="1">
        <f>'Raw Data'!S52/Inv_SY!R$2</f>
        <v>4.1333214243182086</v>
      </c>
      <c r="S52" s="1">
        <f>'Raw Data'!T52/Inv_SY!S$2</f>
        <v>4.2161132280892764</v>
      </c>
      <c r="T52" s="1">
        <f>'Raw Data'!U52/Inv_SY!T$2</f>
        <v>4.0824069172401618</v>
      </c>
      <c r="U52" s="1">
        <f>'Raw Data'!V52/Inv_SY!U$2</f>
        <v>4.1768131286394912</v>
      </c>
      <c r="V52" s="1">
        <f>'Raw Data'!W52/Inv_SY!V$2</f>
        <v>2.8393082461218735</v>
      </c>
      <c r="W52" s="1">
        <f>'Raw Data'!X52/Inv_SY!W$2</f>
        <v>4.1074197962596921</v>
      </c>
      <c r="X52" s="1">
        <f>'Raw Data'!Y52/Inv_SY!X$2</f>
        <v>4.1481728807271381</v>
      </c>
      <c r="Y52" s="1">
        <f t="shared" si="6"/>
        <v>3.6983003077029011</v>
      </c>
      <c r="Z52" s="1">
        <f t="shared" si="7"/>
        <v>4.1481728807271381</v>
      </c>
    </row>
    <row r="53" spans="1:26" x14ac:dyDescent="0.3">
      <c r="A53" s="55" t="s">
        <v>1223</v>
      </c>
      <c r="B53" s="55">
        <v>22</v>
      </c>
      <c r="C53" s="121">
        <f>YEAR(Table12[[#This Row],[Date]])</f>
        <v>2025</v>
      </c>
      <c r="D53" s="55" t="s">
        <v>329</v>
      </c>
      <c r="E53" s="55" t="s">
        <v>329</v>
      </c>
      <c r="F53" s="122" t="str">
        <f>TEXT(Table12[[#This Row],[Date]],"mmm-yy")</f>
        <v>May-25</v>
      </c>
      <c r="G53" s="121">
        <f t="shared" si="5"/>
        <v>31</v>
      </c>
      <c r="H53" s="123">
        <f t="shared" si="3"/>
        <v>45794</v>
      </c>
      <c r="I53" s="1">
        <v>8.0208999999999993</v>
      </c>
      <c r="J53" s="1">
        <f>'Raw Data'!K53/Inv_SY!J$2</f>
        <v>5.3461768219832733</v>
      </c>
      <c r="K53" s="1">
        <f>'Raw Data'!L53/Inv_SY!K$2</f>
        <v>5.3482676224611705</v>
      </c>
      <c r="L53" s="1">
        <f>'Raw Data'!M53/Inv_SY!L$2</f>
        <v>0</v>
      </c>
      <c r="M53" s="1">
        <f>'Raw Data'!N53/Inv_SY!M$2</f>
        <v>5.2666078777189895</v>
      </c>
      <c r="N53" s="1">
        <f>'Raw Data'!O53/Inv_SY!N$2</f>
        <v>5.360655737704918</v>
      </c>
      <c r="O53" s="1">
        <f>'Raw Data'!P53/Inv_SY!O$2</f>
        <v>5.3257437765634492</v>
      </c>
      <c r="P53" s="1">
        <f>'Raw Data'!Q53/Inv_SY!P$2</f>
        <v>5.3342440801457194</v>
      </c>
      <c r="Q53" s="1">
        <f>'Raw Data'!R53/Inv_SY!Q$2</f>
        <v>0</v>
      </c>
      <c r="R53" s="1">
        <f>'Raw Data'!S53/Inv_SY!R$2</f>
        <v>4.0661843515541269</v>
      </c>
      <c r="S53" s="1">
        <f>'Raw Data'!T53/Inv_SY!S$2</f>
        <v>4.1420189923183939</v>
      </c>
      <c r="T53" s="1">
        <f>'Raw Data'!U53/Inv_SY!T$2</f>
        <v>4.01432268690077</v>
      </c>
      <c r="U53" s="1">
        <f>'Raw Data'!V53/Inv_SY!U$2</f>
        <v>3.9856479030645251</v>
      </c>
      <c r="V53" s="1">
        <f>'Raw Data'!W53/Inv_SY!V$2</f>
        <v>3.9873821717509093</v>
      </c>
      <c r="W53" s="1">
        <f>'Raw Data'!X53/Inv_SY!W$2</f>
        <v>4.011859510415082</v>
      </c>
      <c r="X53" s="1">
        <f>'Raw Data'!Y53/Inv_SY!X$2</f>
        <v>4.0478575403450199</v>
      </c>
      <c r="Y53" s="1">
        <f t="shared" si="6"/>
        <v>4.0156997408370039</v>
      </c>
      <c r="Z53" s="1">
        <f t="shared" si="7"/>
        <v>4.0478575403450199</v>
      </c>
    </row>
    <row r="54" spans="1:26" x14ac:dyDescent="0.3">
      <c r="A54" s="55" t="s">
        <v>1224</v>
      </c>
      <c r="B54" s="55">
        <v>23</v>
      </c>
      <c r="C54" s="121">
        <f>YEAR(Table12[[#This Row],[Date]])</f>
        <v>2025</v>
      </c>
      <c r="D54" s="55" t="s">
        <v>329</v>
      </c>
      <c r="E54" s="55" t="s">
        <v>329</v>
      </c>
      <c r="F54" s="122" t="str">
        <f>TEXT(Table12[[#This Row],[Date]],"mmm-yy")</f>
        <v>May-25</v>
      </c>
      <c r="G54" s="121">
        <f t="shared" si="5"/>
        <v>31</v>
      </c>
      <c r="H54" s="123">
        <f t="shared" si="3"/>
        <v>45795</v>
      </c>
      <c r="I54" s="1">
        <v>8.0208999999999993</v>
      </c>
      <c r="J54" s="1">
        <f>'Raw Data'!K54/Inv_SY!J$2</f>
        <v>3.6031959378733567</v>
      </c>
      <c r="K54" s="1">
        <f>'Raw Data'!L54/Inv_SY!K$2</f>
        <v>3.6025985663082438</v>
      </c>
      <c r="L54" s="1">
        <f>'Raw Data'!M54/Inv_SY!L$2</f>
        <v>0</v>
      </c>
      <c r="M54" s="1">
        <f>'Raw Data'!N54/Inv_SY!M$2</f>
        <v>3.7918871252204589</v>
      </c>
      <c r="N54" s="1">
        <f>'Raw Data'!O54/Inv_SY!N$2</f>
        <v>3.7446873102610811</v>
      </c>
      <c r="O54" s="1">
        <f>'Raw Data'!P54/Inv_SY!O$2</f>
        <v>3.4723740133576202</v>
      </c>
      <c r="P54" s="1">
        <f>'Raw Data'!Q54/Inv_SY!P$2</f>
        <v>3.4672131147540983</v>
      </c>
      <c r="Q54" s="1">
        <f>'Raw Data'!R54/Inv_SY!Q$2</f>
        <v>0</v>
      </c>
      <c r="R54" s="1">
        <f>'Raw Data'!S54/Inv_SY!R$2</f>
        <v>2.7119804692151961</v>
      </c>
      <c r="S54" s="1">
        <f>'Raw Data'!T54/Inv_SY!S$2</f>
        <v>2.7638662069799795</v>
      </c>
      <c r="T54" s="1">
        <f>'Raw Data'!U54/Inv_SY!T$2</f>
        <v>2.9221810481736368</v>
      </c>
      <c r="U54" s="1">
        <f>'Raw Data'!V54/Inv_SY!U$2</f>
        <v>2.6595494382683369</v>
      </c>
      <c r="V54" s="1">
        <f>'Raw Data'!W54/Inv_SY!V$2</f>
        <v>2.7480887701328585</v>
      </c>
      <c r="W54" s="1">
        <f>'Raw Data'!X54/Inv_SY!W$2</f>
        <v>2.6755359586437586</v>
      </c>
      <c r="X54" s="1">
        <f>'Raw Data'!Y54/Inv_SY!X$2</f>
        <v>2.7621591541457984</v>
      </c>
      <c r="Y54" s="1">
        <f t="shared" si="6"/>
        <v>2.7285946276408048</v>
      </c>
      <c r="Z54" s="1">
        <f t="shared" si="7"/>
        <v>2.7621591541457984</v>
      </c>
    </row>
    <row r="55" spans="1:26" x14ac:dyDescent="0.3">
      <c r="A55" s="55" t="s">
        <v>1225</v>
      </c>
      <c r="B55" s="55">
        <v>24</v>
      </c>
      <c r="C55" s="121">
        <f>YEAR(Table12[[#This Row],[Date]])</f>
        <v>2025</v>
      </c>
      <c r="D55" s="55" t="s">
        <v>329</v>
      </c>
      <c r="E55" s="55" t="s">
        <v>329</v>
      </c>
      <c r="F55" s="122" t="str">
        <f>TEXT(Table12[[#This Row],[Date]],"mmm-yy")</f>
        <v>May-25</v>
      </c>
      <c r="G55" s="121">
        <f t="shared" si="5"/>
        <v>31</v>
      </c>
      <c r="H55" s="123">
        <f t="shared" si="3"/>
        <v>45796</v>
      </c>
      <c r="I55" s="1">
        <v>8.0208999999999993</v>
      </c>
      <c r="J55" s="1">
        <f>'Raw Data'!K55/Inv_SY!J$2</f>
        <v>4.868279569892473</v>
      </c>
      <c r="K55" s="1">
        <f>'Raw Data'!L55/Inv_SY!K$2</f>
        <v>4.7416367980884111</v>
      </c>
      <c r="L55" s="1">
        <f>'Raw Data'!M55/Inv_SY!L$2</f>
        <v>0</v>
      </c>
      <c r="M55" s="1">
        <f>'Raw Data'!N55/Inv_SY!M$2</f>
        <v>4.6710758377425039</v>
      </c>
      <c r="N55" s="1">
        <f>'Raw Data'!O55/Inv_SY!N$2</f>
        <v>4.7682149362477233</v>
      </c>
      <c r="O55" s="1">
        <f>'Raw Data'!P55/Inv_SY!O$2</f>
        <v>4.5837887067395267</v>
      </c>
      <c r="P55" s="1">
        <f>'Raw Data'!Q55/Inv_SY!P$2</f>
        <v>4.5860655737704921</v>
      </c>
      <c r="Q55" s="1">
        <f>'Raw Data'!R55/Inv_SY!Q$2</f>
        <v>0</v>
      </c>
      <c r="R55" s="1">
        <f>'Raw Data'!S55/Inv_SY!R$2</f>
        <v>3.5783613195188759</v>
      </c>
      <c r="S55" s="1">
        <f>'Raw Data'!T55/Inv_SY!S$2</f>
        <v>3.6469485271880488</v>
      </c>
      <c r="T55" s="1">
        <f>'Raw Data'!U55/Inv_SY!T$2</f>
        <v>3.5346450208811238</v>
      </c>
      <c r="U55" s="1">
        <f>'Raw Data'!V55/Inv_SY!U$2</f>
        <v>3.6206693723898589</v>
      </c>
      <c r="V55" s="1">
        <f>'Raw Data'!W55/Inv_SY!V$2</f>
        <v>3.5675053811326358</v>
      </c>
      <c r="W55" s="1">
        <f>'Raw Data'!X55/Inv_SY!W$2</f>
        <v>3.4903451421620804</v>
      </c>
      <c r="X55" s="1">
        <f>'Raw Data'!Y55/Inv_SY!X$2</f>
        <v>3.5917269523279538</v>
      </c>
      <c r="Y55" s="1">
        <f t="shared" si="6"/>
        <v>3.5498591585408903</v>
      </c>
      <c r="Z55" s="1">
        <f t="shared" si="7"/>
        <v>3.5917269523279538</v>
      </c>
    </row>
    <row r="56" spans="1:26" x14ac:dyDescent="0.3">
      <c r="A56" s="55" t="s">
        <v>1226</v>
      </c>
      <c r="B56" s="55">
        <v>25</v>
      </c>
      <c r="C56" s="121">
        <f>YEAR(Table12[[#This Row],[Date]])</f>
        <v>2025</v>
      </c>
      <c r="D56" s="55" t="s">
        <v>329</v>
      </c>
      <c r="E56" s="55" t="s">
        <v>329</v>
      </c>
      <c r="F56" s="122" t="str">
        <f>TEXT(Table12[[#This Row],[Date]],"mmm-yy")</f>
        <v>May-25</v>
      </c>
      <c r="G56" s="121">
        <f t="shared" si="5"/>
        <v>31</v>
      </c>
      <c r="H56" s="123">
        <f t="shared" si="3"/>
        <v>45797</v>
      </c>
      <c r="I56" s="1">
        <v>8.0208999999999993</v>
      </c>
      <c r="J56" s="1">
        <f>'Raw Data'!K56/Inv_SY!J$2</f>
        <v>5.1409796893667865</v>
      </c>
      <c r="K56" s="1">
        <f>'Raw Data'!L56/Inv_SY!K$2</f>
        <v>5.1394862604540021</v>
      </c>
      <c r="L56" s="1">
        <f>'Raw Data'!M56/Inv_SY!L$2</f>
        <v>0</v>
      </c>
      <c r="M56" s="1">
        <f>'Raw Data'!N56/Inv_SY!M$2</f>
        <v>5.1710758377425048</v>
      </c>
      <c r="N56" s="1">
        <f>'Raw Data'!O56/Inv_SY!N$2</f>
        <v>5.0595021250758956</v>
      </c>
      <c r="O56" s="1">
        <f>'Raw Data'!P56/Inv_SY!O$2</f>
        <v>5.028536733454767</v>
      </c>
      <c r="P56" s="1">
        <f>'Raw Data'!Q56/Inv_SY!P$2</f>
        <v>5.1581663630843959</v>
      </c>
      <c r="Q56" s="1">
        <f>'Raw Data'!R56/Inv_SY!Q$2</f>
        <v>0</v>
      </c>
      <c r="R56" s="1">
        <f>'Raw Data'!S56/Inv_SY!R$2</f>
        <v>3.6471358818625701</v>
      </c>
      <c r="S56" s="1">
        <f>'Raw Data'!T56/Inv_SY!S$2</f>
        <v>3.7423637573338175</v>
      </c>
      <c r="T56" s="1">
        <f>'Raw Data'!U56/Inv_SY!T$2</f>
        <v>3.6814010940532906</v>
      </c>
      <c r="U56" s="1">
        <f>'Raw Data'!V56/Inv_SY!U$2</f>
        <v>3.5786130227633661</v>
      </c>
      <c r="V56" s="1">
        <f>'Raw Data'!W56/Inv_SY!V$2</f>
        <v>3.8603874415497668</v>
      </c>
      <c r="W56" s="1">
        <f>'Raw Data'!X56/Inv_SY!W$2</f>
        <v>3.8179261061274139</v>
      </c>
      <c r="X56" s="1">
        <f>'Raw Data'!Y56/Inv_SY!X$2</f>
        <v>3.6586904099424968</v>
      </c>
      <c r="Y56" s="1">
        <f t="shared" si="6"/>
        <v>3.7790013192065595</v>
      </c>
      <c r="Z56" s="1">
        <f t="shared" si="7"/>
        <v>3.8603874415497668</v>
      </c>
    </row>
    <row r="57" spans="1:26" x14ac:dyDescent="0.3">
      <c r="A57" s="55" t="s">
        <v>1227</v>
      </c>
      <c r="B57" s="55">
        <v>26</v>
      </c>
      <c r="C57" s="121">
        <f>YEAR(Table12[[#This Row],[Date]])</f>
        <v>2025</v>
      </c>
      <c r="D57" s="55" t="s">
        <v>329</v>
      </c>
      <c r="E57" s="55" t="s">
        <v>329</v>
      </c>
      <c r="F57" s="122" t="str">
        <f>TEXT(Table12[[#This Row],[Date]],"mmm-yy")</f>
        <v>May-25</v>
      </c>
      <c r="G57" s="121">
        <f t="shared" si="5"/>
        <v>31</v>
      </c>
      <c r="H57" s="123">
        <f t="shared" si="3"/>
        <v>45798</v>
      </c>
      <c r="I57" s="1">
        <v>8.0208999999999993</v>
      </c>
      <c r="J57" s="1">
        <f>'Raw Data'!K57/Inv_SY!J$2</f>
        <v>3.3860513739545999</v>
      </c>
      <c r="K57" s="1">
        <f>'Raw Data'!L57/Inv_SY!K$2</f>
        <v>3.3715651135005973</v>
      </c>
      <c r="L57" s="1">
        <f>'Raw Data'!M57/Inv_SY!L$2</f>
        <v>0</v>
      </c>
      <c r="M57" s="1">
        <f>'Raw Data'!N57/Inv_SY!M$2</f>
        <v>3.4503233392122281</v>
      </c>
      <c r="N57" s="1">
        <f>'Raw Data'!O57/Inv_SY!N$2</f>
        <v>3.4661505768063146</v>
      </c>
      <c r="O57" s="1">
        <f>'Raw Data'!P57/Inv_SY!O$2</f>
        <v>3.298117789921069</v>
      </c>
      <c r="P57" s="1">
        <f>'Raw Data'!Q57/Inv_SY!P$2</f>
        <v>3.301760777170613</v>
      </c>
      <c r="Q57" s="1">
        <f>'Raw Data'!R57/Inv_SY!Q$2</f>
        <v>0</v>
      </c>
      <c r="R57" s="1">
        <f>'Raw Data'!S57/Inv_SY!R$2</f>
        <v>2.5366202215076812</v>
      </c>
      <c r="S57" s="1">
        <f>'Raw Data'!T57/Inv_SY!S$2</f>
        <v>2.5852839774995466</v>
      </c>
      <c r="T57" s="1">
        <f>'Raw Data'!U57/Inv_SY!T$2</f>
        <v>2.5060290571142874</v>
      </c>
      <c r="U57" s="1">
        <f>'Raw Data'!V57/Inv_SY!U$2</f>
        <v>2.6180812893359211</v>
      </c>
      <c r="V57" s="1">
        <f>'Raw Data'!W57/Inv_SY!V$2</f>
        <v>2.550471312996363</v>
      </c>
      <c r="W57" s="1">
        <f>'Raw Data'!X57/Inv_SY!W$2</f>
        <v>2.5207161319750644</v>
      </c>
      <c r="X57" s="1">
        <f>'Raw Data'!Y57/Inv_SY!X$2</f>
        <v>2.5591912446670375</v>
      </c>
      <c r="Y57" s="1">
        <f t="shared" si="6"/>
        <v>2.5434595632128212</v>
      </c>
      <c r="Z57" s="1">
        <f t="shared" si="7"/>
        <v>2.5591912446670375</v>
      </c>
    </row>
    <row r="58" spans="1:26" x14ac:dyDescent="0.3">
      <c r="A58" s="55" t="s">
        <v>1228</v>
      </c>
      <c r="B58" s="55">
        <v>27</v>
      </c>
      <c r="C58" s="121">
        <f>YEAR(Table12[[#This Row],[Date]])</f>
        <v>2025</v>
      </c>
      <c r="D58" s="55" t="s">
        <v>329</v>
      </c>
      <c r="E58" s="55" t="s">
        <v>329</v>
      </c>
      <c r="F58" s="122" t="str">
        <f>TEXT(Table12[[#This Row],[Date]],"mmm-yy")</f>
        <v>May-25</v>
      </c>
      <c r="G58" s="121">
        <f t="shared" si="5"/>
        <v>31</v>
      </c>
      <c r="H58" s="123">
        <f t="shared" si="3"/>
        <v>45799</v>
      </c>
      <c r="I58" s="1">
        <v>8.0208999999999993</v>
      </c>
      <c r="J58" s="1">
        <f>'Raw Data'!K58/Inv_SY!J$2</f>
        <v>4.5074671445639183</v>
      </c>
      <c r="K58" s="1">
        <f>'Raw Data'!L58/Inv_SY!K$2</f>
        <v>4.669354838709677</v>
      </c>
      <c r="L58" s="1">
        <f>'Raw Data'!M58/Inv_SY!L$2</f>
        <v>0</v>
      </c>
      <c r="M58" s="1">
        <f>'Raw Data'!N58/Inv_SY!M$2</f>
        <v>4.4357730746619639</v>
      </c>
      <c r="N58" s="1">
        <f>'Raw Data'!O58/Inv_SY!N$2</f>
        <v>4.458409228901032</v>
      </c>
      <c r="O58" s="1">
        <f>'Raw Data'!P58/Inv_SY!O$2</f>
        <v>4.5866727383120827</v>
      </c>
      <c r="P58" s="1">
        <f>'Raw Data'!Q58/Inv_SY!P$2</f>
        <v>4.4312386156648458</v>
      </c>
      <c r="Q58" s="1">
        <f>'Raw Data'!R58/Inv_SY!Q$2</f>
        <v>0</v>
      </c>
      <c r="R58" s="1">
        <f>'Raw Data'!S58/Inv_SY!R$2</f>
        <v>3.5003572704537338</v>
      </c>
      <c r="S58" s="1">
        <f>'Raw Data'!T58/Inv_SY!S$2</f>
        <v>3.5787515877336236</v>
      </c>
      <c r="T58" s="1">
        <f>'Raw Data'!U58/Inv_SY!T$2</f>
        <v>3.6046409034762661</v>
      </c>
      <c r="U58" s="1">
        <f>'Raw Data'!V58/Inv_SY!U$2</f>
        <v>3.4340627021939887</v>
      </c>
      <c r="V58" s="1">
        <f>'Raw Data'!W58/Inv_SY!V$2</f>
        <v>3.4004676018704076</v>
      </c>
      <c r="W58" s="1">
        <f>'Raw Data'!X58/Inv_SY!W$2</f>
        <v>3.374714915615022</v>
      </c>
      <c r="X58" s="1">
        <f>'Raw Data'!Y58/Inv_SY!X$2</f>
        <v>3.5261361528473385</v>
      </c>
      <c r="Y58" s="1">
        <f t="shared" si="6"/>
        <v>3.433772890110923</v>
      </c>
      <c r="Z58" s="1">
        <f t="shared" si="7"/>
        <v>3.5261361528473385</v>
      </c>
    </row>
    <row r="59" spans="1:26" x14ac:dyDescent="0.3">
      <c r="A59" s="55" t="s">
        <v>1229</v>
      </c>
      <c r="B59" s="55">
        <v>28</v>
      </c>
      <c r="C59" s="121">
        <f>YEAR(Table12[[#This Row],[Date]])</f>
        <v>2025</v>
      </c>
      <c r="D59" s="55" t="s">
        <v>329</v>
      </c>
      <c r="E59" s="55" t="s">
        <v>329</v>
      </c>
      <c r="F59" s="122" t="str">
        <f>TEXT(Table12[[#This Row],[Date]],"mmm-yy")</f>
        <v>May-25</v>
      </c>
      <c r="G59" s="121">
        <f t="shared" si="5"/>
        <v>31</v>
      </c>
      <c r="H59" s="123">
        <f t="shared" si="3"/>
        <v>45800</v>
      </c>
      <c r="I59" s="1">
        <v>8.0208999999999993</v>
      </c>
      <c r="J59" s="1">
        <f>'Raw Data'!K59/Inv_SY!J$2</f>
        <v>5.3809737156511348</v>
      </c>
      <c r="K59" s="1">
        <f>'Raw Data'!L59/Inv_SY!K$2</f>
        <v>5.3778375149342885</v>
      </c>
      <c r="L59" s="1">
        <f>'Raw Data'!M59/Inv_SY!L$2</f>
        <v>0</v>
      </c>
      <c r="M59" s="1">
        <f>'Raw Data'!N59/Inv_SY!M$2</f>
        <v>5.4009406231628461</v>
      </c>
      <c r="N59" s="1">
        <f>'Raw Data'!O59/Inv_SY!N$2</f>
        <v>5.3468427443837285</v>
      </c>
      <c r="O59" s="1">
        <f>'Raw Data'!P59/Inv_SY!O$2</f>
        <v>5.3136004857316337</v>
      </c>
      <c r="P59" s="1">
        <f>'Raw Data'!Q59/Inv_SY!P$2</f>
        <v>5.4181845780206439</v>
      </c>
      <c r="Q59" s="1">
        <f>'Raw Data'!R59/Inv_SY!Q$2</f>
        <v>0</v>
      </c>
      <c r="R59" s="1">
        <f>'Raw Data'!S59/Inv_SY!R$2</f>
        <v>4.2903715612718827</v>
      </c>
      <c r="S59" s="1">
        <f>'Raw Data'!T59/Inv_SY!S$2</f>
        <v>4.3732232504687598</v>
      </c>
      <c r="T59" s="1">
        <f>'Raw Data'!U59/Inv_SY!T$2</f>
        <v>4.2368095994353263</v>
      </c>
      <c r="U59" s="1">
        <f>'Raw Data'!V59/Inv_SY!U$2</f>
        <v>4.302099876477854</v>
      </c>
      <c r="V59" s="1">
        <f>'Raw Data'!W59/Inv_SY!V$2</f>
        <v>4.0372968158539306</v>
      </c>
      <c r="W59" s="1">
        <f>'Raw Data'!X59/Inv_SY!W$2</f>
        <v>4.0263798084232931</v>
      </c>
      <c r="X59" s="1">
        <f>'Raw Data'!Y59/Inv_SY!X$2</f>
        <v>4.2964199591912449</v>
      </c>
      <c r="Y59" s="1">
        <f t="shared" si="6"/>
        <v>4.1200321944894895</v>
      </c>
      <c r="Z59" s="1">
        <f t="shared" si="7"/>
        <v>4.2964199591912449</v>
      </c>
    </row>
    <row r="60" spans="1:26" x14ac:dyDescent="0.3">
      <c r="A60" s="55" t="s">
        <v>1230</v>
      </c>
      <c r="B60" s="55">
        <v>29</v>
      </c>
      <c r="C60" s="121">
        <f>YEAR(Table12[[#This Row],[Date]])</f>
        <v>2025</v>
      </c>
      <c r="D60" s="55" t="s">
        <v>329</v>
      </c>
      <c r="E60" s="55" t="s">
        <v>329</v>
      </c>
      <c r="F60" s="122" t="str">
        <f>TEXT(Table12[[#This Row],[Date]],"mmm-yy")</f>
        <v>May-25</v>
      </c>
      <c r="G60" s="121">
        <f t="shared" si="5"/>
        <v>31</v>
      </c>
      <c r="H60" s="123">
        <f t="shared" si="3"/>
        <v>45801</v>
      </c>
      <c r="I60" s="1">
        <v>8.0208999999999993</v>
      </c>
      <c r="J60" s="1">
        <f>'Raw Data'!K60/Inv_SY!J$2</f>
        <v>4.5092592592592595</v>
      </c>
      <c r="K60" s="1">
        <f>'Raw Data'!L60/Inv_SY!K$2</f>
        <v>4.4616188769414578</v>
      </c>
      <c r="L60" s="1">
        <f>'Raw Data'!M60/Inv_SY!L$2</f>
        <v>0</v>
      </c>
      <c r="M60" s="1">
        <f>'Raw Data'!N60/Inv_SY!M$2</f>
        <v>4.4548794826572609</v>
      </c>
      <c r="N60" s="1">
        <f>'Raw Data'!O60/Inv_SY!N$2</f>
        <v>4.5476624165148758</v>
      </c>
      <c r="O60" s="1">
        <f>'Raw Data'!P60/Inv_SY!O$2</f>
        <v>4.4001214329083185</v>
      </c>
      <c r="P60" s="1">
        <f>'Raw Data'!Q60/Inv_SY!P$2</f>
        <v>4.402246508803886</v>
      </c>
      <c r="Q60" s="1">
        <f>'Raw Data'!R60/Inv_SY!Q$2</f>
        <v>0</v>
      </c>
      <c r="R60" s="1">
        <f>'Raw Data'!S60/Inv_SY!R$2</f>
        <v>3.4996129570084555</v>
      </c>
      <c r="S60" s="1">
        <f>'Raw Data'!T60/Inv_SY!S$2</f>
        <v>3.7980100405250106</v>
      </c>
      <c r="T60" s="1">
        <f>'Raw Data'!U60/Inv_SY!T$2</f>
        <v>3.3996529615904945</v>
      </c>
      <c r="U60" s="1">
        <f>'Raw Data'!V60/Inv_SY!U$2</f>
        <v>3.3752426327863065</v>
      </c>
      <c r="V60" s="1">
        <f>'Raw Data'!W60/Inv_SY!V$2</f>
        <v>3.3541156386847772</v>
      </c>
      <c r="W60" s="1">
        <f>'Raw Data'!X60/Inv_SY!W$2</f>
        <v>3.3430895545081341</v>
      </c>
      <c r="X60" s="1">
        <f>'Raw Data'!Y60/Inv_SY!X$2</f>
        <v>3.5131886477462433</v>
      </c>
      <c r="Y60" s="1">
        <f t="shared" si="6"/>
        <v>3.4034646136463849</v>
      </c>
      <c r="Z60" s="1">
        <f t="shared" si="7"/>
        <v>3.5131886477462433</v>
      </c>
    </row>
    <row r="61" spans="1:26" x14ac:dyDescent="0.3">
      <c r="A61" s="55" t="s">
        <v>1231</v>
      </c>
      <c r="B61" s="55">
        <v>30</v>
      </c>
      <c r="C61" s="121">
        <f>YEAR(Table12[[#This Row],[Date]])</f>
        <v>2025</v>
      </c>
      <c r="D61" s="55" t="s">
        <v>329</v>
      </c>
      <c r="E61" s="55" t="s">
        <v>329</v>
      </c>
      <c r="F61" s="122" t="str">
        <f>TEXT(Table12[[#This Row],[Date]],"mmm-yy")</f>
        <v>May-25</v>
      </c>
      <c r="G61" s="121">
        <f t="shared" si="5"/>
        <v>31</v>
      </c>
      <c r="H61" s="123">
        <f t="shared" si="3"/>
        <v>45802</v>
      </c>
      <c r="I61" s="1">
        <v>8.0208999999999993</v>
      </c>
      <c r="J61" s="1">
        <f>'Raw Data'!K61/Inv_SY!J$2</f>
        <v>3.9831242532855433</v>
      </c>
      <c r="K61" s="1">
        <f>'Raw Data'!L61/Inv_SY!K$2</f>
        <v>4.1082735961768222</v>
      </c>
      <c r="L61" s="1">
        <f>'Raw Data'!M61/Inv_SY!L$2</f>
        <v>0</v>
      </c>
      <c r="M61" s="1">
        <f>'Raw Data'!N61/Inv_SY!M$2</f>
        <v>3.9221046443268666</v>
      </c>
      <c r="N61" s="1">
        <f>'Raw Data'!O61/Inv_SY!N$2</f>
        <v>3.8916211293260479</v>
      </c>
      <c r="O61" s="1">
        <f>'Raw Data'!P61/Inv_SY!O$2</f>
        <v>3.9911961141469341</v>
      </c>
      <c r="P61" s="1">
        <f>'Raw Data'!Q61/Inv_SY!P$2</f>
        <v>3.8668791742562236</v>
      </c>
      <c r="Q61" s="1">
        <f>'Raw Data'!R61/Inv_SY!Q$2</f>
        <v>0</v>
      </c>
      <c r="R61" s="1">
        <f>'Raw Data'!S61/Inv_SY!R$2</f>
        <v>2.8903179707038227</v>
      </c>
      <c r="S61" s="1">
        <f>'Raw Data'!T61/Inv_SY!S$2</f>
        <v>3.0234984576301946</v>
      </c>
      <c r="T61" s="1">
        <f>'Raw Data'!U61/Inv_SY!T$2</f>
        <v>2.8555673195694369</v>
      </c>
      <c r="U61" s="1">
        <f>'Raw Data'!V61/Inv_SY!U$2</f>
        <v>2.888065407917181</v>
      </c>
      <c r="V61" s="1">
        <f>'Raw Data'!W61/Inv_SY!V$2</f>
        <v>3.0010391152675724</v>
      </c>
      <c r="W61" s="1">
        <f>'Raw Data'!X61/Inv_SY!W$2</f>
        <v>2.9423369317317927</v>
      </c>
      <c r="X61" s="1">
        <f>'Raw Data'!Y61/Inv_SY!X$2</f>
        <v>2.9111482099795958</v>
      </c>
      <c r="Y61" s="1">
        <f t="shared" si="6"/>
        <v>2.9515080856596536</v>
      </c>
      <c r="Z61" s="1">
        <f t="shared" si="7"/>
        <v>3.0010391152675724</v>
      </c>
    </row>
    <row r="62" spans="1:26" x14ac:dyDescent="0.3">
      <c r="A62" s="55" t="s">
        <v>1232</v>
      </c>
      <c r="B62" s="55">
        <v>31</v>
      </c>
      <c r="C62" s="121">
        <f>YEAR(Table12[[#This Row],[Date]])</f>
        <v>2025</v>
      </c>
      <c r="D62" s="55" t="s">
        <v>329</v>
      </c>
      <c r="E62" s="55" t="s">
        <v>329</v>
      </c>
      <c r="F62" s="122" t="str">
        <f>TEXT(Table12[[#This Row],[Date]],"mmm-yy")</f>
        <v>May-25</v>
      </c>
      <c r="G62" s="121">
        <f t="shared" si="5"/>
        <v>31</v>
      </c>
      <c r="H62" s="123">
        <f t="shared" si="3"/>
        <v>45803</v>
      </c>
      <c r="I62" s="1">
        <v>8.0208999999999993</v>
      </c>
      <c r="J62" s="1">
        <f>'Raw Data'!K62/Inv_SY!J$2</f>
        <v>3.1496415770609318</v>
      </c>
      <c r="K62" s="1">
        <f>'Raw Data'!L62/Inv_SY!K$2</f>
        <v>3.1508363201911589</v>
      </c>
      <c r="L62" s="1">
        <f>'Raw Data'!M62/Inv_SY!L$2</f>
        <v>0</v>
      </c>
      <c r="M62" s="1">
        <f>'Raw Data'!N62/Inv_SY!M$2</f>
        <v>3.2799823633156966</v>
      </c>
      <c r="N62" s="1">
        <f>'Raw Data'!O62/Inv_SY!N$2</f>
        <v>3.0771098967820283</v>
      </c>
      <c r="O62" s="1">
        <f>'Raw Data'!P62/Inv_SY!O$2</f>
        <v>3.0604128718882819</v>
      </c>
      <c r="P62" s="1">
        <f>'Raw Data'!Q62/Inv_SY!P$2</f>
        <v>3.2144808743169397</v>
      </c>
      <c r="Q62" s="1">
        <f>'Raw Data'!R62/Inv_SY!Q$2</f>
        <v>0</v>
      </c>
      <c r="R62" s="1">
        <f>'Raw Data'!S62/Inv_SY!R$2</f>
        <v>2.3557520543051091</v>
      </c>
      <c r="S62" s="1">
        <f>'Raw Data'!T62/Inv_SY!S$2</f>
        <v>2.4020141535111597</v>
      </c>
      <c r="T62" s="1">
        <f>'Raw Data'!U62/Inv_SY!T$2</f>
        <v>2.3389800599964703</v>
      </c>
      <c r="U62" s="1">
        <f>'Raw Data'!V62/Inv_SY!U$2</f>
        <v>2.4911769895888471</v>
      </c>
      <c r="V62" s="1">
        <f>'Raw Data'!W62/Inv_SY!V$2</f>
        <v>2.393861797669413</v>
      </c>
      <c r="W62" s="1">
        <f>'Raw Data'!X62/Inv_SY!W$2</f>
        <v>2.341911205716892</v>
      </c>
      <c r="X62" s="1">
        <f>'Raw Data'!Y62/Inv_SY!X$2</f>
        <v>2.3949916527545914</v>
      </c>
      <c r="Y62" s="1">
        <f t="shared" si="6"/>
        <v>2.3769215520469653</v>
      </c>
      <c r="Z62" s="1">
        <f t="shared" si="7"/>
        <v>2.3949916527545914</v>
      </c>
    </row>
    <row r="63" spans="1:26" x14ac:dyDescent="0.3">
      <c r="A63" s="55" t="s">
        <v>1233</v>
      </c>
      <c r="B63" s="55">
        <v>32</v>
      </c>
      <c r="C63" s="121">
        <f>YEAR(Table12[[#This Row],[Date]])</f>
        <v>2025</v>
      </c>
      <c r="D63" s="55" t="s">
        <v>329</v>
      </c>
      <c r="E63" s="55" t="s">
        <v>329</v>
      </c>
      <c r="F63" s="122" t="str">
        <f>TEXT(Table12[[#This Row],[Date]],"mmm-yy")</f>
        <v>May-25</v>
      </c>
      <c r="G63" s="121">
        <f t="shared" si="5"/>
        <v>31</v>
      </c>
      <c r="H63" s="123">
        <f t="shared" si="3"/>
        <v>45804</v>
      </c>
      <c r="I63" s="1">
        <v>8.0208999999999993</v>
      </c>
      <c r="J63" s="1">
        <f>'Raw Data'!K63/Inv_SY!J$2</f>
        <v>3.3640979689366786</v>
      </c>
      <c r="K63" s="1">
        <f>'Raw Data'!L63/Inv_SY!K$2</f>
        <v>3.2834528076463556</v>
      </c>
      <c r="L63" s="1">
        <f>'Raw Data'!M63/Inv_SY!L$2</f>
        <v>0</v>
      </c>
      <c r="M63" s="1">
        <f>'Raw Data'!N63/Inv_SY!M$2</f>
        <v>3.2353027630805413</v>
      </c>
      <c r="N63" s="1">
        <f>'Raw Data'!O63/Inv_SY!N$2</f>
        <v>3.3313600485731634</v>
      </c>
      <c r="O63" s="1">
        <f>'Raw Data'!P63/Inv_SY!O$2</f>
        <v>3.2352762598664242</v>
      </c>
      <c r="P63" s="1">
        <f>'Raw Data'!Q63/Inv_SY!P$2</f>
        <v>3.2289010321797207</v>
      </c>
      <c r="Q63" s="1">
        <f>'Raw Data'!R63/Inv_SY!Q$2</f>
        <v>0</v>
      </c>
      <c r="R63" s="1">
        <f>'Raw Data'!S63/Inv_SY!R$2</f>
        <v>2.5192032868881742</v>
      </c>
      <c r="S63" s="1">
        <f>'Raw Data'!T63/Inv_SY!S$2</f>
        <v>2.6052440573398661</v>
      </c>
      <c r="T63" s="1">
        <f>'Raw Data'!U63/Inv_SY!T$2</f>
        <v>2.5361743426857242</v>
      </c>
      <c r="U63" s="1">
        <f>'Raw Data'!V63/Inv_SY!U$2</f>
        <v>2.4776483736250809</v>
      </c>
      <c r="V63" s="1">
        <f>'Raw Data'!W63/Inv_SY!V$2</f>
        <v>2.4688265419728346</v>
      </c>
      <c r="W63" s="1">
        <f>'Raw Data'!X63/Inv_SY!W$2</f>
        <v>2.4529800821043026</v>
      </c>
      <c r="X63" s="1">
        <f>'Raw Data'!Y63/Inv_SY!X$2</f>
        <v>2.5319235763309216</v>
      </c>
      <c r="Y63" s="1">
        <f t="shared" si="6"/>
        <v>2.4845767334693529</v>
      </c>
      <c r="Z63" s="1">
        <f t="shared" si="7"/>
        <v>2.5319235763309216</v>
      </c>
    </row>
    <row r="64" spans="1:26" x14ac:dyDescent="0.3">
      <c r="A64" s="55" t="s">
        <v>1234</v>
      </c>
      <c r="B64" s="55">
        <v>33</v>
      </c>
      <c r="C64" s="121">
        <f>YEAR(Table12[[#This Row],[Date]])</f>
        <v>2025</v>
      </c>
      <c r="D64" s="55" t="s">
        <v>329</v>
      </c>
      <c r="E64" s="55" t="s">
        <v>329</v>
      </c>
      <c r="F64" s="122" t="str">
        <f>TEXT(Table12[[#This Row],[Date]],"mmm-yy")</f>
        <v>May-25</v>
      </c>
      <c r="G64" s="121">
        <f t="shared" si="5"/>
        <v>31</v>
      </c>
      <c r="H64" s="123">
        <f t="shared" si="3"/>
        <v>45805</v>
      </c>
      <c r="I64" s="1">
        <v>8.0208999999999993</v>
      </c>
      <c r="J64" s="1">
        <f>'Raw Data'!K64/Inv_SY!J$2</f>
        <v>3.686827956989247</v>
      </c>
      <c r="K64" s="1">
        <f>'Raw Data'!L64/Inv_SY!K$2</f>
        <v>3.7101254480286738</v>
      </c>
      <c r="L64" s="1">
        <f>'Raw Data'!M64/Inv_SY!L$2</f>
        <v>0</v>
      </c>
      <c r="M64" s="1">
        <f>'Raw Data'!N64/Inv_SY!M$2</f>
        <v>3.7617577895355674</v>
      </c>
      <c r="N64" s="1">
        <f>'Raw Data'!O64/Inv_SY!N$2</f>
        <v>3.6000303582270794</v>
      </c>
      <c r="O64" s="1">
        <f>'Raw Data'!P64/Inv_SY!O$2</f>
        <v>3.6851851851851856</v>
      </c>
      <c r="P64" s="1">
        <f>'Raw Data'!Q64/Inv_SY!P$2</f>
        <v>3.5564663023679421</v>
      </c>
      <c r="Q64" s="1">
        <f>'Raw Data'!R64/Inv_SY!Q$2</f>
        <v>0</v>
      </c>
      <c r="R64" s="1">
        <f>'Raw Data'!S64/Inv_SY!R$2</f>
        <v>2.7998094557580089</v>
      </c>
      <c r="S64" s="1">
        <f>'Raw Data'!T64/Inv_SY!S$2</f>
        <v>2.8095324502510133</v>
      </c>
      <c r="T64" s="1">
        <f>'Raw Data'!U64/Inv_SY!T$2</f>
        <v>2.7652785130286452</v>
      </c>
      <c r="U64" s="1">
        <f>'Raw Data'!V64/Inv_SY!U$2</f>
        <v>2.8949767660725838</v>
      </c>
      <c r="V64" s="1">
        <f>'Raw Data'!W64/Inv_SY!V$2</f>
        <v>2.787983374155719</v>
      </c>
      <c r="W64" s="1">
        <f>'Raw Data'!X64/Inv_SY!W$2</f>
        <v>2.7149536262733767</v>
      </c>
      <c r="X64" s="1">
        <f>'Raw Data'!Y64/Inv_SY!X$2</f>
        <v>2.8150621406047116</v>
      </c>
      <c r="Y64" s="1">
        <f t="shared" si="6"/>
        <v>2.7726663803446026</v>
      </c>
      <c r="Z64" s="1">
        <f t="shared" si="7"/>
        <v>2.8150621406047116</v>
      </c>
    </row>
    <row r="65" spans="1:26" x14ac:dyDescent="0.3">
      <c r="A65" s="55" t="s">
        <v>1235</v>
      </c>
      <c r="B65" s="55">
        <v>34</v>
      </c>
      <c r="C65" s="121">
        <f>YEAR(Table12[[#This Row],[Date]])</f>
        <v>2025</v>
      </c>
      <c r="D65" s="55" t="s">
        <v>329</v>
      </c>
      <c r="E65" s="55" t="s">
        <v>329</v>
      </c>
      <c r="F65" s="122" t="str">
        <f>TEXT(Table12[[#This Row],[Date]],"mmm-yy")</f>
        <v>May-25</v>
      </c>
      <c r="G65" s="121">
        <f t="shared" si="5"/>
        <v>31</v>
      </c>
      <c r="H65" s="123">
        <f t="shared" si="3"/>
        <v>45806</v>
      </c>
      <c r="I65" s="1">
        <v>8.0208999999999993</v>
      </c>
      <c r="J65" s="1">
        <f>'Raw Data'!K65/Inv_SY!J$2</f>
        <v>3.1511350059737158</v>
      </c>
      <c r="K65" s="1">
        <f>'Raw Data'!L65/Inv_SY!K$2</f>
        <v>3.1499402628434883</v>
      </c>
      <c r="L65" s="1">
        <f>'Raw Data'!M65/Inv_SY!L$2</f>
        <v>0</v>
      </c>
      <c r="M65" s="1">
        <f>'Raw Data'!N65/Inv_SY!M$2</f>
        <v>3.2355967078189303</v>
      </c>
      <c r="N65" s="1">
        <f>'Raw Data'!O65/Inv_SY!N$2</f>
        <v>3.0801457194899822</v>
      </c>
      <c r="O65" s="1">
        <f>'Raw Data'!P65/Inv_SY!O$2</f>
        <v>3.0634486945962358</v>
      </c>
      <c r="P65" s="1">
        <f>'Raw Data'!Q65/Inv_SY!P$2</f>
        <v>3.1944444444444446</v>
      </c>
      <c r="Q65" s="1">
        <f>'Raw Data'!R65/Inv_SY!Q$2</f>
        <v>0</v>
      </c>
      <c r="R65" s="1">
        <f>'Raw Data'!S65/Inv_SY!R$2</f>
        <v>2.5008931761343338</v>
      </c>
      <c r="S65" s="1">
        <f>'Raw Data'!T65/Inv_SY!S$2</f>
        <v>2.4035262807717901</v>
      </c>
      <c r="T65" s="1">
        <f>'Raw Data'!U65/Inv_SY!T$2</f>
        <v>2.3373625080877591</v>
      </c>
      <c r="U65" s="1">
        <f>'Raw Data'!V65/Inv_SY!U$2</f>
        <v>2.324127992471031</v>
      </c>
      <c r="V65" s="1">
        <f>'Raw Data'!W65/Inv_SY!V$2</f>
        <v>2.3828026423216806</v>
      </c>
      <c r="W65" s="1">
        <f>'Raw Data'!X65/Inv_SY!W$2</f>
        <v>2.3384141705944956</v>
      </c>
      <c r="X65" s="1">
        <f>'Raw Data'!Y65/Inv_SY!X$2</f>
        <v>2.3889816360601004</v>
      </c>
      <c r="Y65" s="1">
        <f t="shared" si="6"/>
        <v>2.3700661496587592</v>
      </c>
      <c r="Z65" s="1">
        <f t="shared" si="7"/>
        <v>2.3889816360601004</v>
      </c>
    </row>
    <row r="66" spans="1:26" x14ac:dyDescent="0.3">
      <c r="A66" s="55" t="s">
        <v>1236</v>
      </c>
      <c r="B66" s="55">
        <v>35</v>
      </c>
      <c r="C66" s="121">
        <f>YEAR(Table12[[#This Row],[Date]])</f>
        <v>2025</v>
      </c>
      <c r="D66" s="55" t="s">
        <v>329</v>
      </c>
      <c r="E66" s="55" t="s">
        <v>329</v>
      </c>
      <c r="F66" s="122" t="str">
        <f>TEXT(Table12[[#This Row],[Date]],"mmm-yy")</f>
        <v>May-25</v>
      </c>
      <c r="G66" s="121">
        <f t="shared" si="5"/>
        <v>31</v>
      </c>
      <c r="H66" s="123">
        <f t="shared" si="3"/>
        <v>45807</v>
      </c>
      <c r="I66" s="1">
        <v>8.0208999999999993</v>
      </c>
      <c r="J66" s="1">
        <f>'Raw Data'!K66/Inv_SY!J$2</f>
        <v>6.0757168458781363</v>
      </c>
      <c r="K66" s="1">
        <f>'Raw Data'!L66/Inv_SY!K$2</f>
        <v>5.9780465949820787</v>
      </c>
      <c r="L66" s="1">
        <f>'Raw Data'!M66/Inv_SY!L$2</f>
        <v>0</v>
      </c>
      <c r="M66" s="1">
        <f>'Raw Data'!N66/Inv_SY!M$2</f>
        <v>5.8877131099353326</v>
      </c>
      <c r="N66" s="1">
        <f>'Raw Data'!O66/Inv_SY!N$2</f>
        <v>5.9326047358834249</v>
      </c>
      <c r="O66" s="1">
        <f>'Raw Data'!P66/Inv_SY!O$2</f>
        <v>5.7921979356405595</v>
      </c>
      <c r="P66" s="1">
        <f>'Raw Data'!Q66/Inv_SY!P$2</f>
        <v>5.8003946569520348</v>
      </c>
      <c r="Q66" s="1">
        <f>'Raw Data'!R66/Inv_SY!Q$2</f>
        <v>0</v>
      </c>
      <c r="R66" s="1">
        <f>'Raw Data'!S66/Inv_SY!R$2</f>
        <v>4.4920805049422414</v>
      </c>
      <c r="S66" s="1">
        <f>'Raw Data'!T66/Inv_SY!S$2</f>
        <v>4.6813947861852059</v>
      </c>
      <c r="T66" s="1">
        <f>'Raw Data'!U66/Inv_SY!T$2</f>
        <v>4.4369448855949649</v>
      </c>
      <c r="U66" s="1">
        <f>'Raw Data'!V66/Inv_SY!U$2</f>
        <v>4.4073878007176042</v>
      </c>
      <c r="V66" s="1">
        <f>'Raw Data'!W66/Inv_SY!V$2</f>
        <v>4.4820010391152678</v>
      </c>
      <c r="W66" s="1">
        <f>'Raw Data'!X66/Inv_SY!W$2</f>
        <v>4.3886270336019457</v>
      </c>
      <c r="X66" s="1">
        <f>'Raw Data'!Y66/Inv_SY!X$2</f>
        <v>4.4993507698015209</v>
      </c>
      <c r="Y66" s="1">
        <f t="shared" si="6"/>
        <v>4.4566596141729109</v>
      </c>
      <c r="Z66" s="1">
        <f t="shared" si="7"/>
        <v>4.4993507698015209</v>
      </c>
    </row>
    <row r="67" spans="1:26" x14ac:dyDescent="0.3">
      <c r="A67" s="55" t="s">
        <v>1237</v>
      </c>
      <c r="B67" s="55">
        <v>36</v>
      </c>
      <c r="C67" s="121">
        <f>YEAR(Table12[[#This Row],[Date]])</f>
        <v>2025</v>
      </c>
      <c r="D67" s="55" t="s">
        <v>329</v>
      </c>
      <c r="E67" s="55" t="s">
        <v>329</v>
      </c>
      <c r="F67" s="122" t="str">
        <f>TEXT(Table12[[#This Row],[Date]],"mmm-yy")</f>
        <v>May-25</v>
      </c>
      <c r="G67" s="121">
        <f t="shared" si="5"/>
        <v>31</v>
      </c>
      <c r="H67" s="123">
        <f t="shared" si="3"/>
        <v>45808</v>
      </c>
      <c r="I67" s="1">
        <v>8.0208999999999993</v>
      </c>
      <c r="J67" s="1">
        <f>'Raw Data'!K67/Inv_SY!J$2</f>
        <v>6.6530764635603337</v>
      </c>
      <c r="K67" s="1">
        <f>'Raw Data'!L67/Inv_SY!K$2</f>
        <v>6.7794205495818396</v>
      </c>
      <c r="L67" s="1">
        <f>'Raw Data'!M67/Inv_SY!L$2</f>
        <v>0</v>
      </c>
      <c r="M67" s="1">
        <f>'Raw Data'!N67/Inv_SY!M$2</f>
        <v>6.5536449147560267</v>
      </c>
      <c r="N67" s="1">
        <f>'Raw Data'!O67/Inv_SY!N$2</f>
        <v>6.6792653309046761</v>
      </c>
      <c r="O67" s="1">
        <f>'Raw Data'!P67/Inv_SY!O$2</f>
        <v>6.5054644808743181</v>
      </c>
      <c r="P67" s="1">
        <f>'Raw Data'!Q67/Inv_SY!P$2</f>
        <v>6.5176077717061327</v>
      </c>
      <c r="Q67" s="1">
        <f>'Raw Data'!R67/Inv_SY!Q$2</f>
        <v>0</v>
      </c>
      <c r="R67" s="1">
        <f>'Raw Data'!S67/Inv_SY!R$2</f>
        <v>5.0519530784804099</v>
      </c>
      <c r="S67" s="1">
        <f>'Raw Data'!T67/Inv_SY!S$2</f>
        <v>5.1507590878848371</v>
      </c>
      <c r="T67" s="1">
        <f>'Raw Data'!U67/Inv_SY!T$2</f>
        <v>5.1120522322216333</v>
      </c>
      <c r="U67" s="1">
        <f>'Raw Data'!V67/Inv_SY!U$2</f>
        <v>4.9525027939532968</v>
      </c>
      <c r="V67" s="1">
        <f>'Raw Data'!W67/Inv_SY!V$2</f>
        <v>4.9927633043865507</v>
      </c>
      <c r="W67" s="1">
        <f>'Raw Data'!X67/Inv_SY!W$2</f>
        <v>4.933822411433785</v>
      </c>
      <c r="X67" s="1">
        <f>'Raw Data'!Y67/Inv_SY!X$2</f>
        <v>5.0618809126321649</v>
      </c>
      <c r="Y67" s="1">
        <f t="shared" si="6"/>
        <v>4.9961555428175002</v>
      </c>
      <c r="Z67" s="1">
        <f t="shared" si="7"/>
        <v>5.0618809126321649</v>
      </c>
    </row>
    <row r="68" spans="1:26" x14ac:dyDescent="0.3">
      <c r="A68" s="55" t="s">
        <v>1238</v>
      </c>
      <c r="B68" s="55">
        <v>37</v>
      </c>
      <c r="C68" s="121">
        <f>YEAR(Table12[[#This Row],[Date]])</f>
        <v>2025</v>
      </c>
      <c r="D68" s="55" t="s">
        <v>329</v>
      </c>
      <c r="E68" s="55" t="s">
        <v>329</v>
      </c>
      <c r="F68" s="122" t="str">
        <f>TEXT(Table12[[#This Row],[Date]],"mmm-yy")</f>
        <v>Jun-25</v>
      </c>
      <c r="G68" s="121">
        <f t="shared" si="5"/>
        <v>30</v>
      </c>
      <c r="H68" s="123">
        <f t="shared" si="3"/>
        <v>45809</v>
      </c>
      <c r="I68" s="1">
        <v>8.0208999999999993</v>
      </c>
      <c r="J68" s="1">
        <f>'Raw Data'!K68/Inv_SY!J$2</f>
        <v>6.4307048984468338</v>
      </c>
      <c r="K68" s="1">
        <f>'Raw Data'!L68/Inv_SY!K$2</f>
        <v>6.4304062126642769</v>
      </c>
      <c r="L68" s="1">
        <f>'Raw Data'!M68/Inv_SY!L$2</f>
        <v>0</v>
      </c>
      <c r="M68" s="1">
        <f>'Raw Data'!N68/Inv_SY!M$2</f>
        <v>6.4523809523809526</v>
      </c>
      <c r="N68" s="1">
        <f>'Raw Data'!O68/Inv_SY!N$2</f>
        <v>6.3207346690953257</v>
      </c>
      <c r="O68" s="1">
        <f>'Raw Data'!P68/Inv_SY!O$2</f>
        <v>6.4072556162720105</v>
      </c>
      <c r="P68" s="1">
        <f>'Raw Data'!Q68/Inv_SY!P$2</f>
        <v>6.2899210686095941</v>
      </c>
      <c r="Q68" s="1">
        <f>'Raw Data'!R68/Inv_SY!Q$2</f>
        <v>0</v>
      </c>
      <c r="R68" s="1">
        <f>'Raw Data'!S68/Inv_SY!R$2</f>
        <v>4.9413481005120881</v>
      </c>
      <c r="S68" s="1">
        <f>'Raw Data'!T68/Inv_SY!S$2</f>
        <v>5.0370471178854412</v>
      </c>
      <c r="T68" s="1">
        <f>'Raw Data'!U68/Inv_SY!T$2</f>
        <v>4.8786836068466553</v>
      </c>
      <c r="U68" s="1">
        <f>'Raw Data'!V68/Inv_SY!U$2</f>
        <v>4.9588259514146218</v>
      </c>
      <c r="V68" s="1">
        <f>'Raw Data'!W68/Inv_SY!V$2</f>
        <v>4.825205967490537</v>
      </c>
      <c r="W68" s="1">
        <f>'Raw Data'!X68/Inv_SY!W$2</f>
        <v>4.762429679185038</v>
      </c>
      <c r="X68" s="1">
        <f>'Raw Data'!Y68/Inv_SY!X$2</f>
        <v>4.9491374513077355</v>
      </c>
      <c r="Y68" s="1">
        <f t="shared" si="6"/>
        <v>4.8455910326611038</v>
      </c>
      <c r="Z68" s="1">
        <f t="shared" si="7"/>
        <v>4.9491374513077355</v>
      </c>
    </row>
    <row r="69" spans="1:26" x14ac:dyDescent="0.3">
      <c r="A69" s="55" t="s">
        <v>1239</v>
      </c>
      <c r="B69" s="55">
        <v>38</v>
      </c>
      <c r="C69" s="121">
        <f>YEAR(Table12[[#This Row],[Date]])</f>
        <v>2025</v>
      </c>
      <c r="D69" s="55" t="s">
        <v>329</v>
      </c>
      <c r="E69" s="55" t="s">
        <v>329</v>
      </c>
      <c r="F69" s="122" t="str">
        <f>TEXT(Table12[[#This Row],[Date]],"mmm-yy")</f>
        <v>Jun-25</v>
      </c>
      <c r="G69" s="121">
        <f t="shared" si="5"/>
        <v>30</v>
      </c>
      <c r="H69" s="123">
        <f t="shared" ref="H69:H132" si="8">H68+1</f>
        <v>45810</v>
      </c>
      <c r="I69" s="1">
        <v>8.0208999999999993</v>
      </c>
      <c r="J69" s="1">
        <f>'Raw Data'!K69/Inv_SY!J$2</f>
        <v>5.3337813620071683</v>
      </c>
      <c r="K69" s="1">
        <f>'Raw Data'!L69/Inv_SY!K$2</f>
        <v>5.331989247311828</v>
      </c>
      <c r="L69" s="1">
        <f>'Raw Data'!M69/Inv_SY!L$2</f>
        <v>0</v>
      </c>
      <c r="M69" s="1">
        <f>'Raw Data'!N69/Inv_SY!M$2</f>
        <v>5.3725749559082896</v>
      </c>
      <c r="N69" s="1">
        <f>'Raw Data'!O69/Inv_SY!N$2</f>
        <v>5.2443837279902858</v>
      </c>
      <c r="O69" s="1">
        <f>'Raw Data'!P69/Inv_SY!O$2</f>
        <v>5.2114450516089867</v>
      </c>
      <c r="P69" s="1">
        <f>'Raw Data'!Q69/Inv_SY!P$2</f>
        <v>5.344869459623558</v>
      </c>
      <c r="Q69" s="1">
        <f>'Raw Data'!R69/Inv_SY!Q$2</f>
        <v>0</v>
      </c>
      <c r="R69" s="1">
        <f>'Raw Data'!S69/Inv_SY!R$2</f>
        <v>4.338454209836847</v>
      </c>
      <c r="S69" s="1">
        <f>'Raw Data'!T69/Inv_SY!S$2</f>
        <v>4.2970120365329949</v>
      </c>
      <c r="T69" s="1">
        <f>'Raw Data'!U69/Inv_SY!T$2</f>
        <v>4.1631374625022053</v>
      </c>
      <c r="U69" s="1">
        <f>'Raw Data'!V69/Inv_SY!U$2</f>
        <v>4.1341685783189224</v>
      </c>
      <c r="V69" s="1">
        <f>'Raw Data'!W69/Inv_SY!V$2</f>
        <v>4.007014028056112</v>
      </c>
      <c r="W69" s="1">
        <f>'Raw Data'!X69/Inv_SY!W$2</f>
        <v>3.9567812072373418</v>
      </c>
      <c r="X69" s="1">
        <f>'Raw Data'!Y69/Inv_SY!X$2</f>
        <v>4.228751623075496</v>
      </c>
      <c r="Y69" s="1">
        <f t="shared" si="6"/>
        <v>4.0641822861229828</v>
      </c>
      <c r="Z69" s="1">
        <f t="shared" si="7"/>
        <v>4.228751623075496</v>
      </c>
    </row>
    <row r="70" spans="1:26" x14ac:dyDescent="0.3">
      <c r="A70" s="55" t="s">
        <v>1240</v>
      </c>
      <c r="B70" s="55">
        <v>39</v>
      </c>
      <c r="C70" s="121">
        <f>YEAR(Table12[[#This Row],[Date]])</f>
        <v>2025</v>
      </c>
      <c r="D70" s="55" t="s">
        <v>329</v>
      </c>
      <c r="E70" s="55" t="s">
        <v>329</v>
      </c>
      <c r="F70" s="122" t="str">
        <f>TEXT(Table12[[#This Row],[Date]],"mmm-yy")</f>
        <v>Jun-25</v>
      </c>
      <c r="G70" s="121">
        <f t="shared" si="5"/>
        <v>30</v>
      </c>
      <c r="H70" s="123">
        <f t="shared" si="8"/>
        <v>45811</v>
      </c>
      <c r="I70" s="1">
        <v>8.0208999999999993</v>
      </c>
      <c r="J70" s="1">
        <f>'Raw Data'!K70/Inv_SY!J$2</f>
        <v>6.1076762246117076</v>
      </c>
      <c r="K70" s="1">
        <f>'Raw Data'!L70/Inv_SY!K$2</f>
        <v>6.0061230585424132</v>
      </c>
      <c r="L70" s="1">
        <f>'Raw Data'!M70/Inv_SY!L$2</f>
        <v>0</v>
      </c>
      <c r="M70" s="1">
        <f>'Raw Data'!N70/Inv_SY!M$2</f>
        <v>5.9131393298059969</v>
      </c>
      <c r="N70" s="1">
        <f>'Raw Data'!O70/Inv_SY!N$2</f>
        <v>6.0346083788706739</v>
      </c>
      <c r="O70" s="1">
        <f>'Raw Data'!P70/Inv_SY!O$2</f>
        <v>5.8776563448694601</v>
      </c>
      <c r="P70" s="1">
        <f>'Raw Data'!Q70/Inv_SY!P$2</f>
        <v>5.8849423193685491</v>
      </c>
      <c r="Q70" s="1">
        <f>'Raw Data'!R70/Inv_SY!Q$2</f>
        <v>0</v>
      </c>
      <c r="R70" s="1">
        <f>'Raw Data'!S70/Inv_SY!R$2</f>
        <v>4.6549362867690842</v>
      </c>
      <c r="S70" s="1">
        <f>'Raw Data'!T70/Inv_SY!S$2</f>
        <v>4.7529184056130163</v>
      </c>
      <c r="T70" s="1">
        <f>'Raw Data'!U70/Inv_SY!T$2</f>
        <v>4.6723722133992114</v>
      </c>
      <c r="U70" s="1">
        <f>'Raw Data'!V70/Inv_SY!U$2</f>
        <v>4.5539968237162514</v>
      </c>
      <c r="V70" s="1">
        <f>'Raw Data'!W70/Inv_SY!V$2</f>
        <v>4.5033400133600541</v>
      </c>
      <c r="W70" s="1">
        <f>'Raw Data'!X70/Inv_SY!W$2</f>
        <v>4.4567431959860109</v>
      </c>
      <c r="X70" s="1">
        <f>'Raw Data'!Y70/Inv_SY!X$2</f>
        <v>4.6538675570395105</v>
      </c>
      <c r="Y70" s="1">
        <f t="shared" si="6"/>
        <v>4.5379835887951918</v>
      </c>
      <c r="Z70" s="1">
        <f t="shared" si="7"/>
        <v>4.6538675570395105</v>
      </c>
    </row>
    <row r="71" spans="1:26" x14ac:dyDescent="0.3">
      <c r="A71" s="55" t="s">
        <v>1241</v>
      </c>
      <c r="B71" s="55">
        <v>40</v>
      </c>
      <c r="C71" s="121">
        <f>YEAR(Table12[[#This Row],[Date]])</f>
        <v>2025</v>
      </c>
      <c r="D71" s="55" t="s">
        <v>329</v>
      </c>
      <c r="E71" s="55" t="s">
        <v>329</v>
      </c>
      <c r="F71" s="122" t="str">
        <f>TEXT(Table12[[#This Row],[Date]],"mmm-yy")</f>
        <v>Jun-25</v>
      </c>
      <c r="G71" s="121">
        <f t="shared" si="5"/>
        <v>30</v>
      </c>
      <c r="H71" s="123">
        <f t="shared" si="8"/>
        <v>45812</v>
      </c>
      <c r="I71" s="1">
        <v>8.0208999999999993</v>
      </c>
      <c r="J71" s="1">
        <f>'Raw Data'!K71/Inv_SY!J$2</f>
        <v>6.8397550776583023</v>
      </c>
      <c r="K71" s="1">
        <f>'Raw Data'!L71/Inv_SY!K$2</f>
        <v>6.9572879330943849</v>
      </c>
      <c r="L71" s="1">
        <f>'Raw Data'!M71/Inv_SY!L$2</f>
        <v>0</v>
      </c>
      <c r="M71" s="1">
        <f>'Raw Data'!N71/Inv_SY!M$2</f>
        <v>6.7332451499118173</v>
      </c>
      <c r="N71" s="1">
        <f>'Raw Data'!O71/Inv_SY!N$2</f>
        <v>6.8460837887067401</v>
      </c>
      <c r="O71" s="1">
        <f>'Raw Data'!P71/Inv_SY!O$2</f>
        <v>6.6745598057073465</v>
      </c>
      <c r="P71" s="1">
        <f>'Raw Data'!Q71/Inv_SY!P$2</f>
        <v>6.6868548876745608</v>
      </c>
      <c r="Q71" s="1">
        <f>'Raw Data'!R71/Inv_SY!Q$2</f>
        <v>0</v>
      </c>
      <c r="R71" s="1">
        <f>'Raw Data'!S71/Inv_SY!R$2</f>
        <v>5.2280576396332021</v>
      </c>
      <c r="S71" s="1">
        <f>'Raw Data'!T71/Inv_SY!S$2</f>
        <v>5.3163370229238502</v>
      </c>
      <c r="T71" s="1">
        <f>'Raw Data'!U71/Inv_SY!T$2</f>
        <v>5.262337509558261</v>
      </c>
      <c r="U71" s="1">
        <f>'Raw Data'!V71/Inv_SY!U$2</f>
        <v>5.108228927710134</v>
      </c>
      <c r="V71" s="1">
        <f>'Raw Data'!W71/Inv_SY!V$2</f>
        <v>5.128701848140726</v>
      </c>
      <c r="W71" s="1">
        <f>'Raw Data'!X71/Inv_SY!W$2</f>
        <v>5.060323855861335</v>
      </c>
      <c r="X71" s="1">
        <f>'Raw Data'!Y71/Inv_SY!X$2</f>
        <v>5.2235948803561492</v>
      </c>
      <c r="Y71" s="1">
        <f t="shared" si="6"/>
        <v>5.1375401947860704</v>
      </c>
      <c r="Z71" s="1">
        <f t="shared" si="7"/>
        <v>5.2235948803561492</v>
      </c>
    </row>
    <row r="72" spans="1:26" x14ac:dyDescent="0.3">
      <c r="A72" s="55" t="s">
        <v>1242</v>
      </c>
      <c r="B72" s="55">
        <v>41</v>
      </c>
      <c r="C72" s="121">
        <f>YEAR(Table12[[#This Row],[Date]])</f>
        <v>2025</v>
      </c>
      <c r="D72" s="55" t="s">
        <v>329</v>
      </c>
      <c r="E72" s="55" t="s">
        <v>329</v>
      </c>
      <c r="F72" s="122" t="str">
        <f>TEXT(Table12[[#This Row],[Date]],"mmm-yy")</f>
        <v>Jun-25</v>
      </c>
      <c r="G72" s="121">
        <f t="shared" si="5"/>
        <v>30</v>
      </c>
      <c r="H72" s="123">
        <f t="shared" si="8"/>
        <v>45813</v>
      </c>
      <c r="I72" s="1">
        <v>8.0208999999999993</v>
      </c>
      <c r="J72" s="1">
        <f>'Raw Data'!K72/Inv_SY!J$2</f>
        <v>4.631720430107527</v>
      </c>
      <c r="K72" s="1">
        <f>'Raw Data'!L72/Inv_SY!K$2</f>
        <v>4.6287335722819591</v>
      </c>
      <c r="L72" s="1">
        <f>'Raw Data'!M72/Inv_SY!L$2</f>
        <v>0</v>
      </c>
      <c r="M72" s="1">
        <f>'Raw Data'!N72/Inv_SY!M$2</f>
        <v>4.6313932980599644</v>
      </c>
      <c r="N72" s="1">
        <f>'Raw Data'!O72/Inv_SY!N$2</f>
        <v>4.5235276259866426</v>
      </c>
      <c r="O72" s="1">
        <f>'Raw Data'!P72/Inv_SY!O$2</f>
        <v>4.5721007893139038</v>
      </c>
      <c r="P72" s="1">
        <f>'Raw Data'!Q72/Inv_SY!P$2</f>
        <v>4.4968123861566491</v>
      </c>
      <c r="Q72" s="1">
        <f>'Raw Data'!R72/Inv_SY!Q$2</f>
        <v>0</v>
      </c>
      <c r="R72" s="1">
        <f>'Raw Data'!S72/Inv_SY!R$2</f>
        <v>3.4882993926402288</v>
      </c>
      <c r="S72" s="1">
        <f>'Raw Data'!T72/Inv_SY!S$2</f>
        <v>3.5580354442629893</v>
      </c>
      <c r="T72" s="1">
        <f>'Raw Data'!U72/Inv_SY!T$2</f>
        <v>3.4458267160755249</v>
      </c>
      <c r="U72" s="1">
        <f>'Raw Data'!V72/Inv_SY!U$2</f>
        <v>3.4945003235103815</v>
      </c>
      <c r="V72" s="1">
        <f>'Raw Data'!W72/Inv_SY!V$2</f>
        <v>3.4706449936910859</v>
      </c>
      <c r="W72" s="1">
        <f>'Raw Data'!X72/Inv_SY!W$2</f>
        <v>3.4037935228827734</v>
      </c>
      <c r="X72" s="1">
        <f>'Raw Data'!Y72/Inv_SY!X$2</f>
        <v>3.4932294565015769</v>
      </c>
      <c r="Y72" s="1">
        <f t="shared" si="6"/>
        <v>3.4558893243584787</v>
      </c>
      <c r="Z72" s="1">
        <f t="shared" si="7"/>
        <v>3.4932294565015769</v>
      </c>
    </row>
    <row r="73" spans="1:26" x14ac:dyDescent="0.3">
      <c r="A73" s="55" t="s">
        <v>1243</v>
      </c>
      <c r="B73" s="55">
        <v>42</v>
      </c>
      <c r="C73" s="121">
        <f>YEAR(Table12[[#This Row],[Date]])</f>
        <v>2025</v>
      </c>
      <c r="D73" s="55" t="s">
        <v>329</v>
      </c>
      <c r="E73" s="55" t="s">
        <v>329</v>
      </c>
      <c r="F73" s="122" t="str">
        <f>TEXT(Table12[[#This Row],[Date]],"mmm-yy")</f>
        <v>Jun-25</v>
      </c>
      <c r="G73" s="121">
        <f t="shared" si="5"/>
        <v>30</v>
      </c>
      <c r="H73" s="123">
        <f t="shared" si="8"/>
        <v>45814</v>
      </c>
      <c r="I73" s="1">
        <v>8.0208999999999993</v>
      </c>
      <c r="J73" s="1">
        <f>'Raw Data'!K73/Inv_SY!J$2</f>
        <v>5.0077658303464752</v>
      </c>
      <c r="K73" s="1">
        <f>'Raw Data'!L73/Inv_SY!K$2</f>
        <v>5.007019115890083</v>
      </c>
      <c r="L73" s="1">
        <f>'Raw Data'!M73/Inv_SY!L$2</f>
        <v>0</v>
      </c>
      <c r="M73" s="1">
        <f>'Raw Data'!N73/Inv_SY!M$2</f>
        <v>5.034097589653145</v>
      </c>
      <c r="N73" s="1">
        <f>'Raw Data'!O73/Inv_SY!N$2</f>
        <v>4.8765938069216759</v>
      </c>
      <c r="O73" s="1">
        <f>'Raw Data'!P73/Inv_SY!O$2</f>
        <v>4.8465391621129328</v>
      </c>
      <c r="P73" s="1">
        <f>'Raw Data'!Q73/Inv_SY!P$2</f>
        <v>4.960989678202794</v>
      </c>
      <c r="Q73" s="1">
        <f>'Raw Data'!R73/Inv_SY!Q$2</f>
        <v>0</v>
      </c>
      <c r="R73" s="1">
        <f>'Raw Data'!S73/Inv_SY!R$2</f>
        <v>3.955132785518638</v>
      </c>
      <c r="S73" s="1">
        <f>'Raw Data'!T73/Inv_SY!S$2</f>
        <v>3.9260872195003937</v>
      </c>
      <c r="T73" s="1">
        <f>'Raw Data'!U73/Inv_SY!T$2</f>
        <v>3.8035997882477495</v>
      </c>
      <c r="U73" s="1">
        <f>'Raw Data'!V73/Inv_SY!U$2</f>
        <v>3.7761014057996585</v>
      </c>
      <c r="V73" s="1">
        <f>'Raw Data'!W73/Inv_SY!V$2</f>
        <v>3.7597788168930451</v>
      </c>
      <c r="W73" s="1">
        <f>'Raw Data'!X73/Inv_SY!W$2</f>
        <v>3.6771704424509659</v>
      </c>
      <c r="X73" s="1">
        <f>'Raw Data'!Y73/Inv_SY!X$2</f>
        <v>3.8611760341309589</v>
      </c>
      <c r="Y73" s="1">
        <f t="shared" si="6"/>
        <v>3.7660417644916571</v>
      </c>
      <c r="Z73" s="1">
        <f t="shared" si="7"/>
        <v>3.8611760341309589</v>
      </c>
    </row>
    <row r="74" spans="1:26" x14ac:dyDescent="0.3">
      <c r="A74" s="55" t="s">
        <v>1244</v>
      </c>
      <c r="B74" s="55">
        <v>43</v>
      </c>
      <c r="C74" s="121">
        <f>YEAR(Table12[[#This Row],[Date]])</f>
        <v>2025</v>
      </c>
      <c r="D74" s="55" t="s">
        <v>329</v>
      </c>
      <c r="E74" s="55" t="s">
        <v>329</v>
      </c>
      <c r="F74" s="122" t="str">
        <f>TEXT(Table12[[#This Row],[Date]],"mmm-yy")</f>
        <v>Jun-25</v>
      </c>
      <c r="G74" s="121">
        <f t="shared" si="5"/>
        <v>30</v>
      </c>
      <c r="H74" s="123">
        <f t="shared" si="8"/>
        <v>45815</v>
      </c>
      <c r="I74" s="1">
        <v>8.0208999999999993</v>
      </c>
      <c r="J74" s="1">
        <f>'Raw Data'!K74/Inv_SY!J$2</f>
        <v>4.3088410991636792</v>
      </c>
      <c r="K74" s="1">
        <f>'Raw Data'!L74/Inv_SY!K$2</f>
        <v>4.1735364396654715</v>
      </c>
      <c r="L74" s="1">
        <f>'Raw Data'!M74/Inv_SY!L$2</f>
        <v>0</v>
      </c>
      <c r="M74" s="1">
        <f>'Raw Data'!N74/Inv_SY!M$2</f>
        <v>4.1100823045267489</v>
      </c>
      <c r="N74" s="1">
        <f>'Raw Data'!O74/Inv_SY!N$2</f>
        <v>4.2243472981177899</v>
      </c>
      <c r="O74" s="1">
        <f>'Raw Data'!P74/Inv_SY!O$2</f>
        <v>4.0655737704918034</v>
      </c>
      <c r="P74" s="1">
        <f>'Raw Data'!Q74/Inv_SY!P$2</f>
        <v>4.0686095931997572</v>
      </c>
      <c r="Q74" s="1">
        <f>'Raw Data'!R74/Inv_SY!Q$2</f>
        <v>0</v>
      </c>
      <c r="R74" s="1">
        <f>'Raw Data'!S74/Inv_SY!R$2</f>
        <v>3.1937001309991664</v>
      </c>
      <c r="S74" s="1">
        <f>'Raw Data'!T74/Inv_SY!S$2</f>
        <v>3.2607512248230814</v>
      </c>
      <c r="T74" s="1">
        <f>'Raw Data'!U74/Inv_SY!T$2</f>
        <v>3.2815716722545729</v>
      </c>
      <c r="U74" s="1">
        <f>'Raw Data'!V74/Inv_SY!U$2</f>
        <v>3.1301099935297918</v>
      </c>
      <c r="V74" s="1">
        <f>'Raw Data'!W74/Inv_SY!V$2</f>
        <v>3.1456616937578858</v>
      </c>
      <c r="W74" s="1">
        <f>'Raw Data'!X74/Inv_SY!W$2</f>
        <v>3.0948000608180015</v>
      </c>
      <c r="X74" s="1">
        <f>'Raw Data'!Y74/Inv_SY!X$2</f>
        <v>3.213503988128362</v>
      </c>
      <c r="Y74" s="1">
        <f t="shared" si="6"/>
        <v>3.1513219142347499</v>
      </c>
      <c r="Z74" s="1">
        <f t="shared" si="7"/>
        <v>3.213503988128362</v>
      </c>
    </row>
    <row r="75" spans="1:26" x14ac:dyDescent="0.3">
      <c r="A75" s="55" t="s">
        <v>1245</v>
      </c>
      <c r="B75" s="55">
        <v>44</v>
      </c>
      <c r="C75" s="121">
        <f>YEAR(Table12[[#This Row],[Date]])</f>
        <v>2025</v>
      </c>
      <c r="D75" s="55" t="s">
        <v>329</v>
      </c>
      <c r="E75" s="55" t="s">
        <v>329</v>
      </c>
      <c r="F75" s="122" t="str">
        <f>TEXT(Table12[[#This Row],[Date]],"mmm-yy")</f>
        <v>Jun-25</v>
      </c>
      <c r="G75" s="121">
        <f t="shared" si="5"/>
        <v>30</v>
      </c>
      <c r="H75" s="123">
        <f t="shared" si="8"/>
        <v>45816</v>
      </c>
      <c r="I75" s="1">
        <v>8.0208999999999993</v>
      </c>
      <c r="J75" s="1">
        <f>'Raw Data'!K75/Inv_SY!J$2</f>
        <v>5.2925627240143367</v>
      </c>
      <c r="K75" s="1">
        <f>'Raw Data'!L75/Inv_SY!K$2</f>
        <v>5.4577359617682193</v>
      </c>
      <c r="L75" s="1">
        <f>'Raw Data'!M75/Inv_SY!L$2</f>
        <v>0</v>
      </c>
      <c r="M75" s="1">
        <f>'Raw Data'!N75/Inv_SY!M$2</f>
        <v>5.2095825984714876</v>
      </c>
      <c r="N75" s="1">
        <f>'Raw Data'!O75/Inv_SY!N$2</f>
        <v>5.3460837887067401</v>
      </c>
      <c r="O75" s="1">
        <f>'Raw Data'!P75/Inv_SY!O$2</f>
        <v>5.1328172434729815</v>
      </c>
      <c r="P75" s="1">
        <f>'Raw Data'!Q75/Inv_SY!P$2</f>
        <v>5.1385853066180944</v>
      </c>
      <c r="Q75" s="1">
        <f>'Raw Data'!R75/Inv_SY!Q$2</f>
        <v>0</v>
      </c>
      <c r="R75" s="1">
        <f>'Raw Data'!S75/Inv_SY!R$2</f>
        <v>4.0136358223174939</v>
      </c>
      <c r="S75" s="1">
        <f>'Raw Data'!T75/Inv_SY!S$2</f>
        <v>4.0939333454303517</v>
      </c>
      <c r="T75" s="1">
        <f>'Raw Data'!U75/Inv_SY!T$2</f>
        <v>4.1251985177342512</v>
      </c>
      <c r="U75" s="1">
        <f>'Raw Data'!V75/Inv_SY!U$2</f>
        <v>3.9387388977118989</v>
      </c>
      <c r="V75" s="1">
        <f>'Raw Data'!W75/Inv_SY!V$2</f>
        <v>3.9868626141171233</v>
      </c>
      <c r="W75" s="1">
        <f>'Raw Data'!X75/Inv_SY!W$2</f>
        <v>3.9109016268815564</v>
      </c>
      <c r="X75" s="1">
        <f>'Raw Data'!Y75/Inv_SY!X$2</f>
        <v>4.0391022073826752</v>
      </c>
      <c r="Y75" s="1">
        <f t="shared" si="6"/>
        <v>3.978955482793785</v>
      </c>
      <c r="Z75" s="1">
        <f t="shared" si="7"/>
        <v>4.0391022073826752</v>
      </c>
    </row>
    <row r="76" spans="1:26" x14ac:dyDescent="0.3">
      <c r="A76" s="55" t="s">
        <v>1246</v>
      </c>
      <c r="B76" s="55">
        <v>45</v>
      </c>
      <c r="C76" s="121">
        <f>YEAR(Table12[[#This Row],[Date]])</f>
        <v>2025</v>
      </c>
      <c r="D76" s="55" t="s">
        <v>329</v>
      </c>
      <c r="E76" s="55" t="s">
        <v>329</v>
      </c>
      <c r="F76" s="122" t="str">
        <f>TEXT(Table12[[#This Row],[Date]],"mmm-yy")</f>
        <v>Jun-25</v>
      </c>
      <c r="G76" s="121">
        <f t="shared" si="5"/>
        <v>30</v>
      </c>
      <c r="H76" s="123">
        <f t="shared" si="8"/>
        <v>45817</v>
      </c>
      <c r="I76" s="1">
        <v>8.0208999999999993</v>
      </c>
      <c r="J76" s="1">
        <f>'Raw Data'!K76/Inv_SY!J$2</f>
        <v>0.68712664277180402</v>
      </c>
      <c r="K76" s="1">
        <f>'Raw Data'!L76/Inv_SY!K$2</f>
        <v>0.68921744324970124</v>
      </c>
      <c r="L76" s="1">
        <f>'Raw Data'!M76/Inv_SY!L$2</f>
        <v>0</v>
      </c>
      <c r="M76" s="1">
        <f>'Raw Data'!N76/Inv_SY!M$2</f>
        <v>0.9838330393885949</v>
      </c>
      <c r="N76" s="1">
        <f>'Raw Data'!O76/Inv_SY!N$2</f>
        <v>0.65755919854280509</v>
      </c>
      <c r="O76" s="1">
        <f>'Raw Data'!P76/Inv_SY!O$2</f>
        <v>0.9864905889496054</v>
      </c>
      <c r="P76" s="1">
        <f>'Raw Data'!Q76/Inv_SY!P$2</f>
        <v>0.6502732240437159</v>
      </c>
      <c r="Q76" s="1">
        <f>'Raw Data'!R76/Inv_SY!Q$2</f>
        <v>0</v>
      </c>
      <c r="R76" s="1">
        <f>'Raw Data'!S76/Inv_SY!R$2</f>
        <v>0.51074788614981548</v>
      </c>
      <c r="S76" s="1">
        <f>'Raw Data'!T76/Inv_SY!S$2</f>
        <v>0.5228936067259421</v>
      </c>
      <c r="T76" s="1">
        <f>'Raw Data'!U76/Inv_SY!T$2</f>
        <v>0.50497029586494901</v>
      </c>
      <c r="U76" s="1">
        <f>'Raw Data'!V76/Inv_SY!U$2</f>
        <v>0.80318804776189634</v>
      </c>
      <c r="V76" s="1">
        <f>'Raw Data'!W76/Inv_SY!V$2</f>
        <v>0.59044013953833596</v>
      </c>
      <c r="W76" s="1">
        <f>'Raw Data'!X76/Inv_SY!W$2</f>
        <v>0.57454006385890222</v>
      </c>
      <c r="X76" s="1">
        <f>'Raw Data'!Y76/Inv_SY!X$2</f>
        <v>0.58560563902800977</v>
      </c>
      <c r="Y76" s="1">
        <f t="shared" si="6"/>
        <v>0.58352861414174928</v>
      </c>
      <c r="Z76" s="1">
        <f t="shared" si="7"/>
        <v>0.59044013953833596</v>
      </c>
    </row>
    <row r="77" spans="1:26" x14ac:dyDescent="0.3">
      <c r="A77" s="55" t="s">
        <v>1247</v>
      </c>
      <c r="B77" s="55">
        <v>46</v>
      </c>
      <c r="C77" s="121">
        <f>YEAR(Table12[[#This Row],[Date]])</f>
        <v>2025</v>
      </c>
      <c r="D77" s="55" t="s">
        <v>329</v>
      </c>
      <c r="E77" s="55" t="s">
        <v>329</v>
      </c>
      <c r="F77" s="122" t="str">
        <f>TEXT(Table12[[#This Row],[Date]],"mmm-yy")</f>
        <v>Jun-25</v>
      </c>
      <c r="G77" s="121">
        <f t="shared" si="5"/>
        <v>30</v>
      </c>
      <c r="H77" s="123">
        <f t="shared" si="8"/>
        <v>45818</v>
      </c>
      <c r="I77" s="1">
        <v>8.0208999999999993</v>
      </c>
      <c r="J77" s="1">
        <f>'Raw Data'!K77/Inv_SY!J$2</f>
        <v>1.8360215053763442</v>
      </c>
      <c r="K77" s="1">
        <f>'Raw Data'!L77/Inv_SY!K$2</f>
        <v>2.004032258064516</v>
      </c>
      <c r="L77" s="1">
        <f>'Raw Data'!M77/Inv_SY!L$2</f>
        <v>0</v>
      </c>
      <c r="M77" s="1">
        <f>'Raw Data'!N77/Inv_SY!M$2</f>
        <v>1.8145208700764255</v>
      </c>
      <c r="N77" s="1">
        <f>'Raw Data'!O77/Inv_SY!N$2</f>
        <v>1.9497571341833637</v>
      </c>
      <c r="O77" s="1">
        <f>'Raw Data'!P77/Inv_SY!O$2</f>
        <v>1.7768670309653916</v>
      </c>
      <c r="P77" s="1">
        <f>'Raw Data'!Q77/Inv_SY!P$2</f>
        <v>1.766848816029144</v>
      </c>
      <c r="Q77" s="1">
        <f>'Raw Data'!R77/Inv_SY!Q$2</f>
        <v>0</v>
      </c>
      <c r="R77" s="1">
        <f>'Raw Data'!S77/Inv_SY!R$2</f>
        <v>1.3647731332618791</v>
      </c>
      <c r="S77" s="1">
        <f>'Raw Data'!T77/Inv_SY!S$2</f>
        <v>1.3935764833968429</v>
      </c>
      <c r="T77" s="1">
        <f>'Raw Data'!U77/Inv_SY!T$2</f>
        <v>1.5134403858596552</v>
      </c>
      <c r="U77" s="1">
        <f>'Raw Data'!V77/Inv_SY!U$2</f>
        <v>1.3415387330157047</v>
      </c>
      <c r="V77" s="1">
        <f>'Raw Data'!W77/Inv_SY!V$2</f>
        <v>1.4124174274474877</v>
      </c>
      <c r="W77" s="1">
        <f>'Raw Data'!X77/Inv_SY!W$2</f>
        <v>1.3756651968982818</v>
      </c>
      <c r="X77" s="1">
        <f>'Raw Data'!Y77/Inv_SY!X$2</f>
        <v>1.4023001298460398</v>
      </c>
      <c r="Y77" s="1">
        <f t="shared" si="6"/>
        <v>1.3967942513972698</v>
      </c>
      <c r="Z77" s="1">
        <f t="shared" si="7"/>
        <v>1.4124174274474877</v>
      </c>
    </row>
    <row r="78" spans="1:26" x14ac:dyDescent="0.3">
      <c r="A78" s="55" t="s">
        <v>1248</v>
      </c>
      <c r="B78" s="55">
        <v>47</v>
      </c>
      <c r="C78" s="121">
        <f>YEAR(Table12[[#This Row],[Date]])</f>
        <v>2025</v>
      </c>
      <c r="D78" s="55" t="s">
        <v>329</v>
      </c>
      <c r="E78" s="55" t="s">
        <v>329</v>
      </c>
      <c r="F78" s="122" t="str">
        <f>TEXT(Table12[[#This Row],[Date]],"mmm-yy")</f>
        <v>Jun-25</v>
      </c>
      <c r="G78" s="121">
        <f t="shared" si="5"/>
        <v>30</v>
      </c>
      <c r="H78" s="123">
        <f t="shared" si="8"/>
        <v>45819</v>
      </c>
      <c r="I78" s="1">
        <v>8.0208999999999993</v>
      </c>
      <c r="J78" s="1">
        <f>'Raw Data'!K78/Inv_SY!J$2</f>
        <v>4.1984767025089607</v>
      </c>
      <c r="K78" s="1">
        <f>'Raw Data'!L78/Inv_SY!K$2</f>
        <v>4.1963859020310634</v>
      </c>
      <c r="L78" s="1">
        <f>'Raw Data'!M78/Inv_SY!L$2</f>
        <v>0</v>
      </c>
      <c r="M78" s="1">
        <f>'Raw Data'!N78/Inv_SY!M$2</f>
        <v>4.2305996472663141</v>
      </c>
      <c r="N78" s="1">
        <f>'Raw Data'!O78/Inv_SY!N$2</f>
        <v>4.0924408014571947</v>
      </c>
      <c r="O78" s="1">
        <f>'Raw Data'!P78/Inv_SY!O$2</f>
        <v>4.0629933211900422</v>
      </c>
      <c r="P78" s="1">
        <f>'Raw Data'!Q78/Inv_SY!P$2</f>
        <v>4.2459016393442619</v>
      </c>
      <c r="Q78" s="1">
        <f>'Raw Data'!R78/Inv_SY!Q$2</f>
        <v>0</v>
      </c>
      <c r="R78" s="1">
        <f>'Raw Data'!S78/Inv_SY!R$2</f>
        <v>3.2679826128379186</v>
      </c>
      <c r="S78" s="1">
        <f>'Raw Data'!T78/Inv_SY!S$2</f>
        <v>3.2282404887195311</v>
      </c>
      <c r="T78" s="1">
        <f>'Raw Data'!U78/Inv_SY!T$2</f>
        <v>3.1295217928357149</v>
      </c>
      <c r="U78" s="1">
        <f>'Raw Data'!V78/Inv_SY!U$2</f>
        <v>3.1129051232280451</v>
      </c>
      <c r="V78" s="1">
        <f>'Raw Data'!W78/Inv_SY!V$2</f>
        <v>3.1543457284940253</v>
      </c>
      <c r="W78" s="1">
        <f>'Raw Data'!X78/Inv_SY!W$2</f>
        <v>3.1055192336931725</v>
      </c>
      <c r="X78" s="1">
        <f>'Raw Data'!Y78/Inv_SY!X$2</f>
        <v>3.181339269152291</v>
      </c>
      <c r="Y78" s="1">
        <f t="shared" si="6"/>
        <v>3.1470680771131629</v>
      </c>
      <c r="Z78" s="1">
        <f t="shared" si="7"/>
        <v>3.181339269152291</v>
      </c>
    </row>
    <row r="79" spans="1:26" x14ac:dyDescent="0.3">
      <c r="A79" s="55" t="s">
        <v>1249</v>
      </c>
      <c r="B79" s="55">
        <v>48</v>
      </c>
      <c r="C79" s="121">
        <f>YEAR(Table12[[#This Row],[Date]])</f>
        <v>2025</v>
      </c>
      <c r="D79" s="55" t="s">
        <v>329</v>
      </c>
      <c r="E79" s="55" t="s">
        <v>329</v>
      </c>
      <c r="F79" s="122" t="str">
        <f>TEXT(Table12[[#This Row],[Date]],"mmm-yy")</f>
        <v>Jun-25</v>
      </c>
      <c r="G79" s="121">
        <f t="shared" si="5"/>
        <v>30</v>
      </c>
      <c r="H79" s="123">
        <f t="shared" si="8"/>
        <v>45820</v>
      </c>
      <c r="I79" s="1">
        <v>8.0208999999999993</v>
      </c>
      <c r="J79" s="1">
        <f>'Raw Data'!K79/Inv_SY!J$2</f>
        <v>4.4239844683393068</v>
      </c>
      <c r="K79" s="1">
        <f>'Raw Data'!L79/Inv_SY!K$2</f>
        <v>4.3207885304659497</v>
      </c>
      <c r="L79" s="1">
        <f>'Raw Data'!M79/Inv_SY!L$2</f>
        <v>0</v>
      </c>
      <c r="M79" s="1">
        <f>'Raw Data'!N79/Inv_SY!M$2</f>
        <v>4.2574955908289249</v>
      </c>
      <c r="N79" s="1">
        <f>'Raw Data'!O79/Inv_SY!N$2</f>
        <v>4.3126897389192473</v>
      </c>
      <c r="O79" s="1">
        <f>'Raw Data'!P79/Inv_SY!O$2</f>
        <v>4.1771402550091077</v>
      </c>
      <c r="P79" s="1">
        <f>'Raw Data'!Q79/Inv_SY!P$2</f>
        <v>4.1765330904675171</v>
      </c>
      <c r="Q79" s="1">
        <f>'Raw Data'!R79/Inv_SY!Q$2</f>
        <v>0</v>
      </c>
      <c r="R79" s="1">
        <f>'Raw Data'!S79/Inv_SY!R$2</f>
        <v>3.2583065380493035</v>
      </c>
      <c r="S79" s="1">
        <f>'Raw Data'!T79/Inv_SY!S$2</f>
        <v>3.4314703925482375</v>
      </c>
      <c r="T79" s="1">
        <f>'Raw Data'!U79/Inv_SY!T$2</f>
        <v>3.222016351979295</v>
      </c>
      <c r="U79" s="1">
        <f>'Raw Data'!V79/Inv_SY!U$2</f>
        <v>3.2028998294217983</v>
      </c>
      <c r="V79" s="1">
        <f>'Raw Data'!W79/Inv_SY!V$2</f>
        <v>3.248088770132858</v>
      </c>
      <c r="W79" s="1">
        <f>'Raw Data'!X79/Inv_SY!W$2</f>
        <v>3.1718868785160406</v>
      </c>
      <c r="X79" s="1">
        <f>'Raw Data'!Y79/Inv_SY!X$2</f>
        <v>3.2748284177332594</v>
      </c>
      <c r="Y79" s="1">
        <f t="shared" si="6"/>
        <v>3.2316013554607195</v>
      </c>
      <c r="Z79" s="1">
        <f t="shared" si="7"/>
        <v>3.2748284177332594</v>
      </c>
    </row>
    <row r="80" spans="1:26" x14ac:dyDescent="0.3">
      <c r="A80" s="55" t="s">
        <v>1250</v>
      </c>
      <c r="B80" s="55">
        <v>49</v>
      </c>
      <c r="C80" s="121">
        <f>YEAR(Table12[[#This Row],[Date]])</f>
        <v>2025</v>
      </c>
      <c r="D80" s="55" t="s">
        <v>329</v>
      </c>
      <c r="E80" s="55" t="s">
        <v>329</v>
      </c>
      <c r="F80" s="122" t="str">
        <f>TEXT(Table12[[#This Row],[Date]],"mmm-yy")</f>
        <v>Jun-25</v>
      </c>
      <c r="G80" s="121">
        <f t="shared" si="5"/>
        <v>30</v>
      </c>
      <c r="H80" s="123">
        <f t="shared" si="8"/>
        <v>45821</v>
      </c>
      <c r="I80" s="1">
        <v>8.0208999999999993</v>
      </c>
      <c r="J80" s="1">
        <f>'Raw Data'!K80/Inv_SY!J$2</f>
        <v>4.6187275985663074</v>
      </c>
      <c r="K80" s="1">
        <f>'Raw Data'!L80/Inv_SY!K$2</f>
        <v>4.7588112305854242</v>
      </c>
      <c r="L80" s="1">
        <f>'Raw Data'!M80/Inv_SY!L$2</f>
        <v>0</v>
      </c>
      <c r="M80" s="1">
        <f>'Raw Data'!N80/Inv_SY!M$2</f>
        <v>4.5464432686654908</v>
      </c>
      <c r="N80" s="1">
        <f>'Raw Data'!O80/Inv_SY!N$2</f>
        <v>4.6473891924711594</v>
      </c>
      <c r="O80" s="1">
        <f>'Raw Data'!P80/Inv_SY!O$2</f>
        <v>4.476775956284154</v>
      </c>
      <c r="P80" s="1">
        <f>'Raw Data'!Q80/Inv_SY!P$2</f>
        <v>4.4789010321797207</v>
      </c>
      <c r="Q80" s="1">
        <f>'Raw Data'!R80/Inv_SY!Q$2</f>
        <v>0</v>
      </c>
      <c r="R80" s="1">
        <f>'Raw Data'!S80/Inv_SY!R$2</f>
        <v>3.5106287959985711</v>
      </c>
      <c r="S80" s="1">
        <f>'Raw Data'!T80/Inv_SY!S$2</f>
        <v>3.5801125022681912</v>
      </c>
      <c r="T80" s="1">
        <f>'Raw Data'!U80/Inv_SY!T$2</f>
        <v>3.6086112581612841</v>
      </c>
      <c r="U80" s="1">
        <f>'Raw Data'!V80/Inv_SY!U$2</f>
        <v>3.4445032645138518</v>
      </c>
      <c r="V80" s="1">
        <f>'Raw Data'!W80/Inv_SY!V$2</f>
        <v>3.478289913159653</v>
      </c>
      <c r="W80" s="1">
        <f>'Raw Data'!X80/Inv_SY!W$2</f>
        <v>3.4064543104759011</v>
      </c>
      <c r="X80" s="1">
        <f>'Raw Data'!Y80/Inv_SY!X$2</f>
        <v>3.5326655537006117</v>
      </c>
      <c r="Y80" s="1">
        <f t="shared" si="6"/>
        <v>3.4724699257787219</v>
      </c>
      <c r="Z80" s="1">
        <f t="shared" si="7"/>
        <v>3.5326655537006117</v>
      </c>
    </row>
    <row r="81" spans="1:26" x14ac:dyDescent="0.3">
      <c r="A81" s="55" t="s">
        <v>1251</v>
      </c>
      <c r="B81" s="55">
        <v>50</v>
      </c>
      <c r="C81" s="121">
        <f>YEAR(Table12[[#This Row],[Date]])</f>
        <v>2025</v>
      </c>
      <c r="D81" s="55" t="s">
        <v>329</v>
      </c>
      <c r="E81" s="55" t="s">
        <v>329</v>
      </c>
      <c r="F81" s="122" t="str">
        <f>TEXT(Table12[[#This Row],[Date]],"mmm-yy")</f>
        <v>Jun-25</v>
      </c>
      <c r="G81" s="121">
        <f t="shared" si="5"/>
        <v>30</v>
      </c>
      <c r="H81" s="123">
        <f t="shared" si="8"/>
        <v>45822</v>
      </c>
      <c r="I81" s="1">
        <v>8.0208999999999993</v>
      </c>
      <c r="J81" s="1">
        <f>'Raw Data'!K81/Inv_SY!J$2</f>
        <v>3.2780764635603346</v>
      </c>
      <c r="K81" s="1">
        <f>'Raw Data'!L81/Inv_SY!K$2</f>
        <v>3.2759856630824369</v>
      </c>
      <c r="L81" s="1">
        <f>'Raw Data'!M81/Inv_SY!L$2</f>
        <v>0</v>
      </c>
      <c r="M81" s="1">
        <f>'Raw Data'!N81/Inv_SY!M$2</f>
        <v>3.3883009994121109</v>
      </c>
      <c r="N81" s="1">
        <f>'Raw Data'!O81/Inv_SY!N$2</f>
        <v>3.2404371584699461</v>
      </c>
      <c r="O81" s="1">
        <f>'Raw Data'!P81/Inv_SY!O$2</f>
        <v>3.3767455980570737</v>
      </c>
      <c r="P81" s="1">
        <f>'Raw Data'!Q81/Inv_SY!P$2</f>
        <v>3.2222222222222228</v>
      </c>
      <c r="Q81" s="1">
        <f>'Raw Data'!R81/Inv_SY!Q$2</f>
        <v>0</v>
      </c>
      <c r="R81" s="1">
        <f>'Raw Data'!S81/Inv_SY!R$2</f>
        <v>2.5041681552935575</v>
      </c>
      <c r="S81" s="1">
        <f>'Raw Data'!T81/Inv_SY!S$2</f>
        <v>2.5535293050263115</v>
      </c>
      <c r="T81" s="1">
        <f>'Raw Data'!U81/Inv_SY!T$2</f>
        <v>2.4730898182459851</v>
      </c>
      <c r="U81" s="1">
        <f>'Raw Data'!V81/Inv_SY!U$2</f>
        <v>2.6132286336097872</v>
      </c>
      <c r="V81" s="1">
        <f>'Raw Data'!W81/Inv_SY!V$2</f>
        <v>2.4842277146886365</v>
      </c>
      <c r="W81" s="1">
        <f>'Raw Data'!X81/Inv_SY!W$2</f>
        <v>2.4639653337387863</v>
      </c>
      <c r="X81" s="1">
        <f>'Raw Data'!Y81/Inv_SY!X$2</f>
        <v>2.5337785197551472</v>
      </c>
      <c r="Y81" s="1">
        <f t="shared" si="6"/>
        <v>2.4939905227275232</v>
      </c>
      <c r="Z81" s="1">
        <f t="shared" si="7"/>
        <v>2.5337785197551472</v>
      </c>
    </row>
    <row r="82" spans="1:26" x14ac:dyDescent="0.3">
      <c r="A82" s="55" t="s">
        <v>1252</v>
      </c>
      <c r="B82" s="55">
        <v>51</v>
      </c>
      <c r="C82" s="121">
        <f>YEAR(Table12[[#This Row],[Date]])</f>
        <v>2025</v>
      </c>
      <c r="D82" s="55" t="s">
        <v>329</v>
      </c>
      <c r="E82" s="55" t="s">
        <v>329</v>
      </c>
      <c r="F82" s="122" t="str">
        <f>TEXT(Table12[[#This Row],[Date]],"mmm-yy")</f>
        <v>Jun-25</v>
      </c>
      <c r="G82" s="121">
        <f t="shared" si="5"/>
        <v>30</v>
      </c>
      <c r="H82" s="123">
        <f t="shared" si="8"/>
        <v>45823</v>
      </c>
      <c r="I82" s="1">
        <v>8.0208999999999993</v>
      </c>
      <c r="J82" s="1">
        <f>'Raw Data'!K82/Inv_SY!J$2</f>
        <v>4.2880824372759854</v>
      </c>
      <c r="K82" s="1">
        <f>'Raw Data'!L82/Inv_SY!K$2</f>
        <v>4.286290322580645</v>
      </c>
      <c r="L82" s="1">
        <f>'Raw Data'!M82/Inv_SY!L$2</f>
        <v>0</v>
      </c>
      <c r="M82" s="1">
        <f>'Raw Data'!N82/Inv_SY!M$2</f>
        <v>4.2932098765432096</v>
      </c>
      <c r="N82" s="1">
        <f>'Raw Data'!O82/Inv_SY!N$2</f>
        <v>4.2207043108682454</v>
      </c>
      <c r="O82" s="1">
        <f>'Raw Data'!P82/Inv_SY!O$2</f>
        <v>4.1986945962355797</v>
      </c>
      <c r="P82" s="1">
        <f>'Raw Data'!Q82/Inv_SY!P$2</f>
        <v>4.2636612021857925</v>
      </c>
      <c r="Q82" s="1">
        <f>'Raw Data'!R82/Inv_SY!Q$2</f>
        <v>0</v>
      </c>
      <c r="R82" s="1">
        <f>'Raw Data'!S82/Inv_SY!R$2</f>
        <v>3.3589377158508995</v>
      </c>
      <c r="S82" s="1">
        <f>'Raw Data'!T82/Inv_SY!S$2</f>
        <v>3.3519324986390857</v>
      </c>
      <c r="T82" s="1">
        <f>'Raw Data'!U82/Inv_SY!T$2</f>
        <v>3.2483383330392326</v>
      </c>
      <c r="U82" s="1">
        <f>'Raw Data'!V82/Inv_SY!U$2</f>
        <v>3.2306923122169282</v>
      </c>
      <c r="V82" s="1">
        <f>'Raw Data'!W82/Inv_SY!V$2</f>
        <v>3.2147628590514361</v>
      </c>
      <c r="W82" s="1">
        <f>'Raw Data'!X82/Inv_SY!W$2</f>
        <v>3.176068116162384</v>
      </c>
      <c r="X82" s="1">
        <f>'Raw Data'!Y82/Inv_SY!X$2</f>
        <v>3.294045631608236</v>
      </c>
      <c r="Y82" s="1">
        <f t="shared" si="6"/>
        <v>3.228292202274019</v>
      </c>
      <c r="Z82" s="1">
        <f t="shared" si="7"/>
        <v>3.294045631608236</v>
      </c>
    </row>
    <row r="83" spans="1:26" x14ac:dyDescent="0.3">
      <c r="A83" s="55" t="s">
        <v>1253</v>
      </c>
      <c r="B83" s="55">
        <v>52</v>
      </c>
      <c r="C83" s="121">
        <f>YEAR(Table12[[#This Row],[Date]])</f>
        <v>2025</v>
      </c>
      <c r="D83" s="55" t="s">
        <v>329</v>
      </c>
      <c r="E83" s="55" t="s">
        <v>329</v>
      </c>
      <c r="F83" s="122" t="str">
        <f>TEXT(Table12[[#This Row],[Date]],"mmm-yy")</f>
        <v>Jun-25</v>
      </c>
      <c r="G83" s="121">
        <f t="shared" si="5"/>
        <v>30</v>
      </c>
      <c r="H83" s="123">
        <f t="shared" si="8"/>
        <v>45824</v>
      </c>
      <c r="I83" s="1">
        <v>8.0208999999999993</v>
      </c>
      <c r="J83" s="1">
        <f>'Raw Data'!K83/Inv_SY!J$2</f>
        <v>4.0885603345280757</v>
      </c>
      <c r="K83" s="1">
        <f>'Raw Data'!L83/Inv_SY!K$2</f>
        <v>4.2456690561529271</v>
      </c>
      <c r="L83" s="1">
        <f>'Raw Data'!M83/Inv_SY!L$2</f>
        <v>0</v>
      </c>
      <c r="M83" s="1">
        <f>'Raw Data'!N83/Inv_SY!M$2</f>
        <v>4.0268959435626108</v>
      </c>
      <c r="N83" s="1">
        <f>'Raw Data'!O83/Inv_SY!N$2</f>
        <v>4.1496660595021257</v>
      </c>
      <c r="O83" s="1">
        <f>'Raw Data'!P83/Inv_SY!O$2</f>
        <v>3.9568913175470559</v>
      </c>
      <c r="P83" s="1">
        <f>'Raw Data'!Q83/Inv_SY!P$2</f>
        <v>3.9574984820886461</v>
      </c>
      <c r="Q83" s="1">
        <f>'Raw Data'!R83/Inv_SY!Q$2</f>
        <v>0</v>
      </c>
      <c r="R83" s="1">
        <f>'Raw Data'!S83/Inv_SY!R$2</f>
        <v>3.1244789805883055</v>
      </c>
      <c r="S83" s="1">
        <f>'Raw Data'!T83/Inv_SY!S$2</f>
        <v>3.186052138147947</v>
      </c>
      <c r="T83" s="1">
        <f>'Raw Data'!U83/Inv_SY!T$2</f>
        <v>3.2448091288747714</v>
      </c>
      <c r="U83" s="1">
        <f>'Raw Data'!V83/Inv_SY!U$2</f>
        <v>3.0665843185694959</v>
      </c>
      <c r="V83" s="1">
        <f>'Raw Data'!W83/Inv_SY!V$2</f>
        <v>3.0878423513694058</v>
      </c>
      <c r="W83" s="1">
        <f>'Raw Data'!X83/Inv_SY!W$2</f>
        <v>3.0210582332370381</v>
      </c>
      <c r="X83" s="1">
        <f>'Raw Data'!Y83/Inv_SY!X$2</f>
        <v>3.1526247449452791</v>
      </c>
      <c r="Y83" s="1">
        <f t="shared" si="6"/>
        <v>3.0871751098505746</v>
      </c>
      <c r="Z83" s="1">
        <f t="shared" si="7"/>
        <v>3.1526247449452791</v>
      </c>
    </row>
    <row r="84" spans="1:26" x14ac:dyDescent="0.3">
      <c r="A84" s="55" t="s">
        <v>1254</v>
      </c>
      <c r="B84" s="55">
        <v>53</v>
      </c>
      <c r="C84" s="121">
        <f>YEAR(Table12[[#This Row],[Date]])</f>
        <v>2025</v>
      </c>
      <c r="D84" s="55" t="s">
        <v>329</v>
      </c>
      <c r="E84" s="55" t="s">
        <v>329</v>
      </c>
      <c r="F84" s="122" t="str">
        <f>TEXT(Table12[[#This Row],[Date]],"mmm-yy")</f>
        <v>Jun-25</v>
      </c>
      <c r="G84" s="121">
        <f t="shared" si="5"/>
        <v>30</v>
      </c>
      <c r="H84" s="123">
        <f t="shared" si="8"/>
        <v>45825</v>
      </c>
      <c r="I84" s="1">
        <v>8.0208999999999993</v>
      </c>
      <c r="J84" s="1">
        <f>'Raw Data'!K84/Inv_SY!J$2</f>
        <v>4.8809737156511348</v>
      </c>
      <c r="K84" s="1">
        <f>'Raw Data'!L84/Inv_SY!K$2</f>
        <v>4.8775388291517325</v>
      </c>
      <c r="L84" s="1">
        <f>'Raw Data'!M84/Inv_SY!L$2</f>
        <v>0</v>
      </c>
      <c r="M84" s="1">
        <f>'Raw Data'!N84/Inv_SY!M$2</f>
        <v>4.8058495002939452</v>
      </c>
      <c r="N84" s="1">
        <f>'Raw Data'!O84/Inv_SY!N$2</f>
        <v>4.8214936247723141</v>
      </c>
      <c r="O84" s="1">
        <f>'Raw Data'!P84/Inv_SY!O$2</f>
        <v>4.7929568913175471</v>
      </c>
      <c r="P84" s="1">
        <f>'Raw Data'!Q84/Inv_SY!P$2</f>
        <v>4.7923497267759565</v>
      </c>
      <c r="Q84" s="1">
        <f>'Raw Data'!R84/Inv_SY!Q$2</f>
        <v>0</v>
      </c>
      <c r="R84" s="1">
        <f>'Raw Data'!S84/Inv_SY!R$2</f>
        <v>3.795700845540074</v>
      </c>
      <c r="S84" s="1">
        <f>'Raw Data'!T84/Inv_SY!S$2</f>
        <v>3.8698360854049478</v>
      </c>
      <c r="T84" s="1">
        <f>'Raw Data'!U84/Inv_SY!T$2</f>
        <v>3.7472795717898943</v>
      </c>
      <c r="U84" s="1">
        <f>'Raw Data'!V84/Inv_SY!U$2</f>
        <v>3.7208105405564376</v>
      </c>
      <c r="V84" s="1">
        <f>'Raw Data'!W84/Inv_SY!V$2</f>
        <v>3.6384621094039935</v>
      </c>
      <c r="W84" s="1">
        <f>'Raw Data'!X84/Inv_SY!W$2</f>
        <v>3.6077238862703362</v>
      </c>
      <c r="X84" s="1">
        <f>'Raw Data'!Y84/Inv_SY!X$2</f>
        <v>3.7794843257280655</v>
      </c>
      <c r="Y84" s="1">
        <f t="shared" si="6"/>
        <v>3.6752234404674646</v>
      </c>
      <c r="Z84" s="1">
        <f t="shared" si="7"/>
        <v>3.7794843257280655</v>
      </c>
    </row>
    <row r="85" spans="1:26" x14ac:dyDescent="0.3">
      <c r="A85" s="55" t="s">
        <v>1255</v>
      </c>
      <c r="B85" s="55">
        <v>54</v>
      </c>
      <c r="C85" s="121">
        <f>YEAR(Table12[[#This Row],[Date]])</f>
        <v>2025</v>
      </c>
      <c r="D85" s="55" t="s">
        <v>329</v>
      </c>
      <c r="E85" s="55" t="s">
        <v>329</v>
      </c>
      <c r="F85" s="122" t="str">
        <f>TEXT(Table12[[#This Row],[Date]],"mmm-yy")</f>
        <v>Jun-25</v>
      </c>
      <c r="G85" s="121">
        <f t="shared" si="5"/>
        <v>30</v>
      </c>
      <c r="H85" s="123">
        <f t="shared" si="8"/>
        <v>45826</v>
      </c>
      <c r="I85" s="1">
        <v>8.0208999999999993</v>
      </c>
      <c r="J85" s="1">
        <f>'Raw Data'!K85/Inv_SY!J$2</f>
        <v>5.3620071684587813</v>
      </c>
      <c r="K85" s="1">
        <f>'Raw Data'!L85/Inv_SY!K$2</f>
        <v>5.3581242532855438</v>
      </c>
      <c r="L85" s="1">
        <f>'Raw Data'!M85/Inv_SY!L$2</f>
        <v>0</v>
      </c>
      <c r="M85" s="1">
        <f>'Raw Data'!N85/Inv_SY!M$2</f>
        <v>5.4603174603174605</v>
      </c>
      <c r="N85" s="1">
        <f>'Raw Data'!O85/Inv_SY!N$2</f>
        <v>5.2949301760777177</v>
      </c>
      <c r="O85" s="1">
        <f>'Raw Data'!P85/Inv_SY!O$2</f>
        <v>5.2586520947176689</v>
      </c>
      <c r="P85" s="1">
        <f>'Raw Data'!Q85/Inv_SY!P$2</f>
        <v>5.4622040072859752</v>
      </c>
      <c r="Q85" s="1">
        <f>'Raw Data'!R85/Inv_SY!Q$2</f>
        <v>0</v>
      </c>
      <c r="R85" s="1">
        <f>'Raw Data'!S85/Inv_SY!R$2</f>
        <v>4.3372633083244017</v>
      </c>
      <c r="S85" s="1">
        <f>'Raw Data'!T85/Inv_SY!S$2</f>
        <v>4.2285126716264445</v>
      </c>
      <c r="T85" s="1">
        <f>'Raw Data'!U85/Inv_SY!T$2</f>
        <v>4.0959355332039289</v>
      </c>
      <c r="U85" s="1">
        <f>'Raw Data'!V85/Inv_SY!U$2</f>
        <v>4.0662313981530493</v>
      </c>
      <c r="V85" s="1">
        <f>'Raw Data'!W85/Inv_SY!V$2</f>
        <v>4.0426779484895725</v>
      </c>
      <c r="W85" s="1">
        <f>'Raw Data'!X85/Inv_SY!W$2</f>
        <v>4.01064315037251</v>
      </c>
      <c r="X85" s="1">
        <f>'Raw Data'!Y85/Inv_SY!X$2</f>
        <v>4.1775551845668701</v>
      </c>
      <c r="Y85" s="1">
        <f t="shared" si="6"/>
        <v>4.0769587611429836</v>
      </c>
      <c r="Z85" s="1">
        <f t="shared" si="7"/>
        <v>4.1775551845668701</v>
      </c>
    </row>
    <row r="86" spans="1:26" x14ac:dyDescent="0.3">
      <c r="A86" s="55" t="s">
        <v>1256</v>
      </c>
      <c r="B86" s="55">
        <v>55</v>
      </c>
      <c r="C86" s="121">
        <f>YEAR(Table12[[#This Row],[Date]])</f>
        <v>2025</v>
      </c>
      <c r="D86" s="55" t="s">
        <v>329</v>
      </c>
      <c r="E86" s="55" t="s">
        <v>329</v>
      </c>
      <c r="F86" s="122" t="str">
        <f>TEXT(Table12[[#This Row],[Date]],"mmm-yy")</f>
        <v>Jun-25</v>
      </c>
      <c r="G86" s="121">
        <f t="shared" si="5"/>
        <v>30</v>
      </c>
      <c r="H86" s="123">
        <f t="shared" si="8"/>
        <v>45827</v>
      </c>
      <c r="I86" s="1">
        <v>8.0208999999999993</v>
      </c>
      <c r="J86" s="1">
        <f>'Raw Data'!K86/Inv_SY!J$2</f>
        <v>4.220728793309438</v>
      </c>
      <c r="K86" s="1">
        <f>'Raw Data'!L86/Inv_SY!K$2</f>
        <v>4.2158004778972522</v>
      </c>
      <c r="L86" s="1">
        <f>'Raw Data'!M86/Inv_SY!L$2</f>
        <v>0</v>
      </c>
      <c r="M86" s="1">
        <f>'Raw Data'!N86/Inv_SY!M$2</f>
        <v>4.1543209876543212</v>
      </c>
      <c r="N86" s="1">
        <f>'Raw Data'!O86/Inv_SY!N$2</f>
        <v>4.1595324833029759</v>
      </c>
      <c r="O86" s="1">
        <f>'Raw Data'!P86/Inv_SY!O$2</f>
        <v>4.1323618700667888</v>
      </c>
      <c r="P86" s="1">
        <f>'Raw Data'!Q86/Inv_SY!P$2</f>
        <v>4.1340315725561627</v>
      </c>
      <c r="Q86" s="1">
        <f>'Raw Data'!R86/Inv_SY!Q$2</f>
        <v>0</v>
      </c>
      <c r="R86" s="1">
        <f>'Raw Data'!S86/Inv_SY!R$2</f>
        <v>3.2206442777182329</v>
      </c>
      <c r="S86" s="1">
        <f>'Raw Data'!T86/Inv_SY!S$2</f>
        <v>3.2852476864452913</v>
      </c>
      <c r="T86" s="1">
        <f>'Raw Data'!U86/Inv_SY!T$2</f>
        <v>3.1809893535674365</v>
      </c>
      <c r="U86" s="1">
        <f>'Raw Data'!V86/Inv_SY!U$2</f>
        <v>3.1614316804893829</v>
      </c>
      <c r="V86" s="1">
        <f>'Raw Data'!W86/Inv_SY!V$2</f>
        <v>3.1454390262005498</v>
      </c>
      <c r="W86" s="1">
        <f>'Raw Data'!X86/Inv_SY!W$2</f>
        <v>3.1116770564086971</v>
      </c>
      <c r="X86" s="1">
        <f>'Raw Data'!Y86/Inv_SY!X$2</f>
        <v>3.2087553329623448</v>
      </c>
      <c r="Y86" s="1">
        <f t="shared" si="6"/>
        <v>3.1552904718571972</v>
      </c>
      <c r="Z86" s="1">
        <f t="shared" si="7"/>
        <v>3.2087553329623448</v>
      </c>
    </row>
    <row r="87" spans="1:26" x14ac:dyDescent="0.3">
      <c r="A87" s="55" t="s">
        <v>1257</v>
      </c>
      <c r="B87" s="55">
        <v>56</v>
      </c>
      <c r="C87" s="121">
        <f>YEAR(Table12[[#This Row],[Date]])</f>
        <v>2025</v>
      </c>
      <c r="D87" s="55" t="s">
        <v>329</v>
      </c>
      <c r="E87" s="55" t="s">
        <v>329</v>
      </c>
      <c r="F87" s="122" t="str">
        <f>TEXT(Table12[[#This Row],[Date]],"mmm-yy")</f>
        <v>Jun-25</v>
      </c>
      <c r="G87" s="121">
        <f t="shared" si="5"/>
        <v>30</v>
      </c>
      <c r="H87" s="123">
        <f t="shared" si="8"/>
        <v>45828</v>
      </c>
      <c r="I87" s="1">
        <v>8.0208999999999993</v>
      </c>
      <c r="J87" s="1">
        <f>'Raw Data'!K87/Inv_SY!J$2</f>
        <v>5.1892174432497011</v>
      </c>
      <c r="K87" s="1">
        <f>'Raw Data'!L87/Inv_SY!K$2</f>
        <v>5.2771804062126639</v>
      </c>
      <c r="L87" s="1">
        <f>'Raw Data'!M87/Inv_SY!L$2</f>
        <v>0</v>
      </c>
      <c r="M87" s="1">
        <f>'Raw Data'!N87/Inv_SY!M$2</f>
        <v>5.1131687242798352</v>
      </c>
      <c r="N87" s="1">
        <f>'Raw Data'!O87/Inv_SY!N$2</f>
        <v>5.2295081967213113</v>
      </c>
      <c r="O87" s="1">
        <f>'Raw Data'!P87/Inv_SY!O$2</f>
        <v>5.1067091681845787</v>
      </c>
      <c r="P87" s="1">
        <f>'Raw Data'!Q87/Inv_SY!P$2</f>
        <v>5.1102003642987253</v>
      </c>
      <c r="Q87" s="1">
        <f>'Raw Data'!R87/Inv_SY!Q$2</f>
        <v>0</v>
      </c>
      <c r="R87" s="1">
        <f>'Raw Data'!S87/Inv_SY!R$2</f>
        <v>4.064844587352626</v>
      </c>
      <c r="S87" s="1">
        <f>'Raw Data'!T87/Inv_SY!S$2</f>
        <v>4.1445896086614651</v>
      </c>
      <c r="T87" s="1">
        <f>'Raw Data'!U87/Inv_SY!T$2</f>
        <v>4.0974060349391213</v>
      </c>
      <c r="U87" s="1">
        <f>'Raw Data'!V87/Inv_SY!U$2</f>
        <v>3.9844715016763712</v>
      </c>
      <c r="V87" s="1">
        <f>'Raw Data'!W87/Inv_SY!V$2</f>
        <v>3.891969123432049</v>
      </c>
      <c r="W87" s="1">
        <f>'Raw Data'!X87/Inv_SY!W$2</f>
        <v>3.868062946632203</v>
      </c>
      <c r="X87" s="1">
        <f>'Raw Data'!Y87/Inv_SY!X$2</f>
        <v>4.0688184010387687</v>
      </c>
      <c r="Y87" s="1">
        <f t="shared" si="6"/>
        <v>3.9429501570343404</v>
      </c>
      <c r="Z87" s="1">
        <f t="shared" si="7"/>
        <v>4.0688184010387687</v>
      </c>
    </row>
    <row r="88" spans="1:26" x14ac:dyDescent="0.3">
      <c r="A88" s="55" t="s">
        <v>1258</v>
      </c>
      <c r="B88" s="55">
        <v>57</v>
      </c>
      <c r="C88" s="121">
        <f>YEAR(Table12[[#This Row],[Date]])</f>
        <v>2025</v>
      </c>
      <c r="D88" s="55" t="s">
        <v>329</v>
      </c>
      <c r="E88" s="55" t="s">
        <v>329</v>
      </c>
      <c r="F88" s="122" t="str">
        <f>TEXT(Table12[[#This Row],[Date]],"mmm-yy")</f>
        <v>Jun-25</v>
      </c>
      <c r="G88" s="121">
        <f t="shared" si="5"/>
        <v>30</v>
      </c>
      <c r="H88" s="123">
        <f t="shared" si="8"/>
        <v>45829</v>
      </c>
      <c r="I88" s="1">
        <v>8.0208999999999993</v>
      </c>
      <c r="J88" s="1">
        <f>'Raw Data'!K88/Inv_SY!J$2</f>
        <v>6.2954002389486252</v>
      </c>
      <c r="K88" s="1">
        <f>'Raw Data'!L88/Inv_SY!K$2</f>
        <v>6.2968936678614087</v>
      </c>
      <c r="L88" s="1">
        <f>'Raw Data'!M88/Inv_SY!L$2</f>
        <v>0</v>
      </c>
      <c r="M88" s="1">
        <f>'Raw Data'!N88/Inv_SY!M$2</f>
        <v>6.3177542621987071</v>
      </c>
      <c r="N88" s="1">
        <f>'Raw Data'!O88/Inv_SY!N$2</f>
        <v>6.1870066788099578</v>
      </c>
      <c r="O88" s="1">
        <f>'Raw Data'!P88/Inv_SY!O$2</f>
        <v>6.2764116575591986</v>
      </c>
      <c r="P88" s="1">
        <f>'Raw Data'!Q88/Inv_SY!P$2</f>
        <v>6.153764420157863</v>
      </c>
      <c r="Q88" s="1">
        <f>'Raw Data'!R88/Inv_SY!Q$2</f>
        <v>0</v>
      </c>
      <c r="R88" s="1">
        <f>'Raw Data'!S88/Inv_SY!R$2</f>
        <v>4.8710849112778369</v>
      </c>
      <c r="S88" s="1">
        <f>'Raw Data'!T88/Inv_SY!S$2</f>
        <v>4.9605334784975508</v>
      </c>
      <c r="T88" s="1">
        <f>'Raw Data'!U88/Inv_SY!T$2</f>
        <v>4.8036880183518607</v>
      </c>
      <c r="U88" s="1">
        <f>'Raw Data'!V88/Inv_SY!U$2</f>
        <v>4.8751544026821945</v>
      </c>
      <c r="V88" s="1">
        <f>'Raw Data'!W88/Inv_SY!V$2</f>
        <v>4.7244117865360353</v>
      </c>
      <c r="W88" s="1">
        <f>'Raw Data'!X88/Inv_SY!W$2</f>
        <v>4.6620799756727989</v>
      </c>
      <c r="X88" s="1">
        <f>'Raw Data'!Y88/Inv_SY!X$2</f>
        <v>4.8728250788350955</v>
      </c>
      <c r="Y88" s="1">
        <f t="shared" si="6"/>
        <v>4.7531056136813099</v>
      </c>
      <c r="Z88" s="1">
        <f t="shared" si="7"/>
        <v>4.8728250788350955</v>
      </c>
    </row>
    <row r="89" spans="1:26" x14ac:dyDescent="0.3">
      <c r="A89" s="55" t="s">
        <v>1259</v>
      </c>
      <c r="B89" s="55">
        <v>58</v>
      </c>
      <c r="C89" s="121">
        <f>YEAR(Table12[[#This Row],[Date]])</f>
        <v>2025</v>
      </c>
      <c r="D89" s="55" t="s">
        <v>329</v>
      </c>
      <c r="E89" s="55" t="s">
        <v>329</v>
      </c>
      <c r="F89" s="122" t="str">
        <f>TEXT(Table12[[#This Row],[Date]],"mmm-yy")</f>
        <v>Jun-25</v>
      </c>
      <c r="G89" s="121">
        <f t="shared" si="5"/>
        <v>30</v>
      </c>
      <c r="H89" s="123">
        <f t="shared" si="8"/>
        <v>45830</v>
      </c>
      <c r="I89" s="1">
        <v>8.0208999999999993</v>
      </c>
      <c r="J89" s="1">
        <f>'Raw Data'!K89/Inv_SY!J$2</f>
        <v>6.1771206690561522</v>
      </c>
      <c r="K89" s="1">
        <f>'Raw Data'!L89/Inv_SY!K$2</f>
        <v>6.1781660692951004</v>
      </c>
      <c r="L89" s="1">
        <f>'Raw Data'!M89/Inv_SY!L$2</f>
        <v>0</v>
      </c>
      <c r="M89" s="1">
        <f>'Raw Data'!N89/Inv_SY!M$2</f>
        <v>6.2955614344503239</v>
      </c>
      <c r="N89" s="1">
        <f>'Raw Data'!O89/Inv_SY!N$2</f>
        <v>6.1038251366120218</v>
      </c>
      <c r="O89" s="1">
        <f>'Raw Data'!P89/Inv_SY!O$2</f>
        <v>6.0628415300546452</v>
      </c>
      <c r="P89" s="1">
        <f>'Raw Data'!Q89/Inv_SY!P$2</f>
        <v>6.2833940497874927</v>
      </c>
      <c r="Q89" s="1">
        <f>'Raw Data'!R89/Inv_SY!Q$2</f>
        <v>0</v>
      </c>
      <c r="R89" s="1">
        <f>'Raw Data'!S89/Inv_SY!R$2</f>
        <v>4.9519173514350365</v>
      </c>
      <c r="S89" s="1">
        <f>'Raw Data'!T89/Inv_SY!S$2</f>
        <v>4.913959958870139</v>
      </c>
      <c r="T89" s="1">
        <f>'Raw Data'!U89/Inv_SY!T$2</f>
        <v>4.7588377154285038</v>
      </c>
      <c r="U89" s="1">
        <f>'Raw Data'!V89/Inv_SY!U$2</f>
        <v>4.7235456737838941</v>
      </c>
      <c r="V89" s="1">
        <f>'Raw Data'!W89/Inv_SY!V$2</f>
        <v>4.6599124174274467</v>
      </c>
      <c r="W89" s="1">
        <f>'Raw Data'!X89/Inv_SY!W$2</f>
        <v>4.6202295879580353</v>
      </c>
      <c r="X89" s="1">
        <f>'Raw Data'!Y89/Inv_SY!X$2</f>
        <v>4.8319792246336482</v>
      </c>
      <c r="Y89" s="1">
        <f t="shared" si="6"/>
        <v>4.7040404100063773</v>
      </c>
      <c r="Z89" s="1">
        <f t="shared" si="7"/>
        <v>4.8319792246336482</v>
      </c>
    </row>
    <row r="90" spans="1:26" x14ac:dyDescent="0.3">
      <c r="A90" s="55" t="s">
        <v>1260</v>
      </c>
      <c r="B90" s="55">
        <v>59</v>
      </c>
      <c r="C90" s="121">
        <f>YEAR(Table12[[#This Row],[Date]])</f>
        <v>2025</v>
      </c>
      <c r="D90" s="55" t="s">
        <v>329</v>
      </c>
      <c r="E90" s="55" t="s">
        <v>329</v>
      </c>
      <c r="F90" s="122" t="str">
        <f>TEXT(Table12[[#This Row],[Date]],"mmm-yy")</f>
        <v>Jun-25</v>
      </c>
      <c r="G90" s="121">
        <f t="shared" si="5"/>
        <v>30</v>
      </c>
      <c r="H90" s="123">
        <f t="shared" si="8"/>
        <v>45831</v>
      </c>
      <c r="I90" s="1">
        <v>8.0208999999999993</v>
      </c>
      <c r="J90" s="1">
        <f>'Raw Data'!K90/Inv_SY!J$2</f>
        <v>5.5046296296296298</v>
      </c>
      <c r="K90" s="1">
        <f>'Raw Data'!L90/Inv_SY!K$2</f>
        <v>5.4020310633213855</v>
      </c>
      <c r="L90" s="1">
        <f>'Raw Data'!M90/Inv_SY!L$2</f>
        <v>0</v>
      </c>
      <c r="M90" s="1">
        <f>'Raw Data'!N90/Inv_SY!M$2</f>
        <v>5.321722516166961</v>
      </c>
      <c r="N90" s="1">
        <f>'Raw Data'!O90/Inv_SY!N$2</f>
        <v>5.4186399514268375</v>
      </c>
      <c r="O90" s="1">
        <f>'Raw Data'!P90/Inv_SY!O$2</f>
        <v>5.2836976320582885</v>
      </c>
      <c r="P90" s="1">
        <f>'Raw Data'!Q90/Inv_SY!P$2</f>
        <v>5.2884031572556163</v>
      </c>
      <c r="Q90" s="1">
        <f>'Raw Data'!R90/Inv_SY!Q$2</f>
        <v>0</v>
      </c>
      <c r="R90" s="1">
        <f>'Raw Data'!S90/Inv_SY!R$2</f>
        <v>4.146570203644159</v>
      </c>
      <c r="S90" s="1">
        <f>'Raw Data'!T90/Inv_SY!S$2</f>
        <v>4.3242303272243392</v>
      </c>
      <c r="T90" s="1">
        <f>'Raw Data'!U90/Inv_SY!T$2</f>
        <v>4.0891712252220458</v>
      </c>
      <c r="U90" s="1">
        <f>'Raw Data'!V90/Inv_SY!U$2</f>
        <v>4.0604964413858005</v>
      </c>
      <c r="V90" s="1">
        <f>'Raw Data'!W90/Inv_SY!V$2</f>
        <v>4.0540339939137535</v>
      </c>
      <c r="W90" s="1">
        <f>'Raw Data'!X90/Inv_SY!W$2</f>
        <v>4.0043712939029952</v>
      </c>
      <c r="X90" s="1">
        <f>'Raw Data'!Y90/Inv_SY!X$2</f>
        <v>4.1503617139677234</v>
      </c>
      <c r="Y90" s="1">
        <f t="shared" si="6"/>
        <v>4.0695890005948243</v>
      </c>
      <c r="Z90" s="1">
        <f t="shared" si="7"/>
        <v>4.1503617139677234</v>
      </c>
    </row>
    <row r="91" spans="1:26" x14ac:dyDescent="0.3">
      <c r="A91" s="55" t="s">
        <v>1261</v>
      </c>
      <c r="B91" s="55">
        <v>60</v>
      </c>
      <c r="C91" s="121">
        <f>YEAR(Table12[[#This Row],[Date]])</f>
        <v>2025</v>
      </c>
      <c r="D91" s="55" t="s">
        <v>329</v>
      </c>
      <c r="E91" s="55" t="s">
        <v>329</v>
      </c>
      <c r="F91" s="122" t="str">
        <f>TEXT(Table12[[#This Row],[Date]],"mmm-yy")</f>
        <v>Jun-25</v>
      </c>
      <c r="G91" s="121">
        <f t="shared" si="5"/>
        <v>30</v>
      </c>
      <c r="H91" s="123">
        <f t="shared" si="8"/>
        <v>45832</v>
      </c>
      <c r="I91" s="1">
        <v>8.0208999999999993</v>
      </c>
      <c r="J91" s="1">
        <f>'Raw Data'!K91/Inv_SY!J$2</f>
        <v>2.699074074074074</v>
      </c>
      <c r="K91" s="1">
        <f>'Raw Data'!L91/Inv_SY!K$2</f>
        <v>2.8255675029868579</v>
      </c>
      <c r="L91" s="1">
        <f>'Raw Data'!M91/Inv_SY!L$2</f>
        <v>0</v>
      </c>
      <c r="M91" s="1">
        <f>'Raw Data'!N91/Inv_SY!M$2</f>
        <v>2.6631393298059964</v>
      </c>
      <c r="N91" s="1">
        <f>'Raw Data'!O91/Inv_SY!N$2</f>
        <v>2.7616879174256228</v>
      </c>
      <c r="O91" s="1">
        <f>'Raw Data'!P91/Inv_SY!O$2</f>
        <v>2.612780813600486</v>
      </c>
      <c r="P91" s="1">
        <f>'Raw Data'!Q91/Inv_SY!P$2</f>
        <v>2.6088342440801457</v>
      </c>
      <c r="Q91" s="1">
        <f>'Raw Data'!R91/Inv_SY!Q$2</f>
        <v>0</v>
      </c>
      <c r="R91" s="1">
        <f>'Raw Data'!S91/Inv_SY!R$2</f>
        <v>2.0476062879599857</v>
      </c>
      <c r="S91" s="1">
        <f>'Raw Data'!T91/Inv_SY!S$2</f>
        <v>2.087945321478256</v>
      </c>
      <c r="T91" s="1">
        <f>'Raw Data'!U91/Inv_SY!T$2</f>
        <v>2.1473736839009465</v>
      </c>
      <c r="U91" s="1">
        <f>'Raw Data'!V91/Inv_SY!U$2</f>
        <v>2.0110581730486436</v>
      </c>
      <c r="V91" s="1">
        <f>'Raw Data'!W91/Inv_SY!V$2</f>
        <v>2.0453128479180585</v>
      </c>
      <c r="W91" s="1">
        <f>'Raw Data'!X91/Inv_SY!W$2</f>
        <v>1.9991637524707311</v>
      </c>
      <c r="X91" s="1">
        <f>'Raw Data'!Y91/Inv_SY!X$2</f>
        <v>2.0716750139120759</v>
      </c>
      <c r="Y91" s="1">
        <f t="shared" si="6"/>
        <v>2.0387172047669551</v>
      </c>
      <c r="Z91" s="1">
        <f t="shared" si="7"/>
        <v>2.0716750139120759</v>
      </c>
    </row>
    <row r="92" spans="1:26" x14ac:dyDescent="0.3">
      <c r="A92" s="55" t="s">
        <v>1262</v>
      </c>
      <c r="B92" s="55">
        <v>61</v>
      </c>
      <c r="C92" s="121">
        <f>YEAR(Table12[[#This Row],[Date]])</f>
        <v>2025</v>
      </c>
      <c r="D92" s="55" t="s">
        <v>329</v>
      </c>
      <c r="E92" s="55" t="s">
        <v>329</v>
      </c>
      <c r="F92" s="122" t="str">
        <f>TEXT(Table12[[#This Row],[Date]],"mmm-yy")</f>
        <v>Jun-25</v>
      </c>
      <c r="G92" s="121">
        <f t="shared" si="5"/>
        <v>30</v>
      </c>
      <c r="H92" s="123">
        <f t="shared" si="8"/>
        <v>45833</v>
      </c>
      <c r="I92" s="1">
        <v>8.0208999999999993</v>
      </c>
      <c r="J92" s="1">
        <f>'Raw Data'!K92/Inv_SY!J$2</f>
        <v>4.2685185185185182</v>
      </c>
      <c r="K92" s="1">
        <f>'Raw Data'!L92/Inv_SY!K$2</f>
        <v>4.2659796893667856</v>
      </c>
      <c r="L92" s="1">
        <f>'Raw Data'!M92/Inv_SY!L$2</f>
        <v>0</v>
      </c>
      <c r="M92" s="1">
        <f>'Raw Data'!N92/Inv_SY!M$2</f>
        <v>4.3802175191064086</v>
      </c>
      <c r="N92" s="1">
        <f>'Raw Data'!O92/Inv_SY!N$2</f>
        <v>4.1701578627808145</v>
      </c>
      <c r="O92" s="1">
        <f>'Raw Data'!P92/Inv_SY!O$2</f>
        <v>4.3272616879174262</v>
      </c>
      <c r="P92" s="1">
        <f>'Raw Data'!Q92/Inv_SY!P$2</f>
        <v>4.1432908318154222</v>
      </c>
      <c r="Q92" s="1">
        <f>'Raw Data'!R92/Inv_SY!Q$2</f>
        <v>0</v>
      </c>
      <c r="R92" s="1">
        <f>'Raw Data'!S92/Inv_SY!R$2</f>
        <v>3.2310646659521258</v>
      </c>
      <c r="S92" s="1">
        <f>'Raw Data'!T92/Inv_SY!S$2</f>
        <v>3.2947740881872623</v>
      </c>
      <c r="T92" s="1">
        <f>'Raw Data'!U92/Inv_SY!T$2</f>
        <v>3.1905476148461851</v>
      </c>
      <c r="U92" s="1">
        <f>'Raw Data'!V92/Inv_SY!U$2</f>
        <v>3.3406858420092935</v>
      </c>
      <c r="V92" s="1">
        <f>'Raw Data'!W92/Inv_SY!V$2</f>
        <v>3.2268240184071848</v>
      </c>
      <c r="W92" s="1">
        <f>'Raw Data'!X92/Inv_SY!W$2</f>
        <v>3.1654629770412042</v>
      </c>
      <c r="X92" s="1">
        <f>'Raw Data'!Y92/Inv_SY!X$2</f>
        <v>3.2613244296048971</v>
      </c>
      <c r="Y92" s="1">
        <f t="shared" si="6"/>
        <v>3.217870475017762</v>
      </c>
      <c r="Z92" s="1">
        <f t="shared" si="7"/>
        <v>3.2613244296048971</v>
      </c>
    </row>
    <row r="93" spans="1:26" x14ac:dyDescent="0.3">
      <c r="A93" s="55" t="s">
        <v>1263</v>
      </c>
      <c r="B93" s="55">
        <v>62</v>
      </c>
      <c r="C93" s="121">
        <f>YEAR(Table12[[#This Row],[Date]])</f>
        <v>2025</v>
      </c>
      <c r="D93" s="55" t="s">
        <v>329</v>
      </c>
      <c r="E93" s="55" t="s">
        <v>329</v>
      </c>
      <c r="F93" s="122" t="str">
        <f>TEXT(Table12[[#This Row],[Date]],"mmm-yy")</f>
        <v>Jun-25</v>
      </c>
      <c r="G93" s="121">
        <f t="shared" si="5"/>
        <v>30</v>
      </c>
      <c r="H93" s="123">
        <f t="shared" si="8"/>
        <v>45834</v>
      </c>
      <c r="I93" s="1">
        <v>8.0208999999999993</v>
      </c>
      <c r="J93" s="1">
        <f>'Raw Data'!K93/Inv_SY!J$2</f>
        <v>4.0670549581839905</v>
      </c>
      <c r="K93" s="1">
        <f>'Raw Data'!L93/Inv_SY!K$2</f>
        <v>4.0663082437275984</v>
      </c>
      <c r="L93" s="1">
        <f>'Raw Data'!M93/Inv_SY!L$2</f>
        <v>0</v>
      </c>
      <c r="M93" s="1">
        <f>'Raw Data'!N93/Inv_SY!M$2</f>
        <v>4.117283950617284</v>
      </c>
      <c r="N93" s="1">
        <f>'Raw Data'!O93/Inv_SY!N$2</f>
        <v>3.9914996964177294</v>
      </c>
      <c r="O93" s="1">
        <f>'Raw Data'!P93/Inv_SY!O$2</f>
        <v>3.9684274438372804</v>
      </c>
      <c r="P93" s="1">
        <f>'Raw Data'!Q93/Inv_SY!P$2</f>
        <v>4.0793867638129937</v>
      </c>
      <c r="Q93" s="1">
        <f>'Raw Data'!R93/Inv_SY!Q$2</f>
        <v>0</v>
      </c>
      <c r="R93" s="1">
        <f>'Raw Data'!S93/Inv_SY!R$2</f>
        <v>3.1829820173871619</v>
      </c>
      <c r="S93" s="1">
        <f>'Raw Data'!T93/Inv_SY!S$2</f>
        <v>3.1319179822173835</v>
      </c>
      <c r="T93" s="1">
        <f>'Raw Data'!U93/Inv_SY!T$2</f>
        <v>3.0329098288335978</v>
      </c>
      <c r="U93" s="1">
        <f>'Raw Data'!V93/Inv_SY!U$2</f>
        <v>3.0159990588788892</v>
      </c>
      <c r="V93" s="1">
        <f>'Raw Data'!W93/Inv_SY!V$2</f>
        <v>3.0607511318934164</v>
      </c>
      <c r="W93" s="1">
        <f>'Raw Data'!X93/Inv_SY!W$2</f>
        <v>3.014862399270184</v>
      </c>
      <c r="X93" s="1">
        <f>'Raw Data'!Y93/Inv_SY!X$2</f>
        <v>3.0877017250973844</v>
      </c>
      <c r="Y93" s="1">
        <f t="shared" si="6"/>
        <v>3.0544384187536617</v>
      </c>
      <c r="Z93" s="1">
        <f t="shared" si="7"/>
        <v>3.0877017250973844</v>
      </c>
    </row>
    <row r="94" spans="1:26" x14ac:dyDescent="0.3">
      <c r="A94" s="55" t="s">
        <v>1264</v>
      </c>
      <c r="B94" s="55">
        <v>63</v>
      </c>
      <c r="C94" s="121">
        <f>YEAR(Table12[[#This Row],[Date]])</f>
        <v>2025</v>
      </c>
      <c r="D94" s="55" t="s">
        <v>329</v>
      </c>
      <c r="E94" s="55" t="s">
        <v>329</v>
      </c>
      <c r="F94" s="122" t="str">
        <f>TEXT(Table12[[#This Row],[Date]],"mmm-yy")</f>
        <v>Jun-25</v>
      </c>
      <c r="G94" s="121">
        <f t="shared" si="5"/>
        <v>30</v>
      </c>
      <c r="H94" s="123">
        <f t="shared" si="8"/>
        <v>45835</v>
      </c>
      <c r="I94" s="1">
        <v>8.0208999999999993</v>
      </c>
      <c r="J94" s="1">
        <f>'Raw Data'!K94/Inv_SY!J$2</f>
        <v>6.1741338112305852</v>
      </c>
      <c r="K94" s="1">
        <f>'Raw Data'!L94/Inv_SY!K$2</f>
        <v>6.0961768219832733</v>
      </c>
      <c r="L94" s="1">
        <f>'Raw Data'!M94/Inv_SY!L$2</f>
        <v>0</v>
      </c>
      <c r="M94" s="1">
        <f>'Raw Data'!N94/Inv_SY!M$2</f>
        <v>6.0042621987066438</v>
      </c>
      <c r="N94" s="1">
        <f>'Raw Data'!O94/Inv_SY!N$2</f>
        <v>6.0733151183970859</v>
      </c>
      <c r="O94" s="1">
        <f>'Raw Data'!P94/Inv_SY!O$2</f>
        <v>5.9535519125683063</v>
      </c>
      <c r="P94" s="1">
        <f>'Raw Data'!Q94/Inv_SY!P$2</f>
        <v>5.9603825136612025</v>
      </c>
      <c r="Q94" s="1">
        <f>'Raw Data'!R94/Inv_SY!Q$2</f>
        <v>0</v>
      </c>
      <c r="R94" s="1">
        <f>'Raw Data'!S94/Inv_SY!R$2</f>
        <v>4.6513635822317489</v>
      </c>
      <c r="S94" s="1">
        <f>'Raw Data'!T94/Inv_SY!S$2</f>
        <v>4.8194520050807474</v>
      </c>
      <c r="T94" s="1">
        <f>'Raw Data'!U94/Inv_SY!T$2</f>
        <v>4.5906123169225337</v>
      </c>
      <c r="U94" s="1">
        <f>'Raw Data'!V94/Inv_SY!U$2</f>
        <v>4.5570848773601549</v>
      </c>
      <c r="V94" s="1">
        <f>'Raw Data'!W94/Inv_SY!V$2</f>
        <v>4.5652415942997111</v>
      </c>
      <c r="W94" s="1">
        <f>'Raw Data'!X94/Inv_SY!W$2</f>
        <v>4.5043332826516647</v>
      </c>
      <c r="X94" s="1">
        <f>'Raw Data'!Y94/Inv_SY!X$2</f>
        <v>4.6494527916898525</v>
      </c>
      <c r="Y94" s="1">
        <f t="shared" si="6"/>
        <v>4.5730092228804091</v>
      </c>
      <c r="Z94" s="1">
        <f t="shared" si="7"/>
        <v>4.6494527916898525</v>
      </c>
    </row>
    <row r="95" spans="1:26" x14ac:dyDescent="0.3">
      <c r="A95" s="55" t="s">
        <v>1265</v>
      </c>
      <c r="B95" s="55">
        <v>64</v>
      </c>
      <c r="C95" s="121">
        <f>YEAR(Table12[[#This Row],[Date]])</f>
        <v>2025</v>
      </c>
      <c r="D95" s="55" t="s">
        <v>329</v>
      </c>
      <c r="E95" s="55" t="s">
        <v>329</v>
      </c>
      <c r="F95" s="122" t="str">
        <f>TEXT(Table12[[#This Row],[Date]],"mmm-yy")</f>
        <v>Jun-25</v>
      </c>
      <c r="G95" s="121">
        <f t="shared" si="5"/>
        <v>30</v>
      </c>
      <c r="H95" s="123">
        <f t="shared" si="8"/>
        <v>45836</v>
      </c>
      <c r="I95" s="1">
        <v>8.0208999999999993</v>
      </c>
      <c r="J95" s="1">
        <f>'Raw Data'!K95/Inv_SY!J$2</f>
        <v>5.6466547192353644</v>
      </c>
      <c r="K95" s="1">
        <f>'Raw Data'!L95/Inv_SY!K$2</f>
        <v>5.7586618876941458</v>
      </c>
      <c r="L95" s="1">
        <f>'Raw Data'!M95/Inv_SY!L$2</f>
        <v>0</v>
      </c>
      <c r="M95" s="1">
        <f>'Raw Data'!N95/Inv_SY!M$2</f>
        <v>5.5595238095238093</v>
      </c>
      <c r="N95" s="1">
        <f>'Raw Data'!O95/Inv_SY!N$2</f>
        <v>5.7035519125683063</v>
      </c>
      <c r="O95" s="1">
        <f>'Raw Data'!P95/Inv_SY!O$2</f>
        <v>5.5374924104432299</v>
      </c>
      <c r="P95" s="1">
        <f>'Raw Data'!Q95/Inv_SY!P$2</f>
        <v>5.5434122647237407</v>
      </c>
      <c r="Q95" s="1">
        <f>'Raw Data'!R95/Inv_SY!Q$2</f>
        <v>0</v>
      </c>
      <c r="R95" s="1">
        <f>'Raw Data'!S95/Inv_SY!R$2</f>
        <v>4.3030248898416099</v>
      </c>
      <c r="S95" s="1">
        <f>'Raw Data'!T95/Inv_SY!S$2</f>
        <v>4.3875884594447472</v>
      </c>
      <c r="T95" s="1">
        <f>'Raw Data'!U95/Inv_SY!T$2</f>
        <v>4.3626845479677661</v>
      </c>
      <c r="U95" s="1">
        <f>'Raw Data'!V95/Inv_SY!U$2</f>
        <v>4.2194576789600609</v>
      </c>
      <c r="V95" s="1">
        <f>'Raw Data'!W95/Inv_SY!V$2</f>
        <v>4.2379945075335863</v>
      </c>
      <c r="W95" s="1">
        <f>'Raw Data'!X95/Inv_SY!W$2</f>
        <v>4.2031321271096242</v>
      </c>
      <c r="X95" s="1">
        <f>'Raw Data'!Y95/Inv_SY!X$2</f>
        <v>4.3140048228529029</v>
      </c>
      <c r="Y95" s="1">
        <f t="shared" si="6"/>
        <v>4.2517104858320378</v>
      </c>
      <c r="Z95" s="1">
        <f t="shared" si="7"/>
        <v>4.3140048228529029</v>
      </c>
    </row>
    <row r="96" spans="1:26" x14ac:dyDescent="0.3">
      <c r="A96" s="55" t="s">
        <v>1266</v>
      </c>
      <c r="B96" s="55">
        <v>65</v>
      </c>
      <c r="C96" s="121">
        <f>YEAR(Table12[[#This Row],[Date]])</f>
        <v>2025</v>
      </c>
      <c r="D96" s="55" t="s">
        <v>329</v>
      </c>
      <c r="E96" s="55" t="s">
        <v>329</v>
      </c>
      <c r="F96" s="122" t="str">
        <f>TEXT(Table12[[#This Row],[Date]],"mmm-yy")</f>
        <v>Jun-25</v>
      </c>
      <c r="G96" s="121">
        <f t="shared" si="5"/>
        <v>30</v>
      </c>
      <c r="H96" s="123">
        <f t="shared" si="8"/>
        <v>45837</v>
      </c>
      <c r="I96" s="1">
        <v>8.0208999999999993</v>
      </c>
      <c r="J96" s="1">
        <f>'Raw Data'!K96/Inv_SY!J$2</f>
        <v>4.0128434886499402</v>
      </c>
      <c r="K96" s="1">
        <f>'Raw Data'!L96/Inv_SY!K$2</f>
        <v>4.0135902031063324</v>
      </c>
      <c r="L96" s="1">
        <f>'Raw Data'!M96/Inv_SY!L$2</f>
        <v>0</v>
      </c>
      <c r="M96" s="1">
        <f>'Raw Data'!N96/Inv_SY!M$2</f>
        <v>4.0521751910640802</v>
      </c>
      <c r="N96" s="1">
        <f>'Raw Data'!O96/Inv_SY!N$2</f>
        <v>3.9357923497267762</v>
      </c>
      <c r="O96" s="1">
        <f>'Raw Data'!P96/Inv_SY!O$2</f>
        <v>4.0086520947176689</v>
      </c>
      <c r="P96" s="1">
        <f>'Raw Data'!Q96/Inv_SY!P$2</f>
        <v>3.9108986035215545</v>
      </c>
      <c r="Q96" s="1">
        <f>'Raw Data'!R96/Inv_SY!Q$2</f>
        <v>0</v>
      </c>
      <c r="R96" s="1">
        <f>'Raw Data'!S96/Inv_SY!R$2</f>
        <v>3.0945575800881269</v>
      </c>
      <c r="S96" s="1">
        <f>'Raw Data'!T96/Inv_SY!S$2</f>
        <v>3.154751103852901</v>
      </c>
      <c r="T96" s="1">
        <f>'Raw Data'!U96/Inv_SY!T$2</f>
        <v>3.0557026057290746</v>
      </c>
      <c r="U96" s="1">
        <f>'Raw Data'!V96/Inv_SY!U$2</f>
        <v>3.1274630904064464</v>
      </c>
      <c r="V96" s="1">
        <f>'Raw Data'!W96/Inv_SY!V$2</f>
        <v>3.0177391820678396</v>
      </c>
      <c r="W96" s="1">
        <f>'Raw Data'!X96/Inv_SY!W$2</f>
        <v>2.9687927626577464</v>
      </c>
      <c r="X96" s="1">
        <f>'Raw Data'!Y96/Inv_SY!X$2</f>
        <v>3.1051381932851054</v>
      </c>
      <c r="Y96" s="1">
        <f t="shared" si="6"/>
        <v>3.0305567126702306</v>
      </c>
      <c r="Z96" s="1">
        <f t="shared" si="7"/>
        <v>3.1051381932851054</v>
      </c>
    </row>
    <row r="97" spans="1:26" x14ac:dyDescent="0.3">
      <c r="A97" s="55" t="s">
        <v>1267</v>
      </c>
      <c r="B97" s="55">
        <v>66</v>
      </c>
      <c r="C97" s="121">
        <f>YEAR(Table12[[#This Row],[Date]])</f>
        <v>2025</v>
      </c>
      <c r="D97" s="55" t="s">
        <v>329</v>
      </c>
      <c r="E97" s="55" t="s">
        <v>329</v>
      </c>
      <c r="F97" s="122" t="str">
        <f>TEXT(Table12[[#This Row],[Date]],"mmm-yy")</f>
        <v>Jun-25</v>
      </c>
      <c r="G97" s="121">
        <f t="shared" si="5"/>
        <v>30</v>
      </c>
      <c r="H97" s="123">
        <f t="shared" si="8"/>
        <v>45838</v>
      </c>
      <c r="I97" s="1">
        <v>8.0208999999999993</v>
      </c>
      <c r="J97" s="1">
        <f>'Raw Data'!K97/Inv_SY!J$2</f>
        <v>3.7425328554360813</v>
      </c>
      <c r="K97" s="1">
        <f>'Raw Data'!L97/Inv_SY!K$2</f>
        <v>3.7398446833930703</v>
      </c>
      <c r="L97" s="1">
        <f>'Raw Data'!M97/Inv_SY!L$2</f>
        <v>0</v>
      </c>
      <c r="M97" s="1">
        <f>'Raw Data'!N97/Inv_SY!M$2</f>
        <v>3.8205467372134039</v>
      </c>
      <c r="N97" s="1">
        <f>'Raw Data'!O97/Inv_SY!N$2</f>
        <v>3.6448087431693987</v>
      </c>
      <c r="O97" s="1">
        <f>'Raw Data'!P97/Inv_SY!O$2</f>
        <v>3.6218882817243476</v>
      </c>
      <c r="P97" s="1">
        <f>'Raw Data'!Q97/Inv_SY!P$2</f>
        <v>3.7695810564663028</v>
      </c>
      <c r="Q97" s="1">
        <f>'Raw Data'!R97/Inv_SY!Q$2</f>
        <v>0</v>
      </c>
      <c r="R97" s="1">
        <f>'Raw Data'!S97/Inv_SY!R$2</f>
        <v>2.9506073597713467</v>
      </c>
      <c r="S97" s="1">
        <f>'Raw Data'!T97/Inv_SY!S$2</f>
        <v>2.8694126897719712</v>
      </c>
      <c r="T97" s="1">
        <f>'Raw Data'!U97/Inv_SY!T$2</f>
        <v>2.7786600788188927</v>
      </c>
      <c r="U97" s="1">
        <f>'Raw Data'!V97/Inv_SY!U$2</f>
        <v>2.7633668607728956</v>
      </c>
      <c r="V97" s="1">
        <f>'Raw Data'!W97/Inv_SY!V$2</f>
        <v>2.8240555184442959</v>
      </c>
      <c r="W97" s="1">
        <f>'Raw Data'!X97/Inv_SY!W$2</f>
        <v>2.7636840504789411</v>
      </c>
      <c r="X97" s="1">
        <f>'Raw Data'!Y97/Inv_SY!X$2</f>
        <v>2.8375069560378403</v>
      </c>
      <c r="Y97" s="1">
        <f t="shared" si="6"/>
        <v>2.8084155083203588</v>
      </c>
      <c r="Z97" s="1">
        <f t="shared" si="7"/>
        <v>2.8375069560378403</v>
      </c>
    </row>
    <row r="98" spans="1:26" x14ac:dyDescent="0.3">
      <c r="A98" s="55" t="s">
        <v>1268</v>
      </c>
      <c r="B98" s="55">
        <v>67</v>
      </c>
      <c r="C98" s="121">
        <f>YEAR(Table12[[#This Row],[Date]])</f>
        <v>2025</v>
      </c>
      <c r="D98" s="55" t="s">
        <v>329</v>
      </c>
      <c r="E98" s="55" t="s">
        <v>329</v>
      </c>
      <c r="F98" s="122" t="str">
        <f>TEXT(Table12[[#This Row],[Date]],"mmm-yy")</f>
        <v>Jul-25</v>
      </c>
      <c r="G98" s="121">
        <f t="shared" si="5"/>
        <v>31</v>
      </c>
      <c r="H98" s="123">
        <f t="shared" si="8"/>
        <v>45839</v>
      </c>
      <c r="I98" s="1">
        <v>8.0208999999999993</v>
      </c>
      <c r="J98" s="1">
        <f>'Raw Data'!K98/Inv_SY!J$2</f>
        <v>3.1482974910394264</v>
      </c>
      <c r="K98" s="1">
        <f>'Raw Data'!L98/Inv_SY!K$2</f>
        <v>2.9069593787335721</v>
      </c>
      <c r="L98" s="1">
        <f>'Raw Data'!M98/Inv_SY!L$2</f>
        <v>0</v>
      </c>
      <c r="M98" s="1">
        <f>'Raw Data'!N98/Inv_SY!M$2</f>
        <v>2.8611111111111112</v>
      </c>
      <c r="N98" s="1">
        <f>'Raw Data'!O98/Inv_SY!N$2</f>
        <v>3.0947176684881605</v>
      </c>
      <c r="O98" s="1">
        <f>'Raw Data'!P98/Inv_SY!O$2</f>
        <v>2.8261991499696419</v>
      </c>
      <c r="P98" s="1">
        <f>'Raw Data'!Q98/Inv_SY!P$2</f>
        <v>2.820279295689132</v>
      </c>
      <c r="Q98" s="1">
        <f>'Raw Data'!R98/Inv_SY!Q$2</f>
        <v>0</v>
      </c>
      <c r="R98" s="1">
        <f>'Raw Data'!S98/Inv_SY!R$2</f>
        <v>2.1692271049184235</v>
      </c>
      <c r="S98" s="1">
        <f>'Raw Data'!T98/Inv_SY!S$2</f>
        <v>2.4662795620879456</v>
      </c>
      <c r="T98" s="1">
        <f>'Raw Data'!U98/Inv_SY!T$2</f>
        <v>2.1414916769601784</v>
      </c>
      <c r="U98" s="1">
        <f>'Raw Data'!V98/Inv_SY!U$2</f>
        <v>2.1369331215810834</v>
      </c>
      <c r="V98" s="1">
        <f>'Raw Data'!W98/Inv_SY!V$2</f>
        <v>2.2271580197431904</v>
      </c>
      <c r="W98" s="1">
        <f>'Raw Data'!X98/Inv_SY!W$2</f>
        <v>2.1889539303633874</v>
      </c>
      <c r="X98" s="1">
        <f>'Raw Data'!Y98/Inv_SY!X$2</f>
        <v>2.2250788350955295</v>
      </c>
      <c r="Y98" s="1">
        <f t="shared" si="6"/>
        <v>2.2137302617340358</v>
      </c>
      <c r="Z98" s="1">
        <f t="shared" si="7"/>
        <v>2.2271580197431904</v>
      </c>
    </row>
    <row r="99" spans="1:26" x14ac:dyDescent="0.3">
      <c r="A99" s="55" t="s">
        <v>1269</v>
      </c>
      <c r="B99" s="55">
        <v>68</v>
      </c>
      <c r="C99" s="121">
        <f>YEAR(Table12[[#This Row],[Date]])</f>
        <v>2025</v>
      </c>
      <c r="D99" s="55" t="s">
        <v>329</v>
      </c>
      <c r="E99" s="55" t="s">
        <v>329</v>
      </c>
      <c r="F99" s="122" t="str">
        <f>TEXT(Table12[[#This Row],[Date]],"mmm-yy")</f>
        <v>Jul-25</v>
      </c>
      <c r="G99" s="121">
        <f t="shared" si="5"/>
        <v>31</v>
      </c>
      <c r="H99" s="123">
        <f t="shared" si="8"/>
        <v>45840</v>
      </c>
      <c r="I99" s="1">
        <v>8.0208999999999993</v>
      </c>
      <c r="J99" s="1">
        <f>'Raw Data'!K99/Inv_SY!J$2</f>
        <v>1.7580645161290323</v>
      </c>
      <c r="K99" s="1">
        <f>'Raw Data'!L99/Inv_SY!K$2</f>
        <v>1.9868578255675031</v>
      </c>
      <c r="L99" s="1">
        <f>'Raw Data'!M99/Inv_SY!L$2</f>
        <v>0</v>
      </c>
      <c r="M99" s="1">
        <f>'Raw Data'!N99/Inv_SY!M$2</f>
        <v>1.7369194591416814</v>
      </c>
      <c r="N99" s="1">
        <f>'Raw Data'!O99/Inv_SY!N$2</f>
        <v>1.9271402550091075</v>
      </c>
      <c r="O99" s="1">
        <f>'Raw Data'!P99/Inv_SY!O$2</f>
        <v>1.7017304189435336</v>
      </c>
      <c r="P99" s="1">
        <f>'Raw Data'!Q99/Inv_SY!P$2</f>
        <v>1.6912568306010931</v>
      </c>
      <c r="Q99" s="1">
        <f>'Raw Data'!R99/Inv_SY!Q$2</f>
        <v>0</v>
      </c>
      <c r="R99" s="1">
        <f>'Raw Data'!S99/Inv_SY!R$2</f>
        <v>1.3157973085625818</v>
      </c>
      <c r="S99" s="1">
        <f>'Raw Data'!T99/Inv_SY!S$2</f>
        <v>1.3421641565354141</v>
      </c>
      <c r="T99" s="1">
        <f>'Raw Data'!U99/Inv_SY!T$2</f>
        <v>1.5234397976589611</v>
      </c>
      <c r="U99" s="1">
        <f>'Raw Data'!V99/Inv_SY!U$2</f>
        <v>1.2921298747132521</v>
      </c>
      <c r="V99" s="1">
        <f>'Raw Data'!W99/Inv_SY!V$2</f>
        <v>1.3691828100645738</v>
      </c>
      <c r="W99" s="1">
        <f>'Raw Data'!X99/Inv_SY!W$2</f>
        <v>1.332256347878972</v>
      </c>
      <c r="X99" s="1">
        <f>'Raw Data'!Y99/Inv_SY!X$2</f>
        <v>1.3675384900760525</v>
      </c>
      <c r="Y99" s="1">
        <f t="shared" si="6"/>
        <v>1.3563258826731994</v>
      </c>
      <c r="Z99" s="1">
        <f t="shared" si="7"/>
        <v>1.3691828100645738</v>
      </c>
    </row>
    <row r="100" spans="1:26" x14ac:dyDescent="0.3">
      <c r="A100" s="55" t="s">
        <v>1270</v>
      </c>
      <c r="B100" s="55">
        <v>69</v>
      </c>
      <c r="C100" s="121">
        <f>YEAR(Table12[[#This Row],[Date]])</f>
        <v>2025</v>
      </c>
      <c r="D100" s="55" t="s">
        <v>329</v>
      </c>
      <c r="E100" s="55" t="s">
        <v>329</v>
      </c>
      <c r="F100" s="122" t="str">
        <f>TEXT(Table12[[#This Row],[Date]],"mmm-yy")</f>
        <v>Jul-25</v>
      </c>
      <c r="G100" s="121">
        <f t="shared" ref="G100:G163" si="9">DAY(EOMONTH(F100,0))</f>
        <v>31</v>
      </c>
      <c r="H100" s="123">
        <f t="shared" si="8"/>
        <v>45841</v>
      </c>
      <c r="I100" s="1">
        <v>8.0208999999999993</v>
      </c>
      <c r="J100" s="1">
        <f>'Raw Data'!K100/Inv_SY!J$2</f>
        <v>2.9892473118279566</v>
      </c>
      <c r="K100" s="1">
        <f>'Raw Data'!L100/Inv_SY!K$2</f>
        <v>2.9883512544802868</v>
      </c>
      <c r="L100" s="1">
        <f>'Raw Data'!M100/Inv_SY!L$2</f>
        <v>0</v>
      </c>
      <c r="M100" s="1">
        <f>'Raw Data'!N100/Inv_SY!M$2</f>
        <v>3.0828924162257496</v>
      </c>
      <c r="N100" s="1">
        <f>'Raw Data'!O100/Inv_SY!N$2</f>
        <v>2.9442926533090472</v>
      </c>
      <c r="O100" s="1">
        <f>'Raw Data'!P100/Inv_SY!O$2</f>
        <v>3.051608986035216</v>
      </c>
      <c r="P100" s="1">
        <f>'Raw Data'!Q100/Inv_SY!P$2</f>
        <v>2.9234972677595632</v>
      </c>
      <c r="Q100" s="1">
        <f>'Raw Data'!R100/Inv_SY!Q$2</f>
        <v>0</v>
      </c>
      <c r="R100" s="1">
        <f>'Raw Data'!S100/Inv_SY!R$2</f>
        <v>2.2344289627247829</v>
      </c>
      <c r="S100" s="1">
        <f>'Raw Data'!T100/Inv_SY!S$2</f>
        <v>2.278926994495857</v>
      </c>
      <c r="T100" s="1">
        <f>'Raw Data'!U100/Inv_SY!T$2</f>
        <v>2.2063408034821479</v>
      </c>
      <c r="U100" s="1">
        <f>'Raw Data'!V100/Inv_SY!U$2</f>
        <v>2.3326569025351445</v>
      </c>
      <c r="V100" s="1">
        <f>'Raw Data'!W100/Inv_SY!V$2</f>
        <v>2.263861055444222</v>
      </c>
      <c r="W100" s="1">
        <f>'Raw Data'!X100/Inv_SY!W$2</f>
        <v>2.2335791394252698</v>
      </c>
      <c r="X100" s="1">
        <f>'Raw Data'!Y100/Inv_SY!X$2</f>
        <v>2.2611018363939901</v>
      </c>
      <c r="Y100" s="1">
        <f t="shared" ref="Y100:Y163" si="10">IFERROR(AVERAGEIF(V100:X100,"&gt;"&amp;0,V100:X100),"")</f>
        <v>2.2528473437544942</v>
      </c>
      <c r="Z100" s="1">
        <f t="shared" ref="Z100:Z163" si="11">MAXA(V100:X100)</f>
        <v>2.263861055444222</v>
      </c>
    </row>
    <row r="101" spans="1:26" x14ac:dyDescent="0.3">
      <c r="A101" s="55" t="s">
        <v>1271</v>
      </c>
      <c r="B101" s="55">
        <v>70</v>
      </c>
      <c r="C101" s="121">
        <f>YEAR(Table12[[#This Row],[Date]])</f>
        <v>2025</v>
      </c>
      <c r="D101" s="55" t="s">
        <v>329</v>
      </c>
      <c r="E101" s="55" t="s">
        <v>329</v>
      </c>
      <c r="F101" s="122" t="str">
        <f>TEXT(Table12[[#This Row],[Date]],"mmm-yy")</f>
        <v>Jul-25</v>
      </c>
      <c r="G101" s="121">
        <f t="shared" si="9"/>
        <v>31</v>
      </c>
      <c r="H101" s="123">
        <f t="shared" si="8"/>
        <v>45842</v>
      </c>
      <c r="I101" s="1">
        <v>8.0208999999999993</v>
      </c>
      <c r="J101" s="1">
        <f>'Raw Data'!K101/Inv_SY!J$2</f>
        <v>5.1650238948626042</v>
      </c>
      <c r="K101" s="1">
        <f>'Raw Data'!L101/Inv_SY!K$2</f>
        <v>5.1615890083632019</v>
      </c>
      <c r="L101" s="1">
        <f>'Raw Data'!M101/Inv_SY!L$2</f>
        <v>0</v>
      </c>
      <c r="M101" s="1">
        <f>'Raw Data'!N101/Inv_SY!M$2</f>
        <v>5.1353615520282183</v>
      </c>
      <c r="N101" s="1">
        <f>'Raw Data'!O101/Inv_SY!N$2</f>
        <v>5.0962355798421379</v>
      </c>
      <c r="O101" s="1">
        <f>'Raw Data'!P101/Inv_SY!O$2</f>
        <v>5.0637522768670316</v>
      </c>
      <c r="P101" s="1">
        <f>'Raw Data'!Q101/Inv_SY!P$2</f>
        <v>5.1268973891924716</v>
      </c>
      <c r="Q101" s="1">
        <f>'Raw Data'!R101/Inv_SY!Q$2</f>
        <v>0</v>
      </c>
      <c r="R101" s="1">
        <f>'Raw Data'!S101/Inv_SY!R$2</f>
        <v>4.083601286173633</v>
      </c>
      <c r="S101" s="1">
        <f>'Raw Data'!T101/Inv_SY!S$2</f>
        <v>4.1113228089275999</v>
      </c>
      <c r="T101" s="1">
        <f>'Raw Data'!U101/Inv_SY!T$2</f>
        <v>3.9805011469913532</v>
      </c>
      <c r="U101" s="1">
        <f>'Raw Data'!V101/Inv_SY!U$2</f>
        <v>3.9541791659314152</v>
      </c>
      <c r="V101" s="1">
        <f>'Raw Data'!W101/Inv_SY!V$2</f>
        <v>3.8628367846804719</v>
      </c>
      <c r="W101" s="1">
        <f>'Raw Data'!X101/Inv_SY!W$2</f>
        <v>3.828113121483959</v>
      </c>
      <c r="X101" s="1">
        <f>'Raw Data'!Y101/Inv_SY!X$2</f>
        <v>4.0281951400482283</v>
      </c>
      <c r="Y101" s="1">
        <f t="shared" si="10"/>
        <v>3.9063816820708865</v>
      </c>
      <c r="Z101" s="1">
        <f t="shared" si="11"/>
        <v>4.0281951400482283</v>
      </c>
    </row>
    <row r="102" spans="1:26" x14ac:dyDescent="0.3">
      <c r="A102" s="55" t="s">
        <v>1272</v>
      </c>
      <c r="B102" s="55">
        <v>71</v>
      </c>
      <c r="C102" s="121">
        <f>YEAR(Table12[[#This Row],[Date]])</f>
        <v>2025</v>
      </c>
      <c r="D102" s="55" t="s">
        <v>329</v>
      </c>
      <c r="E102" s="55" t="s">
        <v>329</v>
      </c>
      <c r="F102" s="122" t="str">
        <f>TEXT(Table12[[#This Row],[Date]],"mmm-yy")</f>
        <v>Jul-25</v>
      </c>
      <c r="G102" s="121">
        <f t="shared" si="9"/>
        <v>31</v>
      </c>
      <c r="H102" s="123">
        <f t="shared" si="8"/>
        <v>45843</v>
      </c>
      <c r="I102" s="1">
        <v>8.0208999999999993</v>
      </c>
      <c r="J102" s="1">
        <f>'Raw Data'!K102/Inv_SY!J$2</f>
        <v>5.000298685782556</v>
      </c>
      <c r="K102" s="1">
        <f>'Raw Data'!L102/Inv_SY!K$2</f>
        <v>4.9144265232974904</v>
      </c>
      <c r="L102" s="1">
        <f>'Raw Data'!M102/Inv_SY!L$2</f>
        <v>0</v>
      </c>
      <c r="M102" s="1">
        <f>'Raw Data'!N102/Inv_SY!M$2</f>
        <v>4.8434744268077603</v>
      </c>
      <c r="N102" s="1">
        <f>'Raw Data'!O102/Inv_SY!N$2</f>
        <v>4.9146933819064973</v>
      </c>
      <c r="O102" s="1">
        <f>'Raw Data'!P102/Inv_SY!O$2</f>
        <v>4.7947783849423198</v>
      </c>
      <c r="P102" s="1">
        <f>'Raw Data'!Q102/Inv_SY!P$2</f>
        <v>4.7967516697024895</v>
      </c>
      <c r="Q102" s="1">
        <f>'Raw Data'!R102/Inv_SY!Q$2</f>
        <v>0</v>
      </c>
      <c r="R102" s="1">
        <f>'Raw Data'!S102/Inv_SY!R$2</f>
        <v>3.7875133976420154</v>
      </c>
      <c r="S102" s="1">
        <f>'Raw Data'!T102/Inv_SY!S$2</f>
        <v>3.9430230448194523</v>
      </c>
      <c r="T102" s="1">
        <f>'Raw Data'!U102/Inv_SY!T$2</f>
        <v>3.7396329627668954</v>
      </c>
      <c r="U102" s="1">
        <f>'Raw Data'!V102/Inv_SY!U$2</f>
        <v>3.7175754367390148</v>
      </c>
      <c r="V102" s="1">
        <f>'Raw Data'!W102/Inv_SY!V$2</f>
        <v>3.6867809693460996</v>
      </c>
      <c r="W102" s="1">
        <f>'Raw Data'!X102/Inv_SY!W$2</f>
        <v>3.6326212558917441</v>
      </c>
      <c r="X102" s="1">
        <f>'Raw Data'!Y102/Inv_SY!X$2</f>
        <v>3.7926544240400668</v>
      </c>
      <c r="Y102" s="1">
        <f t="shared" si="10"/>
        <v>3.7040188830926368</v>
      </c>
      <c r="Z102" s="1">
        <f t="shared" si="11"/>
        <v>3.7926544240400668</v>
      </c>
    </row>
    <row r="103" spans="1:26" x14ac:dyDescent="0.3">
      <c r="A103" s="55" t="s">
        <v>1273</v>
      </c>
      <c r="B103" s="55">
        <v>72</v>
      </c>
      <c r="C103" s="121">
        <f>YEAR(Table12[[#This Row],[Date]])</f>
        <v>2025</v>
      </c>
      <c r="D103" s="55" t="s">
        <v>329</v>
      </c>
      <c r="E103" s="55" t="s">
        <v>329</v>
      </c>
      <c r="F103" s="122" t="str">
        <f>TEXT(Table12[[#This Row],[Date]],"mmm-yy")</f>
        <v>Jul-25</v>
      </c>
      <c r="G103" s="121">
        <f t="shared" si="9"/>
        <v>31</v>
      </c>
      <c r="H103" s="123">
        <f t="shared" si="8"/>
        <v>45844</v>
      </c>
      <c r="I103" s="1">
        <v>8.0208999999999993</v>
      </c>
      <c r="J103" s="1">
        <f>'Raw Data'!K103/Inv_SY!J$2</f>
        <v>5.3882915173237755</v>
      </c>
      <c r="K103" s="1">
        <f>'Raw Data'!L103/Inv_SY!K$2</f>
        <v>5.3845579450418155</v>
      </c>
      <c r="L103" s="1">
        <f>'Raw Data'!M103/Inv_SY!L$2</f>
        <v>0</v>
      </c>
      <c r="M103" s="1">
        <f>'Raw Data'!N103/Inv_SY!M$2</f>
        <v>5.3831569664902998</v>
      </c>
      <c r="N103" s="1">
        <f>'Raw Data'!O103/Inv_SY!N$2</f>
        <v>5.2890103217972078</v>
      </c>
      <c r="O103" s="1">
        <f>'Raw Data'!P103/Inv_SY!O$2</f>
        <v>5.2563752276867035</v>
      </c>
      <c r="P103" s="1">
        <f>'Raw Data'!Q103/Inv_SY!P$2</f>
        <v>5.343351548269581</v>
      </c>
      <c r="Q103" s="1">
        <f>'Raw Data'!R103/Inv_SY!Q$2</f>
        <v>0</v>
      </c>
      <c r="R103" s="1">
        <f>'Raw Data'!S103/Inv_SY!R$2</f>
        <v>4.1132249612957006</v>
      </c>
      <c r="S103" s="1">
        <f>'Raw Data'!T103/Inv_SY!S$2</f>
        <v>4.1938849573580113</v>
      </c>
      <c r="T103" s="1">
        <f>'Raw Data'!U103/Inv_SY!T$2</f>
        <v>4.0641726957237809</v>
      </c>
      <c r="U103" s="1">
        <f>'Raw Data'!V103/Inv_SY!U$2</f>
        <v>4.1124051526380798</v>
      </c>
      <c r="V103" s="1">
        <f>'Raw Data'!W103/Inv_SY!V$2</f>
        <v>4.0362948118459148</v>
      </c>
      <c r="W103" s="1">
        <f>'Raw Data'!X103/Inv_SY!W$2</f>
        <v>3.9788277330089703</v>
      </c>
      <c r="X103" s="1">
        <f>'Raw Data'!Y103/Inv_SY!X$2</f>
        <v>4.1168614357262108</v>
      </c>
      <c r="Y103" s="1">
        <f t="shared" si="10"/>
        <v>4.0439946601936985</v>
      </c>
      <c r="Z103" s="1">
        <f t="shared" si="11"/>
        <v>4.1168614357262108</v>
      </c>
    </row>
    <row r="104" spans="1:26" x14ac:dyDescent="0.3">
      <c r="A104" s="55" t="s">
        <v>1274</v>
      </c>
      <c r="B104" s="55">
        <v>73</v>
      </c>
      <c r="C104" s="121">
        <f>YEAR(Table12[[#This Row],[Date]])</f>
        <v>2025</v>
      </c>
      <c r="D104" s="55" t="s">
        <v>329</v>
      </c>
      <c r="E104" s="55" t="s">
        <v>329</v>
      </c>
      <c r="F104" s="122" t="str">
        <f>TEXT(Table12[[#This Row],[Date]],"mmm-yy")</f>
        <v>Jul-25</v>
      </c>
      <c r="G104" s="121">
        <f t="shared" si="9"/>
        <v>31</v>
      </c>
      <c r="H104" s="123">
        <f t="shared" si="8"/>
        <v>45845</v>
      </c>
      <c r="I104" s="1">
        <v>8.0208999999999993</v>
      </c>
      <c r="J104" s="1">
        <f>'Raw Data'!K104/Inv_SY!J$2</f>
        <v>2.7326762246117084</v>
      </c>
      <c r="K104" s="1">
        <f>'Raw Data'!L104/Inv_SY!K$2</f>
        <v>2.5353942652329748</v>
      </c>
      <c r="L104" s="1">
        <f>'Raw Data'!M104/Inv_SY!L$2</f>
        <v>0</v>
      </c>
      <c r="M104" s="1">
        <f>'Raw Data'!N104/Inv_SY!M$2</f>
        <v>2.5023515579071134</v>
      </c>
      <c r="N104" s="1">
        <f>'Raw Data'!O104/Inv_SY!N$2</f>
        <v>2.6718275652701884</v>
      </c>
      <c r="O104" s="1">
        <f>'Raw Data'!P104/Inv_SY!O$2</f>
        <v>2.5009107468123863</v>
      </c>
      <c r="P104" s="1">
        <f>'Raw Data'!Q104/Inv_SY!P$2</f>
        <v>2.4634183363691564</v>
      </c>
      <c r="Q104" s="1">
        <f>'Raw Data'!R104/Inv_SY!Q$2</f>
        <v>0</v>
      </c>
      <c r="R104" s="1">
        <f>'Raw Data'!S104/Inv_SY!R$2</f>
        <v>1.9136298678099322</v>
      </c>
      <c r="S104" s="1">
        <f>'Raw Data'!T104/Inv_SY!S$2</f>
        <v>2.1547813463981131</v>
      </c>
      <c r="T104" s="1">
        <f>'Raw Data'!U104/Inv_SY!T$2</f>
        <v>1.8906240809364154</v>
      </c>
      <c r="U104" s="1">
        <f>'Raw Data'!V104/Inv_SY!U$2</f>
        <v>1.8804776189635901</v>
      </c>
      <c r="V104" s="1">
        <f>'Raw Data'!W104/Inv_SY!V$2</f>
        <v>1.9409559860461667</v>
      </c>
      <c r="W104" s="1">
        <f>'Raw Data'!X104/Inv_SY!W$2</f>
        <v>1.9122320206781209</v>
      </c>
      <c r="X104" s="1">
        <f>'Raw Data'!Y104/Inv_SY!X$2</f>
        <v>1.9569653125579669</v>
      </c>
      <c r="Y104" s="1">
        <f t="shared" si="10"/>
        <v>1.9367177730940848</v>
      </c>
      <c r="Z104" s="1">
        <f t="shared" si="11"/>
        <v>1.9569653125579669</v>
      </c>
    </row>
    <row r="105" spans="1:26" x14ac:dyDescent="0.3">
      <c r="A105" s="55" t="s">
        <v>1275</v>
      </c>
      <c r="B105" s="55">
        <v>74</v>
      </c>
      <c r="C105" s="121">
        <f>YEAR(Table12[[#This Row],[Date]])</f>
        <v>2025</v>
      </c>
      <c r="D105" s="55" t="s">
        <v>329</v>
      </c>
      <c r="E105" s="55" t="s">
        <v>329</v>
      </c>
      <c r="F105" s="122" t="str">
        <f>TEXT(Table12[[#This Row],[Date]],"mmm-yy")</f>
        <v>Jul-25</v>
      </c>
      <c r="G105" s="121">
        <f t="shared" si="9"/>
        <v>31</v>
      </c>
      <c r="H105" s="123">
        <f t="shared" si="8"/>
        <v>45846</v>
      </c>
      <c r="I105" s="1">
        <v>8.0208999999999993</v>
      </c>
      <c r="J105" s="1">
        <f>'Raw Data'!K105/Inv_SY!J$2</f>
        <v>3.7858422939068097</v>
      </c>
      <c r="K105" s="1">
        <f>'Raw Data'!L105/Inv_SY!K$2</f>
        <v>3.7841995221027478</v>
      </c>
      <c r="L105" s="1">
        <f>'Raw Data'!M105/Inv_SY!L$2</f>
        <v>0</v>
      </c>
      <c r="M105" s="1">
        <f>'Raw Data'!N105/Inv_SY!M$2</f>
        <v>3.8956496178718401</v>
      </c>
      <c r="N105" s="1">
        <f>'Raw Data'!O105/Inv_SY!N$2</f>
        <v>3.6929265330904677</v>
      </c>
      <c r="O105" s="1">
        <f>'Raw Data'!P105/Inv_SY!O$2</f>
        <v>3.8336369156041288</v>
      </c>
      <c r="P105" s="1">
        <f>'Raw Data'!Q105/Inv_SY!P$2</f>
        <v>3.7150880388585308</v>
      </c>
      <c r="Q105" s="1">
        <f>'Raw Data'!R105/Inv_SY!Q$2</f>
        <v>0</v>
      </c>
      <c r="R105" s="1">
        <f>'Raw Data'!S105/Inv_SY!R$2</f>
        <v>2.8821305228057637</v>
      </c>
      <c r="S105" s="1">
        <f>'Raw Data'!T105/Inv_SY!S$2</f>
        <v>2.9302002056493075</v>
      </c>
      <c r="T105" s="1">
        <f>'Raw Data'!U105/Inv_SY!T$2</f>
        <v>2.8448326569025348</v>
      </c>
      <c r="U105" s="1">
        <f>'Raw Data'!V105/Inv_SY!U$2</f>
        <v>2.9936474325039701</v>
      </c>
      <c r="V105" s="1">
        <f>'Raw Data'!W105/Inv_SY!V$2</f>
        <v>2.864803681436948</v>
      </c>
      <c r="W105" s="1">
        <f>'Raw Data'!X105/Inv_SY!W$2</f>
        <v>2.8151132735289646</v>
      </c>
      <c r="X105" s="1">
        <f>'Raw Data'!Y105/Inv_SY!X$2</f>
        <v>2.9101465405305138</v>
      </c>
      <c r="Y105" s="1">
        <f t="shared" si="10"/>
        <v>2.8633544984988091</v>
      </c>
      <c r="Z105" s="1">
        <f t="shared" si="11"/>
        <v>2.9101465405305138</v>
      </c>
    </row>
    <row r="106" spans="1:26" x14ac:dyDescent="0.3">
      <c r="A106" s="55" t="s">
        <v>1276</v>
      </c>
      <c r="B106" s="55">
        <v>75</v>
      </c>
      <c r="C106" s="121">
        <f>YEAR(Table12[[#This Row],[Date]])</f>
        <v>2025</v>
      </c>
      <c r="D106" s="55" t="s">
        <v>329</v>
      </c>
      <c r="E106" s="55" t="s">
        <v>329</v>
      </c>
      <c r="F106" s="122" t="str">
        <f>TEXT(Table12[[#This Row],[Date]],"mmm-yy")</f>
        <v>Jul-25</v>
      </c>
      <c r="G106" s="121">
        <f t="shared" si="9"/>
        <v>31</v>
      </c>
      <c r="H106" s="123">
        <f t="shared" si="8"/>
        <v>45847</v>
      </c>
      <c r="I106" s="1">
        <v>8.0208999999999993</v>
      </c>
      <c r="J106" s="1">
        <f>'Raw Data'!K106/Inv_SY!J$2</f>
        <v>4.104838709677419</v>
      </c>
      <c r="K106" s="1">
        <f>'Raw Data'!L106/Inv_SY!K$2</f>
        <v>4.1027479091995218</v>
      </c>
      <c r="L106" s="1">
        <f>'Raw Data'!M106/Inv_SY!L$2</f>
        <v>0</v>
      </c>
      <c r="M106" s="1">
        <f>'Raw Data'!N106/Inv_SY!M$2</f>
        <v>4.1499118165784834</v>
      </c>
      <c r="N106" s="1">
        <f>'Raw Data'!O106/Inv_SY!N$2</f>
        <v>4.0047055251973287</v>
      </c>
      <c r="O106" s="1">
        <f>'Raw Data'!P106/Inv_SY!O$2</f>
        <v>3.979052823315119</v>
      </c>
      <c r="P106" s="1">
        <f>'Raw Data'!Q106/Inv_SY!P$2</f>
        <v>4.1114146933819065</v>
      </c>
      <c r="Q106" s="1">
        <f>'Raw Data'!R106/Inv_SY!Q$2</f>
        <v>0</v>
      </c>
      <c r="R106" s="1">
        <f>'Raw Data'!S106/Inv_SY!R$2</f>
        <v>3.2681314755269741</v>
      </c>
      <c r="S106" s="1">
        <f>'Raw Data'!T106/Inv_SY!S$2</f>
        <v>3.2202262142381906</v>
      </c>
      <c r="T106" s="1">
        <f>'Raw Data'!U106/Inv_SY!T$2</f>
        <v>3.1176107287806594</v>
      </c>
      <c r="U106" s="1">
        <f>'Raw Data'!V106/Inv_SY!U$2</f>
        <v>3.0976119051820477</v>
      </c>
      <c r="V106" s="1">
        <f>'Raw Data'!W106/Inv_SY!V$2</f>
        <v>3.0874341275142876</v>
      </c>
      <c r="W106" s="1">
        <f>'Raw Data'!X106/Inv_SY!W$2</f>
        <v>3.0288505397597691</v>
      </c>
      <c r="X106" s="1">
        <f>'Raw Data'!Y106/Inv_SY!X$2</f>
        <v>3.172546837321462</v>
      </c>
      <c r="Y106" s="1">
        <f t="shared" si="10"/>
        <v>3.0962771681985064</v>
      </c>
      <c r="Z106" s="1">
        <f t="shared" si="11"/>
        <v>3.172546837321462</v>
      </c>
    </row>
    <row r="107" spans="1:26" x14ac:dyDescent="0.3">
      <c r="A107" s="55" t="s">
        <v>1277</v>
      </c>
      <c r="B107" s="55">
        <v>76</v>
      </c>
      <c r="C107" s="121">
        <f>YEAR(Table12[[#This Row],[Date]])</f>
        <v>2025</v>
      </c>
      <c r="D107" s="55" t="s">
        <v>329</v>
      </c>
      <c r="E107" s="55" t="s">
        <v>329</v>
      </c>
      <c r="F107" s="122" t="str">
        <f>TEXT(Table12[[#This Row],[Date]],"mmm-yy")</f>
        <v>Jul-25</v>
      </c>
      <c r="G107" s="121">
        <f t="shared" si="9"/>
        <v>31</v>
      </c>
      <c r="H107" s="123">
        <f t="shared" si="8"/>
        <v>45848</v>
      </c>
      <c r="I107" s="1">
        <v>8.0208999999999993</v>
      </c>
      <c r="J107" s="1">
        <f>'Raw Data'!K107/Inv_SY!J$2</f>
        <v>5.4835722819593791</v>
      </c>
      <c r="K107" s="1">
        <f>'Raw Data'!L107/Inv_SY!K$2</f>
        <v>5.6085722819593782</v>
      </c>
      <c r="L107" s="1">
        <f>'Raw Data'!M107/Inv_SY!L$2</f>
        <v>0</v>
      </c>
      <c r="M107" s="1">
        <f>'Raw Data'!N107/Inv_SY!M$2</f>
        <v>5.3991769547325106</v>
      </c>
      <c r="N107" s="1">
        <f>'Raw Data'!O107/Inv_SY!N$2</f>
        <v>5.3855494839101397</v>
      </c>
      <c r="O107" s="1">
        <f>'Raw Data'!P107/Inv_SY!O$2</f>
        <v>5.4852762598664242</v>
      </c>
      <c r="P107" s="1">
        <f>'Raw Data'!Q107/Inv_SY!P$2</f>
        <v>5.3515482695810563</v>
      </c>
      <c r="Q107" s="1">
        <f>'Raw Data'!R107/Inv_SY!Q$2</f>
        <v>0</v>
      </c>
      <c r="R107" s="1">
        <f>'Raw Data'!S107/Inv_SY!R$2</f>
        <v>4.1808086221269498</v>
      </c>
      <c r="S107" s="1">
        <f>'Raw Data'!T107/Inv_SY!S$2</f>
        <v>4.3966612230085289</v>
      </c>
      <c r="T107" s="1">
        <f>'Raw Data'!U107/Inv_SY!T$2</f>
        <v>4.1279924710311153</v>
      </c>
      <c r="U107" s="1">
        <f>'Raw Data'!V107/Inv_SY!U$2</f>
        <v>4.1034350920534077</v>
      </c>
      <c r="V107" s="1">
        <f>'Raw Data'!W107/Inv_SY!V$2</f>
        <v>4.1196838120685815</v>
      </c>
      <c r="W107" s="1">
        <f>'Raw Data'!X107/Inv_SY!W$2</f>
        <v>4.0623764634331758</v>
      </c>
      <c r="X107" s="1">
        <f>'Raw Data'!Y107/Inv_SY!X$2</f>
        <v>4.1972917826006304</v>
      </c>
      <c r="Y107" s="1">
        <f t="shared" si="10"/>
        <v>4.1264506860341292</v>
      </c>
      <c r="Z107" s="1">
        <f t="shared" si="11"/>
        <v>4.1972917826006304</v>
      </c>
    </row>
    <row r="108" spans="1:26" x14ac:dyDescent="0.3">
      <c r="A108" s="55" t="s">
        <v>1278</v>
      </c>
      <c r="B108" s="55">
        <v>77</v>
      </c>
      <c r="C108" s="121">
        <f>YEAR(Table12[[#This Row],[Date]])</f>
        <v>2025</v>
      </c>
      <c r="D108" s="55" t="s">
        <v>329</v>
      </c>
      <c r="E108" s="55" t="s">
        <v>329</v>
      </c>
      <c r="F108" s="122" t="str">
        <f>TEXT(Table12[[#This Row],[Date]],"mmm-yy")</f>
        <v>Jul-25</v>
      </c>
      <c r="G108" s="121">
        <f t="shared" si="9"/>
        <v>31</v>
      </c>
      <c r="H108" s="123">
        <f t="shared" si="8"/>
        <v>45849</v>
      </c>
      <c r="I108" s="1">
        <v>8.0208999999999993</v>
      </c>
      <c r="J108" s="1">
        <f>'Raw Data'!K108/Inv_SY!J$2</f>
        <v>5.5609318996415764</v>
      </c>
      <c r="K108" s="1">
        <f>'Raw Data'!L108/Inv_SY!K$2</f>
        <v>5.5600358422939067</v>
      </c>
      <c r="L108" s="1">
        <f>'Raw Data'!M108/Inv_SY!L$2</f>
        <v>0</v>
      </c>
      <c r="M108" s="1">
        <f>'Raw Data'!N108/Inv_SY!M$2</f>
        <v>5.5815696649029984</v>
      </c>
      <c r="N108" s="1">
        <f>'Raw Data'!O108/Inv_SY!N$2</f>
        <v>5.4228901032179726</v>
      </c>
      <c r="O108" s="1">
        <f>'Raw Data'!P108/Inv_SY!O$2</f>
        <v>5.3846387370977542</v>
      </c>
      <c r="P108" s="1">
        <f>'Raw Data'!Q108/Inv_SY!P$2</f>
        <v>5.5425015179113544</v>
      </c>
      <c r="Q108" s="1">
        <f>'Raw Data'!R108/Inv_SY!Q$2</f>
        <v>0</v>
      </c>
      <c r="R108" s="1">
        <f>'Raw Data'!S108/Inv_SY!R$2</f>
        <v>4.2882874836251039</v>
      </c>
      <c r="S108" s="1">
        <f>'Raw Data'!T108/Inv_SY!S$2</f>
        <v>4.3665698905219861</v>
      </c>
      <c r="T108" s="1">
        <f>'Raw Data'!U108/Inv_SY!T$2</f>
        <v>4.2325451444032698</v>
      </c>
      <c r="U108" s="1">
        <f>'Raw Data'!V108/Inv_SY!U$2</f>
        <v>4.3075407328980644</v>
      </c>
      <c r="V108" s="1">
        <f>'Raw Data'!W108/Inv_SY!V$2</f>
        <v>4.1729013582720995</v>
      </c>
      <c r="W108" s="1">
        <f>'Raw Data'!X108/Inv_SY!W$2</f>
        <v>4.0943439258020371</v>
      </c>
      <c r="X108" s="1">
        <f>'Raw Data'!Y108/Inv_SY!X$2</f>
        <v>4.2945650157670192</v>
      </c>
      <c r="Y108" s="1">
        <f t="shared" si="10"/>
        <v>4.1872700999470522</v>
      </c>
      <c r="Z108" s="1">
        <f t="shared" si="11"/>
        <v>4.2945650157670192</v>
      </c>
    </row>
    <row r="109" spans="1:26" x14ac:dyDescent="0.3">
      <c r="A109" s="55" t="s">
        <v>1279</v>
      </c>
      <c r="B109" s="55">
        <v>78</v>
      </c>
      <c r="C109" s="121">
        <f>YEAR(Table12[[#This Row],[Date]])</f>
        <v>2025</v>
      </c>
      <c r="D109" s="55" t="s">
        <v>329</v>
      </c>
      <c r="E109" s="55" t="s">
        <v>329</v>
      </c>
      <c r="F109" s="122" t="str">
        <f>TEXT(Table12[[#This Row],[Date]],"mmm-yy")</f>
        <v>Jul-25</v>
      </c>
      <c r="G109" s="121">
        <f t="shared" si="9"/>
        <v>31</v>
      </c>
      <c r="H109" s="123">
        <f t="shared" si="8"/>
        <v>45850</v>
      </c>
      <c r="I109" s="1">
        <v>8.0208999999999993</v>
      </c>
      <c r="J109" s="1">
        <f>'Raw Data'!K109/Inv_SY!J$2</f>
        <v>5.1802568697729985</v>
      </c>
      <c r="K109" s="1">
        <f>'Raw Data'!L109/Inv_SY!K$2</f>
        <v>5.1789127837514934</v>
      </c>
      <c r="L109" s="1">
        <f>'Raw Data'!M109/Inv_SY!L$2</f>
        <v>0</v>
      </c>
      <c r="M109" s="1">
        <f>'Raw Data'!N109/Inv_SY!M$2</f>
        <v>5.2048794826572609</v>
      </c>
      <c r="N109" s="1">
        <f>'Raw Data'!O109/Inv_SY!N$2</f>
        <v>5.1908014571949002</v>
      </c>
      <c r="O109" s="1">
        <f>'Raw Data'!P109/Inv_SY!O$2</f>
        <v>5.0554037644201584</v>
      </c>
      <c r="P109" s="1">
        <f>'Raw Data'!Q109/Inv_SY!P$2</f>
        <v>5.0622343655130546</v>
      </c>
      <c r="Q109" s="1">
        <f>'Raw Data'!R109/Inv_SY!Q$2</f>
        <v>0</v>
      </c>
      <c r="R109" s="1">
        <f>'Raw Data'!S109/Inv_SY!R$2</f>
        <v>4.1069727283553652</v>
      </c>
      <c r="S109" s="1">
        <f>'Raw Data'!T109/Inv_SY!S$2</f>
        <v>4.0965039617734229</v>
      </c>
      <c r="T109" s="1">
        <f>'Raw Data'!U109/Inv_SY!T$2</f>
        <v>3.9665313805070288</v>
      </c>
      <c r="U109" s="1">
        <f>'Raw Data'!V109/Inv_SY!U$2</f>
        <v>3.9394741485794951</v>
      </c>
      <c r="V109" s="1">
        <f>'Raw Data'!W109/Inv_SY!V$2</f>
        <v>3.8884806650337711</v>
      </c>
      <c r="W109" s="1">
        <f>'Raw Data'!X109/Inv_SY!W$2</f>
        <v>3.833510719172875</v>
      </c>
      <c r="X109" s="1">
        <f>'Raw Data'!Y109/Inv_SY!X$2</f>
        <v>4.023149693934335</v>
      </c>
      <c r="Y109" s="1">
        <f t="shared" si="10"/>
        <v>3.9150470260469938</v>
      </c>
      <c r="Z109" s="1">
        <f t="shared" si="11"/>
        <v>4.023149693934335</v>
      </c>
    </row>
    <row r="110" spans="1:26" x14ac:dyDescent="0.3">
      <c r="A110" s="55" t="s">
        <v>1280</v>
      </c>
      <c r="B110" s="55">
        <v>79</v>
      </c>
      <c r="C110" s="121">
        <f>YEAR(Table12[[#This Row],[Date]])</f>
        <v>2025</v>
      </c>
      <c r="D110" s="55" t="s">
        <v>329</v>
      </c>
      <c r="E110" s="55" t="s">
        <v>329</v>
      </c>
      <c r="F110" s="122" t="str">
        <f>TEXT(Table12[[#This Row],[Date]],"mmm-yy")</f>
        <v>Jul-25</v>
      </c>
      <c r="G110" s="121">
        <f t="shared" si="9"/>
        <v>31</v>
      </c>
      <c r="H110" s="123">
        <f t="shared" si="8"/>
        <v>45851</v>
      </c>
      <c r="I110" s="1">
        <v>8.0208999999999993</v>
      </c>
      <c r="J110" s="1">
        <f>'Raw Data'!K110/Inv_SY!J$2</f>
        <v>5.5936379928315407</v>
      </c>
      <c r="K110" s="1">
        <f>'Raw Data'!L110/Inv_SY!K$2</f>
        <v>5.4917861409796895</v>
      </c>
      <c r="L110" s="1">
        <f>'Raw Data'!M110/Inv_SY!L$2</f>
        <v>0</v>
      </c>
      <c r="M110" s="1">
        <f>'Raw Data'!N110/Inv_SY!M$2</f>
        <v>5.4101998824221047</v>
      </c>
      <c r="N110" s="1">
        <f>'Raw Data'!O110/Inv_SY!N$2</f>
        <v>5.4775349119611416</v>
      </c>
      <c r="O110" s="1">
        <f>'Raw Data'!P110/Inv_SY!O$2</f>
        <v>5.3398603521554344</v>
      </c>
      <c r="P110" s="1">
        <f>'Raw Data'!Q110/Inv_SY!P$2</f>
        <v>5.3463873709775349</v>
      </c>
      <c r="Q110" s="1">
        <f>'Raw Data'!R110/Inv_SY!Q$2</f>
        <v>0</v>
      </c>
      <c r="R110" s="1">
        <f>'Raw Data'!S110/Inv_SY!R$2</f>
        <v>4.1699416458258902</v>
      </c>
      <c r="S110" s="1">
        <f>'Raw Data'!T110/Inv_SY!S$2</f>
        <v>4.3532631706284404</v>
      </c>
      <c r="T110" s="1">
        <f>'Raw Data'!U110/Inv_SY!T$2</f>
        <v>4.1169637080171748</v>
      </c>
      <c r="U110" s="1">
        <f>'Raw Data'!V110/Inv_SY!U$2</f>
        <v>4.0899064760896415</v>
      </c>
      <c r="V110" s="1">
        <f>'Raw Data'!W110/Inv_SY!V$2</f>
        <v>4.1207971498552665</v>
      </c>
      <c r="W110" s="1">
        <f>'Raw Data'!X110/Inv_SY!W$2</f>
        <v>4.0477041204196444</v>
      </c>
      <c r="X110" s="1">
        <f>'Raw Data'!Y110/Inv_SY!X$2</f>
        <v>4.1777406789092923</v>
      </c>
      <c r="Y110" s="1">
        <f t="shared" si="10"/>
        <v>4.1154139830614014</v>
      </c>
      <c r="Z110" s="1">
        <f t="shared" si="11"/>
        <v>4.1777406789092923</v>
      </c>
    </row>
    <row r="111" spans="1:26" x14ac:dyDescent="0.3">
      <c r="A111" s="55" t="s">
        <v>1281</v>
      </c>
      <c r="B111" s="55">
        <v>80</v>
      </c>
      <c r="C111" s="121">
        <f>YEAR(Table12[[#This Row],[Date]])</f>
        <v>2025</v>
      </c>
      <c r="D111" s="55" t="s">
        <v>329</v>
      </c>
      <c r="E111" s="55" t="s">
        <v>329</v>
      </c>
      <c r="F111" s="122" t="str">
        <f>TEXT(Table12[[#This Row],[Date]],"mmm-yy")</f>
        <v>Jul-25</v>
      </c>
      <c r="G111" s="121">
        <f t="shared" si="9"/>
        <v>31</v>
      </c>
      <c r="H111" s="123">
        <f t="shared" si="8"/>
        <v>45852</v>
      </c>
      <c r="I111" s="1">
        <v>8.0208999999999993</v>
      </c>
      <c r="J111" s="1">
        <f>'Raw Data'!K111/Inv_SY!J$2</f>
        <v>0</v>
      </c>
      <c r="K111" s="1">
        <f>'Raw Data'!L111/Inv_SY!K$2</f>
        <v>0</v>
      </c>
      <c r="L111" s="1">
        <f>'Raw Data'!M111/Inv_SY!L$2</f>
        <v>0</v>
      </c>
      <c r="M111" s="1">
        <f>'Raw Data'!N111/Inv_SY!M$2</f>
        <v>0</v>
      </c>
      <c r="N111" s="1">
        <f>'Raw Data'!O111/Inv_SY!N$2</f>
        <v>0</v>
      </c>
      <c r="O111" s="1">
        <f>'Raw Data'!P111/Inv_SY!O$2</f>
        <v>0</v>
      </c>
      <c r="P111" s="1">
        <f>'Raw Data'!Q111/Inv_SY!P$2</f>
        <v>0</v>
      </c>
      <c r="Q111" s="1">
        <f>'Raw Data'!R111/Inv_SY!Q$2</f>
        <v>0</v>
      </c>
      <c r="R111" s="1">
        <f>'Raw Data'!S111/Inv_SY!R$2</f>
        <v>0</v>
      </c>
      <c r="S111" s="1">
        <f>'Raw Data'!T111/Inv_SY!S$2</f>
        <v>0</v>
      </c>
      <c r="T111" s="1">
        <f>'Raw Data'!U111/Inv_SY!T$2</f>
        <v>0</v>
      </c>
      <c r="U111" s="1">
        <f>'Raw Data'!V111/Inv_SY!U$2</f>
        <v>0</v>
      </c>
      <c r="V111" s="1">
        <f>'Raw Data'!W111/Inv_SY!V$2</f>
        <v>0</v>
      </c>
      <c r="W111" s="1">
        <f>'Raw Data'!X111/Inv_SY!W$2</f>
        <v>0</v>
      </c>
      <c r="X111" s="1">
        <f>'Raw Data'!Y111/Inv_SY!X$2</f>
        <v>0</v>
      </c>
      <c r="Y111" s="1" t="str">
        <f t="shared" si="10"/>
        <v/>
      </c>
      <c r="Z111" s="1">
        <f t="shared" si="11"/>
        <v>0</v>
      </c>
    </row>
    <row r="112" spans="1:26" x14ac:dyDescent="0.3">
      <c r="A112" s="55" t="s">
        <v>1282</v>
      </c>
      <c r="B112" s="55">
        <v>81</v>
      </c>
      <c r="C112" s="121">
        <f>YEAR(Table12[[#This Row],[Date]])</f>
        <v>2025</v>
      </c>
      <c r="D112" s="55" t="s">
        <v>329</v>
      </c>
      <c r="E112" s="55" t="s">
        <v>329</v>
      </c>
      <c r="F112" s="122" t="str">
        <f>TEXT(Table12[[#This Row],[Date]],"mmm-yy")</f>
        <v>Jul-25</v>
      </c>
      <c r="G112" s="121">
        <f t="shared" si="9"/>
        <v>31</v>
      </c>
      <c r="H112" s="123">
        <f t="shared" si="8"/>
        <v>45853</v>
      </c>
      <c r="I112" s="1">
        <v>8.0208999999999993</v>
      </c>
      <c r="J112" s="1">
        <f>'Raw Data'!K112/Inv_SY!J$2</f>
        <v>0</v>
      </c>
      <c r="K112" s="1">
        <f>'Raw Data'!L112/Inv_SY!K$2</f>
        <v>0</v>
      </c>
      <c r="L112" s="1">
        <f>'Raw Data'!M112/Inv_SY!L$2</f>
        <v>0</v>
      </c>
      <c r="M112" s="1">
        <f>'Raw Data'!N112/Inv_SY!M$2</f>
        <v>0</v>
      </c>
      <c r="N112" s="1">
        <f>'Raw Data'!O112/Inv_SY!N$2</f>
        <v>0</v>
      </c>
      <c r="O112" s="1">
        <f>'Raw Data'!P112/Inv_SY!O$2</f>
        <v>0</v>
      </c>
      <c r="P112" s="1">
        <f>'Raw Data'!Q112/Inv_SY!P$2</f>
        <v>0</v>
      </c>
      <c r="Q112" s="1">
        <f>'Raw Data'!R112/Inv_SY!Q$2</f>
        <v>0</v>
      </c>
      <c r="R112" s="1">
        <f>'Raw Data'!S112/Inv_SY!R$2</f>
        <v>0</v>
      </c>
      <c r="S112" s="1">
        <f>'Raw Data'!T112/Inv_SY!S$2</f>
        <v>0</v>
      </c>
      <c r="T112" s="1">
        <f>'Raw Data'!U112/Inv_SY!T$2</f>
        <v>0</v>
      </c>
      <c r="U112" s="1">
        <f>'Raw Data'!V112/Inv_SY!U$2</f>
        <v>0</v>
      </c>
      <c r="V112" s="1">
        <f>'Raw Data'!W112/Inv_SY!V$2</f>
        <v>0</v>
      </c>
      <c r="W112" s="1">
        <f>'Raw Data'!X112/Inv_SY!W$2</f>
        <v>0</v>
      </c>
      <c r="X112" s="1">
        <f>'Raw Data'!Y112/Inv_SY!X$2</f>
        <v>0</v>
      </c>
      <c r="Y112" s="1" t="str">
        <f t="shared" si="10"/>
        <v/>
      </c>
      <c r="Z112" s="1">
        <f t="shared" si="11"/>
        <v>0</v>
      </c>
    </row>
    <row r="113" spans="1:26" x14ac:dyDescent="0.3">
      <c r="A113" s="55" t="s">
        <v>1283</v>
      </c>
      <c r="B113" s="55">
        <v>82</v>
      </c>
      <c r="C113" s="121">
        <f>YEAR(Table12[[#This Row],[Date]])</f>
        <v>2025</v>
      </c>
      <c r="D113" s="55" t="s">
        <v>329</v>
      </c>
      <c r="E113" s="55" t="s">
        <v>329</v>
      </c>
      <c r="F113" s="122" t="str">
        <f>TEXT(Table12[[#This Row],[Date]],"mmm-yy")</f>
        <v>Jul-25</v>
      </c>
      <c r="G113" s="121">
        <f t="shared" si="9"/>
        <v>31</v>
      </c>
      <c r="H113" s="123">
        <f t="shared" si="8"/>
        <v>45854</v>
      </c>
      <c r="I113" s="1">
        <v>8.0208999999999993</v>
      </c>
      <c r="J113" s="1">
        <f>'Raw Data'!K113/Inv_SY!J$2</f>
        <v>0</v>
      </c>
      <c r="K113" s="1">
        <f>'Raw Data'!L113/Inv_SY!K$2</f>
        <v>0</v>
      </c>
      <c r="L113" s="1">
        <f>'Raw Data'!M113/Inv_SY!L$2</f>
        <v>0</v>
      </c>
      <c r="M113" s="1">
        <f>'Raw Data'!N113/Inv_SY!M$2</f>
        <v>0</v>
      </c>
      <c r="N113" s="1">
        <f>'Raw Data'!O113/Inv_SY!N$2</f>
        <v>0</v>
      </c>
      <c r="O113" s="1">
        <f>'Raw Data'!P113/Inv_SY!O$2</f>
        <v>0</v>
      </c>
      <c r="P113" s="1">
        <f>'Raw Data'!Q113/Inv_SY!P$2</f>
        <v>0</v>
      </c>
      <c r="Q113" s="1">
        <f>'Raw Data'!R113/Inv_SY!Q$2</f>
        <v>0</v>
      </c>
      <c r="R113" s="1">
        <f>'Raw Data'!S113/Inv_SY!R$2</f>
        <v>0</v>
      </c>
      <c r="S113" s="1">
        <f>'Raw Data'!T113/Inv_SY!S$2</f>
        <v>0</v>
      </c>
      <c r="T113" s="1">
        <f>'Raw Data'!U113/Inv_SY!T$2</f>
        <v>0</v>
      </c>
      <c r="U113" s="1">
        <f>'Raw Data'!V113/Inv_SY!U$2</f>
        <v>0</v>
      </c>
      <c r="V113" s="1">
        <f>'Raw Data'!W113/Inv_SY!V$2</f>
        <v>0</v>
      </c>
      <c r="W113" s="1">
        <f>'Raw Data'!X113/Inv_SY!W$2</f>
        <v>0</v>
      </c>
      <c r="X113" s="1">
        <f>'Raw Data'!Y113/Inv_SY!X$2</f>
        <v>0</v>
      </c>
      <c r="Y113" s="1" t="str">
        <f t="shared" si="10"/>
        <v/>
      </c>
      <c r="Z113" s="1">
        <f t="shared" si="11"/>
        <v>0</v>
      </c>
    </row>
    <row r="114" spans="1:26" x14ac:dyDescent="0.3">
      <c r="A114" s="55" t="s">
        <v>1284</v>
      </c>
      <c r="B114" s="55">
        <v>83</v>
      </c>
      <c r="C114" s="121">
        <f>YEAR(Table12[[#This Row],[Date]])</f>
        <v>2025</v>
      </c>
      <c r="D114" s="55" t="s">
        <v>329</v>
      </c>
      <c r="E114" s="55" t="s">
        <v>329</v>
      </c>
      <c r="F114" s="122" t="str">
        <f>TEXT(Table12[[#This Row],[Date]],"mmm-yy")</f>
        <v>Jul-25</v>
      </c>
      <c r="G114" s="121">
        <f t="shared" si="9"/>
        <v>31</v>
      </c>
      <c r="H114" s="123">
        <f t="shared" si="8"/>
        <v>45855</v>
      </c>
      <c r="I114" s="1">
        <v>8.0208999999999993</v>
      </c>
      <c r="J114" s="1">
        <f>'Raw Data'!K114/Inv_SY!J$2</f>
        <v>0</v>
      </c>
      <c r="K114" s="1">
        <f>'Raw Data'!L114/Inv_SY!K$2</f>
        <v>0</v>
      </c>
      <c r="L114" s="1">
        <f>'Raw Data'!M114/Inv_SY!L$2</f>
        <v>0</v>
      </c>
      <c r="M114" s="1">
        <f>'Raw Data'!N114/Inv_SY!M$2</f>
        <v>0</v>
      </c>
      <c r="N114" s="1">
        <f>'Raw Data'!O114/Inv_SY!N$2</f>
        <v>0</v>
      </c>
      <c r="O114" s="1">
        <f>'Raw Data'!P114/Inv_SY!O$2</f>
        <v>0</v>
      </c>
      <c r="P114" s="1">
        <f>'Raw Data'!Q114/Inv_SY!P$2</f>
        <v>0</v>
      </c>
      <c r="Q114" s="1">
        <f>'Raw Data'!R114/Inv_SY!Q$2</f>
        <v>0</v>
      </c>
      <c r="R114" s="1">
        <f>'Raw Data'!S114/Inv_SY!R$2</f>
        <v>0</v>
      </c>
      <c r="S114" s="1">
        <f>'Raw Data'!T114/Inv_SY!S$2</f>
        <v>0</v>
      </c>
      <c r="T114" s="1">
        <f>'Raw Data'!U114/Inv_SY!T$2</f>
        <v>0</v>
      </c>
      <c r="U114" s="1">
        <f>'Raw Data'!V114/Inv_SY!U$2</f>
        <v>0</v>
      </c>
      <c r="V114" s="1">
        <f>'Raw Data'!W114/Inv_SY!V$2</f>
        <v>0</v>
      </c>
      <c r="W114" s="1">
        <f>'Raw Data'!X114/Inv_SY!W$2</f>
        <v>0</v>
      </c>
      <c r="X114" s="1">
        <f>'Raw Data'!Y114/Inv_SY!X$2</f>
        <v>0</v>
      </c>
      <c r="Y114" s="1" t="str">
        <f t="shared" si="10"/>
        <v/>
      </c>
      <c r="Z114" s="1">
        <f t="shared" si="11"/>
        <v>0</v>
      </c>
    </row>
    <row r="115" spans="1:26" x14ac:dyDescent="0.3">
      <c r="A115" s="55" t="s">
        <v>1285</v>
      </c>
      <c r="B115" s="55">
        <v>84</v>
      </c>
      <c r="C115" s="121">
        <f>YEAR(Table12[[#This Row],[Date]])</f>
        <v>2025</v>
      </c>
      <c r="D115" s="55" t="s">
        <v>329</v>
      </c>
      <c r="E115" s="55" t="s">
        <v>329</v>
      </c>
      <c r="F115" s="122" t="str">
        <f>TEXT(Table12[[#This Row],[Date]],"mmm-yy")</f>
        <v>Jul-25</v>
      </c>
      <c r="G115" s="121">
        <f t="shared" si="9"/>
        <v>31</v>
      </c>
      <c r="H115" s="123">
        <f t="shared" si="8"/>
        <v>45856</v>
      </c>
      <c r="I115" s="1">
        <v>8.0208999999999993</v>
      </c>
      <c r="J115" s="1">
        <f>'Raw Data'!K115/Inv_SY!J$2</f>
        <v>0</v>
      </c>
      <c r="K115" s="1">
        <f>'Raw Data'!L115/Inv_SY!K$2</f>
        <v>0</v>
      </c>
      <c r="L115" s="1">
        <f>'Raw Data'!M115/Inv_SY!L$2</f>
        <v>0</v>
      </c>
      <c r="M115" s="1">
        <f>'Raw Data'!N115/Inv_SY!M$2</f>
        <v>0</v>
      </c>
      <c r="N115" s="1">
        <f>'Raw Data'!O115/Inv_SY!N$2</f>
        <v>0</v>
      </c>
      <c r="O115" s="1">
        <f>'Raw Data'!P115/Inv_SY!O$2</f>
        <v>0</v>
      </c>
      <c r="P115" s="1">
        <f>'Raw Data'!Q115/Inv_SY!P$2</f>
        <v>0</v>
      </c>
      <c r="Q115" s="1">
        <f>'Raw Data'!R115/Inv_SY!Q$2</f>
        <v>0</v>
      </c>
      <c r="R115" s="1">
        <f>'Raw Data'!S115/Inv_SY!R$2</f>
        <v>0</v>
      </c>
      <c r="S115" s="1">
        <f>'Raw Data'!T115/Inv_SY!S$2</f>
        <v>0</v>
      </c>
      <c r="T115" s="1">
        <f>'Raw Data'!U115/Inv_SY!T$2</f>
        <v>0</v>
      </c>
      <c r="U115" s="1">
        <f>'Raw Data'!V115/Inv_SY!U$2</f>
        <v>0</v>
      </c>
      <c r="V115" s="1">
        <f>'Raw Data'!W115/Inv_SY!V$2</f>
        <v>0</v>
      </c>
      <c r="W115" s="1">
        <f>'Raw Data'!X115/Inv_SY!W$2</f>
        <v>0</v>
      </c>
      <c r="X115" s="1">
        <f>'Raw Data'!Y115/Inv_SY!X$2</f>
        <v>0</v>
      </c>
      <c r="Y115" s="1" t="str">
        <f t="shared" si="10"/>
        <v/>
      </c>
      <c r="Z115" s="1">
        <f t="shared" si="11"/>
        <v>0</v>
      </c>
    </row>
    <row r="116" spans="1:26" x14ac:dyDescent="0.3">
      <c r="A116" s="55" t="s">
        <v>1286</v>
      </c>
      <c r="B116" s="55">
        <v>85</v>
      </c>
      <c r="C116" s="121">
        <f>YEAR(Table12[[#This Row],[Date]])</f>
        <v>2025</v>
      </c>
      <c r="D116" s="55" t="s">
        <v>329</v>
      </c>
      <c r="E116" s="55" t="s">
        <v>329</v>
      </c>
      <c r="F116" s="122" t="str">
        <f>TEXT(Table12[[#This Row],[Date]],"mmm-yy")</f>
        <v>Jul-25</v>
      </c>
      <c r="G116" s="121">
        <f t="shared" si="9"/>
        <v>31</v>
      </c>
      <c r="H116" s="123">
        <f t="shared" si="8"/>
        <v>45857</v>
      </c>
      <c r="I116" s="1">
        <v>8.0208999999999993</v>
      </c>
      <c r="J116" s="1">
        <f>'Raw Data'!K116/Inv_SY!J$2</f>
        <v>0</v>
      </c>
      <c r="K116" s="1">
        <f>'Raw Data'!L116/Inv_SY!K$2</f>
        <v>0</v>
      </c>
      <c r="L116" s="1">
        <f>'Raw Data'!M116/Inv_SY!L$2</f>
        <v>0</v>
      </c>
      <c r="M116" s="1">
        <f>'Raw Data'!N116/Inv_SY!M$2</f>
        <v>0</v>
      </c>
      <c r="N116" s="1">
        <f>'Raw Data'!O116/Inv_SY!N$2</f>
        <v>0</v>
      </c>
      <c r="O116" s="1">
        <f>'Raw Data'!P116/Inv_SY!O$2</f>
        <v>0</v>
      </c>
      <c r="P116" s="1">
        <f>'Raw Data'!Q116/Inv_SY!P$2</f>
        <v>0</v>
      </c>
      <c r="Q116" s="1">
        <f>'Raw Data'!R116/Inv_SY!Q$2</f>
        <v>0</v>
      </c>
      <c r="R116" s="1">
        <f>'Raw Data'!S116/Inv_SY!R$2</f>
        <v>0</v>
      </c>
      <c r="S116" s="1">
        <f>'Raw Data'!T116/Inv_SY!S$2</f>
        <v>0</v>
      </c>
      <c r="T116" s="1">
        <f>'Raw Data'!U116/Inv_SY!T$2</f>
        <v>0</v>
      </c>
      <c r="U116" s="1">
        <f>'Raw Data'!V116/Inv_SY!U$2</f>
        <v>0</v>
      </c>
      <c r="V116" s="1">
        <f>'Raw Data'!W116/Inv_SY!V$2</f>
        <v>0</v>
      </c>
      <c r="W116" s="1">
        <f>'Raw Data'!X116/Inv_SY!W$2</f>
        <v>0</v>
      </c>
      <c r="X116" s="1">
        <f>'Raw Data'!Y116/Inv_SY!X$2</f>
        <v>0</v>
      </c>
      <c r="Y116" s="1" t="str">
        <f t="shared" si="10"/>
        <v/>
      </c>
      <c r="Z116" s="1">
        <f t="shared" si="11"/>
        <v>0</v>
      </c>
    </row>
    <row r="117" spans="1:26" x14ac:dyDescent="0.3">
      <c r="A117" s="55" t="s">
        <v>1287</v>
      </c>
      <c r="B117" s="55">
        <v>86</v>
      </c>
      <c r="C117" s="121">
        <f>YEAR(Table12[[#This Row],[Date]])</f>
        <v>2025</v>
      </c>
      <c r="D117" s="55" t="s">
        <v>329</v>
      </c>
      <c r="E117" s="55" t="s">
        <v>329</v>
      </c>
      <c r="F117" s="122" t="str">
        <f>TEXT(Table12[[#This Row],[Date]],"mmm-yy")</f>
        <v>Jul-25</v>
      </c>
      <c r="G117" s="121">
        <f t="shared" si="9"/>
        <v>31</v>
      </c>
      <c r="H117" s="123">
        <f t="shared" si="8"/>
        <v>45858</v>
      </c>
      <c r="I117" s="1">
        <v>8.0208999999999993</v>
      </c>
      <c r="J117" s="1">
        <f>'Raw Data'!K117/Inv_SY!J$2</f>
        <v>0</v>
      </c>
      <c r="K117" s="1">
        <f>'Raw Data'!L117/Inv_SY!K$2</f>
        <v>0</v>
      </c>
      <c r="L117" s="1">
        <f>'Raw Data'!M117/Inv_SY!L$2</f>
        <v>0</v>
      </c>
      <c r="M117" s="1">
        <f>'Raw Data'!N117/Inv_SY!M$2</f>
        <v>0</v>
      </c>
      <c r="N117" s="1">
        <f>'Raw Data'!O117/Inv_SY!N$2</f>
        <v>0</v>
      </c>
      <c r="O117" s="1">
        <f>'Raw Data'!P117/Inv_SY!O$2</f>
        <v>0</v>
      </c>
      <c r="P117" s="1">
        <f>'Raw Data'!Q117/Inv_SY!P$2</f>
        <v>0</v>
      </c>
      <c r="Q117" s="1">
        <f>'Raw Data'!R117/Inv_SY!Q$2</f>
        <v>0</v>
      </c>
      <c r="R117" s="1">
        <f>'Raw Data'!S117/Inv_SY!R$2</f>
        <v>0</v>
      </c>
      <c r="S117" s="1">
        <f>'Raw Data'!T117/Inv_SY!S$2</f>
        <v>0</v>
      </c>
      <c r="T117" s="1">
        <f>'Raw Data'!U117/Inv_SY!T$2</f>
        <v>0</v>
      </c>
      <c r="U117" s="1">
        <f>'Raw Data'!V117/Inv_SY!U$2</f>
        <v>0</v>
      </c>
      <c r="V117" s="1">
        <f>'Raw Data'!W117/Inv_SY!V$2</f>
        <v>0</v>
      </c>
      <c r="W117" s="1">
        <f>'Raw Data'!X117/Inv_SY!W$2</f>
        <v>0</v>
      </c>
      <c r="X117" s="1">
        <f>'Raw Data'!Y117/Inv_SY!X$2</f>
        <v>0</v>
      </c>
      <c r="Y117" s="1" t="str">
        <f t="shared" si="10"/>
        <v/>
      </c>
      <c r="Z117" s="1">
        <f t="shared" si="11"/>
        <v>0</v>
      </c>
    </row>
    <row r="118" spans="1:26" x14ac:dyDescent="0.3">
      <c r="A118" s="55" t="s">
        <v>1288</v>
      </c>
      <c r="B118" s="55">
        <v>87</v>
      </c>
      <c r="C118" s="121">
        <f>YEAR(Table12[[#This Row],[Date]])</f>
        <v>2025</v>
      </c>
      <c r="D118" s="55" t="s">
        <v>329</v>
      </c>
      <c r="E118" s="55" t="s">
        <v>329</v>
      </c>
      <c r="F118" s="122" t="str">
        <f>TEXT(Table12[[#This Row],[Date]],"mmm-yy")</f>
        <v>Jul-25</v>
      </c>
      <c r="G118" s="121">
        <f t="shared" si="9"/>
        <v>31</v>
      </c>
      <c r="H118" s="123">
        <f t="shared" si="8"/>
        <v>45859</v>
      </c>
      <c r="I118" s="1">
        <v>8.0208999999999993</v>
      </c>
      <c r="J118" s="1">
        <f>'Raw Data'!K118/Inv_SY!J$2</f>
        <v>0</v>
      </c>
      <c r="K118" s="1">
        <f>'Raw Data'!L118/Inv_SY!K$2</f>
        <v>0</v>
      </c>
      <c r="L118" s="1">
        <f>'Raw Data'!M118/Inv_SY!L$2</f>
        <v>0</v>
      </c>
      <c r="M118" s="1">
        <f>'Raw Data'!N118/Inv_SY!M$2</f>
        <v>0</v>
      </c>
      <c r="N118" s="1">
        <f>'Raw Data'!O118/Inv_SY!N$2</f>
        <v>0</v>
      </c>
      <c r="O118" s="1">
        <f>'Raw Data'!P118/Inv_SY!O$2</f>
        <v>0</v>
      </c>
      <c r="P118" s="1">
        <f>'Raw Data'!Q118/Inv_SY!P$2</f>
        <v>0</v>
      </c>
      <c r="Q118" s="1">
        <f>'Raw Data'!R118/Inv_SY!Q$2</f>
        <v>0</v>
      </c>
      <c r="R118" s="1">
        <f>'Raw Data'!S118/Inv_SY!R$2</f>
        <v>0</v>
      </c>
      <c r="S118" s="1">
        <f>'Raw Data'!T118/Inv_SY!S$2</f>
        <v>0</v>
      </c>
      <c r="T118" s="1">
        <f>'Raw Data'!U118/Inv_SY!T$2</f>
        <v>0</v>
      </c>
      <c r="U118" s="1">
        <f>'Raw Data'!V118/Inv_SY!U$2</f>
        <v>0</v>
      </c>
      <c r="V118" s="1">
        <f>'Raw Data'!W118/Inv_SY!V$2</f>
        <v>0</v>
      </c>
      <c r="W118" s="1">
        <f>'Raw Data'!X118/Inv_SY!W$2</f>
        <v>0</v>
      </c>
      <c r="X118" s="1">
        <f>'Raw Data'!Y118/Inv_SY!X$2</f>
        <v>0</v>
      </c>
      <c r="Y118" s="1" t="str">
        <f t="shared" si="10"/>
        <v/>
      </c>
      <c r="Z118" s="1">
        <f t="shared" si="11"/>
        <v>0</v>
      </c>
    </row>
    <row r="119" spans="1:26" x14ac:dyDescent="0.3">
      <c r="A119" s="55" t="s">
        <v>1289</v>
      </c>
      <c r="B119" s="55">
        <v>88</v>
      </c>
      <c r="C119" s="121">
        <f>YEAR(Table12[[#This Row],[Date]])</f>
        <v>2025</v>
      </c>
      <c r="D119" s="55" t="s">
        <v>329</v>
      </c>
      <c r="E119" s="55" t="s">
        <v>329</v>
      </c>
      <c r="F119" s="122" t="str">
        <f>TEXT(Table12[[#This Row],[Date]],"mmm-yy")</f>
        <v>Jul-25</v>
      </c>
      <c r="G119" s="121">
        <f t="shared" si="9"/>
        <v>31</v>
      </c>
      <c r="H119" s="123">
        <f t="shared" si="8"/>
        <v>45860</v>
      </c>
      <c r="I119" s="1">
        <v>8.0208999999999993</v>
      </c>
      <c r="J119" s="1">
        <f>'Raw Data'!K119/Inv_SY!J$2</f>
        <v>0</v>
      </c>
      <c r="K119" s="1">
        <f>'Raw Data'!L119/Inv_SY!K$2</f>
        <v>0</v>
      </c>
      <c r="L119" s="1">
        <f>'Raw Data'!M119/Inv_SY!L$2</f>
        <v>0</v>
      </c>
      <c r="M119" s="1">
        <f>'Raw Data'!N119/Inv_SY!M$2</f>
        <v>0</v>
      </c>
      <c r="N119" s="1">
        <f>'Raw Data'!O119/Inv_SY!N$2</f>
        <v>0</v>
      </c>
      <c r="O119" s="1">
        <f>'Raw Data'!P119/Inv_SY!O$2</f>
        <v>0</v>
      </c>
      <c r="P119" s="1">
        <f>'Raw Data'!Q119/Inv_SY!P$2</f>
        <v>0</v>
      </c>
      <c r="Q119" s="1">
        <f>'Raw Data'!R119/Inv_SY!Q$2</f>
        <v>0</v>
      </c>
      <c r="R119" s="1">
        <f>'Raw Data'!S119/Inv_SY!R$2</f>
        <v>0</v>
      </c>
      <c r="S119" s="1">
        <f>'Raw Data'!T119/Inv_SY!S$2</f>
        <v>0</v>
      </c>
      <c r="T119" s="1">
        <f>'Raw Data'!U119/Inv_SY!T$2</f>
        <v>0</v>
      </c>
      <c r="U119" s="1">
        <f>'Raw Data'!V119/Inv_SY!U$2</f>
        <v>0</v>
      </c>
      <c r="V119" s="1">
        <f>'Raw Data'!W119/Inv_SY!V$2</f>
        <v>0</v>
      </c>
      <c r="W119" s="1">
        <f>'Raw Data'!X119/Inv_SY!W$2</f>
        <v>0</v>
      </c>
      <c r="X119" s="1">
        <f>'Raw Data'!Y119/Inv_SY!X$2</f>
        <v>0</v>
      </c>
      <c r="Y119" s="1" t="str">
        <f t="shared" si="10"/>
        <v/>
      </c>
      <c r="Z119" s="1">
        <f t="shared" si="11"/>
        <v>0</v>
      </c>
    </row>
    <row r="120" spans="1:26" x14ac:dyDescent="0.3">
      <c r="A120" s="55" t="s">
        <v>1290</v>
      </c>
      <c r="B120" s="55">
        <v>89</v>
      </c>
      <c r="C120" s="121">
        <f>YEAR(Table12[[#This Row],[Date]])</f>
        <v>2025</v>
      </c>
      <c r="D120" s="55" t="s">
        <v>329</v>
      </c>
      <c r="E120" s="55" t="s">
        <v>329</v>
      </c>
      <c r="F120" s="122" t="str">
        <f>TEXT(Table12[[#This Row],[Date]],"mmm-yy")</f>
        <v>Jul-25</v>
      </c>
      <c r="G120" s="121">
        <f t="shared" si="9"/>
        <v>31</v>
      </c>
      <c r="H120" s="123">
        <f t="shared" si="8"/>
        <v>45861</v>
      </c>
      <c r="I120" s="1">
        <v>8.0208999999999993</v>
      </c>
      <c r="J120" s="1">
        <f>'Raw Data'!K120/Inv_SY!J$2</f>
        <v>0</v>
      </c>
      <c r="K120" s="1">
        <f>'Raw Data'!L120/Inv_SY!K$2</f>
        <v>0</v>
      </c>
      <c r="L120" s="1">
        <f>'Raw Data'!M120/Inv_SY!L$2</f>
        <v>0</v>
      </c>
      <c r="M120" s="1">
        <f>'Raw Data'!N120/Inv_SY!M$2</f>
        <v>0</v>
      </c>
      <c r="N120" s="1">
        <f>'Raw Data'!O120/Inv_SY!N$2</f>
        <v>0</v>
      </c>
      <c r="O120" s="1">
        <f>'Raw Data'!P120/Inv_SY!O$2</f>
        <v>0</v>
      </c>
      <c r="P120" s="1">
        <f>'Raw Data'!Q120/Inv_SY!P$2</f>
        <v>0</v>
      </c>
      <c r="Q120" s="1">
        <f>'Raw Data'!R120/Inv_SY!Q$2</f>
        <v>0</v>
      </c>
      <c r="R120" s="1">
        <f>'Raw Data'!S120/Inv_SY!R$2</f>
        <v>0</v>
      </c>
      <c r="S120" s="1">
        <f>'Raw Data'!T120/Inv_SY!S$2</f>
        <v>0</v>
      </c>
      <c r="T120" s="1">
        <f>'Raw Data'!U120/Inv_SY!T$2</f>
        <v>0</v>
      </c>
      <c r="U120" s="1">
        <f>'Raw Data'!V120/Inv_SY!U$2</f>
        <v>0</v>
      </c>
      <c r="V120" s="1">
        <f>'Raw Data'!W120/Inv_SY!V$2</f>
        <v>0</v>
      </c>
      <c r="W120" s="1">
        <f>'Raw Data'!X120/Inv_SY!W$2</f>
        <v>0</v>
      </c>
      <c r="X120" s="1">
        <f>'Raw Data'!Y120/Inv_SY!X$2</f>
        <v>0</v>
      </c>
      <c r="Y120" s="1" t="str">
        <f t="shared" si="10"/>
        <v/>
      </c>
      <c r="Z120" s="1">
        <f t="shared" si="11"/>
        <v>0</v>
      </c>
    </row>
    <row r="121" spans="1:26" x14ac:dyDescent="0.3">
      <c r="A121" s="55" t="s">
        <v>1291</v>
      </c>
      <c r="B121" s="55">
        <v>90</v>
      </c>
      <c r="C121" s="121">
        <f>YEAR(Table12[[#This Row],[Date]])</f>
        <v>2025</v>
      </c>
      <c r="D121" s="55" t="s">
        <v>329</v>
      </c>
      <c r="E121" s="55" t="s">
        <v>329</v>
      </c>
      <c r="F121" s="122" t="str">
        <f>TEXT(Table12[[#This Row],[Date]],"mmm-yy")</f>
        <v>Jul-25</v>
      </c>
      <c r="G121" s="121">
        <f t="shared" si="9"/>
        <v>31</v>
      </c>
      <c r="H121" s="123">
        <f t="shared" si="8"/>
        <v>45862</v>
      </c>
      <c r="I121" s="1">
        <v>8.0208999999999993</v>
      </c>
      <c r="J121" s="1">
        <f>'Raw Data'!K121/Inv_SY!J$2</f>
        <v>0</v>
      </c>
      <c r="K121" s="1">
        <f>'Raw Data'!L121/Inv_SY!K$2</f>
        <v>0</v>
      </c>
      <c r="L121" s="1">
        <f>'Raw Data'!M121/Inv_SY!L$2</f>
        <v>0</v>
      </c>
      <c r="M121" s="1">
        <f>'Raw Data'!N121/Inv_SY!M$2</f>
        <v>0</v>
      </c>
      <c r="N121" s="1">
        <f>'Raw Data'!O121/Inv_SY!N$2</f>
        <v>0</v>
      </c>
      <c r="O121" s="1">
        <f>'Raw Data'!P121/Inv_SY!O$2</f>
        <v>0</v>
      </c>
      <c r="P121" s="1">
        <f>'Raw Data'!Q121/Inv_SY!P$2</f>
        <v>0</v>
      </c>
      <c r="Q121" s="1">
        <f>'Raw Data'!R121/Inv_SY!Q$2</f>
        <v>0</v>
      </c>
      <c r="R121" s="1">
        <f>'Raw Data'!S121/Inv_SY!R$2</f>
        <v>0</v>
      </c>
      <c r="S121" s="1">
        <f>'Raw Data'!T121/Inv_SY!S$2</f>
        <v>0</v>
      </c>
      <c r="T121" s="1">
        <f>'Raw Data'!U121/Inv_SY!T$2</f>
        <v>0</v>
      </c>
      <c r="U121" s="1">
        <f>'Raw Data'!V121/Inv_SY!U$2</f>
        <v>0</v>
      </c>
      <c r="V121" s="1">
        <f>'Raw Data'!W121/Inv_SY!V$2</f>
        <v>0</v>
      </c>
      <c r="W121" s="1">
        <f>'Raw Data'!X121/Inv_SY!W$2</f>
        <v>0</v>
      </c>
      <c r="X121" s="1">
        <f>'Raw Data'!Y121/Inv_SY!X$2</f>
        <v>0</v>
      </c>
      <c r="Y121" s="1" t="str">
        <f t="shared" si="10"/>
        <v/>
      </c>
      <c r="Z121" s="1">
        <f t="shared" si="11"/>
        <v>0</v>
      </c>
    </row>
    <row r="122" spans="1:26" x14ac:dyDescent="0.3">
      <c r="A122" s="55" t="s">
        <v>1292</v>
      </c>
      <c r="B122" s="55">
        <v>91</v>
      </c>
      <c r="C122" s="121">
        <f>YEAR(Table12[[#This Row],[Date]])</f>
        <v>2025</v>
      </c>
      <c r="D122" s="55" t="s">
        <v>329</v>
      </c>
      <c r="E122" s="55" t="s">
        <v>329</v>
      </c>
      <c r="F122" s="122" t="str">
        <f>TEXT(Table12[[#This Row],[Date]],"mmm-yy")</f>
        <v>Jul-25</v>
      </c>
      <c r="G122" s="121">
        <f t="shared" si="9"/>
        <v>31</v>
      </c>
      <c r="H122" s="123">
        <f t="shared" si="8"/>
        <v>45863</v>
      </c>
      <c r="I122" s="1">
        <v>8.0208999999999993</v>
      </c>
      <c r="J122" s="1">
        <f>'Raw Data'!K122/Inv_SY!J$2</f>
        <v>0</v>
      </c>
      <c r="K122" s="1">
        <f>'Raw Data'!L122/Inv_SY!K$2</f>
        <v>0</v>
      </c>
      <c r="L122" s="1">
        <f>'Raw Data'!M122/Inv_SY!L$2</f>
        <v>0</v>
      </c>
      <c r="M122" s="1">
        <f>'Raw Data'!N122/Inv_SY!M$2</f>
        <v>0</v>
      </c>
      <c r="N122" s="1">
        <f>'Raw Data'!O122/Inv_SY!N$2</f>
        <v>0</v>
      </c>
      <c r="O122" s="1">
        <f>'Raw Data'!P122/Inv_SY!O$2</f>
        <v>0</v>
      </c>
      <c r="P122" s="1">
        <f>'Raw Data'!Q122/Inv_SY!P$2</f>
        <v>0</v>
      </c>
      <c r="Q122" s="1">
        <f>'Raw Data'!R122/Inv_SY!Q$2</f>
        <v>0</v>
      </c>
      <c r="R122" s="1">
        <f>'Raw Data'!S122/Inv_SY!R$2</f>
        <v>0</v>
      </c>
      <c r="S122" s="1">
        <f>'Raw Data'!T122/Inv_SY!S$2</f>
        <v>0</v>
      </c>
      <c r="T122" s="1">
        <f>'Raw Data'!U122/Inv_SY!T$2</f>
        <v>0</v>
      </c>
      <c r="U122" s="1">
        <f>'Raw Data'!V122/Inv_SY!U$2</f>
        <v>0</v>
      </c>
      <c r="V122" s="1">
        <f>'Raw Data'!W122/Inv_SY!V$2</f>
        <v>0</v>
      </c>
      <c r="W122" s="1">
        <f>'Raw Data'!X122/Inv_SY!W$2</f>
        <v>0</v>
      </c>
      <c r="X122" s="1">
        <f>'Raw Data'!Y122/Inv_SY!X$2</f>
        <v>0</v>
      </c>
      <c r="Y122" s="1" t="str">
        <f t="shared" si="10"/>
        <v/>
      </c>
      <c r="Z122" s="1">
        <f t="shared" si="11"/>
        <v>0</v>
      </c>
    </row>
    <row r="123" spans="1:26" x14ac:dyDescent="0.3">
      <c r="A123" s="55" t="s">
        <v>1293</v>
      </c>
      <c r="B123" s="55">
        <v>92</v>
      </c>
      <c r="C123" s="121">
        <f>YEAR(Table12[[#This Row],[Date]])</f>
        <v>2025</v>
      </c>
      <c r="D123" s="55" t="s">
        <v>329</v>
      </c>
      <c r="E123" s="55" t="s">
        <v>329</v>
      </c>
      <c r="F123" s="122" t="str">
        <f>TEXT(Table12[[#This Row],[Date]],"mmm-yy")</f>
        <v>Jul-25</v>
      </c>
      <c r="G123" s="121">
        <f t="shared" si="9"/>
        <v>31</v>
      </c>
      <c r="H123" s="123">
        <f t="shared" si="8"/>
        <v>45864</v>
      </c>
      <c r="I123" s="1">
        <v>8.0208999999999993</v>
      </c>
      <c r="J123" s="1">
        <f>'Raw Data'!K123/Inv_SY!J$2</f>
        <v>0</v>
      </c>
      <c r="K123" s="1">
        <f>'Raw Data'!L123/Inv_SY!K$2</f>
        <v>0</v>
      </c>
      <c r="L123" s="1">
        <f>'Raw Data'!M123/Inv_SY!L$2</f>
        <v>0</v>
      </c>
      <c r="M123" s="1">
        <f>'Raw Data'!N123/Inv_SY!M$2</f>
        <v>0</v>
      </c>
      <c r="N123" s="1">
        <f>'Raw Data'!O123/Inv_SY!N$2</f>
        <v>0</v>
      </c>
      <c r="O123" s="1">
        <f>'Raw Data'!P123/Inv_SY!O$2</f>
        <v>0</v>
      </c>
      <c r="P123" s="1">
        <f>'Raw Data'!Q123/Inv_SY!P$2</f>
        <v>0</v>
      </c>
      <c r="Q123" s="1">
        <f>'Raw Data'!R123/Inv_SY!Q$2</f>
        <v>0</v>
      </c>
      <c r="R123" s="1">
        <f>'Raw Data'!S123/Inv_SY!R$2</f>
        <v>0</v>
      </c>
      <c r="S123" s="1">
        <f>'Raw Data'!T123/Inv_SY!S$2</f>
        <v>0</v>
      </c>
      <c r="T123" s="1">
        <f>'Raw Data'!U123/Inv_SY!T$2</f>
        <v>0</v>
      </c>
      <c r="U123" s="1">
        <f>'Raw Data'!V123/Inv_SY!U$2</f>
        <v>0</v>
      </c>
      <c r="V123" s="1">
        <f>'Raw Data'!W123/Inv_SY!V$2</f>
        <v>0</v>
      </c>
      <c r="W123" s="1">
        <f>'Raw Data'!X123/Inv_SY!W$2</f>
        <v>0</v>
      </c>
      <c r="X123" s="1">
        <f>'Raw Data'!Y123/Inv_SY!X$2</f>
        <v>0</v>
      </c>
      <c r="Y123" s="1" t="str">
        <f t="shared" si="10"/>
        <v/>
      </c>
      <c r="Z123" s="1">
        <f t="shared" si="11"/>
        <v>0</v>
      </c>
    </row>
    <row r="124" spans="1:26" x14ac:dyDescent="0.3">
      <c r="A124" s="55" t="s">
        <v>1294</v>
      </c>
      <c r="B124" s="55">
        <v>93</v>
      </c>
      <c r="C124" s="121">
        <f>YEAR(Table12[[#This Row],[Date]])</f>
        <v>2025</v>
      </c>
      <c r="D124" s="55" t="s">
        <v>329</v>
      </c>
      <c r="E124" s="55" t="s">
        <v>329</v>
      </c>
      <c r="F124" s="122" t="str">
        <f>TEXT(Table12[[#This Row],[Date]],"mmm-yy")</f>
        <v>Jul-25</v>
      </c>
      <c r="G124" s="121">
        <f t="shared" si="9"/>
        <v>31</v>
      </c>
      <c r="H124" s="123">
        <f t="shared" si="8"/>
        <v>45865</v>
      </c>
      <c r="I124" s="1">
        <v>8.0208999999999993</v>
      </c>
      <c r="J124" s="1">
        <f>'Raw Data'!K124/Inv_SY!J$2</f>
        <v>0</v>
      </c>
      <c r="K124" s="1">
        <f>'Raw Data'!L124/Inv_SY!K$2</f>
        <v>0</v>
      </c>
      <c r="L124" s="1">
        <f>'Raw Data'!M124/Inv_SY!L$2</f>
        <v>0</v>
      </c>
      <c r="M124" s="1">
        <f>'Raw Data'!N124/Inv_SY!M$2</f>
        <v>0</v>
      </c>
      <c r="N124" s="1">
        <f>'Raw Data'!O124/Inv_SY!N$2</f>
        <v>0</v>
      </c>
      <c r="O124" s="1">
        <f>'Raw Data'!P124/Inv_SY!O$2</f>
        <v>0</v>
      </c>
      <c r="P124" s="1">
        <f>'Raw Data'!Q124/Inv_SY!P$2</f>
        <v>0</v>
      </c>
      <c r="Q124" s="1">
        <f>'Raw Data'!R124/Inv_SY!Q$2</f>
        <v>0</v>
      </c>
      <c r="R124" s="1">
        <f>'Raw Data'!S124/Inv_SY!R$2</f>
        <v>0</v>
      </c>
      <c r="S124" s="1">
        <f>'Raw Data'!T124/Inv_SY!S$2</f>
        <v>0</v>
      </c>
      <c r="T124" s="1">
        <f>'Raw Data'!U124/Inv_SY!T$2</f>
        <v>0</v>
      </c>
      <c r="U124" s="1">
        <f>'Raw Data'!V124/Inv_SY!U$2</f>
        <v>0</v>
      </c>
      <c r="V124" s="1">
        <f>'Raw Data'!W124/Inv_SY!V$2</f>
        <v>0</v>
      </c>
      <c r="W124" s="1">
        <f>'Raw Data'!X124/Inv_SY!W$2</f>
        <v>0</v>
      </c>
      <c r="X124" s="1">
        <f>'Raw Data'!Y124/Inv_SY!X$2</f>
        <v>0</v>
      </c>
      <c r="Y124" s="1" t="str">
        <f t="shared" si="10"/>
        <v/>
      </c>
      <c r="Z124" s="1">
        <f t="shared" si="11"/>
        <v>0</v>
      </c>
    </row>
    <row r="125" spans="1:26" x14ac:dyDescent="0.3">
      <c r="A125" s="55" t="s">
        <v>1295</v>
      </c>
      <c r="B125" s="55">
        <v>94</v>
      </c>
      <c r="C125" s="121">
        <f>YEAR(Table12[[#This Row],[Date]])</f>
        <v>2025</v>
      </c>
      <c r="D125" s="55" t="s">
        <v>329</v>
      </c>
      <c r="E125" s="55" t="s">
        <v>329</v>
      </c>
      <c r="F125" s="122" t="str">
        <f>TEXT(Table12[[#This Row],[Date]],"mmm-yy")</f>
        <v>Jul-25</v>
      </c>
      <c r="G125" s="121">
        <f t="shared" si="9"/>
        <v>31</v>
      </c>
      <c r="H125" s="123">
        <f t="shared" si="8"/>
        <v>45866</v>
      </c>
      <c r="I125" s="1">
        <v>8.0208999999999993</v>
      </c>
      <c r="J125" s="1">
        <f>'Raw Data'!K125/Inv_SY!J$2</f>
        <v>0</v>
      </c>
      <c r="K125" s="1">
        <f>'Raw Data'!L125/Inv_SY!K$2</f>
        <v>0</v>
      </c>
      <c r="L125" s="1">
        <f>'Raw Data'!M125/Inv_SY!L$2</f>
        <v>0</v>
      </c>
      <c r="M125" s="1">
        <f>'Raw Data'!N125/Inv_SY!M$2</f>
        <v>0</v>
      </c>
      <c r="N125" s="1">
        <f>'Raw Data'!O125/Inv_SY!N$2</f>
        <v>0</v>
      </c>
      <c r="O125" s="1">
        <f>'Raw Data'!P125/Inv_SY!O$2</f>
        <v>0</v>
      </c>
      <c r="P125" s="1">
        <f>'Raw Data'!Q125/Inv_SY!P$2</f>
        <v>0</v>
      </c>
      <c r="Q125" s="1">
        <f>'Raw Data'!R125/Inv_SY!Q$2</f>
        <v>0</v>
      </c>
      <c r="R125" s="1">
        <f>'Raw Data'!S125/Inv_SY!R$2</f>
        <v>0</v>
      </c>
      <c r="S125" s="1">
        <f>'Raw Data'!T125/Inv_SY!S$2</f>
        <v>0</v>
      </c>
      <c r="T125" s="1">
        <f>'Raw Data'!U125/Inv_SY!T$2</f>
        <v>0</v>
      </c>
      <c r="U125" s="1">
        <f>'Raw Data'!V125/Inv_SY!U$2</f>
        <v>0</v>
      </c>
      <c r="V125" s="1">
        <f>'Raw Data'!W125/Inv_SY!V$2</f>
        <v>0</v>
      </c>
      <c r="W125" s="1">
        <f>'Raw Data'!X125/Inv_SY!W$2</f>
        <v>0</v>
      </c>
      <c r="X125" s="1">
        <f>'Raw Data'!Y125/Inv_SY!X$2</f>
        <v>0</v>
      </c>
      <c r="Y125" s="1" t="str">
        <f t="shared" si="10"/>
        <v/>
      </c>
      <c r="Z125" s="1">
        <f t="shared" si="11"/>
        <v>0</v>
      </c>
    </row>
    <row r="126" spans="1:26" x14ac:dyDescent="0.3">
      <c r="A126" s="55" t="s">
        <v>1296</v>
      </c>
      <c r="B126" s="55">
        <v>95</v>
      </c>
      <c r="C126" s="121">
        <f>YEAR(Table12[[#This Row],[Date]])</f>
        <v>2025</v>
      </c>
      <c r="D126" s="55" t="s">
        <v>329</v>
      </c>
      <c r="E126" s="55" t="s">
        <v>329</v>
      </c>
      <c r="F126" s="122" t="str">
        <f>TEXT(Table12[[#This Row],[Date]],"mmm-yy")</f>
        <v>Jul-25</v>
      </c>
      <c r="G126" s="121">
        <f t="shared" si="9"/>
        <v>31</v>
      </c>
      <c r="H126" s="123">
        <f t="shared" si="8"/>
        <v>45867</v>
      </c>
      <c r="I126" s="1">
        <v>8.0208999999999993</v>
      </c>
      <c r="J126" s="1">
        <f>'Raw Data'!K126/Inv_SY!J$2</f>
        <v>0</v>
      </c>
      <c r="K126" s="1">
        <f>'Raw Data'!L126/Inv_SY!K$2</f>
        <v>0</v>
      </c>
      <c r="L126" s="1">
        <f>'Raw Data'!M126/Inv_SY!L$2</f>
        <v>0</v>
      </c>
      <c r="M126" s="1">
        <f>'Raw Data'!N126/Inv_SY!M$2</f>
        <v>0</v>
      </c>
      <c r="N126" s="1">
        <f>'Raw Data'!O126/Inv_SY!N$2</f>
        <v>0</v>
      </c>
      <c r="O126" s="1">
        <f>'Raw Data'!P126/Inv_SY!O$2</f>
        <v>0</v>
      </c>
      <c r="P126" s="1">
        <f>'Raw Data'!Q126/Inv_SY!P$2</f>
        <v>0</v>
      </c>
      <c r="Q126" s="1">
        <f>'Raw Data'!R126/Inv_SY!Q$2</f>
        <v>0</v>
      </c>
      <c r="R126" s="1">
        <f>'Raw Data'!S126/Inv_SY!R$2</f>
        <v>0</v>
      </c>
      <c r="S126" s="1">
        <f>'Raw Data'!T126/Inv_SY!S$2</f>
        <v>0</v>
      </c>
      <c r="T126" s="1">
        <f>'Raw Data'!U126/Inv_SY!T$2</f>
        <v>0</v>
      </c>
      <c r="U126" s="1">
        <f>'Raw Data'!V126/Inv_SY!U$2</f>
        <v>0</v>
      </c>
      <c r="V126" s="1">
        <f>'Raw Data'!W126/Inv_SY!V$2</f>
        <v>0</v>
      </c>
      <c r="W126" s="1">
        <f>'Raw Data'!X126/Inv_SY!W$2</f>
        <v>0</v>
      </c>
      <c r="X126" s="1">
        <f>'Raw Data'!Y126/Inv_SY!X$2</f>
        <v>0</v>
      </c>
      <c r="Y126" s="1" t="str">
        <f t="shared" si="10"/>
        <v/>
      </c>
      <c r="Z126" s="1">
        <f t="shared" si="11"/>
        <v>0</v>
      </c>
    </row>
    <row r="127" spans="1:26" x14ac:dyDescent="0.3">
      <c r="A127" s="55" t="s">
        <v>1297</v>
      </c>
      <c r="B127" s="55">
        <v>96</v>
      </c>
      <c r="C127" s="121">
        <f>YEAR(Table12[[#This Row],[Date]])</f>
        <v>2025</v>
      </c>
      <c r="D127" s="55" t="s">
        <v>329</v>
      </c>
      <c r="E127" s="55" t="s">
        <v>329</v>
      </c>
      <c r="F127" s="122" t="str">
        <f>TEXT(Table12[[#This Row],[Date]],"mmm-yy")</f>
        <v>Jul-25</v>
      </c>
      <c r="G127" s="121">
        <f t="shared" si="9"/>
        <v>31</v>
      </c>
      <c r="H127" s="123">
        <f t="shared" si="8"/>
        <v>45868</v>
      </c>
      <c r="I127" s="1">
        <v>8.0208999999999993</v>
      </c>
      <c r="J127" s="1">
        <f>'Raw Data'!K127/Inv_SY!J$2</f>
        <v>0</v>
      </c>
      <c r="K127" s="1">
        <f>'Raw Data'!L127/Inv_SY!K$2</f>
        <v>0</v>
      </c>
      <c r="L127" s="1">
        <f>'Raw Data'!M127/Inv_SY!L$2</f>
        <v>0</v>
      </c>
      <c r="M127" s="1">
        <f>'Raw Data'!N127/Inv_SY!M$2</f>
        <v>0</v>
      </c>
      <c r="N127" s="1">
        <f>'Raw Data'!O127/Inv_SY!N$2</f>
        <v>0</v>
      </c>
      <c r="O127" s="1">
        <f>'Raw Data'!P127/Inv_SY!O$2</f>
        <v>0</v>
      </c>
      <c r="P127" s="1">
        <f>'Raw Data'!Q127/Inv_SY!P$2</f>
        <v>0</v>
      </c>
      <c r="Q127" s="1">
        <f>'Raw Data'!R127/Inv_SY!Q$2</f>
        <v>0</v>
      </c>
      <c r="R127" s="1">
        <f>'Raw Data'!S127/Inv_SY!R$2</f>
        <v>0</v>
      </c>
      <c r="S127" s="1">
        <f>'Raw Data'!T127/Inv_SY!S$2</f>
        <v>0</v>
      </c>
      <c r="T127" s="1">
        <f>'Raw Data'!U127/Inv_SY!T$2</f>
        <v>0</v>
      </c>
      <c r="U127" s="1">
        <f>'Raw Data'!V127/Inv_SY!U$2</f>
        <v>0</v>
      </c>
      <c r="V127" s="1">
        <f>'Raw Data'!W127/Inv_SY!V$2</f>
        <v>0</v>
      </c>
      <c r="W127" s="1">
        <f>'Raw Data'!X127/Inv_SY!W$2</f>
        <v>0</v>
      </c>
      <c r="X127" s="1">
        <f>'Raw Data'!Y127/Inv_SY!X$2</f>
        <v>0</v>
      </c>
      <c r="Y127" s="1" t="str">
        <f t="shared" si="10"/>
        <v/>
      </c>
      <c r="Z127" s="1">
        <f t="shared" si="11"/>
        <v>0</v>
      </c>
    </row>
    <row r="128" spans="1:26" x14ac:dyDescent="0.3">
      <c r="A128" s="55" t="s">
        <v>1298</v>
      </c>
      <c r="B128" s="55">
        <v>97</v>
      </c>
      <c r="C128" s="121">
        <f>YEAR(Table12[[#This Row],[Date]])</f>
        <v>2025</v>
      </c>
      <c r="D128" s="55" t="s">
        <v>329</v>
      </c>
      <c r="E128" s="55" t="s">
        <v>329</v>
      </c>
      <c r="F128" s="122" t="str">
        <f>TEXT(Table12[[#This Row],[Date]],"mmm-yy")</f>
        <v>Jul-25</v>
      </c>
      <c r="G128" s="121">
        <f t="shared" si="9"/>
        <v>31</v>
      </c>
      <c r="H128" s="123">
        <f t="shared" si="8"/>
        <v>45869</v>
      </c>
      <c r="I128" s="1">
        <v>8.0208999999999993</v>
      </c>
      <c r="J128" s="1">
        <f>'Raw Data'!K128/Inv_SY!J$2</f>
        <v>0</v>
      </c>
      <c r="K128" s="1">
        <f>'Raw Data'!L128/Inv_SY!K$2</f>
        <v>0</v>
      </c>
      <c r="L128" s="1">
        <f>'Raw Data'!M128/Inv_SY!L$2</f>
        <v>0</v>
      </c>
      <c r="M128" s="1">
        <f>'Raw Data'!N128/Inv_SY!M$2</f>
        <v>0</v>
      </c>
      <c r="N128" s="1">
        <f>'Raw Data'!O128/Inv_SY!N$2</f>
        <v>0</v>
      </c>
      <c r="O128" s="1">
        <f>'Raw Data'!P128/Inv_SY!O$2</f>
        <v>0</v>
      </c>
      <c r="P128" s="1">
        <f>'Raw Data'!Q128/Inv_SY!P$2</f>
        <v>0</v>
      </c>
      <c r="Q128" s="1">
        <f>'Raw Data'!R128/Inv_SY!Q$2</f>
        <v>0</v>
      </c>
      <c r="R128" s="1">
        <f>'Raw Data'!S128/Inv_SY!R$2</f>
        <v>0</v>
      </c>
      <c r="S128" s="1">
        <f>'Raw Data'!T128/Inv_SY!S$2</f>
        <v>0</v>
      </c>
      <c r="T128" s="1">
        <f>'Raw Data'!U128/Inv_SY!T$2</f>
        <v>0</v>
      </c>
      <c r="U128" s="1">
        <f>'Raw Data'!V128/Inv_SY!U$2</f>
        <v>0</v>
      </c>
      <c r="V128" s="1">
        <f>'Raw Data'!W128/Inv_SY!V$2</f>
        <v>0</v>
      </c>
      <c r="W128" s="1">
        <f>'Raw Data'!X128/Inv_SY!W$2</f>
        <v>0</v>
      </c>
      <c r="X128" s="1">
        <f>'Raw Data'!Y128/Inv_SY!X$2</f>
        <v>0</v>
      </c>
      <c r="Y128" s="1" t="str">
        <f t="shared" si="10"/>
        <v/>
      </c>
      <c r="Z128" s="1">
        <f t="shared" si="11"/>
        <v>0</v>
      </c>
    </row>
    <row r="129" spans="1:26" x14ac:dyDescent="0.3">
      <c r="A129" s="55" t="s">
        <v>1299</v>
      </c>
      <c r="B129" s="55">
        <v>98</v>
      </c>
      <c r="C129" s="121">
        <f>YEAR(Table12[[#This Row],[Date]])</f>
        <v>2025</v>
      </c>
      <c r="D129" s="55" t="s">
        <v>329</v>
      </c>
      <c r="E129" s="55" t="s">
        <v>329</v>
      </c>
      <c r="F129" s="122" t="str">
        <f>TEXT(Table12[[#This Row],[Date]],"mmm-yy")</f>
        <v>Aug-25</v>
      </c>
      <c r="G129" s="121">
        <f t="shared" si="9"/>
        <v>31</v>
      </c>
      <c r="H129" s="123">
        <f t="shared" si="8"/>
        <v>45870</v>
      </c>
      <c r="I129" s="1">
        <v>8.0208999999999993</v>
      </c>
      <c r="J129" s="1">
        <f>'Raw Data'!K129/Inv_SY!J$2</f>
        <v>0</v>
      </c>
      <c r="K129" s="1">
        <f>'Raw Data'!L129/Inv_SY!K$2</f>
        <v>0</v>
      </c>
      <c r="L129" s="1">
        <f>'Raw Data'!M129/Inv_SY!L$2</f>
        <v>0</v>
      </c>
      <c r="M129" s="1">
        <f>'Raw Data'!N129/Inv_SY!M$2</f>
        <v>0</v>
      </c>
      <c r="N129" s="1">
        <f>'Raw Data'!O129/Inv_SY!N$2</f>
        <v>0</v>
      </c>
      <c r="O129" s="1">
        <f>'Raw Data'!P129/Inv_SY!O$2</f>
        <v>0</v>
      </c>
      <c r="P129" s="1">
        <f>'Raw Data'!Q129/Inv_SY!P$2</f>
        <v>0</v>
      </c>
      <c r="Q129" s="1">
        <f>'Raw Data'!R129/Inv_SY!Q$2</f>
        <v>0</v>
      </c>
      <c r="R129" s="1">
        <f>'Raw Data'!S129/Inv_SY!R$2</f>
        <v>0</v>
      </c>
      <c r="S129" s="1">
        <f>'Raw Data'!T129/Inv_SY!S$2</f>
        <v>0</v>
      </c>
      <c r="T129" s="1">
        <f>'Raw Data'!U129/Inv_SY!T$2</f>
        <v>0</v>
      </c>
      <c r="U129" s="1">
        <f>'Raw Data'!V129/Inv_SY!U$2</f>
        <v>0</v>
      </c>
      <c r="V129" s="1">
        <f>'Raw Data'!W129/Inv_SY!V$2</f>
        <v>0</v>
      </c>
      <c r="W129" s="1">
        <f>'Raw Data'!X129/Inv_SY!W$2</f>
        <v>0</v>
      </c>
      <c r="X129" s="1">
        <f>'Raw Data'!Y129/Inv_SY!X$2</f>
        <v>0</v>
      </c>
      <c r="Y129" s="1" t="str">
        <f t="shared" si="10"/>
        <v/>
      </c>
      <c r="Z129" s="1">
        <f t="shared" si="11"/>
        <v>0</v>
      </c>
    </row>
    <row r="130" spans="1:26" x14ac:dyDescent="0.3">
      <c r="A130" s="55" t="s">
        <v>1300</v>
      </c>
      <c r="B130" s="55">
        <v>99</v>
      </c>
      <c r="C130" s="121">
        <f>YEAR(Table12[[#This Row],[Date]])</f>
        <v>2025</v>
      </c>
      <c r="D130" s="55" t="s">
        <v>329</v>
      </c>
      <c r="E130" s="55" t="s">
        <v>329</v>
      </c>
      <c r="F130" s="122" t="str">
        <f>TEXT(Table12[[#This Row],[Date]],"mmm-yy")</f>
        <v>Aug-25</v>
      </c>
      <c r="G130" s="121">
        <f t="shared" si="9"/>
        <v>31</v>
      </c>
      <c r="H130" s="123">
        <f t="shared" si="8"/>
        <v>45871</v>
      </c>
      <c r="I130" s="1">
        <v>8.0208999999999993</v>
      </c>
      <c r="J130" s="1">
        <f>'Raw Data'!K130/Inv_SY!J$2</f>
        <v>0</v>
      </c>
      <c r="K130" s="1">
        <f>'Raw Data'!L130/Inv_SY!K$2</f>
        <v>0</v>
      </c>
      <c r="L130" s="1">
        <f>'Raw Data'!M130/Inv_SY!L$2</f>
        <v>0</v>
      </c>
      <c r="M130" s="1">
        <f>'Raw Data'!N130/Inv_SY!M$2</f>
        <v>0</v>
      </c>
      <c r="N130" s="1">
        <f>'Raw Data'!O130/Inv_SY!N$2</f>
        <v>0</v>
      </c>
      <c r="O130" s="1">
        <f>'Raw Data'!P130/Inv_SY!O$2</f>
        <v>0</v>
      </c>
      <c r="P130" s="1">
        <f>'Raw Data'!Q130/Inv_SY!P$2</f>
        <v>0</v>
      </c>
      <c r="Q130" s="1">
        <f>'Raw Data'!R130/Inv_SY!Q$2</f>
        <v>0</v>
      </c>
      <c r="R130" s="1">
        <f>'Raw Data'!S130/Inv_SY!R$2</f>
        <v>0</v>
      </c>
      <c r="S130" s="1">
        <f>'Raw Data'!T130/Inv_SY!S$2</f>
        <v>0</v>
      </c>
      <c r="T130" s="1">
        <f>'Raw Data'!U130/Inv_SY!T$2</f>
        <v>0</v>
      </c>
      <c r="U130" s="1">
        <f>'Raw Data'!V130/Inv_SY!U$2</f>
        <v>0</v>
      </c>
      <c r="V130" s="1">
        <f>'Raw Data'!W130/Inv_SY!V$2</f>
        <v>0</v>
      </c>
      <c r="W130" s="1">
        <f>'Raw Data'!X130/Inv_SY!W$2</f>
        <v>0</v>
      </c>
      <c r="X130" s="1">
        <f>'Raw Data'!Y130/Inv_SY!X$2</f>
        <v>0</v>
      </c>
      <c r="Y130" s="1" t="str">
        <f t="shared" si="10"/>
        <v/>
      </c>
      <c r="Z130" s="1">
        <f t="shared" si="11"/>
        <v>0</v>
      </c>
    </row>
    <row r="131" spans="1:26" x14ac:dyDescent="0.3">
      <c r="A131" s="55" t="s">
        <v>1301</v>
      </c>
      <c r="B131" s="55">
        <v>100</v>
      </c>
      <c r="C131" s="121">
        <f>YEAR(Table12[[#This Row],[Date]])</f>
        <v>2025</v>
      </c>
      <c r="D131" s="55" t="s">
        <v>329</v>
      </c>
      <c r="E131" s="55" t="s">
        <v>329</v>
      </c>
      <c r="F131" s="122" t="str">
        <f>TEXT(Table12[[#This Row],[Date]],"mmm-yy")</f>
        <v>Aug-25</v>
      </c>
      <c r="G131" s="121">
        <f t="shared" si="9"/>
        <v>31</v>
      </c>
      <c r="H131" s="123">
        <f t="shared" si="8"/>
        <v>45872</v>
      </c>
      <c r="I131" s="1">
        <v>8.0208999999999993</v>
      </c>
      <c r="J131" s="1">
        <f>'Raw Data'!K131/Inv_SY!J$2</f>
        <v>0</v>
      </c>
      <c r="K131" s="1">
        <f>'Raw Data'!L131/Inv_SY!K$2</f>
        <v>0</v>
      </c>
      <c r="L131" s="1">
        <f>'Raw Data'!M131/Inv_SY!L$2</f>
        <v>0</v>
      </c>
      <c r="M131" s="1">
        <f>'Raw Data'!N131/Inv_SY!M$2</f>
        <v>0</v>
      </c>
      <c r="N131" s="1">
        <f>'Raw Data'!O131/Inv_SY!N$2</f>
        <v>0</v>
      </c>
      <c r="O131" s="1">
        <f>'Raw Data'!P131/Inv_SY!O$2</f>
        <v>0</v>
      </c>
      <c r="P131" s="1">
        <f>'Raw Data'!Q131/Inv_SY!P$2</f>
        <v>0</v>
      </c>
      <c r="Q131" s="1">
        <f>'Raw Data'!R131/Inv_SY!Q$2</f>
        <v>0</v>
      </c>
      <c r="R131" s="1">
        <f>'Raw Data'!S131/Inv_SY!R$2</f>
        <v>0</v>
      </c>
      <c r="S131" s="1">
        <f>'Raw Data'!T131/Inv_SY!S$2</f>
        <v>0</v>
      </c>
      <c r="T131" s="1">
        <f>'Raw Data'!U131/Inv_SY!T$2</f>
        <v>0</v>
      </c>
      <c r="U131" s="1">
        <f>'Raw Data'!V131/Inv_SY!U$2</f>
        <v>0</v>
      </c>
      <c r="V131" s="1">
        <f>'Raw Data'!W131/Inv_SY!V$2</f>
        <v>0</v>
      </c>
      <c r="W131" s="1">
        <f>'Raw Data'!X131/Inv_SY!W$2</f>
        <v>0</v>
      </c>
      <c r="X131" s="1">
        <f>'Raw Data'!Y131/Inv_SY!X$2</f>
        <v>0</v>
      </c>
      <c r="Y131" s="1" t="str">
        <f t="shared" si="10"/>
        <v/>
      </c>
      <c r="Z131" s="1">
        <f t="shared" si="11"/>
        <v>0</v>
      </c>
    </row>
    <row r="132" spans="1:26" x14ac:dyDescent="0.3">
      <c r="A132" s="55" t="s">
        <v>1302</v>
      </c>
      <c r="B132" s="55">
        <v>101</v>
      </c>
      <c r="C132" s="121">
        <f>YEAR(Table12[[#This Row],[Date]])</f>
        <v>2025</v>
      </c>
      <c r="D132" s="55" t="s">
        <v>329</v>
      </c>
      <c r="E132" s="55" t="s">
        <v>329</v>
      </c>
      <c r="F132" s="122" t="str">
        <f>TEXT(Table12[[#This Row],[Date]],"mmm-yy")</f>
        <v>Aug-25</v>
      </c>
      <c r="G132" s="121">
        <f t="shared" si="9"/>
        <v>31</v>
      </c>
      <c r="H132" s="123">
        <f t="shared" si="8"/>
        <v>45873</v>
      </c>
      <c r="I132" s="1">
        <v>8.0208999999999993</v>
      </c>
      <c r="J132" s="1">
        <f>'Raw Data'!K132/Inv_SY!J$2</f>
        <v>0</v>
      </c>
      <c r="K132" s="1">
        <f>'Raw Data'!L132/Inv_SY!K$2</f>
        <v>0</v>
      </c>
      <c r="L132" s="1">
        <f>'Raw Data'!M132/Inv_SY!L$2</f>
        <v>0</v>
      </c>
      <c r="M132" s="1">
        <f>'Raw Data'!N132/Inv_SY!M$2</f>
        <v>0</v>
      </c>
      <c r="N132" s="1">
        <f>'Raw Data'!O132/Inv_SY!N$2</f>
        <v>0</v>
      </c>
      <c r="O132" s="1">
        <f>'Raw Data'!P132/Inv_SY!O$2</f>
        <v>0</v>
      </c>
      <c r="P132" s="1">
        <f>'Raw Data'!Q132/Inv_SY!P$2</f>
        <v>0</v>
      </c>
      <c r="Q132" s="1">
        <f>'Raw Data'!R132/Inv_SY!Q$2</f>
        <v>0</v>
      </c>
      <c r="R132" s="1">
        <f>'Raw Data'!S132/Inv_SY!R$2</f>
        <v>0</v>
      </c>
      <c r="S132" s="1">
        <f>'Raw Data'!T132/Inv_SY!S$2</f>
        <v>0</v>
      </c>
      <c r="T132" s="1">
        <f>'Raw Data'!U132/Inv_SY!T$2</f>
        <v>0</v>
      </c>
      <c r="U132" s="1">
        <f>'Raw Data'!V132/Inv_SY!U$2</f>
        <v>0</v>
      </c>
      <c r="V132" s="1">
        <f>'Raw Data'!W132/Inv_SY!V$2</f>
        <v>0</v>
      </c>
      <c r="W132" s="1">
        <f>'Raw Data'!X132/Inv_SY!W$2</f>
        <v>0</v>
      </c>
      <c r="X132" s="1">
        <f>'Raw Data'!Y132/Inv_SY!X$2</f>
        <v>0</v>
      </c>
      <c r="Y132" s="1" t="str">
        <f t="shared" si="10"/>
        <v/>
      </c>
      <c r="Z132" s="1">
        <f t="shared" si="11"/>
        <v>0</v>
      </c>
    </row>
    <row r="133" spans="1:26" x14ac:dyDescent="0.3">
      <c r="A133" s="55" t="s">
        <v>1303</v>
      </c>
      <c r="B133" s="55">
        <v>102</v>
      </c>
      <c r="C133" s="121">
        <f>YEAR(Table12[[#This Row],[Date]])</f>
        <v>2025</v>
      </c>
      <c r="D133" s="55" t="s">
        <v>329</v>
      </c>
      <c r="E133" s="55" t="s">
        <v>329</v>
      </c>
      <c r="F133" s="122" t="str">
        <f>TEXT(Table12[[#This Row],[Date]],"mmm-yy")</f>
        <v>Aug-25</v>
      </c>
      <c r="G133" s="121">
        <f t="shared" si="9"/>
        <v>31</v>
      </c>
      <c r="H133" s="123">
        <f t="shared" ref="H133:H196" si="12">H132+1</f>
        <v>45874</v>
      </c>
      <c r="I133" s="1">
        <v>8.0208999999999993</v>
      </c>
      <c r="J133" s="1">
        <f>'Raw Data'!K133/Inv_SY!J$2</f>
        <v>0</v>
      </c>
      <c r="K133" s="1">
        <f>'Raw Data'!L133/Inv_SY!K$2</f>
        <v>0</v>
      </c>
      <c r="L133" s="1">
        <f>'Raw Data'!M133/Inv_SY!L$2</f>
        <v>0</v>
      </c>
      <c r="M133" s="1">
        <f>'Raw Data'!N133/Inv_SY!M$2</f>
        <v>0</v>
      </c>
      <c r="N133" s="1">
        <f>'Raw Data'!O133/Inv_SY!N$2</f>
        <v>0</v>
      </c>
      <c r="O133" s="1">
        <f>'Raw Data'!P133/Inv_SY!O$2</f>
        <v>0</v>
      </c>
      <c r="P133" s="1">
        <f>'Raw Data'!Q133/Inv_SY!P$2</f>
        <v>0</v>
      </c>
      <c r="Q133" s="1">
        <f>'Raw Data'!R133/Inv_SY!Q$2</f>
        <v>0</v>
      </c>
      <c r="R133" s="1">
        <f>'Raw Data'!S133/Inv_SY!R$2</f>
        <v>0</v>
      </c>
      <c r="S133" s="1">
        <f>'Raw Data'!T133/Inv_SY!S$2</f>
        <v>0</v>
      </c>
      <c r="T133" s="1">
        <f>'Raw Data'!U133/Inv_SY!T$2</f>
        <v>0</v>
      </c>
      <c r="U133" s="1">
        <f>'Raw Data'!V133/Inv_SY!U$2</f>
        <v>0</v>
      </c>
      <c r="V133" s="1">
        <f>'Raw Data'!W133/Inv_SY!V$2</f>
        <v>0</v>
      </c>
      <c r="W133" s="1">
        <f>'Raw Data'!X133/Inv_SY!W$2</f>
        <v>0</v>
      </c>
      <c r="X133" s="1">
        <f>'Raw Data'!Y133/Inv_SY!X$2</f>
        <v>0</v>
      </c>
      <c r="Y133" s="1" t="str">
        <f t="shared" si="10"/>
        <v/>
      </c>
      <c r="Z133" s="1">
        <f t="shared" si="11"/>
        <v>0</v>
      </c>
    </row>
    <row r="134" spans="1:26" x14ac:dyDescent="0.3">
      <c r="A134" s="55" t="s">
        <v>1304</v>
      </c>
      <c r="B134" s="55">
        <v>103</v>
      </c>
      <c r="C134" s="121">
        <f>YEAR(Table12[[#This Row],[Date]])</f>
        <v>2025</v>
      </c>
      <c r="D134" s="55" t="s">
        <v>329</v>
      </c>
      <c r="E134" s="55" t="s">
        <v>329</v>
      </c>
      <c r="F134" s="122" t="str">
        <f>TEXT(Table12[[#This Row],[Date]],"mmm-yy")</f>
        <v>Aug-25</v>
      </c>
      <c r="G134" s="121">
        <f t="shared" si="9"/>
        <v>31</v>
      </c>
      <c r="H134" s="123">
        <f t="shared" si="12"/>
        <v>45875</v>
      </c>
      <c r="I134" s="1">
        <v>8.0208999999999993</v>
      </c>
      <c r="J134" s="1">
        <f>'Raw Data'!K134/Inv_SY!J$2</f>
        <v>0</v>
      </c>
      <c r="K134" s="1">
        <f>'Raw Data'!L134/Inv_SY!K$2</f>
        <v>0</v>
      </c>
      <c r="L134" s="1">
        <f>'Raw Data'!M134/Inv_SY!L$2</f>
        <v>0</v>
      </c>
      <c r="M134" s="1">
        <f>'Raw Data'!N134/Inv_SY!M$2</f>
        <v>0</v>
      </c>
      <c r="N134" s="1">
        <f>'Raw Data'!O134/Inv_SY!N$2</f>
        <v>0</v>
      </c>
      <c r="O134" s="1">
        <f>'Raw Data'!P134/Inv_SY!O$2</f>
        <v>0</v>
      </c>
      <c r="P134" s="1">
        <f>'Raw Data'!Q134/Inv_SY!P$2</f>
        <v>0</v>
      </c>
      <c r="Q134" s="1">
        <f>'Raw Data'!R134/Inv_SY!Q$2</f>
        <v>0</v>
      </c>
      <c r="R134" s="1">
        <f>'Raw Data'!S134/Inv_SY!R$2</f>
        <v>0</v>
      </c>
      <c r="S134" s="1">
        <f>'Raw Data'!T134/Inv_SY!S$2</f>
        <v>0</v>
      </c>
      <c r="T134" s="1">
        <f>'Raw Data'!U134/Inv_SY!T$2</f>
        <v>0</v>
      </c>
      <c r="U134" s="1">
        <f>'Raw Data'!V134/Inv_SY!U$2</f>
        <v>0</v>
      </c>
      <c r="V134" s="1">
        <f>'Raw Data'!W134/Inv_SY!V$2</f>
        <v>0</v>
      </c>
      <c r="W134" s="1">
        <f>'Raw Data'!X134/Inv_SY!W$2</f>
        <v>0</v>
      </c>
      <c r="X134" s="1">
        <f>'Raw Data'!Y134/Inv_SY!X$2</f>
        <v>0</v>
      </c>
      <c r="Y134" s="1" t="str">
        <f t="shared" si="10"/>
        <v/>
      </c>
      <c r="Z134" s="1">
        <f t="shared" si="11"/>
        <v>0</v>
      </c>
    </row>
    <row r="135" spans="1:26" x14ac:dyDescent="0.3">
      <c r="A135" s="55" t="s">
        <v>1305</v>
      </c>
      <c r="B135" s="55">
        <v>104</v>
      </c>
      <c r="C135" s="121">
        <f>YEAR(Table12[[#This Row],[Date]])</f>
        <v>2025</v>
      </c>
      <c r="D135" s="55" t="s">
        <v>329</v>
      </c>
      <c r="E135" s="55" t="s">
        <v>329</v>
      </c>
      <c r="F135" s="122" t="str">
        <f>TEXT(Table12[[#This Row],[Date]],"mmm-yy")</f>
        <v>Aug-25</v>
      </c>
      <c r="G135" s="121">
        <f t="shared" si="9"/>
        <v>31</v>
      </c>
      <c r="H135" s="123">
        <f t="shared" si="12"/>
        <v>45876</v>
      </c>
      <c r="I135" s="1">
        <v>8.0208999999999993</v>
      </c>
      <c r="J135" s="1">
        <f>'Raw Data'!K135/Inv_SY!J$2</f>
        <v>0</v>
      </c>
      <c r="K135" s="1">
        <f>'Raw Data'!L135/Inv_SY!K$2</f>
        <v>0</v>
      </c>
      <c r="L135" s="1">
        <f>'Raw Data'!M135/Inv_SY!L$2</f>
        <v>0</v>
      </c>
      <c r="M135" s="1">
        <f>'Raw Data'!N135/Inv_SY!M$2</f>
        <v>0</v>
      </c>
      <c r="N135" s="1">
        <f>'Raw Data'!O135/Inv_SY!N$2</f>
        <v>0</v>
      </c>
      <c r="O135" s="1">
        <f>'Raw Data'!P135/Inv_SY!O$2</f>
        <v>0</v>
      </c>
      <c r="P135" s="1">
        <f>'Raw Data'!Q135/Inv_SY!P$2</f>
        <v>0</v>
      </c>
      <c r="Q135" s="1">
        <f>'Raw Data'!R135/Inv_SY!Q$2</f>
        <v>0</v>
      </c>
      <c r="R135" s="1">
        <f>'Raw Data'!S135/Inv_SY!R$2</f>
        <v>0</v>
      </c>
      <c r="S135" s="1">
        <f>'Raw Data'!T135/Inv_SY!S$2</f>
        <v>0</v>
      </c>
      <c r="T135" s="1">
        <f>'Raw Data'!U135/Inv_SY!T$2</f>
        <v>0</v>
      </c>
      <c r="U135" s="1">
        <f>'Raw Data'!V135/Inv_SY!U$2</f>
        <v>0</v>
      </c>
      <c r="V135" s="1">
        <f>'Raw Data'!W135/Inv_SY!V$2</f>
        <v>0</v>
      </c>
      <c r="W135" s="1">
        <f>'Raw Data'!X135/Inv_SY!W$2</f>
        <v>0</v>
      </c>
      <c r="X135" s="1">
        <f>'Raw Data'!Y135/Inv_SY!X$2</f>
        <v>0</v>
      </c>
      <c r="Y135" s="1" t="str">
        <f t="shared" si="10"/>
        <v/>
      </c>
      <c r="Z135" s="1">
        <f t="shared" si="11"/>
        <v>0</v>
      </c>
    </row>
    <row r="136" spans="1:26" x14ac:dyDescent="0.3">
      <c r="A136" s="55" t="s">
        <v>1306</v>
      </c>
      <c r="B136" s="55">
        <v>105</v>
      </c>
      <c r="C136" s="121">
        <f>YEAR(Table12[[#This Row],[Date]])</f>
        <v>2025</v>
      </c>
      <c r="D136" s="55" t="s">
        <v>329</v>
      </c>
      <c r="E136" s="55" t="s">
        <v>329</v>
      </c>
      <c r="F136" s="122" t="str">
        <f>TEXT(Table12[[#This Row],[Date]],"mmm-yy")</f>
        <v>Aug-25</v>
      </c>
      <c r="G136" s="121">
        <f t="shared" si="9"/>
        <v>31</v>
      </c>
      <c r="H136" s="123">
        <f t="shared" si="12"/>
        <v>45877</v>
      </c>
      <c r="I136" s="1">
        <v>8.0208999999999993</v>
      </c>
      <c r="J136" s="1">
        <f>'Raw Data'!K136/Inv_SY!J$2</f>
        <v>0</v>
      </c>
      <c r="K136" s="1">
        <f>'Raw Data'!L136/Inv_SY!K$2</f>
        <v>0</v>
      </c>
      <c r="L136" s="1">
        <f>'Raw Data'!M136/Inv_SY!L$2</f>
        <v>0</v>
      </c>
      <c r="M136" s="1">
        <f>'Raw Data'!N136/Inv_SY!M$2</f>
        <v>0</v>
      </c>
      <c r="N136" s="1">
        <f>'Raw Data'!O136/Inv_SY!N$2</f>
        <v>0</v>
      </c>
      <c r="O136" s="1">
        <f>'Raw Data'!P136/Inv_SY!O$2</f>
        <v>0</v>
      </c>
      <c r="P136" s="1">
        <f>'Raw Data'!Q136/Inv_SY!P$2</f>
        <v>0</v>
      </c>
      <c r="Q136" s="1">
        <f>'Raw Data'!R136/Inv_SY!Q$2</f>
        <v>0</v>
      </c>
      <c r="R136" s="1">
        <f>'Raw Data'!S136/Inv_SY!R$2</f>
        <v>0</v>
      </c>
      <c r="S136" s="1">
        <f>'Raw Data'!T136/Inv_SY!S$2</f>
        <v>0</v>
      </c>
      <c r="T136" s="1">
        <f>'Raw Data'!U136/Inv_SY!T$2</f>
        <v>0</v>
      </c>
      <c r="U136" s="1">
        <f>'Raw Data'!V136/Inv_SY!U$2</f>
        <v>0</v>
      </c>
      <c r="V136" s="1">
        <f>'Raw Data'!W136/Inv_SY!V$2</f>
        <v>0</v>
      </c>
      <c r="W136" s="1">
        <f>'Raw Data'!X136/Inv_SY!W$2</f>
        <v>0</v>
      </c>
      <c r="X136" s="1">
        <f>'Raw Data'!Y136/Inv_SY!X$2</f>
        <v>0</v>
      </c>
      <c r="Y136" s="1" t="str">
        <f t="shared" si="10"/>
        <v/>
      </c>
      <c r="Z136" s="1">
        <f t="shared" si="11"/>
        <v>0</v>
      </c>
    </row>
    <row r="137" spans="1:26" x14ac:dyDescent="0.3">
      <c r="A137" s="55" t="s">
        <v>1307</v>
      </c>
      <c r="B137" s="55">
        <v>106</v>
      </c>
      <c r="C137" s="121">
        <f>YEAR(Table12[[#This Row],[Date]])</f>
        <v>2025</v>
      </c>
      <c r="D137" s="55" t="s">
        <v>329</v>
      </c>
      <c r="E137" s="55" t="s">
        <v>329</v>
      </c>
      <c r="F137" s="122" t="str">
        <f>TEXT(Table12[[#This Row],[Date]],"mmm-yy")</f>
        <v>Aug-25</v>
      </c>
      <c r="G137" s="121">
        <f t="shared" si="9"/>
        <v>31</v>
      </c>
      <c r="H137" s="123">
        <f t="shared" si="12"/>
        <v>45878</v>
      </c>
      <c r="I137" s="1">
        <v>8.0208999999999993</v>
      </c>
      <c r="J137" s="1">
        <f>'Raw Data'!K137/Inv_SY!J$2</f>
        <v>0</v>
      </c>
      <c r="K137" s="1">
        <f>'Raw Data'!L137/Inv_SY!K$2</f>
        <v>0</v>
      </c>
      <c r="L137" s="1">
        <f>'Raw Data'!M137/Inv_SY!L$2</f>
        <v>0</v>
      </c>
      <c r="M137" s="1">
        <f>'Raw Data'!N137/Inv_SY!M$2</f>
        <v>0</v>
      </c>
      <c r="N137" s="1">
        <f>'Raw Data'!O137/Inv_SY!N$2</f>
        <v>0</v>
      </c>
      <c r="O137" s="1">
        <f>'Raw Data'!P137/Inv_SY!O$2</f>
        <v>0</v>
      </c>
      <c r="P137" s="1">
        <f>'Raw Data'!Q137/Inv_SY!P$2</f>
        <v>0</v>
      </c>
      <c r="Q137" s="1">
        <f>'Raw Data'!R137/Inv_SY!Q$2</f>
        <v>0</v>
      </c>
      <c r="R137" s="1">
        <f>'Raw Data'!S137/Inv_SY!R$2</f>
        <v>0</v>
      </c>
      <c r="S137" s="1">
        <f>'Raw Data'!T137/Inv_SY!S$2</f>
        <v>0</v>
      </c>
      <c r="T137" s="1">
        <f>'Raw Data'!U137/Inv_SY!T$2</f>
        <v>0</v>
      </c>
      <c r="U137" s="1">
        <f>'Raw Data'!V137/Inv_SY!U$2</f>
        <v>0</v>
      </c>
      <c r="V137" s="1">
        <f>'Raw Data'!W137/Inv_SY!V$2</f>
        <v>0</v>
      </c>
      <c r="W137" s="1">
        <f>'Raw Data'!X137/Inv_SY!W$2</f>
        <v>0</v>
      </c>
      <c r="X137" s="1">
        <f>'Raw Data'!Y137/Inv_SY!X$2</f>
        <v>0</v>
      </c>
      <c r="Y137" s="1" t="str">
        <f t="shared" si="10"/>
        <v/>
      </c>
      <c r="Z137" s="1">
        <f t="shared" si="11"/>
        <v>0</v>
      </c>
    </row>
    <row r="138" spans="1:26" x14ac:dyDescent="0.3">
      <c r="A138" s="55" t="s">
        <v>1308</v>
      </c>
      <c r="B138" s="55">
        <v>107</v>
      </c>
      <c r="C138" s="121">
        <f>YEAR(Table12[[#This Row],[Date]])</f>
        <v>2025</v>
      </c>
      <c r="D138" s="55" t="s">
        <v>329</v>
      </c>
      <c r="E138" s="55" t="s">
        <v>329</v>
      </c>
      <c r="F138" s="122" t="str">
        <f>TEXT(Table12[[#This Row],[Date]],"mmm-yy")</f>
        <v>Aug-25</v>
      </c>
      <c r="G138" s="121">
        <f t="shared" si="9"/>
        <v>31</v>
      </c>
      <c r="H138" s="123">
        <f t="shared" si="12"/>
        <v>45879</v>
      </c>
      <c r="I138" s="1">
        <v>8.0208999999999993</v>
      </c>
      <c r="J138" s="1">
        <f>'Raw Data'!K138/Inv_SY!J$2</f>
        <v>0</v>
      </c>
      <c r="K138" s="1">
        <f>'Raw Data'!L138/Inv_SY!K$2</f>
        <v>0</v>
      </c>
      <c r="L138" s="1">
        <f>'Raw Data'!M138/Inv_SY!L$2</f>
        <v>0</v>
      </c>
      <c r="M138" s="1">
        <f>'Raw Data'!N138/Inv_SY!M$2</f>
        <v>0</v>
      </c>
      <c r="N138" s="1">
        <f>'Raw Data'!O138/Inv_SY!N$2</f>
        <v>0</v>
      </c>
      <c r="O138" s="1">
        <f>'Raw Data'!P138/Inv_SY!O$2</f>
        <v>0</v>
      </c>
      <c r="P138" s="1">
        <f>'Raw Data'!Q138/Inv_SY!P$2</f>
        <v>0</v>
      </c>
      <c r="Q138" s="1">
        <f>'Raw Data'!R138/Inv_SY!Q$2</f>
        <v>0</v>
      </c>
      <c r="R138" s="1">
        <f>'Raw Data'!S138/Inv_SY!R$2</f>
        <v>0</v>
      </c>
      <c r="S138" s="1">
        <f>'Raw Data'!T138/Inv_SY!S$2</f>
        <v>0</v>
      </c>
      <c r="T138" s="1">
        <f>'Raw Data'!U138/Inv_SY!T$2</f>
        <v>0</v>
      </c>
      <c r="U138" s="1">
        <f>'Raw Data'!V138/Inv_SY!U$2</f>
        <v>0</v>
      </c>
      <c r="V138" s="1">
        <f>'Raw Data'!W138/Inv_SY!V$2</f>
        <v>0</v>
      </c>
      <c r="W138" s="1">
        <f>'Raw Data'!X138/Inv_SY!W$2</f>
        <v>0</v>
      </c>
      <c r="X138" s="1">
        <f>'Raw Data'!Y138/Inv_SY!X$2</f>
        <v>0</v>
      </c>
      <c r="Y138" s="1" t="str">
        <f t="shared" si="10"/>
        <v/>
      </c>
      <c r="Z138" s="1">
        <f t="shared" si="11"/>
        <v>0</v>
      </c>
    </row>
    <row r="139" spans="1:26" x14ac:dyDescent="0.3">
      <c r="A139" s="55" t="s">
        <v>1309</v>
      </c>
      <c r="B139" s="55">
        <v>108</v>
      </c>
      <c r="C139" s="121">
        <f>YEAR(Table12[[#This Row],[Date]])</f>
        <v>2025</v>
      </c>
      <c r="D139" s="55" t="s">
        <v>329</v>
      </c>
      <c r="E139" s="55" t="s">
        <v>329</v>
      </c>
      <c r="F139" s="122" t="str">
        <f>TEXT(Table12[[#This Row],[Date]],"mmm-yy")</f>
        <v>Aug-25</v>
      </c>
      <c r="G139" s="121">
        <f t="shared" si="9"/>
        <v>31</v>
      </c>
      <c r="H139" s="123">
        <f t="shared" si="12"/>
        <v>45880</v>
      </c>
      <c r="I139" s="1">
        <v>8.0208999999999993</v>
      </c>
      <c r="J139" s="1">
        <f>'Raw Data'!K139/Inv_SY!J$2</f>
        <v>0</v>
      </c>
      <c r="K139" s="1">
        <f>'Raw Data'!L139/Inv_SY!K$2</f>
        <v>0</v>
      </c>
      <c r="L139" s="1">
        <f>'Raw Data'!M139/Inv_SY!L$2</f>
        <v>0</v>
      </c>
      <c r="M139" s="1">
        <f>'Raw Data'!N139/Inv_SY!M$2</f>
        <v>0</v>
      </c>
      <c r="N139" s="1">
        <f>'Raw Data'!O139/Inv_SY!N$2</f>
        <v>0</v>
      </c>
      <c r="O139" s="1">
        <f>'Raw Data'!P139/Inv_SY!O$2</f>
        <v>0</v>
      </c>
      <c r="P139" s="1">
        <f>'Raw Data'!Q139/Inv_SY!P$2</f>
        <v>0</v>
      </c>
      <c r="Q139" s="1">
        <f>'Raw Data'!R139/Inv_SY!Q$2</f>
        <v>0</v>
      </c>
      <c r="R139" s="1">
        <f>'Raw Data'!S139/Inv_SY!R$2</f>
        <v>0</v>
      </c>
      <c r="S139" s="1">
        <f>'Raw Data'!T139/Inv_SY!S$2</f>
        <v>0</v>
      </c>
      <c r="T139" s="1">
        <f>'Raw Data'!U139/Inv_SY!T$2</f>
        <v>0</v>
      </c>
      <c r="U139" s="1">
        <f>'Raw Data'!V139/Inv_SY!U$2</f>
        <v>0</v>
      </c>
      <c r="V139" s="1">
        <f>'Raw Data'!W139/Inv_SY!V$2</f>
        <v>0</v>
      </c>
      <c r="W139" s="1">
        <f>'Raw Data'!X139/Inv_SY!W$2</f>
        <v>0</v>
      </c>
      <c r="X139" s="1">
        <f>'Raw Data'!Y139/Inv_SY!X$2</f>
        <v>0</v>
      </c>
      <c r="Y139" s="1" t="str">
        <f t="shared" si="10"/>
        <v/>
      </c>
      <c r="Z139" s="1">
        <f t="shared" si="11"/>
        <v>0</v>
      </c>
    </row>
    <row r="140" spans="1:26" x14ac:dyDescent="0.3">
      <c r="A140" s="55" t="s">
        <v>1310</v>
      </c>
      <c r="B140" s="55">
        <v>109</v>
      </c>
      <c r="C140" s="121">
        <f>YEAR(Table12[[#This Row],[Date]])</f>
        <v>2025</v>
      </c>
      <c r="D140" s="55" t="s">
        <v>329</v>
      </c>
      <c r="E140" s="55" t="s">
        <v>329</v>
      </c>
      <c r="F140" s="122" t="str">
        <f>TEXT(Table12[[#This Row],[Date]],"mmm-yy")</f>
        <v>Aug-25</v>
      </c>
      <c r="G140" s="121">
        <f t="shared" si="9"/>
        <v>31</v>
      </c>
      <c r="H140" s="123">
        <f t="shared" si="12"/>
        <v>45881</v>
      </c>
      <c r="I140" s="1">
        <v>8.0208999999999993</v>
      </c>
      <c r="J140" s="1">
        <f>'Raw Data'!K140/Inv_SY!J$2</f>
        <v>0</v>
      </c>
      <c r="K140" s="1">
        <f>'Raw Data'!L140/Inv_SY!K$2</f>
        <v>0</v>
      </c>
      <c r="L140" s="1">
        <f>'Raw Data'!M140/Inv_SY!L$2</f>
        <v>0</v>
      </c>
      <c r="M140" s="1">
        <f>'Raw Data'!N140/Inv_SY!M$2</f>
        <v>0</v>
      </c>
      <c r="N140" s="1">
        <f>'Raw Data'!O140/Inv_SY!N$2</f>
        <v>0</v>
      </c>
      <c r="O140" s="1">
        <f>'Raw Data'!P140/Inv_SY!O$2</f>
        <v>0</v>
      </c>
      <c r="P140" s="1">
        <f>'Raw Data'!Q140/Inv_SY!P$2</f>
        <v>0</v>
      </c>
      <c r="Q140" s="1">
        <f>'Raw Data'!R140/Inv_SY!Q$2</f>
        <v>0</v>
      </c>
      <c r="R140" s="1">
        <f>'Raw Data'!S140/Inv_SY!R$2</f>
        <v>0</v>
      </c>
      <c r="S140" s="1">
        <f>'Raw Data'!T140/Inv_SY!S$2</f>
        <v>0</v>
      </c>
      <c r="T140" s="1">
        <f>'Raw Data'!U140/Inv_SY!T$2</f>
        <v>0</v>
      </c>
      <c r="U140" s="1">
        <f>'Raw Data'!V140/Inv_SY!U$2</f>
        <v>0</v>
      </c>
      <c r="V140" s="1">
        <f>'Raw Data'!W140/Inv_SY!V$2</f>
        <v>0</v>
      </c>
      <c r="W140" s="1">
        <f>'Raw Data'!X140/Inv_SY!W$2</f>
        <v>0</v>
      </c>
      <c r="X140" s="1">
        <f>'Raw Data'!Y140/Inv_SY!X$2</f>
        <v>0</v>
      </c>
      <c r="Y140" s="1" t="str">
        <f t="shared" si="10"/>
        <v/>
      </c>
      <c r="Z140" s="1">
        <f t="shared" si="11"/>
        <v>0</v>
      </c>
    </row>
    <row r="141" spans="1:26" x14ac:dyDescent="0.3">
      <c r="A141" s="55" t="s">
        <v>1311</v>
      </c>
      <c r="B141" s="55">
        <v>110</v>
      </c>
      <c r="C141" s="121">
        <f>YEAR(Table12[[#This Row],[Date]])</f>
        <v>2025</v>
      </c>
      <c r="D141" s="55" t="s">
        <v>329</v>
      </c>
      <c r="E141" s="55" t="s">
        <v>329</v>
      </c>
      <c r="F141" s="122" t="str">
        <f>TEXT(Table12[[#This Row],[Date]],"mmm-yy")</f>
        <v>Aug-25</v>
      </c>
      <c r="G141" s="121">
        <f t="shared" si="9"/>
        <v>31</v>
      </c>
      <c r="H141" s="123">
        <f t="shared" si="12"/>
        <v>45882</v>
      </c>
      <c r="I141" s="1">
        <v>8.0208999999999993</v>
      </c>
      <c r="J141" s="1">
        <f>'Raw Data'!K141/Inv_SY!J$2</f>
        <v>0</v>
      </c>
      <c r="K141" s="1">
        <f>'Raw Data'!L141/Inv_SY!K$2</f>
        <v>0</v>
      </c>
      <c r="L141" s="1">
        <f>'Raw Data'!M141/Inv_SY!L$2</f>
        <v>0</v>
      </c>
      <c r="M141" s="1">
        <f>'Raw Data'!N141/Inv_SY!M$2</f>
        <v>0</v>
      </c>
      <c r="N141" s="1">
        <f>'Raw Data'!O141/Inv_SY!N$2</f>
        <v>0</v>
      </c>
      <c r="O141" s="1">
        <f>'Raw Data'!P141/Inv_SY!O$2</f>
        <v>0</v>
      </c>
      <c r="P141" s="1">
        <f>'Raw Data'!Q141/Inv_SY!P$2</f>
        <v>0</v>
      </c>
      <c r="Q141" s="1">
        <f>'Raw Data'!R141/Inv_SY!Q$2</f>
        <v>0</v>
      </c>
      <c r="R141" s="1">
        <f>'Raw Data'!S141/Inv_SY!R$2</f>
        <v>0</v>
      </c>
      <c r="S141" s="1">
        <f>'Raw Data'!T141/Inv_SY!S$2</f>
        <v>0</v>
      </c>
      <c r="T141" s="1">
        <f>'Raw Data'!U141/Inv_SY!T$2</f>
        <v>0</v>
      </c>
      <c r="U141" s="1">
        <f>'Raw Data'!V141/Inv_SY!U$2</f>
        <v>0</v>
      </c>
      <c r="V141" s="1">
        <f>'Raw Data'!W141/Inv_SY!V$2</f>
        <v>0</v>
      </c>
      <c r="W141" s="1">
        <f>'Raw Data'!X141/Inv_SY!W$2</f>
        <v>0</v>
      </c>
      <c r="X141" s="1">
        <f>'Raw Data'!Y141/Inv_SY!X$2</f>
        <v>0</v>
      </c>
      <c r="Y141" s="1" t="str">
        <f t="shared" si="10"/>
        <v/>
      </c>
      <c r="Z141" s="1">
        <f t="shared" si="11"/>
        <v>0</v>
      </c>
    </row>
    <row r="142" spans="1:26" x14ac:dyDescent="0.3">
      <c r="A142" s="55" t="s">
        <v>1312</v>
      </c>
      <c r="B142" s="55">
        <v>111</v>
      </c>
      <c r="C142" s="121">
        <f>YEAR(Table12[[#This Row],[Date]])</f>
        <v>2025</v>
      </c>
      <c r="D142" s="55" t="s">
        <v>329</v>
      </c>
      <c r="E142" s="55" t="s">
        <v>329</v>
      </c>
      <c r="F142" s="122" t="str">
        <f>TEXT(Table12[[#This Row],[Date]],"mmm-yy")</f>
        <v>Aug-25</v>
      </c>
      <c r="G142" s="121">
        <f t="shared" si="9"/>
        <v>31</v>
      </c>
      <c r="H142" s="123">
        <f t="shared" si="12"/>
        <v>45883</v>
      </c>
      <c r="I142" s="1">
        <v>8.0208999999999993</v>
      </c>
      <c r="J142" s="1">
        <f>'Raw Data'!K142/Inv_SY!J$2</f>
        <v>0</v>
      </c>
      <c r="K142" s="1">
        <f>'Raw Data'!L142/Inv_SY!K$2</f>
        <v>0</v>
      </c>
      <c r="L142" s="1">
        <f>'Raw Data'!M142/Inv_SY!L$2</f>
        <v>0</v>
      </c>
      <c r="M142" s="1">
        <f>'Raw Data'!N142/Inv_SY!M$2</f>
        <v>0</v>
      </c>
      <c r="N142" s="1">
        <f>'Raw Data'!O142/Inv_SY!N$2</f>
        <v>0</v>
      </c>
      <c r="O142" s="1">
        <f>'Raw Data'!P142/Inv_SY!O$2</f>
        <v>0</v>
      </c>
      <c r="P142" s="1">
        <f>'Raw Data'!Q142/Inv_SY!P$2</f>
        <v>0</v>
      </c>
      <c r="Q142" s="1">
        <f>'Raw Data'!R142/Inv_SY!Q$2</f>
        <v>0</v>
      </c>
      <c r="R142" s="1">
        <f>'Raw Data'!S142/Inv_SY!R$2</f>
        <v>0</v>
      </c>
      <c r="S142" s="1">
        <f>'Raw Data'!T142/Inv_SY!S$2</f>
        <v>0</v>
      </c>
      <c r="T142" s="1">
        <f>'Raw Data'!U142/Inv_SY!T$2</f>
        <v>0</v>
      </c>
      <c r="U142" s="1">
        <f>'Raw Data'!V142/Inv_SY!U$2</f>
        <v>0</v>
      </c>
      <c r="V142" s="1">
        <f>'Raw Data'!W142/Inv_SY!V$2</f>
        <v>0</v>
      </c>
      <c r="W142" s="1">
        <f>'Raw Data'!X142/Inv_SY!W$2</f>
        <v>0</v>
      </c>
      <c r="X142" s="1">
        <f>'Raw Data'!Y142/Inv_SY!X$2</f>
        <v>0</v>
      </c>
      <c r="Y142" s="1" t="str">
        <f t="shared" si="10"/>
        <v/>
      </c>
      <c r="Z142" s="1">
        <f t="shared" si="11"/>
        <v>0</v>
      </c>
    </row>
    <row r="143" spans="1:26" x14ac:dyDescent="0.3">
      <c r="A143" s="55" t="s">
        <v>1313</v>
      </c>
      <c r="B143" s="55">
        <v>112</v>
      </c>
      <c r="C143" s="121">
        <f>YEAR(Table12[[#This Row],[Date]])</f>
        <v>2025</v>
      </c>
      <c r="D143" s="55" t="s">
        <v>329</v>
      </c>
      <c r="E143" s="55" t="s">
        <v>329</v>
      </c>
      <c r="F143" s="122" t="str">
        <f>TEXT(Table12[[#This Row],[Date]],"mmm-yy")</f>
        <v>Aug-25</v>
      </c>
      <c r="G143" s="121">
        <f t="shared" si="9"/>
        <v>31</v>
      </c>
      <c r="H143" s="123">
        <f t="shared" si="12"/>
        <v>45884</v>
      </c>
      <c r="I143" s="1">
        <v>8.0208999999999993</v>
      </c>
      <c r="J143" s="1">
        <f>'Raw Data'!K143/Inv_SY!J$2</f>
        <v>0</v>
      </c>
      <c r="K143" s="1">
        <f>'Raw Data'!L143/Inv_SY!K$2</f>
        <v>0</v>
      </c>
      <c r="L143" s="1">
        <f>'Raw Data'!M143/Inv_SY!L$2</f>
        <v>0</v>
      </c>
      <c r="M143" s="1">
        <f>'Raw Data'!N143/Inv_SY!M$2</f>
        <v>0</v>
      </c>
      <c r="N143" s="1">
        <f>'Raw Data'!O143/Inv_SY!N$2</f>
        <v>0</v>
      </c>
      <c r="O143" s="1">
        <f>'Raw Data'!P143/Inv_SY!O$2</f>
        <v>0</v>
      </c>
      <c r="P143" s="1">
        <f>'Raw Data'!Q143/Inv_SY!P$2</f>
        <v>0</v>
      </c>
      <c r="Q143" s="1">
        <f>'Raw Data'!R143/Inv_SY!Q$2</f>
        <v>0</v>
      </c>
      <c r="R143" s="1">
        <f>'Raw Data'!S143/Inv_SY!R$2</f>
        <v>0</v>
      </c>
      <c r="S143" s="1">
        <f>'Raw Data'!T143/Inv_SY!S$2</f>
        <v>0</v>
      </c>
      <c r="T143" s="1">
        <f>'Raw Data'!U143/Inv_SY!T$2</f>
        <v>0</v>
      </c>
      <c r="U143" s="1">
        <f>'Raw Data'!V143/Inv_SY!U$2</f>
        <v>0</v>
      </c>
      <c r="V143" s="1">
        <f>'Raw Data'!W143/Inv_SY!V$2</f>
        <v>0</v>
      </c>
      <c r="W143" s="1">
        <f>'Raw Data'!X143/Inv_SY!W$2</f>
        <v>0</v>
      </c>
      <c r="X143" s="1">
        <f>'Raw Data'!Y143/Inv_SY!X$2</f>
        <v>0</v>
      </c>
      <c r="Y143" s="1" t="str">
        <f t="shared" si="10"/>
        <v/>
      </c>
      <c r="Z143" s="1">
        <f t="shared" si="11"/>
        <v>0</v>
      </c>
    </row>
    <row r="144" spans="1:26" x14ac:dyDescent="0.3">
      <c r="A144" s="55" t="s">
        <v>1314</v>
      </c>
      <c r="B144" s="55">
        <v>113</v>
      </c>
      <c r="C144" s="121">
        <f>YEAR(Table12[[#This Row],[Date]])</f>
        <v>2025</v>
      </c>
      <c r="D144" s="55" t="s">
        <v>329</v>
      </c>
      <c r="E144" s="55" t="s">
        <v>329</v>
      </c>
      <c r="F144" s="122" t="str">
        <f>TEXT(Table12[[#This Row],[Date]],"mmm-yy")</f>
        <v>Aug-25</v>
      </c>
      <c r="G144" s="121">
        <f t="shared" si="9"/>
        <v>31</v>
      </c>
      <c r="H144" s="123">
        <f t="shared" si="12"/>
        <v>45885</v>
      </c>
      <c r="I144" s="1">
        <v>8.0208999999999993</v>
      </c>
      <c r="J144" s="1">
        <f>'Raw Data'!K144/Inv_SY!J$2</f>
        <v>0</v>
      </c>
      <c r="K144" s="1">
        <f>'Raw Data'!L144/Inv_SY!K$2</f>
        <v>0</v>
      </c>
      <c r="L144" s="1">
        <f>'Raw Data'!M144/Inv_SY!L$2</f>
        <v>0</v>
      </c>
      <c r="M144" s="1">
        <f>'Raw Data'!N144/Inv_SY!M$2</f>
        <v>0</v>
      </c>
      <c r="N144" s="1">
        <f>'Raw Data'!O144/Inv_SY!N$2</f>
        <v>0</v>
      </c>
      <c r="O144" s="1">
        <f>'Raw Data'!P144/Inv_SY!O$2</f>
        <v>0</v>
      </c>
      <c r="P144" s="1">
        <f>'Raw Data'!Q144/Inv_SY!P$2</f>
        <v>0</v>
      </c>
      <c r="Q144" s="1">
        <f>'Raw Data'!R144/Inv_SY!Q$2</f>
        <v>0</v>
      </c>
      <c r="R144" s="1">
        <f>'Raw Data'!S144/Inv_SY!R$2</f>
        <v>0</v>
      </c>
      <c r="S144" s="1">
        <f>'Raw Data'!T144/Inv_SY!S$2</f>
        <v>0</v>
      </c>
      <c r="T144" s="1">
        <f>'Raw Data'!U144/Inv_SY!T$2</f>
        <v>0</v>
      </c>
      <c r="U144" s="1">
        <f>'Raw Data'!V144/Inv_SY!U$2</f>
        <v>0</v>
      </c>
      <c r="V144" s="1">
        <f>'Raw Data'!W144/Inv_SY!V$2</f>
        <v>0</v>
      </c>
      <c r="W144" s="1">
        <f>'Raw Data'!X144/Inv_SY!W$2</f>
        <v>0</v>
      </c>
      <c r="X144" s="1">
        <f>'Raw Data'!Y144/Inv_SY!X$2</f>
        <v>0</v>
      </c>
      <c r="Y144" s="1" t="str">
        <f t="shared" si="10"/>
        <v/>
      </c>
      <c r="Z144" s="1">
        <f t="shared" si="11"/>
        <v>0</v>
      </c>
    </row>
    <row r="145" spans="1:26" x14ac:dyDescent="0.3">
      <c r="A145" s="55" t="s">
        <v>1315</v>
      </c>
      <c r="B145" s="55">
        <v>114</v>
      </c>
      <c r="C145" s="121">
        <f>YEAR(Table12[[#This Row],[Date]])</f>
        <v>2025</v>
      </c>
      <c r="D145" s="55" t="s">
        <v>329</v>
      </c>
      <c r="E145" s="55" t="s">
        <v>329</v>
      </c>
      <c r="F145" s="122" t="str">
        <f>TEXT(Table12[[#This Row],[Date]],"mmm-yy")</f>
        <v>Aug-25</v>
      </c>
      <c r="G145" s="121">
        <f t="shared" si="9"/>
        <v>31</v>
      </c>
      <c r="H145" s="123">
        <f t="shared" si="12"/>
        <v>45886</v>
      </c>
      <c r="I145" s="1">
        <v>8.0208999999999993</v>
      </c>
      <c r="J145" s="1">
        <f>'Raw Data'!K145/Inv_SY!J$2</f>
        <v>0</v>
      </c>
      <c r="K145" s="1">
        <f>'Raw Data'!L145/Inv_SY!K$2</f>
        <v>0</v>
      </c>
      <c r="L145" s="1">
        <f>'Raw Data'!M145/Inv_SY!L$2</f>
        <v>0</v>
      </c>
      <c r="M145" s="1">
        <f>'Raw Data'!N145/Inv_SY!M$2</f>
        <v>0</v>
      </c>
      <c r="N145" s="1">
        <f>'Raw Data'!O145/Inv_SY!N$2</f>
        <v>0</v>
      </c>
      <c r="O145" s="1">
        <f>'Raw Data'!P145/Inv_SY!O$2</f>
        <v>0</v>
      </c>
      <c r="P145" s="1">
        <f>'Raw Data'!Q145/Inv_SY!P$2</f>
        <v>0</v>
      </c>
      <c r="Q145" s="1">
        <f>'Raw Data'!R145/Inv_SY!Q$2</f>
        <v>0</v>
      </c>
      <c r="R145" s="1">
        <f>'Raw Data'!S145/Inv_SY!R$2</f>
        <v>0</v>
      </c>
      <c r="S145" s="1">
        <f>'Raw Data'!T145/Inv_SY!S$2</f>
        <v>0</v>
      </c>
      <c r="T145" s="1">
        <f>'Raw Data'!U145/Inv_SY!T$2</f>
        <v>0</v>
      </c>
      <c r="U145" s="1">
        <f>'Raw Data'!V145/Inv_SY!U$2</f>
        <v>0</v>
      </c>
      <c r="V145" s="1">
        <f>'Raw Data'!W145/Inv_SY!V$2</f>
        <v>0</v>
      </c>
      <c r="W145" s="1">
        <f>'Raw Data'!X145/Inv_SY!W$2</f>
        <v>0</v>
      </c>
      <c r="X145" s="1">
        <f>'Raw Data'!Y145/Inv_SY!X$2</f>
        <v>0</v>
      </c>
      <c r="Y145" s="1" t="str">
        <f t="shared" si="10"/>
        <v/>
      </c>
      <c r="Z145" s="1">
        <f t="shared" si="11"/>
        <v>0</v>
      </c>
    </row>
    <row r="146" spans="1:26" x14ac:dyDescent="0.3">
      <c r="A146" s="55" t="s">
        <v>1316</v>
      </c>
      <c r="B146" s="55">
        <v>115</v>
      </c>
      <c r="C146" s="121">
        <f>YEAR(Table12[[#This Row],[Date]])</f>
        <v>2025</v>
      </c>
      <c r="D146" s="55" t="s">
        <v>329</v>
      </c>
      <c r="E146" s="55" t="s">
        <v>329</v>
      </c>
      <c r="F146" s="122" t="str">
        <f>TEXT(Table12[[#This Row],[Date]],"mmm-yy")</f>
        <v>Aug-25</v>
      </c>
      <c r="G146" s="121">
        <f t="shared" si="9"/>
        <v>31</v>
      </c>
      <c r="H146" s="123">
        <f t="shared" si="12"/>
        <v>45887</v>
      </c>
      <c r="I146" s="1">
        <v>8.0208999999999993</v>
      </c>
      <c r="J146" s="1">
        <f>'Raw Data'!K146/Inv_SY!J$2</f>
        <v>0</v>
      </c>
      <c r="K146" s="1">
        <f>'Raw Data'!L146/Inv_SY!K$2</f>
        <v>0</v>
      </c>
      <c r="L146" s="1">
        <f>'Raw Data'!M146/Inv_SY!L$2</f>
        <v>0</v>
      </c>
      <c r="M146" s="1">
        <f>'Raw Data'!N146/Inv_SY!M$2</f>
        <v>0</v>
      </c>
      <c r="N146" s="1">
        <f>'Raw Data'!O146/Inv_SY!N$2</f>
        <v>0</v>
      </c>
      <c r="O146" s="1">
        <f>'Raw Data'!P146/Inv_SY!O$2</f>
        <v>0</v>
      </c>
      <c r="P146" s="1">
        <f>'Raw Data'!Q146/Inv_SY!P$2</f>
        <v>0</v>
      </c>
      <c r="Q146" s="1">
        <f>'Raw Data'!R146/Inv_SY!Q$2</f>
        <v>0</v>
      </c>
      <c r="R146" s="1">
        <f>'Raw Data'!S146/Inv_SY!R$2</f>
        <v>0</v>
      </c>
      <c r="S146" s="1">
        <f>'Raw Data'!T146/Inv_SY!S$2</f>
        <v>0</v>
      </c>
      <c r="T146" s="1">
        <f>'Raw Data'!U146/Inv_SY!T$2</f>
        <v>0</v>
      </c>
      <c r="U146" s="1">
        <f>'Raw Data'!V146/Inv_SY!U$2</f>
        <v>0</v>
      </c>
      <c r="V146" s="1">
        <f>'Raw Data'!W146/Inv_SY!V$2</f>
        <v>0</v>
      </c>
      <c r="W146" s="1">
        <f>'Raw Data'!X146/Inv_SY!W$2</f>
        <v>0</v>
      </c>
      <c r="X146" s="1">
        <f>'Raw Data'!Y146/Inv_SY!X$2</f>
        <v>0</v>
      </c>
      <c r="Y146" s="1" t="str">
        <f t="shared" si="10"/>
        <v/>
      </c>
      <c r="Z146" s="1">
        <f t="shared" si="11"/>
        <v>0</v>
      </c>
    </row>
    <row r="147" spans="1:26" x14ac:dyDescent="0.3">
      <c r="A147" s="55" t="s">
        <v>1317</v>
      </c>
      <c r="B147" s="55">
        <v>116</v>
      </c>
      <c r="C147" s="121">
        <f>YEAR(Table12[[#This Row],[Date]])</f>
        <v>2025</v>
      </c>
      <c r="D147" s="55" t="s">
        <v>329</v>
      </c>
      <c r="E147" s="55" t="s">
        <v>329</v>
      </c>
      <c r="F147" s="122" t="str">
        <f>TEXT(Table12[[#This Row],[Date]],"mmm-yy")</f>
        <v>Aug-25</v>
      </c>
      <c r="G147" s="121">
        <f t="shared" si="9"/>
        <v>31</v>
      </c>
      <c r="H147" s="123">
        <f t="shared" si="12"/>
        <v>45888</v>
      </c>
      <c r="I147" s="1">
        <v>8.0208999999999993</v>
      </c>
      <c r="J147" s="1">
        <f>'Raw Data'!K147/Inv_SY!J$2</f>
        <v>0</v>
      </c>
      <c r="K147" s="1">
        <f>'Raw Data'!L147/Inv_SY!K$2</f>
        <v>0</v>
      </c>
      <c r="L147" s="1">
        <f>'Raw Data'!M147/Inv_SY!L$2</f>
        <v>0</v>
      </c>
      <c r="M147" s="1">
        <f>'Raw Data'!N147/Inv_SY!M$2</f>
        <v>0</v>
      </c>
      <c r="N147" s="1">
        <f>'Raw Data'!O147/Inv_SY!N$2</f>
        <v>0</v>
      </c>
      <c r="O147" s="1">
        <f>'Raw Data'!P147/Inv_SY!O$2</f>
        <v>0</v>
      </c>
      <c r="P147" s="1">
        <f>'Raw Data'!Q147/Inv_SY!P$2</f>
        <v>0</v>
      </c>
      <c r="Q147" s="1">
        <f>'Raw Data'!R147/Inv_SY!Q$2</f>
        <v>0</v>
      </c>
      <c r="R147" s="1">
        <f>'Raw Data'!S147/Inv_SY!R$2</f>
        <v>0</v>
      </c>
      <c r="S147" s="1">
        <f>'Raw Data'!T147/Inv_SY!S$2</f>
        <v>0</v>
      </c>
      <c r="T147" s="1">
        <f>'Raw Data'!U147/Inv_SY!T$2</f>
        <v>0</v>
      </c>
      <c r="U147" s="1">
        <f>'Raw Data'!V147/Inv_SY!U$2</f>
        <v>0</v>
      </c>
      <c r="V147" s="1">
        <f>'Raw Data'!W147/Inv_SY!V$2</f>
        <v>0</v>
      </c>
      <c r="W147" s="1">
        <f>'Raw Data'!X147/Inv_SY!W$2</f>
        <v>0</v>
      </c>
      <c r="X147" s="1">
        <f>'Raw Data'!Y147/Inv_SY!X$2</f>
        <v>0</v>
      </c>
      <c r="Y147" s="1" t="str">
        <f t="shared" si="10"/>
        <v/>
      </c>
      <c r="Z147" s="1">
        <f t="shared" si="11"/>
        <v>0</v>
      </c>
    </row>
    <row r="148" spans="1:26" x14ac:dyDescent="0.3">
      <c r="A148" s="55" t="s">
        <v>1318</v>
      </c>
      <c r="B148" s="55">
        <v>117</v>
      </c>
      <c r="C148" s="121">
        <f>YEAR(Table12[[#This Row],[Date]])</f>
        <v>2025</v>
      </c>
      <c r="D148" s="55" t="s">
        <v>329</v>
      </c>
      <c r="E148" s="55" t="s">
        <v>329</v>
      </c>
      <c r="F148" s="122" t="str">
        <f>TEXT(Table12[[#This Row],[Date]],"mmm-yy")</f>
        <v>Aug-25</v>
      </c>
      <c r="G148" s="121">
        <f t="shared" si="9"/>
        <v>31</v>
      </c>
      <c r="H148" s="123">
        <f t="shared" si="12"/>
        <v>45889</v>
      </c>
      <c r="I148" s="1">
        <v>8.0208999999999993</v>
      </c>
      <c r="J148" s="1">
        <f>'Raw Data'!K148/Inv_SY!J$2</f>
        <v>0</v>
      </c>
      <c r="K148" s="1">
        <f>'Raw Data'!L148/Inv_SY!K$2</f>
        <v>0</v>
      </c>
      <c r="L148" s="1">
        <f>'Raw Data'!M148/Inv_SY!L$2</f>
        <v>0</v>
      </c>
      <c r="M148" s="1">
        <f>'Raw Data'!N148/Inv_SY!M$2</f>
        <v>0</v>
      </c>
      <c r="N148" s="1">
        <f>'Raw Data'!O148/Inv_SY!N$2</f>
        <v>0</v>
      </c>
      <c r="O148" s="1">
        <f>'Raw Data'!P148/Inv_SY!O$2</f>
        <v>0</v>
      </c>
      <c r="P148" s="1">
        <f>'Raw Data'!Q148/Inv_SY!P$2</f>
        <v>0</v>
      </c>
      <c r="Q148" s="1">
        <f>'Raw Data'!R148/Inv_SY!Q$2</f>
        <v>0</v>
      </c>
      <c r="R148" s="1">
        <f>'Raw Data'!S148/Inv_SY!R$2</f>
        <v>0</v>
      </c>
      <c r="S148" s="1">
        <f>'Raw Data'!T148/Inv_SY!S$2</f>
        <v>0</v>
      </c>
      <c r="T148" s="1">
        <f>'Raw Data'!U148/Inv_SY!T$2</f>
        <v>0</v>
      </c>
      <c r="U148" s="1">
        <f>'Raw Data'!V148/Inv_SY!U$2</f>
        <v>0</v>
      </c>
      <c r="V148" s="1">
        <f>'Raw Data'!W148/Inv_SY!V$2</f>
        <v>0</v>
      </c>
      <c r="W148" s="1">
        <f>'Raw Data'!X148/Inv_SY!W$2</f>
        <v>0</v>
      </c>
      <c r="X148" s="1">
        <f>'Raw Data'!Y148/Inv_SY!X$2</f>
        <v>0</v>
      </c>
      <c r="Y148" s="1" t="str">
        <f t="shared" si="10"/>
        <v/>
      </c>
      <c r="Z148" s="1">
        <f t="shared" si="11"/>
        <v>0</v>
      </c>
    </row>
    <row r="149" spans="1:26" x14ac:dyDescent="0.3">
      <c r="A149" s="55" t="s">
        <v>1319</v>
      </c>
      <c r="B149" s="55">
        <v>118</v>
      </c>
      <c r="C149" s="121">
        <f>YEAR(Table12[[#This Row],[Date]])</f>
        <v>2025</v>
      </c>
      <c r="D149" s="55" t="s">
        <v>329</v>
      </c>
      <c r="E149" s="55" t="s">
        <v>329</v>
      </c>
      <c r="F149" s="122" t="str">
        <f>TEXT(Table12[[#This Row],[Date]],"mmm-yy")</f>
        <v>Aug-25</v>
      </c>
      <c r="G149" s="121">
        <f t="shared" si="9"/>
        <v>31</v>
      </c>
      <c r="H149" s="123">
        <f t="shared" si="12"/>
        <v>45890</v>
      </c>
      <c r="I149" s="1">
        <v>8.0208999999999993</v>
      </c>
      <c r="J149" s="1">
        <f>'Raw Data'!K149/Inv_SY!J$2</f>
        <v>0</v>
      </c>
      <c r="K149" s="1">
        <f>'Raw Data'!L149/Inv_SY!K$2</f>
        <v>0</v>
      </c>
      <c r="L149" s="1">
        <f>'Raw Data'!M149/Inv_SY!L$2</f>
        <v>0</v>
      </c>
      <c r="M149" s="1">
        <f>'Raw Data'!N149/Inv_SY!M$2</f>
        <v>0</v>
      </c>
      <c r="N149" s="1">
        <f>'Raw Data'!O149/Inv_SY!N$2</f>
        <v>0</v>
      </c>
      <c r="O149" s="1">
        <f>'Raw Data'!P149/Inv_SY!O$2</f>
        <v>0</v>
      </c>
      <c r="P149" s="1">
        <f>'Raw Data'!Q149/Inv_SY!P$2</f>
        <v>0</v>
      </c>
      <c r="Q149" s="1">
        <f>'Raw Data'!R149/Inv_SY!Q$2</f>
        <v>0</v>
      </c>
      <c r="R149" s="1">
        <f>'Raw Data'!S149/Inv_SY!R$2</f>
        <v>0</v>
      </c>
      <c r="S149" s="1">
        <f>'Raw Data'!T149/Inv_SY!S$2</f>
        <v>0</v>
      </c>
      <c r="T149" s="1">
        <f>'Raw Data'!U149/Inv_SY!T$2</f>
        <v>0</v>
      </c>
      <c r="U149" s="1">
        <f>'Raw Data'!V149/Inv_SY!U$2</f>
        <v>0</v>
      </c>
      <c r="V149" s="1">
        <f>'Raw Data'!W149/Inv_SY!V$2</f>
        <v>0</v>
      </c>
      <c r="W149" s="1">
        <f>'Raw Data'!X149/Inv_SY!W$2</f>
        <v>0</v>
      </c>
      <c r="X149" s="1">
        <f>'Raw Data'!Y149/Inv_SY!X$2</f>
        <v>0</v>
      </c>
      <c r="Y149" s="1" t="str">
        <f t="shared" si="10"/>
        <v/>
      </c>
      <c r="Z149" s="1">
        <f t="shared" si="11"/>
        <v>0</v>
      </c>
    </row>
    <row r="150" spans="1:26" x14ac:dyDescent="0.3">
      <c r="A150" s="55" t="s">
        <v>1320</v>
      </c>
      <c r="B150" s="55">
        <v>119</v>
      </c>
      <c r="C150" s="121">
        <f>YEAR(Table12[[#This Row],[Date]])</f>
        <v>2025</v>
      </c>
      <c r="D150" s="55" t="s">
        <v>329</v>
      </c>
      <c r="E150" s="55" t="s">
        <v>329</v>
      </c>
      <c r="F150" s="122" t="str">
        <f>TEXT(Table12[[#This Row],[Date]],"mmm-yy")</f>
        <v>Aug-25</v>
      </c>
      <c r="G150" s="121">
        <f t="shared" si="9"/>
        <v>31</v>
      </c>
      <c r="H150" s="123">
        <f t="shared" si="12"/>
        <v>45891</v>
      </c>
      <c r="I150" s="1">
        <v>8.0208999999999993</v>
      </c>
      <c r="J150" s="1">
        <f>'Raw Data'!K150/Inv_SY!J$2</f>
        <v>0</v>
      </c>
      <c r="K150" s="1">
        <f>'Raw Data'!L150/Inv_SY!K$2</f>
        <v>0</v>
      </c>
      <c r="L150" s="1">
        <f>'Raw Data'!M150/Inv_SY!L$2</f>
        <v>0</v>
      </c>
      <c r="M150" s="1">
        <f>'Raw Data'!N150/Inv_SY!M$2</f>
        <v>0</v>
      </c>
      <c r="N150" s="1">
        <f>'Raw Data'!O150/Inv_SY!N$2</f>
        <v>0</v>
      </c>
      <c r="O150" s="1">
        <f>'Raw Data'!P150/Inv_SY!O$2</f>
        <v>0</v>
      </c>
      <c r="P150" s="1">
        <f>'Raw Data'!Q150/Inv_SY!P$2</f>
        <v>0</v>
      </c>
      <c r="Q150" s="1">
        <f>'Raw Data'!R150/Inv_SY!Q$2</f>
        <v>0</v>
      </c>
      <c r="R150" s="1">
        <f>'Raw Data'!S150/Inv_SY!R$2</f>
        <v>0</v>
      </c>
      <c r="S150" s="1">
        <f>'Raw Data'!T150/Inv_SY!S$2</f>
        <v>0</v>
      </c>
      <c r="T150" s="1">
        <f>'Raw Data'!U150/Inv_SY!T$2</f>
        <v>0</v>
      </c>
      <c r="U150" s="1">
        <f>'Raw Data'!V150/Inv_SY!U$2</f>
        <v>0</v>
      </c>
      <c r="V150" s="1">
        <f>'Raw Data'!W150/Inv_SY!V$2</f>
        <v>0</v>
      </c>
      <c r="W150" s="1">
        <f>'Raw Data'!X150/Inv_SY!W$2</f>
        <v>0</v>
      </c>
      <c r="X150" s="1">
        <f>'Raw Data'!Y150/Inv_SY!X$2</f>
        <v>0</v>
      </c>
      <c r="Y150" s="1" t="str">
        <f t="shared" si="10"/>
        <v/>
      </c>
      <c r="Z150" s="1">
        <f t="shared" si="11"/>
        <v>0</v>
      </c>
    </row>
    <row r="151" spans="1:26" x14ac:dyDescent="0.3">
      <c r="A151" s="55" t="s">
        <v>1321</v>
      </c>
      <c r="B151" s="55">
        <v>120</v>
      </c>
      <c r="C151" s="121">
        <f>YEAR(Table12[[#This Row],[Date]])</f>
        <v>2025</v>
      </c>
      <c r="D151" s="55" t="s">
        <v>329</v>
      </c>
      <c r="E151" s="55" t="s">
        <v>329</v>
      </c>
      <c r="F151" s="122" t="str">
        <f>TEXT(Table12[[#This Row],[Date]],"mmm-yy")</f>
        <v>Aug-25</v>
      </c>
      <c r="G151" s="121">
        <f t="shared" si="9"/>
        <v>31</v>
      </c>
      <c r="H151" s="123">
        <f t="shared" si="12"/>
        <v>45892</v>
      </c>
      <c r="I151" s="1">
        <v>8.0208999999999993</v>
      </c>
      <c r="J151" s="1">
        <f>'Raw Data'!K151/Inv_SY!J$2</f>
        <v>0</v>
      </c>
      <c r="K151" s="1">
        <f>'Raw Data'!L151/Inv_SY!K$2</f>
        <v>0</v>
      </c>
      <c r="L151" s="1">
        <f>'Raw Data'!M151/Inv_SY!L$2</f>
        <v>0</v>
      </c>
      <c r="M151" s="1">
        <f>'Raw Data'!N151/Inv_SY!M$2</f>
        <v>0</v>
      </c>
      <c r="N151" s="1">
        <f>'Raw Data'!O151/Inv_SY!N$2</f>
        <v>0</v>
      </c>
      <c r="O151" s="1">
        <f>'Raw Data'!P151/Inv_SY!O$2</f>
        <v>0</v>
      </c>
      <c r="P151" s="1">
        <f>'Raw Data'!Q151/Inv_SY!P$2</f>
        <v>0</v>
      </c>
      <c r="Q151" s="1">
        <f>'Raw Data'!R151/Inv_SY!Q$2</f>
        <v>0</v>
      </c>
      <c r="R151" s="1">
        <f>'Raw Data'!S151/Inv_SY!R$2</f>
        <v>0</v>
      </c>
      <c r="S151" s="1">
        <f>'Raw Data'!T151/Inv_SY!S$2</f>
        <v>0</v>
      </c>
      <c r="T151" s="1">
        <f>'Raw Data'!U151/Inv_SY!T$2</f>
        <v>0</v>
      </c>
      <c r="U151" s="1">
        <f>'Raw Data'!V151/Inv_SY!U$2</f>
        <v>0</v>
      </c>
      <c r="V151" s="1">
        <f>'Raw Data'!W151/Inv_SY!V$2</f>
        <v>0</v>
      </c>
      <c r="W151" s="1">
        <f>'Raw Data'!X151/Inv_SY!W$2</f>
        <v>0</v>
      </c>
      <c r="X151" s="1">
        <f>'Raw Data'!Y151/Inv_SY!X$2</f>
        <v>0</v>
      </c>
      <c r="Y151" s="1" t="str">
        <f t="shared" si="10"/>
        <v/>
      </c>
      <c r="Z151" s="1">
        <f t="shared" si="11"/>
        <v>0</v>
      </c>
    </row>
    <row r="152" spans="1:26" x14ac:dyDescent="0.3">
      <c r="A152" s="55" t="s">
        <v>1322</v>
      </c>
      <c r="B152" s="55">
        <v>121</v>
      </c>
      <c r="C152" s="121">
        <f>YEAR(Table12[[#This Row],[Date]])</f>
        <v>2025</v>
      </c>
      <c r="D152" s="55" t="s">
        <v>329</v>
      </c>
      <c r="E152" s="55" t="s">
        <v>329</v>
      </c>
      <c r="F152" s="122" t="str">
        <f>TEXT(Table12[[#This Row],[Date]],"mmm-yy")</f>
        <v>Aug-25</v>
      </c>
      <c r="G152" s="121">
        <f t="shared" si="9"/>
        <v>31</v>
      </c>
      <c r="H152" s="123">
        <f t="shared" si="12"/>
        <v>45893</v>
      </c>
      <c r="I152" s="1">
        <v>8.0208999999999993</v>
      </c>
      <c r="J152" s="1">
        <f>'Raw Data'!K152/Inv_SY!J$2</f>
        <v>0</v>
      </c>
      <c r="K152" s="1">
        <f>'Raw Data'!L152/Inv_SY!K$2</f>
        <v>0</v>
      </c>
      <c r="L152" s="1">
        <f>'Raw Data'!M152/Inv_SY!L$2</f>
        <v>0</v>
      </c>
      <c r="M152" s="1">
        <f>'Raw Data'!N152/Inv_SY!M$2</f>
        <v>0</v>
      </c>
      <c r="N152" s="1">
        <f>'Raw Data'!O152/Inv_SY!N$2</f>
        <v>0</v>
      </c>
      <c r="O152" s="1">
        <f>'Raw Data'!P152/Inv_SY!O$2</f>
        <v>0</v>
      </c>
      <c r="P152" s="1">
        <f>'Raw Data'!Q152/Inv_SY!P$2</f>
        <v>0</v>
      </c>
      <c r="Q152" s="1">
        <f>'Raw Data'!R152/Inv_SY!Q$2</f>
        <v>0</v>
      </c>
      <c r="R152" s="1">
        <f>'Raw Data'!S152/Inv_SY!R$2</f>
        <v>0</v>
      </c>
      <c r="S152" s="1">
        <f>'Raw Data'!T152/Inv_SY!S$2</f>
        <v>0</v>
      </c>
      <c r="T152" s="1">
        <f>'Raw Data'!U152/Inv_SY!T$2</f>
        <v>0</v>
      </c>
      <c r="U152" s="1">
        <f>'Raw Data'!V152/Inv_SY!U$2</f>
        <v>0</v>
      </c>
      <c r="V152" s="1">
        <f>'Raw Data'!W152/Inv_SY!V$2</f>
        <v>0</v>
      </c>
      <c r="W152" s="1">
        <f>'Raw Data'!X152/Inv_SY!W$2</f>
        <v>0</v>
      </c>
      <c r="X152" s="1">
        <f>'Raw Data'!Y152/Inv_SY!X$2</f>
        <v>0</v>
      </c>
      <c r="Y152" s="1" t="str">
        <f t="shared" si="10"/>
        <v/>
      </c>
      <c r="Z152" s="1">
        <f t="shared" si="11"/>
        <v>0</v>
      </c>
    </row>
    <row r="153" spans="1:26" x14ac:dyDescent="0.3">
      <c r="A153" s="55" t="s">
        <v>1323</v>
      </c>
      <c r="B153" s="55">
        <v>122</v>
      </c>
      <c r="C153" s="121">
        <f>YEAR(Table12[[#This Row],[Date]])</f>
        <v>2025</v>
      </c>
      <c r="D153" s="55" t="s">
        <v>329</v>
      </c>
      <c r="E153" s="55" t="s">
        <v>329</v>
      </c>
      <c r="F153" s="122" t="str">
        <f>TEXT(Table12[[#This Row],[Date]],"mmm-yy")</f>
        <v>Aug-25</v>
      </c>
      <c r="G153" s="121">
        <f t="shared" si="9"/>
        <v>31</v>
      </c>
      <c r="H153" s="123">
        <f t="shared" si="12"/>
        <v>45894</v>
      </c>
      <c r="I153" s="1">
        <v>8.0208999999999993</v>
      </c>
      <c r="J153" s="1">
        <f>'Raw Data'!K153/Inv_SY!J$2</f>
        <v>0</v>
      </c>
      <c r="K153" s="1">
        <f>'Raw Data'!L153/Inv_SY!K$2</f>
        <v>0</v>
      </c>
      <c r="L153" s="1">
        <f>'Raw Data'!M153/Inv_SY!L$2</f>
        <v>0</v>
      </c>
      <c r="M153" s="1">
        <f>'Raw Data'!N153/Inv_SY!M$2</f>
        <v>0</v>
      </c>
      <c r="N153" s="1">
        <f>'Raw Data'!O153/Inv_SY!N$2</f>
        <v>0</v>
      </c>
      <c r="O153" s="1">
        <f>'Raw Data'!P153/Inv_SY!O$2</f>
        <v>0</v>
      </c>
      <c r="P153" s="1">
        <f>'Raw Data'!Q153/Inv_SY!P$2</f>
        <v>0</v>
      </c>
      <c r="Q153" s="1">
        <f>'Raw Data'!R153/Inv_SY!Q$2</f>
        <v>0</v>
      </c>
      <c r="R153" s="1">
        <f>'Raw Data'!S153/Inv_SY!R$2</f>
        <v>0</v>
      </c>
      <c r="S153" s="1">
        <f>'Raw Data'!T153/Inv_SY!S$2</f>
        <v>0</v>
      </c>
      <c r="T153" s="1">
        <f>'Raw Data'!U153/Inv_SY!T$2</f>
        <v>0</v>
      </c>
      <c r="U153" s="1">
        <f>'Raw Data'!V153/Inv_SY!U$2</f>
        <v>0</v>
      </c>
      <c r="V153" s="1">
        <f>'Raw Data'!W153/Inv_SY!V$2</f>
        <v>0</v>
      </c>
      <c r="W153" s="1">
        <f>'Raw Data'!X153/Inv_SY!W$2</f>
        <v>0</v>
      </c>
      <c r="X153" s="1">
        <f>'Raw Data'!Y153/Inv_SY!X$2</f>
        <v>0</v>
      </c>
      <c r="Y153" s="1" t="str">
        <f t="shared" si="10"/>
        <v/>
      </c>
      <c r="Z153" s="1">
        <f t="shared" si="11"/>
        <v>0</v>
      </c>
    </row>
    <row r="154" spans="1:26" x14ac:dyDescent="0.3">
      <c r="A154" s="55" t="s">
        <v>1324</v>
      </c>
      <c r="B154" s="55">
        <v>123</v>
      </c>
      <c r="C154" s="121">
        <f>YEAR(Table12[[#This Row],[Date]])</f>
        <v>2025</v>
      </c>
      <c r="D154" s="55" t="s">
        <v>329</v>
      </c>
      <c r="E154" s="55" t="s">
        <v>329</v>
      </c>
      <c r="F154" s="122" t="str">
        <f>TEXT(Table12[[#This Row],[Date]],"mmm-yy")</f>
        <v>Aug-25</v>
      </c>
      <c r="G154" s="121">
        <f t="shared" si="9"/>
        <v>31</v>
      </c>
      <c r="H154" s="123">
        <f t="shared" si="12"/>
        <v>45895</v>
      </c>
      <c r="I154" s="1">
        <v>8.0208999999999993</v>
      </c>
      <c r="J154" s="1">
        <f>'Raw Data'!K154/Inv_SY!J$2</f>
        <v>0</v>
      </c>
      <c r="K154" s="1">
        <f>'Raw Data'!L154/Inv_SY!K$2</f>
        <v>0</v>
      </c>
      <c r="L154" s="1">
        <f>'Raw Data'!M154/Inv_SY!L$2</f>
        <v>0</v>
      </c>
      <c r="M154" s="1">
        <f>'Raw Data'!N154/Inv_SY!M$2</f>
        <v>0</v>
      </c>
      <c r="N154" s="1">
        <f>'Raw Data'!O154/Inv_SY!N$2</f>
        <v>0</v>
      </c>
      <c r="O154" s="1">
        <f>'Raw Data'!P154/Inv_SY!O$2</f>
        <v>0</v>
      </c>
      <c r="P154" s="1">
        <f>'Raw Data'!Q154/Inv_SY!P$2</f>
        <v>0</v>
      </c>
      <c r="Q154" s="1">
        <f>'Raw Data'!R154/Inv_SY!Q$2</f>
        <v>0</v>
      </c>
      <c r="R154" s="1">
        <f>'Raw Data'!S154/Inv_SY!R$2</f>
        <v>0</v>
      </c>
      <c r="S154" s="1">
        <f>'Raw Data'!T154/Inv_SY!S$2</f>
        <v>0</v>
      </c>
      <c r="T154" s="1">
        <f>'Raw Data'!U154/Inv_SY!T$2</f>
        <v>0</v>
      </c>
      <c r="U154" s="1">
        <f>'Raw Data'!V154/Inv_SY!U$2</f>
        <v>0</v>
      </c>
      <c r="V154" s="1">
        <f>'Raw Data'!W154/Inv_SY!V$2</f>
        <v>0</v>
      </c>
      <c r="W154" s="1">
        <f>'Raw Data'!X154/Inv_SY!W$2</f>
        <v>0</v>
      </c>
      <c r="X154" s="1">
        <f>'Raw Data'!Y154/Inv_SY!X$2</f>
        <v>0</v>
      </c>
      <c r="Y154" s="1" t="str">
        <f t="shared" si="10"/>
        <v/>
      </c>
      <c r="Z154" s="1">
        <f t="shared" si="11"/>
        <v>0</v>
      </c>
    </row>
    <row r="155" spans="1:26" x14ac:dyDescent="0.3">
      <c r="A155" s="55" t="s">
        <v>1325</v>
      </c>
      <c r="B155" s="55">
        <v>124</v>
      </c>
      <c r="C155" s="121">
        <f>YEAR(Table12[[#This Row],[Date]])</f>
        <v>2025</v>
      </c>
      <c r="D155" s="55" t="s">
        <v>329</v>
      </c>
      <c r="E155" s="55" t="s">
        <v>329</v>
      </c>
      <c r="F155" s="122" t="str">
        <f>TEXT(Table12[[#This Row],[Date]],"mmm-yy")</f>
        <v>Aug-25</v>
      </c>
      <c r="G155" s="121">
        <f t="shared" si="9"/>
        <v>31</v>
      </c>
      <c r="H155" s="123">
        <f t="shared" si="12"/>
        <v>45896</v>
      </c>
      <c r="I155" s="1">
        <v>8.0208999999999993</v>
      </c>
      <c r="J155" s="1">
        <f>'Raw Data'!K155/Inv_SY!J$2</f>
        <v>0</v>
      </c>
      <c r="K155" s="1">
        <f>'Raw Data'!L155/Inv_SY!K$2</f>
        <v>0</v>
      </c>
      <c r="L155" s="1">
        <f>'Raw Data'!M155/Inv_SY!L$2</f>
        <v>0</v>
      </c>
      <c r="M155" s="1">
        <f>'Raw Data'!N155/Inv_SY!M$2</f>
        <v>0</v>
      </c>
      <c r="N155" s="1">
        <f>'Raw Data'!O155/Inv_SY!N$2</f>
        <v>0</v>
      </c>
      <c r="O155" s="1">
        <f>'Raw Data'!P155/Inv_SY!O$2</f>
        <v>0</v>
      </c>
      <c r="P155" s="1">
        <f>'Raw Data'!Q155/Inv_SY!P$2</f>
        <v>0</v>
      </c>
      <c r="Q155" s="1">
        <f>'Raw Data'!R155/Inv_SY!Q$2</f>
        <v>0</v>
      </c>
      <c r="R155" s="1">
        <f>'Raw Data'!S155/Inv_SY!R$2</f>
        <v>0</v>
      </c>
      <c r="S155" s="1">
        <f>'Raw Data'!T155/Inv_SY!S$2</f>
        <v>0</v>
      </c>
      <c r="T155" s="1">
        <f>'Raw Data'!U155/Inv_SY!T$2</f>
        <v>0</v>
      </c>
      <c r="U155" s="1">
        <f>'Raw Data'!V155/Inv_SY!U$2</f>
        <v>0</v>
      </c>
      <c r="V155" s="1">
        <f>'Raw Data'!W155/Inv_SY!V$2</f>
        <v>0</v>
      </c>
      <c r="W155" s="1">
        <f>'Raw Data'!X155/Inv_SY!W$2</f>
        <v>0</v>
      </c>
      <c r="X155" s="1">
        <f>'Raw Data'!Y155/Inv_SY!X$2</f>
        <v>0</v>
      </c>
      <c r="Y155" s="1" t="str">
        <f t="shared" si="10"/>
        <v/>
      </c>
      <c r="Z155" s="1">
        <f t="shared" si="11"/>
        <v>0</v>
      </c>
    </row>
    <row r="156" spans="1:26" x14ac:dyDescent="0.3">
      <c r="A156" s="55" t="s">
        <v>1326</v>
      </c>
      <c r="B156" s="55">
        <v>125</v>
      </c>
      <c r="C156" s="121">
        <f>YEAR(Table12[[#This Row],[Date]])</f>
        <v>2025</v>
      </c>
      <c r="D156" s="55" t="s">
        <v>329</v>
      </c>
      <c r="E156" s="55" t="s">
        <v>329</v>
      </c>
      <c r="F156" s="122" t="str">
        <f>TEXT(Table12[[#This Row],[Date]],"mmm-yy")</f>
        <v>Aug-25</v>
      </c>
      <c r="G156" s="121">
        <f t="shared" si="9"/>
        <v>31</v>
      </c>
      <c r="H156" s="123">
        <f t="shared" si="12"/>
        <v>45897</v>
      </c>
      <c r="I156" s="1">
        <v>8.0208999999999993</v>
      </c>
      <c r="J156" s="1">
        <f>'Raw Data'!K156/Inv_SY!J$2</f>
        <v>0</v>
      </c>
      <c r="K156" s="1">
        <f>'Raw Data'!L156/Inv_SY!K$2</f>
        <v>0</v>
      </c>
      <c r="L156" s="1">
        <f>'Raw Data'!M156/Inv_SY!L$2</f>
        <v>0</v>
      </c>
      <c r="M156" s="1">
        <f>'Raw Data'!N156/Inv_SY!M$2</f>
        <v>0</v>
      </c>
      <c r="N156" s="1">
        <f>'Raw Data'!O156/Inv_SY!N$2</f>
        <v>0</v>
      </c>
      <c r="O156" s="1">
        <f>'Raw Data'!P156/Inv_SY!O$2</f>
        <v>0</v>
      </c>
      <c r="P156" s="1">
        <f>'Raw Data'!Q156/Inv_SY!P$2</f>
        <v>0</v>
      </c>
      <c r="Q156" s="1">
        <f>'Raw Data'!R156/Inv_SY!Q$2</f>
        <v>0</v>
      </c>
      <c r="R156" s="1">
        <f>'Raw Data'!S156/Inv_SY!R$2</f>
        <v>0</v>
      </c>
      <c r="S156" s="1">
        <f>'Raw Data'!T156/Inv_SY!S$2</f>
        <v>0</v>
      </c>
      <c r="T156" s="1">
        <f>'Raw Data'!U156/Inv_SY!T$2</f>
        <v>0</v>
      </c>
      <c r="U156" s="1">
        <f>'Raw Data'!V156/Inv_SY!U$2</f>
        <v>0</v>
      </c>
      <c r="V156" s="1">
        <f>'Raw Data'!W156/Inv_SY!V$2</f>
        <v>0</v>
      </c>
      <c r="W156" s="1">
        <f>'Raw Data'!X156/Inv_SY!W$2</f>
        <v>0</v>
      </c>
      <c r="X156" s="1">
        <f>'Raw Data'!Y156/Inv_SY!X$2</f>
        <v>0</v>
      </c>
      <c r="Y156" s="1" t="str">
        <f t="shared" si="10"/>
        <v/>
      </c>
      <c r="Z156" s="1">
        <f t="shared" si="11"/>
        <v>0</v>
      </c>
    </row>
    <row r="157" spans="1:26" x14ac:dyDescent="0.3">
      <c r="A157" s="55" t="s">
        <v>1327</v>
      </c>
      <c r="B157" s="55">
        <v>126</v>
      </c>
      <c r="C157" s="121">
        <f>YEAR(Table12[[#This Row],[Date]])</f>
        <v>2025</v>
      </c>
      <c r="D157" s="55" t="s">
        <v>329</v>
      </c>
      <c r="E157" s="55" t="s">
        <v>329</v>
      </c>
      <c r="F157" s="122" t="str">
        <f>TEXT(Table12[[#This Row],[Date]],"mmm-yy")</f>
        <v>Aug-25</v>
      </c>
      <c r="G157" s="121">
        <f t="shared" si="9"/>
        <v>31</v>
      </c>
      <c r="H157" s="123">
        <f t="shared" si="12"/>
        <v>45898</v>
      </c>
      <c r="I157" s="1">
        <v>8.0208999999999993</v>
      </c>
      <c r="J157" s="1">
        <f>'Raw Data'!K157/Inv_SY!J$2</f>
        <v>0</v>
      </c>
      <c r="K157" s="1">
        <f>'Raw Data'!L157/Inv_SY!K$2</f>
        <v>0</v>
      </c>
      <c r="L157" s="1">
        <f>'Raw Data'!M157/Inv_SY!L$2</f>
        <v>0</v>
      </c>
      <c r="M157" s="1">
        <f>'Raw Data'!N157/Inv_SY!M$2</f>
        <v>0</v>
      </c>
      <c r="N157" s="1">
        <f>'Raw Data'!O157/Inv_SY!N$2</f>
        <v>0</v>
      </c>
      <c r="O157" s="1">
        <f>'Raw Data'!P157/Inv_SY!O$2</f>
        <v>0</v>
      </c>
      <c r="P157" s="1">
        <f>'Raw Data'!Q157/Inv_SY!P$2</f>
        <v>0</v>
      </c>
      <c r="Q157" s="1">
        <f>'Raw Data'!R157/Inv_SY!Q$2</f>
        <v>0</v>
      </c>
      <c r="R157" s="1">
        <f>'Raw Data'!S157/Inv_SY!R$2</f>
        <v>0</v>
      </c>
      <c r="S157" s="1">
        <f>'Raw Data'!T157/Inv_SY!S$2</f>
        <v>0</v>
      </c>
      <c r="T157" s="1">
        <f>'Raw Data'!U157/Inv_SY!T$2</f>
        <v>0</v>
      </c>
      <c r="U157" s="1">
        <f>'Raw Data'!V157/Inv_SY!U$2</f>
        <v>0</v>
      </c>
      <c r="V157" s="1">
        <f>'Raw Data'!W157/Inv_SY!V$2</f>
        <v>0</v>
      </c>
      <c r="W157" s="1">
        <f>'Raw Data'!X157/Inv_SY!W$2</f>
        <v>0</v>
      </c>
      <c r="X157" s="1">
        <f>'Raw Data'!Y157/Inv_SY!X$2</f>
        <v>0</v>
      </c>
      <c r="Y157" s="1" t="str">
        <f t="shared" si="10"/>
        <v/>
      </c>
      <c r="Z157" s="1">
        <f t="shared" si="11"/>
        <v>0</v>
      </c>
    </row>
    <row r="158" spans="1:26" x14ac:dyDescent="0.3">
      <c r="A158" s="55" t="s">
        <v>1328</v>
      </c>
      <c r="B158" s="55">
        <v>127</v>
      </c>
      <c r="C158" s="121">
        <f>YEAR(Table12[[#This Row],[Date]])</f>
        <v>2025</v>
      </c>
      <c r="D158" s="55" t="s">
        <v>329</v>
      </c>
      <c r="E158" s="55" t="s">
        <v>329</v>
      </c>
      <c r="F158" s="122" t="str">
        <f>TEXT(Table12[[#This Row],[Date]],"mmm-yy")</f>
        <v>Aug-25</v>
      </c>
      <c r="G158" s="121">
        <f t="shared" si="9"/>
        <v>31</v>
      </c>
      <c r="H158" s="123">
        <f t="shared" si="12"/>
        <v>45899</v>
      </c>
      <c r="I158" s="1">
        <v>8.0208999999999993</v>
      </c>
      <c r="J158" s="1">
        <f>'Raw Data'!K158/Inv_SY!J$2</f>
        <v>0</v>
      </c>
      <c r="K158" s="1">
        <f>'Raw Data'!L158/Inv_SY!K$2</f>
        <v>0</v>
      </c>
      <c r="L158" s="1">
        <f>'Raw Data'!M158/Inv_SY!L$2</f>
        <v>0</v>
      </c>
      <c r="M158" s="1">
        <f>'Raw Data'!N158/Inv_SY!M$2</f>
        <v>0</v>
      </c>
      <c r="N158" s="1">
        <f>'Raw Data'!O158/Inv_SY!N$2</f>
        <v>0</v>
      </c>
      <c r="O158" s="1">
        <f>'Raw Data'!P158/Inv_SY!O$2</f>
        <v>0</v>
      </c>
      <c r="P158" s="1">
        <f>'Raw Data'!Q158/Inv_SY!P$2</f>
        <v>0</v>
      </c>
      <c r="Q158" s="1">
        <f>'Raw Data'!R158/Inv_SY!Q$2</f>
        <v>0</v>
      </c>
      <c r="R158" s="1">
        <f>'Raw Data'!S158/Inv_SY!R$2</f>
        <v>0</v>
      </c>
      <c r="S158" s="1">
        <f>'Raw Data'!T158/Inv_SY!S$2</f>
        <v>0</v>
      </c>
      <c r="T158" s="1">
        <f>'Raw Data'!U158/Inv_SY!T$2</f>
        <v>0</v>
      </c>
      <c r="U158" s="1">
        <f>'Raw Data'!V158/Inv_SY!U$2</f>
        <v>0</v>
      </c>
      <c r="V158" s="1">
        <f>'Raw Data'!W158/Inv_SY!V$2</f>
        <v>0</v>
      </c>
      <c r="W158" s="1">
        <f>'Raw Data'!X158/Inv_SY!W$2</f>
        <v>0</v>
      </c>
      <c r="X158" s="1">
        <f>'Raw Data'!Y158/Inv_SY!X$2</f>
        <v>0</v>
      </c>
      <c r="Y158" s="1" t="str">
        <f t="shared" si="10"/>
        <v/>
      </c>
      <c r="Z158" s="1">
        <f t="shared" si="11"/>
        <v>0</v>
      </c>
    </row>
    <row r="159" spans="1:26" x14ac:dyDescent="0.3">
      <c r="A159" s="55" t="s">
        <v>1329</v>
      </c>
      <c r="B159" s="55">
        <v>128</v>
      </c>
      <c r="C159" s="121">
        <f>YEAR(Table12[[#This Row],[Date]])</f>
        <v>2025</v>
      </c>
      <c r="D159" s="55" t="s">
        <v>329</v>
      </c>
      <c r="E159" s="55" t="s">
        <v>329</v>
      </c>
      <c r="F159" s="122" t="str">
        <f>TEXT(Table12[[#This Row],[Date]],"mmm-yy")</f>
        <v>Aug-25</v>
      </c>
      <c r="G159" s="121">
        <f t="shared" si="9"/>
        <v>31</v>
      </c>
      <c r="H159" s="123">
        <f t="shared" si="12"/>
        <v>45900</v>
      </c>
      <c r="I159" s="1">
        <v>8.0208999999999993</v>
      </c>
      <c r="J159" s="1">
        <f>'Raw Data'!K159/Inv_SY!J$2</f>
        <v>0</v>
      </c>
      <c r="K159" s="1">
        <f>'Raw Data'!L159/Inv_SY!K$2</f>
        <v>0</v>
      </c>
      <c r="L159" s="1">
        <f>'Raw Data'!M159/Inv_SY!L$2</f>
        <v>0</v>
      </c>
      <c r="M159" s="1">
        <f>'Raw Data'!N159/Inv_SY!M$2</f>
        <v>0</v>
      </c>
      <c r="N159" s="1">
        <f>'Raw Data'!O159/Inv_SY!N$2</f>
        <v>0</v>
      </c>
      <c r="O159" s="1">
        <f>'Raw Data'!P159/Inv_SY!O$2</f>
        <v>0</v>
      </c>
      <c r="P159" s="1">
        <f>'Raw Data'!Q159/Inv_SY!P$2</f>
        <v>0</v>
      </c>
      <c r="Q159" s="1">
        <f>'Raw Data'!R159/Inv_SY!Q$2</f>
        <v>0</v>
      </c>
      <c r="R159" s="1">
        <f>'Raw Data'!S159/Inv_SY!R$2</f>
        <v>0</v>
      </c>
      <c r="S159" s="1">
        <f>'Raw Data'!T159/Inv_SY!S$2</f>
        <v>0</v>
      </c>
      <c r="T159" s="1">
        <f>'Raw Data'!U159/Inv_SY!T$2</f>
        <v>0</v>
      </c>
      <c r="U159" s="1">
        <f>'Raw Data'!V159/Inv_SY!U$2</f>
        <v>0</v>
      </c>
      <c r="V159" s="1">
        <f>'Raw Data'!W159/Inv_SY!V$2</f>
        <v>0</v>
      </c>
      <c r="W159" s="1">
        <f>'Raw Data'!X159/Inv_SY!W$2</f>
        <v>0</v>
      </c>
      <c r="X159" s="1">
        <f>'Raw Data'!Y159/Inv_SY!X$2</f>
        <v>0</v>
      </c>
      <c r="Y159" s="1" t="str">
        <f t="shared" si="10"/>
        <v/>
      </c>
      <c r="Z159" s="1">
        <f t="shared" si="11"/>
        <v>0</v>
      </c>
    </row>
    <row r="160" spans="1:26" x14ac:dyDescent="0.3">
      <c r="A160" s="55" t="s">
        <v>1330</v>
      </c>
      <c r="B160" s="55">
        <v>129</v>
      </c>
      <c r="C160" s="121">
        <f>YEAR(Table12[[#This Row],[Date]])</f>
        <v>2025</v>
      </c>
      <c r="D160" s="55" t="s">
        <v>329</v>
      </c>
      <c r="E160" s="55" t="s">
        <v>329</v>
      </c>
      <c r="F160" s="122" t="str">
        <f>TEXT(Table12[[#This Row],[Date]],"mmm-yy")</f>
        <v>Sep-25</v>
      </c>
      <c r="G160" s="121">
        <f t="shared" si="9"/>
        <v>30</v>
      </c>
      <c r="H160" s="123">
        <f t="shared" si="12"/>
        <v>45901</v>
      </c>
      <c r="I160" s="1">
        <v>8.0208999999999993</v>
      </c>
      <c r="J160" s="1">
        <f>'Raw Data'!K160/Inv_SY!J$2</f>
        <v>0</v>
      </c>
      <c r="K160" s="1">
        <f>'Raw Data'!L160/Inv_SY!K$2</f>
        <v>0</v>
      </c>
      <c r="L160" s="1">
        <f>'Raw Data'!M160/Inv_SY!L$2</f>
        <v>0</v>
      </c>
      <c r="M160" s="1">
        <f>'Raw Data'!N160/Inv_SY!M$2</f>
        <v>0</v>
      </c>
      <c r="N160" s="1">
        <f>'Raw Data'!O160/Inv_SY!N$2</f>
        <v>0</v>
      </c>
      <c r="O160" s="1">
        <f>'Raw Data'!P160/Inv_SY!O$2</f>
        <v>0</v>
      </c>
      <c r="P160" s="1">
        <f>'Raw Data'!Q160/Inv_SY!P$2</f>
        <v>0</v>
      </c>
      <c r="Q160" s="1">
        <f>'Raw Data'!R160/Inv_SY!Q$2</f>
        <v>0</v>
      </c>
      <c r="R160" s="1">
        <f>'Raw Data'!S160/Inv_SY!R$2</f>
        <v>0</v>
      </c>
      <c r="S160" s="1">
        <f>'Raw Data'!T160/Inv_SY!S$2</f>
        <v>0</v>
      </c>
      <c r="T160" s="1">
        <f>'Raw Data'!U160/Inv_SY!T$2</f>
        <v>0</v>
      </c>
      <c r="U160" s="1">
        <f>'Raw Data'!V160/Inv_SY!U$2</f>
        <v>0</v>
      </c>
      <c r="V160" s="1">
        <f>'Raw Data'!W160/Inv_SY!V$2</f>
        <v>0</v>
      </c>
      <c r="W160" s="1">
        <f>'Raw Data'!X160/Inv_SY!W$2</f>
        <v>0</v>
      </c>
      <c r="X160" s="1">
        <f>'Raw Data'!Y160/Inv_SY!X$2</f>
        <v>0</v>
      </c>
      <c r="Y160" s="1" t="str">
        <f t="shared" si="10"/>
        <v/>
      </c>
      <c r="Z160" s="1">
        <f t="shared" si="11"/>
        <v>0</v>
      </c>
    </row>
    <row r="161" spans="1:26" x14ac:dyDescent="0.3">
      <c r="A161" s="55" t="s">
        <v>1331</v>
      </c>
      <c r="B161" s="55">
        <v>130</v>
      </c>
      <c r="C161" s="121">
        <f>YEAR(Table12[[#This Row],[Date]])</f>
        <v>2025</v>
      </c>
      <c r="D161" s="55" t="s">
        <v>329</v>
      </c>
      <c r="E161" s="55" t="s">
        <v>329</v>
      </c>
      <c r="F161" s="122" t="str">
        <f>TEXT(Table12[[#This Row],[Date]],"mmm-yy")</f>
        <v>Sep-25</v>
      </c>
      <c r="G161" s="121">
        <f t="shared" si="9"/>
        <v>30</v>
      </c>
      <c r="H161" s="123">
        <f t="shared" si="12"/>
        <v>45902</v>
      </c>
      <c r="I161" s="1">
        <v>8.0208999999999993</v>
      </c>
      <c r="J161" s="1">
        <f>'Raw Data'!K161/Inv_SY!J$2</f>
        <v>0</v>
      </c>
      <c r="K161" s="1">
        <f>'Raw Data'!L161/Inv_SY!K$2</f>
        <v>0</v>
      </c>
      <c r="L161" s="1">
        <f>'Raw Data'!M161/Inv_SY!L$2</f>
        <v>0</v>
      </c>
      <c r="M161" s="1">
        <f>'Raw Data'!N161/Inv_SY!M$2</f>
        <v>0</v>
      </c>
      <c r="N161" s="1">
        <f>'Raw Data'!O161/Inv_SY!N$2</f>
        <v>0</v>
      </c>
      <c r="O161" s="1">
        <f>'Raw Data'!P161/Inv_SY!O$2</f>
        <v>0</v>
      </c>
      <c r="P161" s="1">
        <f>'Raw Data'!Q161/Inv_SY!P$2</f>
        <v>0</v>
      </c>
      <c r="Q161" s="1">
        <f>'Raw Data'!R161/Inv_SY!Q$2</f>
        <v>0</v>
      </c>
      <c r="R161" s="1">
        <f>'Raw Data'!S161/Inv_SY!R$2</f>
        <v>0</v>
      </c>
      <c r="S161" s="1">
        <f>'Raw Data'!T161/Inv_SY!S$2</f>
        <v>0</v>
      </c>
      <c r="T161" s="1">
        <f>'Raw Data'!U161/Inv_SY!T$2</f>
        <v>0</v>
      </c>
      <c r="U161" s="1">
        <f>'Raw Data'!V161/Inv_SY!U$2</f>
        <v>0</v>
      </c>
      <c r="V161" s="1">
        <f>'Raw Data'!W161/Inv_SY!V$2</f>
        <v>0</v>
      </c>
      <c r="W161" s="1">
        <f>'Raw Data'!X161/Inv_SY!W$2</f>
        <v>0</v>
      </c>
      <c r="X161" s="1">
        <f>'Raw Data'!Y161/Inv_SY!X$2</f>
        <v>0</v>
      </c>
      <c r="Y161" s="1" t="str">
        <f t="shared" si="10"/>
        <v/>
      </c>
      <c r="Z161" s="1">
        <f t="shared" si="11"/>
        <v>0</v>
      </c>
    </row>
    <row r="162" spans="1:26" x14ac:dyDescent="0.3">
      <c r="A162" s="55" t="s">
        <v>1332</v>
      </c>
      <c r="B162" s="55">
        <v>131</v>
      </c>
      <c r="C162" s="121">
        <f>YEAR(Table12[[#This Row],[Date]])</f>
        <v>2025</v>
      </c>
      <c r="D162" s="55" t="s">
        <v>329</v>
      </c>
      <c r="E162" s="55" t="s">
        <v>329</v>
      </c>
      <c r="F162" s="122" t="str">
        <f>TEXT(Table12[[#This Row],[Date]],"mmm-yy")</f>
        <v>Sep-25</v>
      </c>
      <c r="G162" s="121">
        <f t="shared" si="9"/>
        <v>30</v>
      </c>
      <c r="H162" s="123">
        <f t="shared" si="12"/>
        <v>45903</v>
      </c>
      <c r="I162" s="1">
        <v>8.0208999999999993</v>
      </c>
      <c r="J162" s="1">
        <f>'Raw Data'!K162/Inv_SY!J$2</f>
        <v>0</v>
      </c>
      <c r="K162" s="1">
        <f>'Raw Data'!L162/Inv_SY!K$2</f>
        <v>0</v>
      </c>
      <c r="L162" s="1">
        <f>'Raw Data'!M162/Inv_SY!L$2</f>
        <v>0</v>
      </c>
      <c r="M162" s="1">
        <f>'Raw Data'!N162/Inv_SY!M$2</f>
        <v>0</v>
      </c>
      <c r="N162" s="1">
        <f>'Raw Data'!O162/Inv_SY!N$2</f>
        <v>0</v>
      </c>
      <c r="O162" s="1">
        <f>'Raw Data'!P162/Inv_SY!O$2</f>
        <v>0</v>
      </c>
      <c r="P162" s="1">
        <f>'Raw Data'!Q162/Inv_SY!P$2</f>
        <v>0</v>
      </c>
      <c r="Q162" s="1">
        <f>'Raw Data'!R162/Inv_SY!Q$2</f>
        <v>0</v>
      </c>
      <c r="R162" s="1">
        <f>'Raw Data'!S162/Inv_SY!R$2</f>
        <v>0</v>
      </c>
      <c r="S162" s="1">
        <f>'Raw Data'!T162/Inv_SY!S$2</f>
        <v>0</v>
      </c>
      <c r="T162" s="1">
        <f>'Raw Data'!U162/Inv_SY!T$2</f>
        <v>0</v>
      </c>
      <c r="U162" s="1">
        <f>'Raw Data'!V162/Inv_SY!U$2</f>
        <v>0</v>
      </c>
      <c r="V162" s="1">
        <f>'Raw Data'!W162/Inv_SY!V$2</f>
        <v>0</v>
      </c>
      <c r="W162" s="1">
        <f>'Raw Data'!X162/Inv_SY!W$2</f>
        <v>0</v>
      </c>
      <c r="X162" s="1">
        <f>'Raw Data'!Y162/Inv_SY!X$2</f>
        <v>0</v>
      </c>
      <c r="Y162" s="1" t="str">
        <f t="shared" si="10"/>
        <v/>
      </c>
      <c r="Z162" s="1">
        <f t="shared" si="11"/>
        <v>0</v>
      </c>
    </row>
    <row r="163" spans="1:26" x14ac:dyDescent="0.3">
      <c r="A163" s="55" t="s">
        <v>1333</v>
      </c>
      <c r="B163" s="55">
        <v>132</v>
      </c>
      <c r="C163" s="121">
        <f>YEAR(Table12[[#This Row],[Date]])</f>
        <v>2025</v>
      </c>
      <c r="D163" s="55" t="s">
        <v>329</v>
      </c>
      <c r="E163" s="55" t="s">
        <v>329</v>
      </c>
      <c r="F163" s="122" t="str">
        <f>TEXT(Table12[[#This Row],[Date]],"mmm-yy")</f>
        <v>Sep-25</v>
      </c>
      <c r="G163" s="121">
        <f t="shared" si="9"/>
        <v>30</v>
      </c>
      <c r="H163" s="123">
        <f t="shared" si="12"/>
        <v>45904</v>
      </c>
      <c r="I163" s="1">
        <v>8.0208999999999993</v>
      </c>
      <c r="J163" s="1">
        <f>'Raw Data'!K163/Inv_SY!J$2</f>
        <v>0</v>
      </c>
      <c r="K163" s="1">
        <f>'Raw Data'!L163/Inv_SY!K$2</f>
        <v>0</v>
      </c>
      <c r="L163" s="1">
        <f>'Raw Data'!M163/Inv_SY!L$2</f>
        <v>0</v>
      </c>
      <c r="M163" s="1">
        <f>'Raw Data'!N163/Inv_SY!M$2</f>
        <v>0</v>
      </c>
      <c r="N163" s="1">
        <f>'Raw Data'!O163/Inv_SY!N$2</f>
        <v>0</v>
      </c>
      <c r="O163" s="1">
        <f>'Raw Data'!P163/Inv_SY!O$2</f>
        <v>0</v>
      </c>
      <c r="P163" s="1">
        <f>'Raw Data'!Q163/Inv_SY!P$2</f>
        <v>0</v>
      </c>
      <c r="Q163" s="1">
        <f>'Raw Data'!R163/Inv_SY!Q$2</f>
        <v>0</v>
      </c>
      <c r="R163" s="1">
        <f>'Raw Data'!S163/Inv_SY!R$2</f>
        <v>0</v>
      </c>
      <c r="S163" s="1">
        <f>'Raw Data'!T163/Inv_SY!S$2</f>
        <v>0</v>
      </c>
      <c r="T163" s="1">
        <f>'Raw Data'!U163/Inv_SY!T$2</f>
        <v>0</v>
      </c>
      <c r="U163" s="1">
        <f>'Raw Data'!V163/Inv_SY!U$2</f>
        <v>0</v>
      </c>
      <c r="V163" s="1">
        <f>'Raw Data'!W163/Inv_SY!V$2</f>
        <v>0</v>
      </c>
      <c r="W163" s="1">
        <f>'Raw Data'!X163/Inv_SY!W$2</f>
        <v>0</v>
      </c>
      <c r="X163" s="1">
        <f>'Raw Data'!Y163/Inv_SY!X$2</f>
        <v>0</v>
      </c>
      <c r="Y163" s="1" t="str">
        <f t="shared" si="10"/>
        <v/>
      </c>
      <c r="Z163" s="1">
        <f t="shared" si="11"/>
        <v>0</v>
      </c>
    </row>
    <row r="164" spans="1:26" x14ac:dyDescent="0.3">
      <c r="A164" s="55" t="s">
        <v>1334</v>
      </c>
      <c r="B164" s="55">
        <v>133</v>
      </c>
      <c r="C164" s="121">
        <f>YEAR(Table12[[#This Row],[Date]])</f>
        <v>2025</v>
      </c>
      <c r="D164" s="55" t="s">
        <v>329</v>
      </c>
      <c r="E164" s="55" t="s">
        <v>329</v>
      </c>
      <c r="F164" s="122" t="str">
        <f>TEXT(Table12[[#This Row],[Date]],"mmm-yy")</f>
        <v>Sep-25</v>
      </c>
      <c r="G164" s="121">
        <f t="shared" ref="G164:G227" si="13">DAY(EOMONTH(F164,0))</f>
        <v>30</v>
      </c>
      <c r="H164" s="123">
        <f t="shared" si="12"/>
        <v>45905</v>
      </c>
      <c r="I164" s="1">
        <v>8.0208999999999993</v>
      </c>
      <c r="J164" s="1">
        <f>'Raw Data'!K164/Inv_SY!J$2</f>
        <v>0</v>
      </c>
      <c r="K164" s="1">
        <f>'Raw Data'!L164/Inv_SY!K$2</f>
        <v>0</v>
      </c>
      <c r="L164" s="1">
        <f>'Raw Data'!M164/Inv_SY!L$2</f>
        <v>0</v>
      </c>
      <c r="M164" s="1">
        <f>'Raw Data'!N164/Inv_SY!M$2</f>
        <v>0</v>
      </c>
      <c r="N164" s="1">
        <f>'Raw Data'!O164/Inv_SY!N$2</f>
        <v>0</v>
      </c>
      <c r="O164" s="1">
        <f>'Raw Data'!P164/Inv_SY!O$2</f>
        <v>0</v>
      </c>
      <c r="P164" s="1">
        <f>'Raw Data'!Q164/Inv_SY!P$2</f>
        <v>0</v>
      </c>
      <c r="Q164" s="1">
        <f>'Raw Data'!R164/Inv_SY!Q$2</f>
        <v>0</v>
      </c>
      <c r="R164" s="1">
        <f>'Raw Data'!S164/Inv_SY!R$2</f>
        <v>0</v>
      </c>
      <c r="S164" s="1">
        <f>'Raw Data'!T164/Inv_SY!S$2</f>
        <v>0</v>
      </c>
      <c r="T164" s="1">
        <f>'Raw Data'!U164/Inv_SY!T$2</f>
        <v>0</v>
      </c>
      <c r="U164" s="1">
        <f>'Raw Data'!V164/Inv_SY!U$2</f>
        <v>0</v>
      </c>
      <c r="V164" s="1">
        <f>'Raw Data'!W164/Inv_SY!V$2</f>
        <v>0</v>
      </c>
      <c r="W164" s="1">
        <f>'Raw Data'!X164/Inv_SY!W$2</f>
        <v>0</v>
      </c>
      <c r="X164" s="1">
        <f>'Raw Data'!Y164/Inv_SY!X$2</f>
        <v>0</v>
      </c>
      <c r="Y164" s="1" t="str">
        <f t="shared" ref="Y164:Y227" si="14">IFERROR(AVERAGEIF(V164:X164,"&gt;"&amp;0,V164:X164),"")</f>
        <v/>
      </c>
      <c r="Z164" s="1">
        <f t="shared" ref="Z164:Z227" si="15">MAXA(V164:X164)</f>
        <v>0</v>
      </c>
    </row>
    <row r="165" spans="1:26" x14ac:dyDescent="0.3">
      <c r="A165" s="55" t="s">
        <v>1335</v>
      </c>
      <c r="B165" s="55">
        <v>134</v>
      </c>
      <c r="C165" s="121">
        <f>YEAR(Table12[[#This Row],[Date]])</f>
        <v>2025</v>
      </c>
      <c r="D165" s="55" t="s">
        <v>329</v>
      </c>
      <c r="E165" s="55" t="s">
        <v>329</v>
      </c>
      <c r="F165" s="122" t="str">
        <f>TEXT(Table12[[#This Row],[Date]],"mmm-yy")</f>
        <v>Sep-25</v>
      </c>
      <c r="G165" s="121">
        <f t="shared" si="13"/>
        <v>30</v>
      </c>
      <c r="H165" s="123">
        <f t="shared" si="12"/>
        <v>45906</v>
      </c>
      <c r="I165" s="1">
        <v>8.0208999999999993</v>
      </c>
      <c r="J165" s="1">
        <f>'Raw Data'!K165/Inv_SY!J$2</f>
        <v>0</v>
      </c>
      <c r="K165" s="1">
        <f>'Raw Data'!L165/Inv_SY!K$2</f>
        <v>0</v>
      </c>
      <c r="L165" s="1">
        <f>'Raw Data'!M165/Inv_SY!L$2</f>
        <v>0</v>
      </c>
      <c r="M165" s="1">
        <f>'Raw Data'!N165/Inv_SY!M$2</f>
        <v>0</v>
      </c>
      <c r="N165" s="1">
        <f>'Raw Data'!O165/Inv_SY!N$2</f>
        <v>0</v>
      </c>
      <c r="O165" s="1">
        <f>'Raw Data'!P165/Inv_SY!O$2</f>
        <v>0</v>
      </c>
      <c r="P165" s="1">
        <f>'Raw Data'!Q165/Inv_SY!P$2</f>
        <v>0</v>
      </c>
      <c r="Q165" s="1">
        <f>'Raw Data'!R165/Inv_SY!Q$2</f>
        <v>0</v>
      </c>
      <c r="R165" s="1">
        <f>'Raw Data'!S165/Inv_SY!R$2</f>
        <v>0</v>
      </c>
      <c r="S165" s="1">
        <f>'Raw Data'!T165/Inv_SY!S$2</f>
        <v>0</v>
      </c>
      <c r="T165" s="1">
        <f>'Raw Data'!U165/Inv_SY!T$2</f>
        <v>0</v>
      </c>
      <c r="U165" s="1">
        <f>'Raw Data'!V165/Inv_SY!U$2</f>
        <v>0</v>
      </c>
      <c r="V165" s="1">
        <f>'Raw Data'!W165/Inv_SY!V$2</f>
        <v>0</v>
      </c>
      <c r="W165" s="1">
        <f>'Raw Data'!X165/Inv_SY!W$2</f>
        <v>0</v>
      </c>
      <c r="X165" s="1">
        <f>'Raw Data'!Y165/Inv_SY!X$2</f>
        <v>0</v>
      </c>
      <c r="Y165" s="1" t="str">
        <f t="shared" si="14"/>
        <v/>
      </c>
      <c r="Z165" s="1">
        <f t="shared" si="15"/>
        <v>0</v>
      </c>
    </row>
    <row r="166" spans="1:26" x14ac:dyDescent="0.3">
      <c r="A166" s="55" t="s">
        <v>1336</v>
      </c>
      <c r="B166" s="55">
        <v>135</v>
      </c>
      <c r="C166" s="121">
        <f>YEAR(Table12[[#This Row],[Date]])</f>
        <v>2025</v>
      </c>
      <c r="D166" s="55" t="s">
        <v>329</v>
      </c>
      <c r="E166" s="55" t="s">
        <v>329</v>
      </c>
      <c r="F166" s="122" t="str">
        <f>TEXT(Table12[[#This Row],[Date]],"mmm-yy")</f>
        <v>Sep-25</v>
      </c>
      <c r="G166" s="121">
        <f t="shared" si="13"/>
        <v>30</v>
      </c>
      <c r="H166" s="123">
        <f t="shared" si="12"/>
        <v>45907</v>
      </c>
      <c r="I166" s="1">
        <v>8.0208999999999993</v>
      </c>
      <c r="J166" s="1">
        <f>'Raw Data'!K166/Inv_SY!J$2</f>
        <v>0</v>
      </c>
      <c r="K166" s="1">
        <f>'Raw Data'!L166/Inv_SY!K$2</f>
        <v>0</v>
      </c>
      <c r="L166" s="1">
        <f>'Raw Data'!M166/Inv_SY!L$2</f>
        <v>0</v>
      </c>
      <c r="M166" s="1">
        <f>'Raw Data'!N166/Inv_SY!M$2</f>
        <v>0</v>
      </c>
      <c r="N166" s="1">
        <f>'Raw Data'!O166/Inv_SY!N$2</f>
        <v>0</v>
      </c>
      <c r="O166" s="1">
        <f>'Raw Data'!P166/Inv_SY!O$2</f>
        <v>0</v>
      </c>
      <c r="P166" s="1">
        <f>'Raw Data'!Q166/Inv_SY!P$2</f>
        <v>0</v>
      </c>
      <c r="Q166" s="1">
        <f>'Raw Data'!R166/Inv_SY!Q$2</f>
        <v>0</v>
      </c>
      <c r="R166" s="1">
        <f>'Raw Data'!S166/Inv_SY!R$2</f>
        <v>0</v>
      </c>
      <c r="S166" s="1">
        <f>'Raw Data'!T166/Inv_SY!S$2</f>
        <v>0</v>
      </c>
      <c r="T166" s="1">
        <f>'Raw Data'!U166/Inv_SY!T$2</f>
        <v>0</v>
      </c>
      <c r="U166" s="1">
        <f>'Raw Data'!V166/Inv_SY!U$2</f>
        <v>0</v>
      </c>
      <c r="V166" s="1">
        <f>'Raw Data'!W166/Inv_SY!V$2</f>
        <v>0</v>
      </c>
      <c r="W166" s="1">
        <f>'Raw Data'!X166/Inv_SY!W$2</f>
        <v>0</v>
      </c>
      <c r="X166" s="1">
        <f>'Raw Data'!Y166/Inv_SY!X$2</f>
        <v>0</v>
      </c>
      <c r="Y166" s="1" t="str">
        <f t="shared" si="14"/>
        <v/>
      </c>
      <c r="Z166" s="1">
        <f t="shared" si="15"/>
        <v>0</v>
      </c>
    </row>
    <row r="167" spans="1:26" x14ac:dyDescent="0.3">
      <c r="A167" s="55" t="s">
        <v>1337</v>
      </c>
      <c r="B167" s="55">
        <v>136</v>
      </c>
      <c r="C167" s="121">
        <f>YEAR(Table12[[#This Row],[Date]])</f>
        <v>2025</v>
      </c>
      <c r="D167" s="55" t="s">
        <v>329</v>
      </c>
      <c r="E167" s="55" t="s">
        <v>329</v>
      </c>
      <c r="F167" s="122" t="str">
        <f>TEXT(Table12[[#This Row],[Date]],"mmm-yy")</f>
        <v>Sep-25</v>
      </c>
      <c r="G167" s="121">
        <f t="shared" si="13"/>
        <v>30</v>
      </c>
      <c r="H167" s="123">
        <f t="shared" si="12"/>
        <v>45908</v>
      </c>
      <c r="I167" s="1">
        <v>8.0208999999999993</v>
      </c>
      <c r="J167" s="1">
        <f>'Raw Data'!K167/Inv_SY!J$2</f>
        <v>0</v>
      </c>
      <c r="K167" s="1">
        <f>'Raw Data'!L167/Inv_SY!K$2</f>
        <v>0</v>
      </c>
      <c r="L167" s="1">
        <f>'Raw Data'!M167/Inv_SY!L$2</f>
        <v>0</v>
      </c>
      <c r="M167" s="1">
        <f>'Raw Data'!N167/Inv_SY!M$2</f>
        <v>0</v>
      </c>
      <c r="N167" s="1">
        <f>'Raw Data'!O167/Inv_SY!N$2</f>
        <v>0</v>
      </c>
      <c r="O167" s="1">
        <f>'Raw Data'!P167/Inv_SY!O$2</f>
        <v>0</v>
      </c>
      <c r="P167" s="1">
        <f>'Raw Data'!Q167/Inv_SY!P$2</f>
        <v>0</v>
      </c>
      <c r="Q167" s="1">
        <f>'Raw Data'!R167/Inv_SY!Q$2</f>
        <v>0</v>
      </c>
      <c r="R167" s="1">
        <f>'Raw Data'!S167/Inv_SY!R$2</f>
        <v>0</v>
      </c>
      <c r="S167" s="1">
        <f>'Raw Data'!T167/Inv_SY!S$2</f>
        <v>0</v>
      </c>
      <c r="T167" s="1">
        <f>'Raw Data'!U167/Inv_SY!T$2</f>
        <v>0</v>
      </c>
      <c r="U167" s="1">
        <f>'Raw Data'!V167/Inv_SY!U$2</f>
        <v>0</v>
      </c>
      <c r="V167" s="1">
        <f>'Raw Data'!W167/Inv_SY!V$2</f>
        <v>0</v>
      </c>
      <c r="W167" s="1">
        <f>'Raw Data'!X167/Inv_SY!W$2</f>
        <v>0</v>
      </c>
      <c r="X167" s="1">
        <f>'Raw Data'!Y167/Inv_SY!X$2</f>
        <v>0</v>
      </c>
      <c r="Y167" s="1" t="str">
        <f t="shared" si="14"/>
        <v/>
      </c>
      <c r="Z167" s="1">
        <f t="shared" si="15"/>
        <v>0</v>
      </c>
    </row>
    <row r="168" spans="1:26" x14ac:dyDescent="0.3">
      <c r="A168" s="55" t="s">
        <v>1338</v>
      </c>
      <c r="B168" s="55">
        <v>137</v>
      </c>
      <c r="C168" s="121">
        <f>YEAR(Table12[[#This Row],[Date]])</f>
        <v>2025</v>
      </c>
      <c r="D168" s="55" t="s">
        <v>329</v>
      </c>
      <c r="E168" s="55" t="s">
        <v>329</v>
      </c>
      <c r="F168" s="122" t="str">
        <f>TEXT(Table12[[#This Row],[Date]],"mmm-yy")</f>
        <v>Sep-25</v>
      </c>
      <c r="G168" s="121">
        <f t="shared" si="13"/>
        <v>30</v>
      </c>
      <c r="H168" s="123">
        <f t="shared" si="12"/>
        <v>45909</v>
      </c>
      <c r="I168" s="1">
        <v>8.0208999999999993</v>
      </c>
      <c r="J168" s="1">
        <f>'Raw Data'!K168/Inv_SY!J$2</f>
        <v>0</v>
      </c>
      <c r="K168" s="1">
        <f>'Raw Data'!L168/Inv_SY!K$2</f>
        <v>0</v>
      </c>
      <c r="L168" s="1">
        <f>'Raw Data'!M168/Inv_SY!L$2</f>
        <v>0</v>
      </c>
      <c r="M168" s="1">
        <f>'Raw Data'!N168/Inv_SY!M$2</f>
        <v>0</v>
      </c>
      <c r="N168" s="1">
        <f>'Raw Data'!O168/Inv_SY!N$2</f>
        <v>0</v>
      </c>
      <c r="O168" s="1">
        <f>'Raw Data'!P168/Inv_SY!O$2</f>
        <v>0</v>
      </c>
      <c r="P168" s="1">
        <f>'Raw Data'!Q168/Inv_SY!P$2</f>
        <v>0</v>
      </c>
      <c r="Q168" s="1">
        <f>'Raw Data'!R168/Inv_SY!Q$2</f>
        <v>0</v>
      </c>
      <c r="R168" s="1">
        <f>'Raw Data'!S168/Inv_SY!R$2</f>
        <v>0</v>
      </c>
      <c r="S168" s="1">
        <f>'Raw Data'!T168/Inv_SY!S$2</f>
        <v>0</v>
      </c>
      <c r="T168" s="1">
        <f>'Raw Data'!U168/Inv_SY!T$2</f>
        <v>0</v>
      </c>
      <c r="U168" s="1">
        <f>'Raw Data'!V168/Inv_SY!U$2</f>
        <v>0</v>
      </c>
      <c r="V168" s="1">
        <f>'Raw Data'!W168/Inv_SY!V$2</f>
        <v>0</v>
      </c>
      <c r="W168" s="1">
        <f>'Raw Data'!X168/Inv_SY!W$2</f>
        <v>0</v>
      </c>
      <c r="X168" s="1">
        <f>'Raw Data'!Y168/Inv_SY!X$2</f>
        <v>0</v>
      </c>
      <c r="Y168" s="1" t="str">
        <f t="shared" si="14"/>
        <v/>
      </c>
      <c r="Z168" s="1">
        <f t="shared" si="15"/>
        <v>0</v>
      </c>
    </row>
    <row r="169" spans="1:26" x14ac:dyDescent="0.3">
      <c r="A169" s="55" t="s">
        <v>1339</v>
      </c>
      <c r="B169" s="55">
        <v>138</v>
      </c>
      <c r="C169" s="121">
        <f>YEAR(Table12[[#This Row],[Date]])</f>
        <v>2025</v>
      </c>
      <c r="D169" s="55" t="s">
        <v>329</v>
      </c>
      <c r="E169" s="55" t="s">
        <v>329</v>
      </c>
      <c r="F169" s="122" t="str">
        <f>TEXT(Table12[[#This Row],[Date]],"mmm-yy")</f>
        <v>Sep-25</v>
      </c>
      <c r="G169" s="121">
        <f t="shared" si="13"/>
        <v>30</v>
      </c>
      <c r="H169" s="123">
        <f t="shared" si="12"/>
        <v>45910</v>
      </c>
      <c r="I169" s="1">
        <v>8.0208999999999993</v>
      </c>
      <c r="J169" s="1">
        <f>'Raw Data'!K169/Inv_SY!J$2</f>
        <v>0</v>
      </c>
      <c r="K169" s="1">
        <f>'Raw Data'!L169/Inv_SY!K$2</f>
        <v>0</v>
      </c>
      <c r="L169" s="1">
        <f>'Raw Data'!M169/Inv_SY!L$2</f>
        <v>0</v>
      </c>
      <c r="M169" s="1">
        <f>'Raw Data'!N169/Inv_SY!M$2</f>
        <v>0</v>
      </c>
      <c r="N169" s="1">
        <f>'Raw Data'!O169/Inv_SY!N$2</f>
        <v>0</v>
      </c>
      <c r="O169" s="1">
        <f>'Raw Data'!P169/Inv_SY!O$2</f>
        <v>0</v>
      </c>
      <c r="P169" s="1">
        <f>'Raw Data'!Q169/Inv_SY!P$2</f>
        <v>0</v>
      </c>
      <c r="Q169" s="1">
        <f>'Raw Data'!R169/Inv_SY!Q$2</f>
        <v>0</v>
      </c>
      <c r="R169" s="1">
        <f>'Raw Data'!S169/Inv_SY!R$2</f>
        <v>0</v>
      </c>
      <c r="S169" s="1">
        <f>'Raw Data'!T169/Inv_SY!S$2</f>
        <v>0</v>
      </c>
      <c r="T169" s="1">
        <f>'Raw Data'!U169/Inv_SY!T$2</f>
        <v>0</v>
      </c>
      <c r="U169" s="1">
        <f>'Raw Data'!V169/Inv_SY!U$2</f>
        <v>0</v>
      </c>
      <c r="V169" s="1">
        <f>'Raw Data'!W169/Inv_SY!V$2</f>
        <v>0</v>
      </c>
      <c r="W169" s="1">
        <f>'Raw Data'!X169/Inv_SY!W$2</f>
        <v>0</v>
      </c>
      <c r="X169" s="1">
        <f>'Raw Data'!Y169/Inv_SY!X$2</f>
        <v>0</v>
      </c>
      <c r="Y169" s="1" t="str">
        <f t="shared" si="14"/>
        <v/>
      </c>
      <c r="Z169" s="1">
        <f t="shared" si="15"/>
        <v>0</v>
      </c>
    </row>
    <row r="170" spans="1:26" x14ac:dyDescent="0.3">
      <c r="A170" s="55" t="s">
        <v>1340</v>
      </c>
      <c r="B170" s="55">
        <v>139</v>
      </c>
      <c r="C170" s="121">
        <f>YEAR(Table12[[#This Row],[Date]])</f>
        <v>2025</v>
      </c>
      <c r="D170" s="55" t="s">
        <v>329</v>
      </c>
      <c r="E170" s="55" t="s">
        <v>329</v>
      </c>
      <c r="F170" s="122" t="str">
        <f>TEXT(Table12[[#This Row],[Date]],"mmm-yy")</f>
        <v>Sep-25</v>
      </c>
      <c r="G170" s="121">
        <f t="shared" si="13"/>
        <v>30</v>
      </c>
      <c r="H170" s="123">
        <f t="shared" si="12"/>
        <v>45911</v>
      </c>
      <c r="I170" s="1">
        <v>8.0208999999999993</v>
      </c>
      <c r="J170" s="1">
        <f>'Raw Data'!K170/Inv_SY!J$2</f>
        <v>0</v>
      </c>
      <c r="K170" s="1">
        <f>'Raw Data'!L170/Inv_SY!K$2</f>
        <v>0</v>
      </c>
      <c r="L170" s="1">
        <f>'Raw Data'!M170/Inv_SY!L$2</f>
        <v>0</v>
      </c>
      <c r="M170" s="1">
        <f>'Raw Data'!N170/Inv_SY!M$2</f>
        <v>0</v>
      </c>
      <c r="N170" s="1">
        <f>'Raw Data'!O170/Inv_SY!N$2</f>
        <v>0</v>
      </c>
      <c r="O170" s="1">
        <f>'Raw Data'!P170/Inv_SY!O$2</f>
        <v>0</v>
      </c>
      <c r="P170" s="1">
        <f>'Raw Data'!Q170/Inv_SY!P$2</f>
        <v>0</v>
      </c>
      <c r="Q170" s="1">
        <f>'Raw Data'!R170/Inv_SY!Q$2</f>
        <v>0</v>
      </c>
      <c r="R170" s="1">
        <f>'Raw Data'!S170/Inv_SY!R$2</f>
        <v>0</v>
      </c>
      <c r="S170" s="1">
        <f>'Raw Data'!T170/Inv_SY!S$2</f>
        <v>0</v>
      </c>
      <c r="T170" s="1">
        <f>'Raw Data'!U170/Inv_SY!T$2</f>
        <v>0</v>
      </c>
      <c r="U170" s="1">
        <f>'Raw Data'!V170/Inv_SY!U$2</f>
        <v>0</v>
      </c>
      <c r="V170" s="1">
        <f>'Raw Data'!W170/Inv_SY!V$2</f>
        <v>0</v>
      </c>
      <c r="W170" s="1">
        <f>'Raw Data'!X170/Inv_SY!W$2</f>
        <v>0</v>
      </c>
      <c r="X170" s="1">
        <f>'Raw Data'!Y170/Inv_SY!X$2</f>
        <v>0</v>
      </c>
      <c r="Y170" s="1" t="str">
        <f t="shared" si="14"/>
        <v/>
      </c>
      <c r="Z170" s="1">
        <f t="shared" si="15"/>
        <v>0</v>
      </c>
    </row>
    <row r="171" spans="1:26" x14ac:dyDescent="0.3">
      <c r="A171" s="55" t="s">
        <v>1341</v>
      </c>
      <c r="B171" s="55">
        <v>140</v>
      </c>
      <c r="C171" s="121">
        <f>YEAR(Table12[[#This Row],[Date]])</f>
        <v>2025</v>
      </c>
      <c r="D171" s="55" t="s">
        <v>329</v>
      </c>
      <c r="E171" s="55" t="s">
        <v>329</v>
      </c>
      <c r="F171" s="122" t="str">
        <f>TEXT(Table12[[#This Row],[Date]],"mmm-yy")</f>
        <v>Sep-25</v>
      </c>
      <c r="G171" s="121">
        <f t="shared" si="13"/>
        <v>30</v>
      </c>
      <c r="H171" s="123">
        <f t="shared" si="12"/>
        <v>45912</v>
      </c>
      <c r="I171" s="1">
        <v>8.0208999999999993</v>
      </c>
      <c r="J171" s="1">
        <f>'Raw Data'!K171/Inv_SY!J$2</f>
        <v>0</v>
      </c>
      <c r="K171" s="1">
        <f>'Raw Data'!L171/Inv_SY!K$2</f>
        <v>0</v>
      </c>
      <c r="L171" s="1">
        <f>'Raw Data'!M171/Inv_SY!L$2</f>
        <v>0</v>
      </c>
      <c r="M171" s="1">
        <f>'Raw Data'!N171/Inv_SY!M$2</f>
        <v>0</v>
      </c>
      <c r="N171" s="1">
        <f>'Raw Data'!O171/Inv_SY!N$2</f>
        <v>0</v>
      </c>
      <c r="O171" s="1">
        <f>'Raw Data'!P171/Inv_SY!O$2</f>
        <v>0</v>
      </c>
      <c r="P171" s="1">
        <f>'Raw Data'!Q171/Inv_SY!P$2</f>
        <v>0</v>
      </c>
      <c r="Q171" s="1">
        <f>'Raw Data'!R171/Inv_SY!Q$2</f>
        <v>0</v>
      </c>
      <c r="R171" s="1">
        <f>'Raw Data'!S171/Inv_SY!R$2</f>
        <v>0</v>
      </c>
      <c r="S171" s="1">
        <f>'Raw Data'!T171/Inv_SY!S$2</f>
        <v>0</v>
      </c>
      <c r="T171" s="1">
        <f>'Raw Data'!U171/Inv_SY!T$2</f>
        <v>0</v>
      </c>
      <c r="U171" s="1">
        <f>'Raw Data'!V171/Inv_SY!U$2</f>
        <v>0</v>
      </c>
      <c r="V171" s="1">
        <f>'Raw Data'!W171/Inv_SY!V$2</f>
        <v>0</v>
      </c>
      <c r="W171" s="1">
        <f>'Raw Data'!X171/Inv_SY!W$2</f>
        <v>0</v>
      </c>
      <c r="X171" s="1">
        <f>'Raw Data'!Y171/Inv_SY!X$2</f>
        <v>0</v>
      </c>
      <c r="Y171" s="1" t="str">
        <f t="shared" si="14"/>
        <v/>
      </c>
      <c r="Z171" s="1">
        <f t="shared" si="15"/>
        <v>0</v>
      </c>
    </row>
    <row r="172" spans="1:26" x14ac:dyDescent="0.3">
      <c r="A172" s="55" t="s">
        <v>1342</v>
      </c>
      <c r="B172" s="55">
        <v>141</v>
      </c>
      <c r="C172" s="121">
        <f>YEAR(Table12[[#This Row],[Date]])</f>
        <v>2025</v>
      </c>
      <c r="D172" s="55" t="s">
        <v>329</v>
      </c>
      <c r="E172" s="55" t="s">
        <v>329</v>
      </c>
      <c r="F172" s="122" t="str">
        <f>TEXT(Table12[[#This Row],[Date]],"mmm-yy")</f>
        <v>Sep-25</v>
      </c>
      <c r="G172" s="121">
        <f t="shared" si="13"/>
        <v>30</v>
      </c>
      <c r="H172" s="123">
        <f t="shared" si="12"/>
        <v>45913</v>
      </c>
      <c r="I172" s="1">
        <v>8.0208999999999993</v>
      </c>
      <c r="J172" s="1">
        <f>'Raw Data'!K172/Inv_SY!J$2</f>
        <v>0</v>
      </c>
      <c r="K172" s="1">
        <f>'Raw Data'!L172/Inv_SY!K$2</f>
        <v>0</v>
      </c>
      <c r="L172" s="1">
        <f>'Raw Data'!M172/Inv_SY!L$2</f>
        <v>0</v>
      </c>
      <c r="M172" s="1">
        <f>'Raw Data'!N172/Inv_SY!M$2</f>
        <v>0</v>
      </c>
      <c r="N172" s="1">
        <f>'Raw Data'!O172/Inv_SY!N$2</f>
        <v>0</v>
      </c>
      <c r="O172" s="1">
        <f>'Raw Data'!P172/Inv_SY!O$2</f>
        <v>0</v>
      </c>
      <c r="P172" s="1">
        <f>'Raw Data'!Q172/Inv_SY!P$2</f>
        <v>0</v>
      </c>
      <c r="Q172" s="1">
        <f>'Raw Data'!R172/Inv_SY!Q$2</f>
        <v>0</v>
      </c>
      <c r="R172" s="1">
        <f>'Raw Data'!S172/Inv_SY!R$2</f>
        <v>0</v>
      </c>
      <c r="S172" s="1">
        <f>'Raw Data'!T172/Inv_SY!S$2</f>
        <v>0</v>
      </c>
      <c r="T172" s="1">
        <f>'Raw Data'!U172/Inv_SY!T$2</f>
        <v>0</v>
      </c>
      <c r="U172" s="1">
        <f>'Raw Data'!V172/Inv_SY!U$2</f>
        <v>0</v>
      </c>
      <c r="V172" s="1">
        <f>'Raw Data'!W172/Inv_SY!V$2</f>
        <v>0</v>
      </c>
      <c r="W172" s="1">
        <f>'Raw Data'!X172/Inv_SY!W$2</f>
        <v>0</v>
      </c>
      <c r="X172" s="1">
        <f>'Raw Data'!Y172/Inv_SY!X$2</f>
        <v>0</v>
      </c>
      <c r="Y172" s="1" t="str">
        <f t="shared" si="14"/>
        <v/>
      </c>
      <c r="Z172" s="1">
        <f t="shared" si="15"/>
        <v>0</v>
      </c>
    </row>
    <row r="173" spans="1:26" x14ac:dyDescent="0.3">
      <c r="A173" s="55" t="s">
        <v>1343</v>
      </c>
      <c r="B173" s="55">
        <v>142</v>
      </c>
      <c r="C173" s="121">
        <f>YEAR(Table12[[#This Row],[Date]])</f>
        <v>2025</v>
      </c>
      <c r="D173" s="55" t="s">
        <v>329</v>
      </c>
      <c r="E173" s="55" t="s">
        <v>329</v>
      </c>
      <c r="F173" s="122" t="str">
        <f>TEXT(Table12[[#This Row],[Date]],"mmm-yy")</f>
        <v>Sep-25</v>
      </c>
      <c r="G173" s="121">
        <f t="shared" si="13"/>
        <v>30</v>
      </c>
      <c r="H173" s="123">
        <f t="shared" si="12"/>
        <v>45914</v>
      </c>
      <c r="I173" s="1">
        <v>8.0208999999999993</v>
      </c>
      <c r="J173" s="1">
        <f>'Raw Data'!K173/Inv_SY!J$2</f>
        <v>0</v>
      </c>
      <c r="K173" s="1">
        <f>'Raw Data'!L173/Inv_SY!K$2</f>
        <v>0</v>
      </c>
      <c r="L173" s="1">
        <f>'Raw Data'!M173/Inv_SY!L$2</f>
        <v>0</v>
      </c>
      <c r="M173" s="1">
        <f>'Raw Data'!N173/Inv_SY!M$2</f>
        <v>0</v>
      </c>
      <c r="N173" s="1">
        <f>'Raw Data'!O173/Inv_SY!N$2</f>
        <v>0</v>
      </c>
      <c r="O173" s="1">
        <f>'Raw Data'!P173/Inv_SY!O$2</f>
        <v>0</v>
      </c>
      <c r="P173" s="1">
        <f>'Raw Data'!Q173/Inv_SY!P$2</f>
        <v>0</v>
      </c>
      <c r="Q173" s="1">
        <f>'Raw Data'!R173/Inv_SY!Q$2</f>
        <v>0</v>
      </c>
      <c r="R173" s="1">
        <f>'Raw Data'!S173/Inv_SY!R$2</f>
        <v>0</v>
      </c>
      <c r="S173" s="1">
        <f>'Raw Data'!T173/Inv_SY!S$2</f>
        <v>0</v>
      </c>
      <c r="T173" s="1">
        <f>'Raw Data'!U173/Inv_SY!T$2</f>
        <v>0</v>
      </c>
      <c r="U173" s="1">
        <f>'Raw Data'!V173/Inv_SY!U$2</f>
        <v>0</v>
      </c>
      <c r="V173" s="1">
        <f>'Raw Data'!W173/Inv_SY!V$2</f>
        <v>0</v>
      </c>
      <c r="W173" s="1">
        <f>'Raw Data'!X173/Inv_SY!W$2</f>
        <v>0</v>
      </c>
      <c r="X173" s="1">
        <f>'Raw Data'!Y173/Inv_SY!X$2</f>
        <v>0</v>
      </c>
      <c r="Y173" s="1" t="str">
        <f t="shared" si="14"/>
        <v/>
      </c>
      <c r="Z173" s="1">
        <f t="shared" si="15"/>
        <v>0</v>
      </c>
    </row>
    <row r="174" spans="1:26" x14ac:dyDescent="0.3">
      <c r="A174" s="55" t="s">
        <v>1344</v>
      </c>
      <c r="B174" s="55">
        <v>143</v>
      </c>
      <c r="C174" s="121">
        <f>YEAR(Table12[[#This Row],[Date]])</f>
        <v>2025</v>
      </c>
      <c r="D174" s="55" t="s">
        <v>329</v>
      </c>
      <c r="E174" s="55" t="s">
        <v>329</v>
      </c>
      <c r="F174" s="122" t="str">
        <f>TEXT(Table12[[#This Row],[Date]],"mmm-yy")</f>
        <v>Sep-25</v>
      </c>
      <c r="G174" s="121">
        <f t="shared" si="13"/>
        <v>30</v>
      </c>
      <c r="H174" s="123">
        <f t="shared" si="12"/>
        <v>45915</v>
      </c>
      <c r="I174" s="1">
        <v>8.0208999999999993</v>
      </c>
      <c r="J174" s="1">
        <f>'Raw Data'!K174/Inv_SY!J$2</f>
        <v>0</v>
      </c>
      <c r="K174" s="1">
        <f>'Raw Data'!L174/Inv_SY!K$2</f>
        <v>0</v>
      </c>
      <c r="L174" s="1">
        <f>'Raw Data'!M174/Inv_SY!L$2</f>
        <v>0</v>
      </c>
      <c r="M174" s="1">
        <f>'Raw Data'!N174/Inv_SY!M$2</f>
        <v>0</v>
      </c>
      <c r="N174" s="1">
        <f>'Raw Data'!O174/Inv_SY!N$2</f>
        <v>0</v>
      </c>
      <c r="O174" s="1">
        <f>'Raw Data'!P174/Inv_SY!O$2</f>
        <v>0</v>
      </c>
      <c r="P174" s="1">
        <f>'Raw Data'!Q174/Inv_SY!P$2</f>
        <v>0</v>
      </c>
      <c r="Q174" s="1">
        <f>'Raw Data'!R174/Inv_SY!Q$2</f>
        <v>0</v>
      </c>
      <c r="R174" s="1">
        <f>'Raw Data'!S174/Inv_SY!R$2</f>
        <v>0</v>
      </c>
      <c r="S174" s="1">
        <f>'Raw Data'!T174/Inv_SY!S$2</f>
        <v>0</v>
      </c>
      <c r="T174" s="1">
        <f>'Raw Data'!U174/Inv_SY!T$2</f>
        <v>0</v>
      </c>
      <c r="U174" s="1">
        <f>'Raw Data'!V174/Inv_SY!U$2</f>
        <v>0</v>
      </c>
      <c r="V174" s="1">
        <f>'Raw Data'!W174/Inv_SY!V$2</f>
        <v>0</v>
      </c>
      <c r="W174" s="1">
        <f>'Raw Data'!X174/Inv_SY!W$2</f>
        <v>0</v>
      </c>
      <c r="X174" s="1">
        <f>'Raw Data'!Y174/Inv_SY!X$2</f>
        <v>0</v>
      </c>
      <c r="Y174" s="1" t="str">
        <f t="shared" si="14"/>
        <v/>
      </c>
      <c r="Z174" s="1">
        <f t="shared" si="15"/>
        <v>0</v>
      </c>
    </row>
    <row r="175" spans="1:26" x14ac:dyDescent="0.3">
      <c r="A175" s="55" t="s">
        <v>1345</v>
      </c>
      <c r="B175" s="55">
        <v>144</v>
      </c>
      <c r="C175" s="121">
        <f>YEAR(Table12[[#This Row],[Date]])</f>
        <v>2025</v>
      </c>
      <c r="D175" s="55" t="s">
        <v>329</v>
      </c>
      <c r="E175" s="55" t="s">
        <v>329</v>
      </c>
      <c r="F175" s="122" t="str">
        <f>TEXT(Table12[[#This Row],[Date]],"mmm-yy")</f>
        <v>Sep-25</v>
      </c>
      <c r="G175" s="121">
        <f t="shared" si="13"/>
        <v>30</v>
      </c>
      <c r="H175" s="123">
        <f t="shared" si="12"/>
        <v>45916</v>
      </c>
      <c r="I175" s="1">
        <v>8.0208999999999993</v>
      </c>
      <c r="J175" s="1">
        <f>'Raw Data'!K175/Inv_SY!J$2</f>
        <v>0</v>
      </c>
      <c r="K175" s="1">
        <f>'Raw Data'!L175/Inv_SY!K$2</f>
        <v>0</v>
      </c>
      <c r="L175" s="1">
        <f>'Raw Data'!M175/Inv_SY!L$2</f>
        <v>0</v>
      </c>
      <c r="M175" s="1">
        <f>'Raw Data'!N175/Inv_SY!M$2</f>
        <v>0</v>
      </c>
      <c r="N175" s="1">
        <f>'Raw Data'!O175/Inv_SY!N$2</f>
        <v>0</v>
      </c>
      <c r="O175" s="1">
        <f>'Raw Data'!P175/Inv_SY!O$2</f>
        <v>0</v>
      </c>
      <c r="P175" s="1">
        <f>'Raw Data'!Q175/Inv_SY!P$2</f>
        <v>0</v>
      </c>
      <c r="Q175" s="1">
        <f>'Raw Data'!R175/Inv_SY!Q$2</f>
        <v>0</v>
      </c>
      <c r="R175" s="1">
        <f>'Raw Data'!S175/Inv_SY!R$2</f>
        <v>0</v>
      </c>
      <c r="S175" s="1">
        <f>'Raw Data'!T175/Inv_SY!S$2</f>
        <v>0</v>
      </c>
      <c r="T175" s="1">
        <f>'Raw Data'!U175/Inv_SY!T$2</f>
        <v>0</v>
      </c>
      <c r="U175" s="1">
        <f>'Raw Data'!V175/Inv_SY!U$2</f>
        <v>0</v>
      </c>
      <c r="V175" s="1">
        <f>'Raw Data'!W175/Inv_SY!V$2</f>
        <v>0</v>
      </c>
      <c r="W175" s="1">
        <f>'Raw Data'!X175/Inv_SY!W$2</f>
        <v>0</v>
      </c>
      <c r="X175" s="1">
        <f>'Raw Data'!Y175/Inv_SY!X$2</f>
        <v>0</v>
      </c>
      <c r="Y175" s="1" t="str">
        <f t="shared" si="14"/>
        <v/>
      </c>
      <c r="Z175" s="1">
        <f t="shared" si="15"/>
        <v>0</v>
      </c>
    </row>
    <row r="176" spans="1:26" x14ac:dyDescent="0.3">
      <c r="A176" s="55" t="s">
        <v>1346</v>
      </c>
      <c r="B176" s="55">
        <v>145</v>
      </c>
      <c r="C176" s="121">
        <f>YEAR(Table12[[#This Row],[Date]])</f>
        <v>2025</v>
      </c>
      <c r="D176" s="55" t="s">
        <v>329</v>
      </c>
      <c r="E176" s="55" t="s">
        <v>329</v>
      </c>
      <c r="F176" s="122" t="str">
        <f>TEXT(Table12[[#This Row],[Date]],"mmm-yy")</f>
        <v>Sep-25</v>
      </c>
      <c r="G176" s="121">
        <f t="shared" si="13"/>
        <v>30</v>
      </c>
      <c r="H176" s="123">
        <f t="shared" si="12"/>
        <v>45917</v>
      </c>
      <c r="I176" s="1">
        <v>8.0208999999999993</v>
      </c>
      <c r="J176" s="1">
        <f>'Raw Data'!K176/Inv_SY!J$2</f>
        <v>0</v>
      </c>
      <c r="K176" s="1">
        <f>'Raw Data'!L176/Inv_SY!K$2</f>
        <v>0</v>
      </c>
      <c r="L176" s="1">
        <f>'Raw Data'!M176/Inv_SY!L$2</f>
        <v>0</v>
      </c>
      <c r="M176" s="1">
        <f>'Raw Data'!N176/Inv_SY!M$2</f>
        <v>0</v>
      </c>
      <c r="N176" s="1">
        <f>'Raw Data'!O176/Inv_SY!N$2</f>
        <v>0</v>
      </c>
      <c r="O176" s="1">
        <f>'Raw Data'!P176/Inv_SY!O$2</f>
        <v>0</v>
      </c>
      <c r="P176" s="1">
        <f>'Raw Data'!Q176/Inv_SY!P$2</f>
        <v>0</v>
      </c>
      <c r="Q176" s="1">
        <f>'Raw Data'!R176/Inv_SY!Q$2</f>
        <v>0</v>
      </c>
      <c r="R176" s="1">
        <f>'Raw Data'!S176/Inv_SY!R$2</f>
        <v>0</v>
      </c>
      <c r="S176" s="1">
        <f>'Raw Data'!T176/Inv_SY!S$2</f>
        <v>0</v>
      </c>
      <c r="T176" s="1">
        <f>'Raw Data'!U176/Inv_SY!T$2</f>
        <v>0</v>
      </c>
      <c r="U176" s="1">
        <f>'Raw Data'!V176/Inv_SY!U$2</f>
        <v>0</v>
      </c>
      <c r="V176" s="1">
        <f>'Raw Data'!W176/Inv_SY!V$2</f>
        <v>0</v>
      </c>
      <c r="W176" s="1">
        <f>'Raw Data'!X176/Inv_SY!W$2</f>
        <v>0</v>
      </c>
      <c r="X176" s="1">
        <f>'Raw Data'!Y176/Inv_SY!X$2</f>
        <v>0</v>
      </c>
      <c r="Y176" s="1" t="str">
        <f t="shared" si="14"/>
        <v/>
      </c>
      <c r="Z176" s="1">
        <f t="shared" si="15"/>
        <v>0</v>
      </c>
    </row>
    <row r="177" spans="1:26" x14ac:dyDescent="0.3">
      <c r="A177" s="55" t="s">
        <v>1347</v>
      </c>
      <c r="B177" s="55">
        <v>146</v>
      </c>
      <c r="C177" s="121">
        <f>YEAR(Table12[[#This Row],[Date]])</f>
        <v>2025</v>
      </c>
      <c r="D177" s="55" t="s">
        <v>329</v>
      </c>
      <c r="E177" s="55" t="s">
        <v>329</v>
      </c>
      <c r="F177" s="122" t="str">
        <f>TEXT(Table12[[#This Row],[Date]],"mmm-yy")</f>
        <v>Sep-25</v>
      </c>
      <c r="G177" s="121">
        <f t="shared" si="13"/>
        <v>30</v>
      </c>
      <c r="H177" s="123">
        <f t="shared" si="12"/>
        <v>45918</v>
      </c>
      <c r="I177" s="1">
        <v>8.0208999999999993</v>
      </c>
      <c r="J177" s="1">
        <f>'Raw Data'!K177/Inv_SY!J$2</f>
        <v>0</v>
      </c>
      <c r="K177" s="1">
        <f>'Raw Data'!L177/Inv_SY!K$2</f>
        <v>0</v>
      </c>
      <c r="L177" s="1">
        <f>'Raw Data'!M177/Inv_SY!L$2</f>
        <v>0</v>
      </c>
      <c r="M177" s="1">
        <f>'Raw Data'!N177/Inv_SY!M$2</f>
        <v>0</v>
      </c>
      <c r="N177" s="1">
        <f>'Raw Data'!O177/Inv_SY!N$2</f>
        <v>0</v>
      </c>
      <c r="O177" s="1">
        <f>'Raw Data'!P177/Inv_SY!O$2</f>
        <v>0</v>
      </c>
      <c r="P177" s="1">
        <f>'Raw Data'!Q177/Inv_SY!P$2</f>
        <v>0</v>
      </c>
      <c r="Q177" s="1">
        <f>'Raw Data'!R177/Inv_SY!Q$2</f>
        <v>0</v>
      </c>
      <c r="R177" s="1">
        <f>'Raw Data'!S177/Inv_SY!R$2</f>
        <v>0</v>
      </c>
      <c r="S177" s="1">
        <f>'Raw Data'!T177/Inv_SY!S$2</f>
        <v>0</v>
      </c>
      <c r="T177" s="1">
        <f>'Raw Data'!U177/Inv_SY!T$2</f>
        <v>0</v>
      </c>
      <c r="U177" s="1">
        <f>'Raw Data'!V177/Inv_SY!U$2</f>
        <v>0</v>
      </c>
      <c r="V177" s="1">
        <f>'Raw Data'!W177/Inv_SY!V$2</f>
        <v>0</v>
      </c>
      <c r="W177" s="1">
        <f>'Raw Data'!X177/Inv_SY!W$2</f>
        <v>0</v>
      </c>
      <c r="X177" s="1">
        <f>'Raw Data'!Y177/Inv_SY!X$2</f>
        <v>0</v>
      </c>
      <c r="Y177" s="1" t="str">
        <f t="shared" si="14"/>
        <v/>
      </c>
      <c r="Z177" s="1">
        <f t="shared" si="15"/>
        <v>0</v>
      </c>
    </row>
    <row r="178" spans="1:26" x14ac:dyDescent="0.3">
      <c r="A178" s="55" t="s">
        <v>1348</v>
      </c>
      <c r="B178" s="55">
        <v>147</v>
      </c>
      <c r="C178" s="121">
        <f>YEAR(Table12[[#This Row],[Date]])</f>
        <v>2025</v>
      </c>
      <c r="D178" s="55" t="s">
        <v>329</v>
      </c>
      <c r="E178" s="55" t="s">
        <v>329</v>
      </c>
      <c r="F178" s="122" t="str">
        <f>TEXT(Table12[[#This Row],[Date]],"mmm-yy")</f>
        <v>Sep-25</v>
      </c>
      <c r="G178" s="121">
        <f t="shared" si="13"/>
        <v>30</v>
      </c>
      <c r="H178" s="123">
        <f t="shared" si="12"/>
        <v>45919</v>
      </c>
      <c r="I178" s="1">
        <v>8.0208999999999993</v>
      </c>
      <c r="J178" s="1">
        <f>'Raw Data'!K178/Inv_SY!J$2</f>
        <v>0</v>
      </c>
      <c r="K178" s="1">
        <f>'Raw Data'!L178/Inv_SY!K$2</f>
        <v>0</v>
      </c>
      <c r="L178" s="1">
        <f>'Raw Data'!M178/Inv_SY!L$2</f>
        <v>0</v>
      </c>
      <c r="M178" s="1">
        <f>'Raw Data'!N178/Inv_SY!M$2</f>
        <v>0</v>
      </c>
      <c r="N178" s="1">
        <f>'Raw Data'!O178/Inv_SY!N$2</f>
        <v>0</v>
      </c>
      <c r="O178" s="1">
        <f>'Raw Data'!P178/Inv_SY!O$2</f>
        <v>0</v>
      </c>
      <c r="P178" s="1">
        <f>'Raw Data'!Q178/Inv_SY!P$2</f>
        <v>0</v>
      </c>
      <c r="Q178" s="1">
        <f>'Raw Data'!R178/Inv_SY!Q$2</f>
        <v>0</v>
      </c>
      <c r="R178" s="1">
        <f>'Raw Data'!S178/Inv_SY!R$2</f>
        <v>0</v>
      </c>
      <c r="S178" s="1">
        <f>'Raw Data'!T178/Inv_SY!S$2</f>
        <v>0</v>
      </c>
      <c r="T178" s="1">
        <f>'Raw Data'!U178/Inv_SY!T$2</f>
        <v>0</v>
      </c>
      <c r="U178" s="1">
        <f>'Raw Data'!V178/Inv_SY!U$2</f>
        <v>0</v>
      </c>
      <c r="V178" s="1">
        <f>'Raw Data'!W178/Inv_SY!V$2</f>
        <v>0</v>
      </c>
      <c r="W178" s="1">
        <f>'Raw Data'!X178/Inv_SY!W$2</f>
        <v>0</v>
      </c>
      <c r="X178" s="1">
        <f>'Raw Data'!Y178/Inv_SY!X$2</f>
        <v>0</v>
      </c>
      <c r="Y178" s="1" t="str">
        <f t="shared" si="14"/>
        <v/>
      </c>
      <c r="Z178" s="1">
        <f t="shared" si="15"/>
        <v>0</v>
      </c>
    </row>
    <row r="179" spans="1:26" x14ac:dyDescent="0.3">
      <c r="A179" s="55" t="s">
        <v>1349</v>
      </c>
      <c r="B179" s="55">
        <v>148</v>
      </c>
      <c r="C179" s="121">
        <f>YEAR(Table12[[#This Row],[Date]])</f>
        <v>2025</v>
      </c>
      <c r="D179" s="55" t="s">
        <v>329</v>
      </c>
      <c r="E179" s="55" t="s">
        <v>329</v>
      </c>
      <c r="F179" s="122" t="str">
        <f>TEXT(Table12[[#This Row],[Date]],"mmm-yy")</f>
        <v>Sep-25</v>
      </c>
      <c r="G179" s="121">
        <f t="shared" si="13"/>
        <v>30</v>
      </c>
      <c r="H179" s="123">
        <f t="shared" si="12"/>
        <v>45920</v>
      </c>
      <c r="I179" s="1">
        <v>8.0208999999999993</v>
      </c>
      <c r="J179" s="1">
        <f>'Raw Data'!K179/Inv_SY!J$2</f>
        <v>0</v>
      </c>
      <c r="K179" s="1">
        <f>'Raw Data'!L179/Inv_SY!K$2</f>
        <v>0</v>
      </c>
      <c r="L179" s="1">
        <f>'Raw Data'!M179/Inv_SY!L$2</f>
        <v>0</v>
      </c>
      <c r="M179" s="1">
        <f>'Raw Data'!N179/Inv_SY!M$2</f>
        <v>0</v>
      </c>
      <c r="N179" s="1">
        <f>'Raw Data'!O179/Inv_SY!N$2</f>
        <v>0</v>
      </c>
      <c r="O179" s="1">
        <f>'Raw Data'!P179/Inv_SY!O$2</f>
        <v>0</v>
      </c>
      <c r="P179" s="1">
        <f>'Raw Data'!Q179/Inv_SY!P$2</f>
        <v>0</v>
      </c>
      <c r="Q179" s="1">
        <f>'Raw Data'!R179/Inv_SY!Q$2</f>
        <v>0</v>
      </c>
      <c r="R179" s="1">
        <f>'Raw Data'!S179/Inv_SY!R$2</f>
        <v>0</v>
      </c>
      <c r="S179" s="1">
        <f>'Raw Data'!T179/Inv_SY!S$2</f>
        <v>0</v>
      </c>
      <c r="T179" s="1">
        <f>'Raw Data'!U179/Inv_SY!T$2</f>
        <v>0</v>
      </c>
      <c r="U179" s="1">
        <f>'Raw Data'!V179/Inv_SY!U$2</f>
        <v>0</v>
      </c>
      <c r="V179" s="1">
        <f>'Raw Data'!W179/Inv_SY!V$2</f>
        <v>0</v>
      </c>
      <c r="W179" s="1">
        <f>'Raw Data'!X179/Inv_SY!W$2</f>
        <v>0</v>
      </c>
      <c r="X179" s="1">
        <f>'Raw Data'!Y179/Inv_SY!X$2</f>
        <v>0</v>
      </c>
      <c r="Y179" s="1" t="str">
        <f t="shared" si="14"/>
        <v/>
      </c>
      <c r="Z179" s="1">
        <f t="shared" si="15"/>
        <v>0</v>
      </c>
    </row>
    <row r="180" spans="1:26" x14ac:dyDescent="0.3">
      <c r="A180" s="55" t="s">
        <v>1350</v>
      </c>
      <c r="B180" s="55">
        <v>149</v>
      </c>
      <c r="C180" s="121">
        <f>YEAR(Table12[[#This Row],[Date]])</f>
        <v>2025</v>
      </c>
      <c r="D180" s="55" t="s">
        <v>329</v>
      </c>
      <c r="E180" s="55" t="s">
        <v>329</v>
      </c>
      <c r="F180" s="122" t="str">
        <f>TEXT(Table12[[#This Row],[Date]],"mmm-yy")</f>
        <v>Sep-25</v>
      </c>
      <c r="G180" s="121">
        <f t="shared" si="13"/>
        <v>30</v>
      </c>
      <c r="H180" s="123">
        <f t="shared" si="12"/>
        <v>45921</v>
      </c>
      <c r="I180" s="1">
        <v>8.0208999999999993</v>
      </c>
      <c r="J180" s="1">
        <f>'Raw Data'!K180/Inv_SY!J$2</f>
        <v>0</v>
      </c>
      <c r="K180" s="1">
        <f>'Raw Data'!L180/Inv_SY!K$2</f>
        <v>0</v>
      </c>
      <c r="L180" s="1">
        <f>'Raw Data'!M180/Inv_SY!L$2</f>
        <v>0</v>
      </c>
      <c r="M180" s="1">
        <f>'Raw Data'!N180/Inv_SY!M$2</f>
        <v>0</v>
      </c>
      <c r="N180" s="1">
        <f>'Raw Data'!O180/Inv_SY!N$2</f>
        <v>0</v>
      </c>
      <c r="O180" s="1">
        <f>'Raw Data'!P180/Inv_SY!O$2</f>
        <v>0</v>
      </c>
      <c r="P180" s="1">
        <f>'Raw Data'!Q180/Inv_SY!P$2</f>
        <v>0</v>
      </c>
      <c r="Q180" s="1">
        <f>'Raw Data'!R180/Inv_SY!Q$2</f>
        <v>0</v>
      </c>
      <c r="R180" s="1">
        <f>'Raw Data'!S180/Inv_SY!R$2</f>
        <v>0</v>
      </c>
      <c r="S180" s="1">
        <f>'Raw Data'!T180/Inv_SY!S$2</f>
        <v>0</v>
      </c>
      <c r="T180" s="1">
        <f>'Raw Data'!U180/Inv_SY!T$2</f>
        <v>0</v>
      </c>
      <c r="U180" s="1">
        <f>'Raw Data'!V180/Inv_SY!U$2</f>
        <v>0</v>
      </c>
      <c r="V180" s="1">
        <f>'Raw Data'!W180/Inv_SY!V$2</f>
        <v>0</v>
      </c>
      <c r="W180" s="1">
        <f>'Raw Data'!X180/Inv_SY!W$2</f>
        <v>0</v>
      </c>
      <c r="X180" s="1">
        <f>'Raw Data'!Y180/Inv_SY!X$2</f>
        <v>0</v>
      </c>
      <c r="Y180" s="1" t="str">
        <f t="shared" si="14"/>
        <v/>
      </c>
      <c r="Z180" s="1">
        <f t="shared" si="15"/>
        <v>0</v>
      </c>
    </row>
    <row r="181" spans="1:26" x14ac:dyDescent="0.3">
      <c r="A181" s="55" t="s">
        <v>1351</v>
      </c>
      <c r="B181" s="55">
        <v>150</v>
      </c>
      <c r="C181" s="121">
        <f>YEAR(Table12[[#This Row],[Date]])</f>
        <v>2025</v>
      </c>
      <c r="D181" s="55" t="s">
        <v>329</v>
      </c>
      <c r="E181" s="55" t="s">
        <v>329</v>
      </c>
      <c r="F181" s="122" t="str">
        <f>TEXT(Table12[[#This Row],[Date]],"mmm-yy")</f>
        <v>Sep-25</v>
      </c>
      <c r="G181" s="121">
        <f t="shared" si="13"/>
        <v>30</v>
      </c>
      <c r="H181" s="123">
        <f t="shared" si="12"/>
        <v>45922</v>
      </c>
      <c r="I181" s="1">
        <v>8.0208999999999993</v>
      </c>
      <c r="J181" s="1">
        <f>'Raw Data'!K181/Inv_SY!J$2</f>
        <v>0</v>
      </c>
      <c r="K181" s="1">
        <f>'Raw Data'!L181/Inv_SY!K$2</f>
        <v>0</v>
      </c>
      <c r="L181" s="1">
        <f>'Raw Data'!M181/Inv_SY!L$2</f>
        <v>0</v>
      </c>
      <c r="M181" s="1">
        <f>'Raw Data'!N181/Inv_SY!M$2</f>
        <v>0</v>
      </c>
      <c r="N181" s="1">
        <f>'Raw Data'!O181/Inv_SY!N$2</f>
        <v>0</v>
      </c>
      <c r="O181" s="1">
        <f>'Raw Data'!P181/Inv_SY!O$2</f>
        <v>0</v>
      </c>
      <c r="P181" s="1">
        <f>'Raw Data'!Q181/Inv_SY!P$2</f>
        <v>0</v>
      </c>
      <c r="Q181" s="1">
        <f>'Raw Data'!R181/Inv_SY!Q$2</f>
        <v>0</v>
      </c>
      <c r="R181" s="1">
        <f>'Raw Data'!S181/Inv_SY!R$2</f>
        <v>0</v>
      </c>
      <c r="S181" s="1">
        <f>'Raw Data'!T181/Inv_SY!S$2</f>
        <v>0</v>
      </c>
      <c r="T181" s="1">
        <f>'Raw Data'!U181/Inv_SY!T$2</f>
        <v>0</v>
      </c>
      <c r="U181" s="1">
        <f>'Raw Data'!V181/Inv_SY!U$2</f>
        <v>0</v>
      </c>
      <c r="V181" s="1">
        <f>'Raw Data'!W181/Inv_SY!V$2</f>
        <v>0</v>
      </c>
      <c r="W181" s="1">
        <f>'Raw Data'!X181/Inv_SY!W$2</f>
        <v>0</v>
      </c>
      <c r="X181" s="1">
        <f>'Raw Data'!Y181/Inv_SY!X$2</f>
        <v>0</v>
      </c>
      <c r="Y181" s="1" t="str">
        <f t="shared" si="14"/>
        <v/>
      </c>
      <c r="Z181" s="1">
        <f t="shared" si="15"/>
        <v>0</v>
      </c>
    </row>
    <row r="182" spans="1:26" x14ac:dyDescent="0.3">
      <c r="A182" s="55" t="s">
        <v>1352</v>
      </c>
      <c r="B182" s="55">
        <v>151</v>
      </c>
      <c r="C182" s="121">
        <f>YEAR(Table12[[#This Row],[Date]])</f>
        <v>2025</v>
      </c>
      <c r="D182" s="55" t="s">
        <v>329</v>
      </c>
      <c r="E182" s="55" t="s">
        <v>329</v>
      </c>
      <c r="F182" s="122" t="str">
        <f>TEXT(Table12[[#This Row],[Date]],"mmm-yy")</f>
        <v>Sep-25</v>
      </c>
      <c r="G182" s="121">
        <f t="shared" si="13"/>
        <v>30</v>
      </c>
      <c r="H182" s="123">
        <f t="shared" si="12"/>
        <v>45923</v>
      </c>
      <c r="I182" s="1">
        <v>8.0208999999999993</v>
      </c>
      <c r="J182" s="1">
        <f>'Raw Data'!K182/Inv_SY!J$2</f>
        <v>0</v>
      </c>
      <c r="K182" s="1">
        <f>'Raw Data'!L182/Inv_SY!K$2</f>
        <v>0</v>
      </c>
      <c r="L182" s="1">
        <f>'Raw Data'!M182/Inv_SY!L$2</f>
        <v>0</v>
      </c>
      <c r="M182" s="1">
        <f>'Raw Data'!N182/Inv_SY!M$2</f>
        <v>0</v>
      </c>
      <c r="N182" s="1">
        <f>'Raw Data'!O182/Inv_SY!N$2</f>
        <v>0</v>
      </c>
      <c r="O182" s="1">
        <f>'Raw Data'!P182/Inv_SY!O$2</f>
        <v>0</v>
      </c>
      <c r="P182" s="1">
        <f>'Raw Data'!Q182/Inv_SY!P$2</f>
        <v>0</v>
      </c>
      <c r="Q182" s="1">
        <f>'Raw Data'!R182/Inv_SY!Q$2</f>
        <v>0</v>
      </c>
      <c r="R182" s="1">
        <f>'Raw Data'!S182/Inv_SY!R$2</f>
        <v>0</v>
      </c>
      <c r="S182" s="1">
        <f>'Raw Data'!T182/Inv_SY!S$2</f>
        <v>0</v>
      </c>
      <c r="T182" s="1">
        <f>'Raw Data'!U182/Inv_SY!T$2</f>
        <v>0</v>
      </c>
      <c r="U182" s="1">
        <f>'Raw Data'!V182/Inv_SY!U$2</f>
        <v>0</v>
      </c>
      <c r="V182" s="1">
        <f>'Raw Data'!W182/Inv_SY!V$2</f>
        <v>0</v>
      </c>
      <c r="W182" s="1">
        <f>'Raw Data'!X182/Inv_SY!W$2</f>
        <v>0</v>
      </c>
      <c r="X182" s="1">
        <f>'Raw Data'!Y182/Inv_SY!X$2</f>
        <v>0</v>
      </c>
      <c r="Y182" s="1" t="str">
        <f t="shared" si="14"/>
        <v/>
      </c>
      <c r="Z182" s="1">
        <f t="shared" si="15"/>
        <v>0</v>
      </c>
    </row>
    <row r="183" spans="1:26" x14ac:dyDescent="0.3">
      <c r="A183" s="55" t="s">
        <v>1353</v>
      </c>
      <c r="B183" s="55">
        <v>152</v>
      </c>
      <c r="C183" s="121">
        <f>YEAR(Table12[[#This Row],[Date]])</f>
        <v>2025</v>
      </c>
      <c r="D183" s="55" t="s">
        <v>329</v>
      </c>
      <c r="E183" s="55" t="s">
        <v>329</v>
      </c>
      <c r="F183" s="122" t="str">
        <f>TEXT(Table12[[#This Row],[Date]],"mmm-yy")</f>
        <v>Sep-25</v>
      </c>
      <c r="G183" s="121">
        <f t="shared" si="13"/>
        <v>30</v>
      </c>
      <c r="H183" s="123">
        <f t="shared" si="12"/>
        <v>45924</v>
      </c>
      <c r="I183" s="1">
        <v>8.0208999999999993</v>
      </c>
      <c r="J183" s="1">
        <f>'Raw Data'!K183/Inv_SY!J$2</f>
        <v>0</v>
      </c>
      <c r="K183" s="1">
        <f>'Raw Data'!L183/Inv_SY!K$2</f>
        <v>0</v>
      </c>
      <c r="L183" s="1">
        <f>'Raw Data'!M183/Inv_SY!L$2</f>
        <v>0</v>
      </c>
      <c r="M183" s="1">
        <f>'Raw Data'!N183/Inv_SY!M$2</f>
        <v>0</v>
      </c>
      <c r="N183" s="1">
        <f>'Raw Data'!O183/Inv_SY!N$2</f>
        <v>0</v>
      </c>
      <c r="O183" s="1">
        <f>'Raw Data'!P183/Inv_SY!O$2</f>
        <v>0</v>
      </c>
      <c r="P183" s="1">
        <f>'Raw Data'!Q183/Inv_SY!P$2</f>
        <v>0</v>
      </c>
      <c r="Q183" s="1">
        <f>'Raw Data'!R183/Inv_SY!Q$2</f>
        <v>0</v>
      </c>
      <c r="R183" s="1">
        <f>'Raw Data'!S183/Inv_SY!R$2</f>
        <v>0</v>
      </c>
      <c r="S183" s="1">
        <f>'Raw Data'!T183/Inv_SY!S$2</f>
        <v>0</v>
      </c>
      <c r="T183" s="1">
        <f>'Raw Data'!U183/Inv_SY!T$2</f>
        <v>0</v>
      </c>
      <c r="U183" s="1">
        <f>'Raw Data'!V183/Inv_SY!U$2</f>
        <v>0</v>
      </c>
      <c r="V183" s="1">
        <f>'Raw Data'!W183/Inv_SY!V$2</f>
        <v>0</v>
      </c>
      <c r="W183" s="1">
        <f>'Raw Data'!X183/Inv_SY!W$2</f>
        <v>0</v>
      </c>
      <c r="X183" s="1">
        <f>'Raw Data'!Y183/Inv_SY!X$2</f>
        <v>0</v>
      </c>
      <c r="Y183" s="1" t="str">
        <f t="shared" si="14"/>
        <v/>
      </c>
      <c r="Z183" s="1">
        <f t="shared" si="15"/>
        <v>0</v>
      </c>
    </row>
    <row r="184" spans="1:26" x14ac:dyDescent="0.3">
      <c r="A184" s="55" t="s">
        <v>1354</v>
      </c>
      <c r="B184" s="55">
        <v>153</v>
      </c>
      <c r="C184" s="121">
        <f>YEAR(Table12[[#This Row],[Date]])</f>
        <v>2025</v>
      </c>
      <c r="D184" s="55" t="s">
        <v>329</v>
      </c>
      <c r="E184" s="55" t="s">
        <v>329</v>
      </c>
      <c r="F184" s="122" t="str">
        <f>TEXT(Table12[[#This Row],[Date]],"mmm-yy")</f>
        <v>Sep-25</v>
      </c>
      <c r="G184" s="121">
        <f t="shared" si="13"/>
        <v>30</v>
      </c>
      <c r="H184" s="123">
        <f t="shared" si="12"/>
        <v>45925</v>
      </c>
      <c r="I184" s="1">
        <v>8.0208999999999993</v>
      </c>
      <c r="J184" s="1">
        <f>'Raw Data'!K184/Inv_SY!J$2</f>
        <v>0</v>
      </c>
      <c r="K184" s="1">
        <f>'Raw Data'!L184/Inv_SY!K$2</f>
        <v>0</v>
      </c>
      <c r="L184" s="1">
        <f>'Raw Data'!M184/Inv_SY!L$2</f>
        <v>0</v>
      </c>
      <c r="M184" s="1">
        <f>'Raw Data'!N184/Inv_SY!M$2</f>
        <v>0</v>
      </c>
      <c r="N184" s="1">
        <f>'Raw Data'!O184/Inv_SY!N$2</f>
        <v>0</v>
      </c>
      <c r="O184" s="1">
        <f>'Raw Data'!P184/Inv_SY!O$2</f>
        <v>0</v>
      </c>
      <c r="P184" s="1">
        <f>'Raw Data'!Q184/Inv_SY!P$2</f>
        <v>0</v>
      </c>
      <c r="Q184" s="1">
        <f>'Raw Data'!R184/Inv_SY!Q$2</f>
        <v>0</v>
      </c>
      <c r="R184" s="1">
        <f>'Raw Data'!S184/Inv_SY!R$2</f>
        <v>0</v>
      </c>
      <c r="S184" s="1">
        <f>'Raw Data'!T184/Inv_SY!S$2</f>
        <v>0</v>
      </c>
      <c r="T184" s="1">
        <f>'Raw Data'!U184/Inv_SY!T$2</f>
        <v>0</v>
      </c>
      <c r="U184" s="1">
        <f>'Raw Data'!V184/Inv_SY!U$2</f>
        <v>0</v>
      </c>
      <c r="V184" s="1">
        <f>'Raw Data'!W184/Inv_SY!V$2</f>
        <v>0</v>
      </c>
      <c r="W184" s="1">
        <f>'Raw Data'!X184/Inv_SY!W$2</f>
        <v>0</v>
      </c>
      <c r="X184" s="1">
        <f>'Raw Data'!Y184/Inv_SY!X$2</f>
        <v>0</v>
      </c>
      <c r="Y184" s="1" t="str">
        <f t="shared" si="14"/>
        <v/>
      </c>
      <c r="Z184" s="1">
        <f t="shared" si="15"/>
        <v>0</v>
      </c>
    </row>
    <row r="185" spans="1:26" x14ac:dyDescent="0.3">
      <c r="A185" s="55" t="s">
        <v>1355</v>
      </c>
      <c r="B185" s="55">
        <v>154</v>
      </c>
      <c r="C185" s="121">
        <f>YEAR(Table12[[#This Row],[Date]])</f>
        <v>2025</v>
      </c>
      <c r="D185" s="55" t="s">
        <v>329</v>
      </c>
      <c r="E185" s="55" t="s">
        <v>329</v>
      </c>
      <c r="F185" s="122" t="str">
        <f>TEXT(Table12[[#This Row],[Date]],"mmm-yy")</f>
        <v>Sep-25</v>
      </c>
      <c r="G185" s="121">
        <f t="shared" si="13"/>
        <v>30</v>
      </c>
      <c r="H185" s="123">
        <f t="shared" si="12"/>
        <v>45926</v>
      </c>
      <c r="I185" s="1">
        <v>8.0208999999999993</v>
      </c>
      <c r="J185" s="1">
        <f>'Raw Data'!K185/Inv_SY!J$2</f>
        <v>0</v>
      </c>
      <c r="K185" s="1">
        <f>'Raw Data'!L185/Inv_SY!K$2</f>
        <v>0</v>
      </c>
      <c r="L185" s="1">
        <f>'Raw Data'!M185/Inv_SY!L$2</f>
        <v>0</v>
      </c>
      <c r="M185" s="1">
        <f>'Raw Data'!N185/Inv_SY!M$2</f>
        <v>0</v>
      </c>
      <c r="N185" s="1">
        <f>'Raw Data'!O185/Inv_SY!N$2</f>
        <v>0</v>
      </c>
      <c r="O185" s="1">
        <f>'Raw Data'!P185/Inv_SY!O$2</f>
        <v>0</v>
      </c>
      <c r="P185" s="1">
        <f>'Raw Data'!Q185/Inv_SY!P$2</f>
        <v>0</v>
      </c>
      <c r="Q185" s="1">
        <f>'Raw Data'!R185/Inv_SY!Q$2</f>
        <v>0</v>
      </c>
      <c r="R185" s="1">
        <f>'Raw Data'!S185/Inv_SY!R$2</f>
        <v>0</v>
      </c>
      <c r="S185" s="1">
        <f>'Raw Data'!T185/Inv_SY!S$2</f>
        <v>0</v>
      </c>
      <c r="T185" s="1">
        <f>'Raw Data'!U185/Inv_SY!T$2</f>
        <v>0</v>
      </c>
      <c r="U185" s="1">
        <f>'Raw Data'!V185/Inv_SY!U$2</f>
        <v>0</v>
      </c>
      <c r="V185" s="1">
        <f>'Raw Data'!W185/Inv_SY!V$2</f>
        <v>0</v>
      </c>
      <c r="W185" s="1">
        <f>'Raw Data'!X185/Inv_SY!W$2</f>
        <v>0</v>
      </c>
      <c r="X185" s="1">
        <f>'Raw Data'!Y185/Inv_SY!X$2</f>
        <v>0</v>
      </c>
      <c r="Y185" s="1" t="str">
        <f t="shared" si="14"/>
        <v/>
      </c>
      <c r="Z185" s="1">
        <f t="shared" si="15"/>
        <v>0</v>
      </c>
    </row>
    <row r="186" spans="1:26" x14ac:dyDescent="0.3">
      <c r="A186" s="55" t="s">
        <v>1356</v>
      </c>
      <c r="B186" s="55">
        <v>155</v>
      </c>
      <c r="C186" s="121">
        <f>YEAR(Table12[[#This Row],[Date]])</f>
        <v>2025</v>
      </c>
      <c r="D186" s="55" t="s">
        <v>329</v>
      </c>
      <c r="E186" s="55" t="s">
        <v>329</v>
      </c>
      <c r="F186" s="122" t="str">
        <f>TEXT(Table12[[#This Row],[Date]],"mmm-yy")</f>
        <v>Sep-25</v>
      </c>
      <c r="G186" s="121">
        <f t="shared" si="13"/>
        <v>30</v>
      </c>
      <c r="H186" s="123">
        <f t="shared" si="12"/>
        <v>45927</v>
      </c>
      <c r="I186" s="1">
        <v>8.0208999999999993</v>
      </c>
      <c r="J186" s="1">
        <f>'Raw Data'!K186/Inv_SY!J$2</f>
        <v>0</v>
      </c>
      <c r="K186" s="1">
        <f>'Raw Data'!L186/Inv_SY!K$2</f>
        <v>0</v>
      </c>
      <c r="L186" s="1">
        <f>'Raw Data'!M186/Inv_SY!L$2</f>
        <v>0</v>
      </c>
      <c r="M186" s="1">
        <f>'Raw Data'!N186/Inv_SY!M$2</f>
        <v>0</v>
      </c>
      <c r="N186" s="1">
        <f>'Raw Data'!O186/Inv_SY!N$2</f>
        <v>0</v>
      </c>
      <c r="O186" s="1">
        <f>'Raw Data'!P186/Inv_SY!O$2</f>
        <v>0</v>
      </c>
      <c r="P186" s="1">
        <f>'Raw Data'!Q186/Inv_SY!P$2</f>
        <v>0</v>
      </c>
      <c r="Q186" s="1">
        <f>'Raw Data'!R186/Inv_SY!Q$2</f>
        <v>0</v>
      </c>
      <c r="R186" s="1">
        <f>'Raw Data'!S186/Inv_SY!R$2</f>
        <v>0</v>
      </c>
      <c r="S186" s="1">
        <f>'Raw Data'!T186/Inv_SY!S$2</f>
        <v>0</v>
      </c>
      <c r="T186" s="1">
        <f>'Raw Data'!U186/Inv_SY!T$2</f>
        <v>0</v>
      </c>
      <c r="U186" s="1">
        <f>'Raw Data'!V186/Inv_SY!U$2</f>
        <v>0</v>
      </c>
      <c r="V186" s="1">
        <f>'Raw Data'!W186/Inv_SY!V$2</f>
        <v>0</v>
      </c>
      <c r="W186" s="1">
        <f>'Raw Data'!X186/Inv_SY!W$2</f>
        <v>0</v>
      </c>
      <c r="X186" s="1">
        <f>'Raw Data'!Y186/Inv_SY!X$2</f>
        <v>0</v>
      </c>
      <c r="Y186" s="1" t="str">
        <f t="shared" si="14"/>
        <v/>
      </c>
      <c r="Z186" s="1">
        <f t="shared" si="15"/>
        <v>0</v>
      </c>
    </row>
    <row r="187" spans="1:26" x14ac:dyDescent="0.3">
      <c r="A187" s="55" t="s">
        <v>1357</v>
      </c>
      <c r="B187" s="55">
        <v>156</v>
      </c>
      <c r="C187" s="121">
        <f>YEAR(Table12[[#This Row],[Date]])</f>
        <v>2025</v>
      </c>
      <c r="D187" s="55" t="s">
        <v>329</v>
      </c>
      <c r="E187" s="55" t="s">
        <v>329</v>
      </c>
      <c r="F187" s="122" t="str">
        <f>TEXT(Table12[[#This Row],[Date]],"mmm-yy")</f>
        <v>Sep-25</v>
      </c>
      <c r="G187" s="121">
        <f t="shared" si="13"/>
        <v>30</v>
      </c>
      <c r="H187" s="123">
        <f t="shared" si="12"/>
        <v>45928</v>
      </c>
      <c r="I187" s="1">
        <v>8.0208999999999993</v>
      </c>
      <c r="J187" s="1">
        <f>'Raw Data'!K187/Inv_SY!J$2</f>
        <v>0</v>
      </c>
      <c r="K187" s="1">
        <f>'Raw Data'!L187/Inv_SY!K$2</f>
        <v>0</v>
      </c>
      <c r="L187" s="1">
        <f>'Raw Data'!M187/Inv_SY!L$2</f>
        <v>0</v>
      </c>
      <c r="M187" s="1">
        <f>'Raw Data'!N187/Inv_SY!M$2</f>
        <v>0</v>
      </c>
      <c r="N187" s="1">
        <f>'Raw Data'!O187/Inv_SY!N$2</f>
        <v>0</v>
      </c>
      <c r="O187" s="1">
        <f>'Raw Data'!P187/Inv_SY!O$2</f>
        <v>0</v>
      </c>
      <c r="P187" s="1">
        <f>'Raw Data'!Q187/Inv_SY!P$2</f>
        <v>0</v>
      </c>
      <c r="Q187" s="1">
        <f>'Raw Data'!R187/Inv_SY!Q$2</f>
        <v>0</v>
      </c>
      <c r="R187" s="1">
        <f>'Raw Data'!S187/Inv_SY!R$2</f>
        <v>0</v>
      </c>
      <c r="S187" s="1">
        <f>'Raw Data'!T187/Inv_SY!S$2</f>
        <v>0</v>
      </c>
      <c r="T187" s="1">
        <f>'Raw Data'!U187/Inv_SY!T$2</f>
        <v>0</v>
      </c>
      <c r="U187" s="1">
        <f>'Raw Data'!V187/Inv_SY!U$2</f>
        <v>0</v>
      </c>
      <c r="V187" s="1">
        <f>'Raw Data'!W187/Inv_SY!V$2</f>
        <v>0</v>
      </c>
      <c r="W187" s="1">
        <f>'Raw Data'!X187/Inv_SY!W$2</f>
        <v>0</v>
      </c>
      <c r="X187" s="1">
        <f>'Raw Data'!Y187/Inv_SY!X$2</f>
        <v>0</v>
      </c>
      <c r="Y187" s="1" t="str">
        <f t="shared" si="14"/>
        <v/>
      </c>
      <c r="Z187" s="1">
        <f t="shared" si="15"/>
        <v>0</v>
      </c>
    </row>
    <row r="188" spans="1:26" x14ac:dyDescent="0.3">
      <c r="A188" s="55" t="s">
        <v>1358</v>
      </c>
      <c r="B188" s="55">
        <v>157</v>
      </c>
      <c r="C188" s="121">
        <f>YEAR(Table12[[#This Row],[Date]])</f>
        <v>2025</v>
      </c>
      <c r="D188" s="55" t="s">
        <v>329</v>
      </c>
      <c r="E188" s="55" t="s">
        <v>329</v>
      </c>
      <c r="F188" s="122" t="str">
        <f>TEXT(Table12[[#This Row],[Date]],"mmm-yy")</f>
        <v>Sep-25</v>
      </c>
      <c r="G188" s="121">
        <f t="shared" si="13"/>
        <v>30</v>
      </c>
      <c r="H188" s="123">
        <f t="shared" si="12"/>
        <v>45929</v>
      </c>
      <c r="I188" s="1">
        <v>8.0208999999999993</v>
      </c>
      <c r="J188" s="1">
        <f>'Raw Data'!K188/Inv_SY!J$2</f>
        <v>0</v>
      </c>
      <c r="K188" s="1">
        <f>'Raw Data'!L188/Inv_SY!K$2</f>
        <v>0</v>
      </c>
      <c r="L188" s="1">
        <f>'Raw Data'!M188/Inv_SY!L$2</f>
        <v>0</v>
      </c>
      <c r="M188" s="1">
        <f>'Raw Data'!N188/Inv_SY!M$2</f>
        <v>0</v>
      </c>
      <c r="N188" s="1">
        <f>'Raw Data'!O188/Inv_SY!N$2</f>
        <v>0</v>
      </c>
      <c r="O188" s="1">
        <f>'Raw Data'!P188/Inv_SY!O$2</f>
        <v>0</v>
      </c>
      <c r="P188" s="1">
        <f>'Raw Data'!Q188/Inv_SY!P$2</f>
        <v>0</v>
      </c>
      <c r="Q188" s="1">
        <f>'Raw Data'!R188/Inv_SY!Q$2</f>
        <v>0</v>
      </c>
      <c r="R188" s="1">
        <f>'Raw Data'!S188/Inv_SY!R$2</f>
        <v>0</v>
      </c>
      <c r="S188" s="1">
        <f>'Raw Data'!T188/Inv_SY!S$2</f>
        <v>0</v>
      </c>
      <c r="T188" s="1">
        <f>'Raw Data'!U188/Inv_SY!T$2</f>
        <v>0</v>
      </c>
      <c r="U188" s="1">
        <f>'Raw Data'!V188/Inv_SY!U$2</f>
        <v>0</v>
      </c>
      <c r="V188" s="1">
        <f>'Raw Data'!W188/Inv_SY!V$2</f>
        <v>0</v>
      </c>
      <c r="W188" s="1">
        <f>'Raw Data'!X188/Inv_SY!W$2</f>
        <v>0</v>
      </c>
      <c r="X188" s="1">
        <f>'Raw Data'!Y188/Inv_SY!X$2</f>
        <v>0</v>
      </c>
      <c r="Y188" s="1" t="str">
        <f t="shared" si="14"/>
        <v/>
      </c>
      <c r="Z188" s="1">
        <f t="shared" si="15"/>
        <v>0</v>
      </c>
    </row>
    <row r="189" spans="1:26" x14ac:dyDescent="0.3">
      <c r="A189" s="55" t="s">
        <v>1359</v>
      </c>
      <c r="B189" s="55">
        <v>158</v>
      </c>
      <c r="C189" s="121">
        <f>YEAR(Table12[[#This Row],[Date]])</f>
        <v>2025</v>
      </c>
      <c r="D189" s="55" t="s">
        <v>329</v>
      </c>
      <c r="E189" s="55" t="s">
        <v>329</v>
      </c>
      <c r="F189" s="122" t="str">
        <f>TEXT(Table12[[#This Row],[Date]],"mmm-yy")</f>
        <v>Sep-25</v>
      </c>
      <c r="G189" s="121">
        <f t="shared" si="13"/>
        <v>30</v>
      </c>
      <c r="H189" s="123">
        <f t="shared" si="12"/>
        <v>45930</v>
      </c>
      <c r="I189" s="1">
        <v>8.0208999999999993</v>
      </c>
      <c r="J189" s="1">
        <f>'Raw Data'!K189/Inv_SY!J$2</f>
        <v>0</v>
      </c>
      <c r="K189" s="1">
        <f>'Raw Data'!L189/Inv_SY!K$2</f>
        <v>0</v>
      </c>
      <c r="L189" s="1">
        <f>'Raw Data'!M189/Inv_SY!L$2</f>
        <v>0</v>
      </c>
      <c r="M189" s="1">
        <f>'Raw Data'!N189/Inv_SY!M$2</f>
        <v>0</v>
      </c>
      <c r="N189" s="1">
        <f>'Raw Data'!O189/Inv_SY!N$2</f>
        <v>0</v>
      </c>
      <c r="O189" s="1">
        <f>'Raw Data'!P189/Inv_SY!O$2</f>
        <v>0</v>
      </c>
      <c r="P189" s="1">
        <f>'Raw Data'!Q189/Inv_SY!P$2</f>
        <v>0</v>
      </c>
      <c r="Q189" s="1">
        <f>'Raw Data'!R189/Inv_SY!Q$2</f>
        <v>0</v>
      </c>
      <c r="R189" s="1">
        <f>'Raw Data'!S189/Inv_SY!R$2</f>
        <v>0</v>
      </c>
      <c r="S189" s="1">
        <f>'Raw Data'!T189/Inv_SY!S$2</f>
        <v>0</v>
      </c>
      <c r="T189" s="1">
        <f>'Raw Data'!U189/Inv_SY!T$2</f>
        <v>0</v>
      </c>
      <c r="U189" s="1">
        <f>'Raw Data'!V189/Inv_SY!U$2</f>
        <v>0</v>
      </c>
      <c r="V189" s="1">
        <f>'Raw Data'!W189/Inv_SY!V$2</f>
        <v>0</v>
      </c>
      <c r="W189" s="1">
        <f>'Raw Data'!X189/Inv_SY!W$2</f>
        <v>0</v>
      </c>
      <c r="X189" s="1">
        <f>'Raw Data'!Y189/Inv_SY!X$2</f>
        <v>0</v>
      </c>
      <c r="Y189" s="1" t="str">
        <f t="shared" si="14"/>
        <v/>
      </c>
      <c r="Z189" s="1">
        <f t="shared" si="15"/>
        <v>0</v>
      </c>
    </row>
    <row r="190" spans="1:26" x14ac:dyDescent="0.3">
      <c r="A190" s="55" t="s">
        <v>1360</v>
      </c>
      <c r="B190" s="55">
        <v>159</v>
      </c>
      <c r="C190" s="121">
        <f>YEAR(Table12[[#This Row],[Date]])</f>
        <v>2025</v>
      </c>
      <c r="D190" s="55" t="s">
        <v>329</v>
      </c>
      <c r="E190" s="55" t="s">
        <v>329</v>
      </c>
      <c r="F190" s="122" t="str">
        <f>TEXT(Table12[[#This Row],[Date]],"mmm-yy")</f>
        <v>Oct-25</v>
      </c>
      <c r="G190" s="121">
        <f t="shared" si="13"/>
        <v>31</v>
      </c>
      <c r="H190" s="123">
        <f t="shared" si="12"/>
        <v>45931</v>
      </c>
      <c r="I190" s="1">
        <v>8.0208999999999993</v>
      </c>
      <c r="J190" s="1">
        <f>'Raw Data'!K190/Inv_SY!J$2</f>
        <v>0</v>
      </c>
      <c r="K190" s="1">
        <f>'Raw Data'!L190/Inv_SY!K$2</f>
        <v>0</v>
      </c>
      <c r="L190" s="1">
        <f>'Raw Data'!M190/Inv_SY!L$2</f>
        <v>0</v>
      </c>
      <c r="M190" s="1">
        <f>'Raw Data'!N190/Inv_SY!M$2</f>
        <v>0</v>
      </c>
      <c r="N190" s="1">
        <f>'Raw Data'!O190/Inv_SY!N$2</f>
        <v>0</v>
      </c>
      <c r="O190" s="1">
        <f>'Raw Data'!P190/Inv_SY!O$2</f>
        <v>0</v>
      </c>
      <c r="P190" s="1">
        <f>'Raw Data'!Q190/Inv_SY!P$2</f>
        <v>0</v>
      </c>
      <c r="Q190" s="1">
        <f>'Raw Data'!R190/Inv_SY!Q$2</f>
        <v>0</v>
      </c>
      <c r="R190" s="1">
        <f>'Raw Data'!S190/Inv_SY!R$2</f>
        <v>0</v>
      </c>
      <c r="S190" s="1">
        <f>'Raw Data'!T190/Inv_SY!S$2</f>
        <v>0</v>
      </c>
      <c r="T190" s="1">
        <f>'Raw Data'!U190/Inv_SY!T$2</f>
        <v>0</v>
      </c>
      <c r="U190" s="1">
        <f>'Raw Data'!V190/Inv_SY!U$2</f>
        <v>0</v>
      </c>
      <c r="V190" s="1">
        <f>'Raw Data'!W190/Inv_SY!V$2</f>
        <v>0</v>
      </c>
      <c r="W190" s="1">
        <f>'Raw Data'!X190/Inv_SY!W$2</f>
        <v>0</v>
      </c>
      <c r="X190" s="1">
        <f>'Raw Data'!Y190/Inv_SY!X$2</f>
        <v>0</v>
      </c>
      <c r="Y190" s="1" t="str">
        <f t="shared" si="14"/>
        <v/>
      </c>
      <c r="Z190" s="1">
        <f t="shared" si="15"/>
        <v>0</v>
      </c>
    </row>
    <row r="191" spans="1:26" x14ac:dyDescent="0.3">
      <c r="A191" s="55" t="s">
        <v>1361</v>
      </c>
      <c r="B191" s="55">
        <v>160</v>
      </c>
      <c r="C191" s="121">
        <f>YEAR(Table12[[#This Row],[Date]])</f>
        <v>2025</v>
      </c>
      <c r="D191" s="55" t="s">
        <v>329</v>
      </c>
      <c r="E191" s="55" t="s">
        <v>329</v>
      </c>
      <c r="F191" s="122" t="str">
        <f>TEXT(Table12[[#This Row],[Date]],"mmm-yy")</f>
        <v>Oct-25</v>
      </c>
      <c r="G191" s="121">
        <f t="shared" si="13"/>
        <v>31</v>
      </c>
      <c r="H191" s="123">
        <f t="shared" si="12"/>
        <v>45932</v>
      </c>
      <c r="I191" s="1">
        <v>8.0208999999999993</v>
      </c>
      <c r="J191" s="1">
        <f>'Raw Data'!K191/Inv_SY!J$2</f>
        <v>0</v>
      </c>
      <c r="K191" s="1">
        <f>'Raw Data'!L191/Inv_SY!K$2</f>
        <v>0</v>
      </c>
      <c r="L191" s="1">
        <f>'Raw Data'!M191/Inv_SY!L$2</f>
        <v>0</v>
      </c>
      <c r="M191" s="1">
        <f>'Raw Data'!N191/Inv_SY!M$2</f>
        <v>0</v>
      </c>
      <c r="N191" s="1">
        <f>'Raw Data'!O191/Inv_SY!N$2</f>
        <v>0</v>
      </c>
      <c r="O191" s="1">
        <f>'Raw Data'!P191/Inv_SY!O$2</f>
        <v>0</v>
      </c>
      <c r="P191" s="1">
        <f>'Raw Data'!Q191/Inv_SY!P$2</f>
        <v>0</v>
      </c>
      <c r="Q191" s="1">
        <f>'Raw Data'!R191/Inv_SY!Q$2</f>
        <v>0</v>
      </c>
      <c r="R191" s="1">
        <f>'Raw Data'!S191/Inv_SY!R$2</f>
        <v>0</v>
      </c>
      <c r="S191" s="1">
        <f>'Raw Data'!T191/Inv_SY!S$2</f>
        <v>0</v>
      </c>
      <c r="T191" s="1">
        <f>'Raw Data'!U191/Inv_SY!T$2</f>
        <v>0</v>
      </c>
      <c r="U191" s="1">
        <f>'Raw Data'!V191/Inv_SY!U$2</f>
        <v>0</v>
      </c>
      <c r="V191" s="1">
        <f>'Raw Data'!W191/Inv_SY!V$2</f>
        <v>0</v>
      </c>
      <c r="W191" s="1">
        <f>'Raw Data'!X191/Inv_SY!W$2</f>
        <v>0</v>
      </c>
      <c r="X191" s="1">
        <f>'Raw Data'!Y191/Inv_SY!X$2</f>
        <v>0</v>
      </c>
      <c r="Y191" s="1" t="str">
        <f t="shared" si="14"/>
        <v/>
      </c>
      <c r="Z191" s="1">
        <f t="shared" si="15"/>
        <v>0</v>
      </c>
    </row>
    <row r="192" spans="1:26" x14ac:dyDescent="0.3">
      <c r="A192" s="55" t="s">
        <v>1362</v>
      </c>
      <c r="B192" s="55">
        <v>161</v>
      </c>
      <c r="C192" s="121">
        <f>YEAR(Table12[[#This Row],[Date]])</f>
        <v>2025</v>
      </c>
      <c r="D192" s="55" t="s">
        <v>329</v>
      </c>
      <c r="E192" s="55" t="s">
        <v>329</v>
      </c>
      <c r="F192" s="122" t="str">
        <f>TEXT(Table12[[#This Row],[Date]],"mmm-yy")</f>
        <v>Oct-25</v>
      </c>
      <c r="G192" s="121">
        <f t="shared" si="13"/>
        <v>31</v>
      </c>
      <c r="H192" s="123">
        <f t="shared" si="12"/>
        <v>45933</v>
      </c>
      <c r="I192" s="1">
        <v>8.0208999999999993</v>
      </c>
      <c r="J192" s="1">
        <f>'Raw Data'!K192/Inv_SY!J$2</f>
        <v>0</v>
      </c>
      <c r="K192" s="1">
        <f>'Raw Data'!L192/Inv_SY!K$2</f>
        <v>0</v>
      </c>
      <c r="L192" s="1">
        <f>'Raw Data'!M192/Inv_SY!L$2</f>
        <v>0</v>
      </c>
      <c r="M192" s="1">
        <f>'Raw Data'!N192/Inv_SY!M$2</f>
        <v>0</v>
      </c>
      <c r="N192" s="1">
        <f>'Raw Data'!O192/Inv_SY!N$2</f>
        <v>0</v>
      </c>
      <c r="O192" s="1">
        <f>'Raw Data'!P192/Inv_SY!O$2</f>
        <v>0</v>
      </c>
      <c r="P192" s="1">
        <f>'Raw Data'!Q192/Inv_SY!P$2</f>
        <v>0</v>
      </c>
      <c r="Q192" s="1">
        <f>'Raw Data'!R192/Inv_SY!Q$2</f>
        <v>0</v>
      </c>
      <c r="R192" s="1">
        <f>'Raw Data'!S192/Inv_SY!R$2</f>
        <v>0</v>
      </c>
      <c r="S192" s="1">
        <f>'Raw Data'!T192/Inv_SY!S$2</f>
        <v>0</v>
      </c>
      <c r="T192" s="1">
        <f>'Raw Data'!U192/Inv_SY!T$2</f>
        <v>0</v>
      </c>
      <c r="U192" s="1">
        <f>'Raw Data'!V192/Inv_SY!U$2</f>
        <v>0</v>
      </c>
      <c r="V192" s="1">
        <f>'Raw Data'!W192/Inv_SY!V$2</f>
        <v>0</v>
      </c>
      <c r="W192" s="1">
        <f>'Raw Data'!X192/Inv_SY!W$2</f>
        <v>0</v>
      </c>
      <c r="X192" s="1">
        <f>'Raw Data'!Y192/Inv_SY!X$2</f>
        <v>0</v>
      </c>
      <c r="Y192" s="1" t="str">
        <f t="shared" si="14"/>
        <v/>
      </c>
      <c r="Z192" s="1">
        <f t="shared" si="15"/>
        <v>0</v>
      </c>
    </row>
    <row r="193" spans="1:26" x14ac:dyDescent="0.3">
      <c r="A193" s="55" t="s">
        <v>1363</v>
      </c>
      <c r="B193" s="55">
        <v>162</v>
      </c>
      <c r="C193" s="121">
        <f>YEAR(Table12[[#This Row],[Date]])</f>
        <v>2025</v>
      </c>
      <c r="D193" s="55" t="s">
        <v>329</v>
      </c>
      <c r="E193" s="55" t="s">
        <v>329</v>
      </c>
      <c r="F193" s="122" t="str">
        <f>TEXT(Table12[[#This Row],[Date]],"mmm-yy")</f>
        <v>Oct-25</v>
      </c>
      <c r="G193" s="121">
        <f t="shared" si="13"/>
        <v>31</v>
      </c>
      <c r="H193" s="123">
        <f t="shared" si="12"/>
        <v>45934</v>
      </c>
      <c r="I193" s="1">
        <v>8.0208999999999993</v>
      </c>
      <c r="J193" s="1">
        <f>'Raw Data'!K193/Inv_SY!J$2</f>
        <v>0</v>
      </c>
      <c r="K193" s="1">
        <f>'Raw Data'!L193/Inv_SY!K$2</f>
        <v>0</v>
      </c>
      <c r="L193" s="1">
        <f>'Raw Data'!M193/Inv_SY!L$2</f>
        <v>0</v>
      </c>
      <c r="M193" s="1">
        <f>'Raw Data'!N193/Inv_SY!M$2</f>
        <v>0</v>
      </c>
      <c r="N193" s="1">
        <f>'Raw Data'!O193/Inv_SY!N$2</f>
        <v>0</v>
      </c>
      <c r="O193" s="1">
        <f>'Raw Data'!P193/Inv_SY!O$2</f>
        <v>0</v>
      </c>
      <c r="P193" s="1">
        <f>'Raw Data'!Q193/Inv_SY!P$2</f>
        <v>0</v>
      </c>
      <c r="Q193" s="1">
        <f>'Raw Data'!R193/Inv_SY!Q$2</f>
        <v>0</v>
      </c>
      <c r="R193" s="1">
        <f>'Raw Data'!S193/Inv_SY!R$2</f>
        <v>0</v>
      </c>
      <c r="S193" s="1">
        <f>'Raw Data'!T193/Inv_SY!S$2</f>
        <v>0</v>
      </c>
      <c r="T193" s="1">
        <f>'Raw Data'!U193/Inv_SY!T$2</f>
        <v>0</v>
      </c>
      <c r="U193" s="1">
        <f>'Raw Data'!V193/Inv_SY!U$2</f>
        <v>0</v>
      </c>
      <c r="V193" s="1">
        <f>'Raw Data'!W193/Inv_SY!V$2</f>
        <v>0</v>
      </c>
      <c r="W193" s="1">
        <f>'Raw Data'!X193/Inv_SY!W$2</f>
        <v>0</v>
      </c>
      <c r="X193" s="1">
        <f>'Raw Data'!Y193/Inv_SY!X$2</f>
        <v>0</v>
      </c>
      <c r="Y193" s="1" t="str">
        <f t="shared" si="14"/>
        <v/>
      </c>
      <c r="Z193" s="1">
        <f t="shared" si="15"/>
        <v>0</v>
      </c>
    </row>
    <row r="194" spans="1:26" x14ac:dyDescent="0.3">
      <c r="A194" s="55" t="s">
        <v>1364</v>
      </c>
      <c r="B194" s="55">
        <v>163</v>
      </c>
      <c r="C194" s="121">
        <f>YEAR(Table12[[#This Row],[Date]])</f>
        <v>2025</v>
      </c>
      <c r="D194" s="55" t="s">
        <v>329</v>
      </c>
      <c r="E194" s="55" t="s">
        <v>329</v>
      </c>
      <c r="F194" s="122" t="str">
        <f>TEXT(Table12[[#This Row],[Date]],"mmm-yy")</f>
        <v>Oct-25</v>
      </c>
      <c r="G194" s="121">
        <f t="shared" si="13"/>
        <v>31</v>
      </c>
      <c r="H194" s="123">
        <f t="shared" si="12"/>
        <v>45935</v>
      </c>
      <c r="I194" s="1">
        <v>8.0208999999999993</v>
      </c>
      <c r="J194" s="1">
        <f>'Raw Data'!K194/Inv_SY!J$2</f>
        <v>0</v>
      </c>
      <c r="K194" s="1">
        <f>'Raw Data'!L194/Inv_SY!K$2</f>
        <v>0</v>
      </c>
      <c r="L194" s="1">
        <f>'Raw Data'!M194/Inv_SY!L$2</f>
        <v>0</v>
      </c>
      <c r="M194" s="1">
        <f>'Raw Data'!N194/Inv_SY!M$2</f>
        <v>0</v>
      </c>
      <c r="N194" s="1">
        <f>'Raw Data'!O194/Inv_SY!N$2</f>
        <v>0</v>
      </c>
      <c r="O194" s="1">
        <f>'Raw Data'!P194/Inv_SY!O$2</f>
        <v>0</v>
      </c>
      <c r="P194" s="1">
        <f>'Raw Data'!Q194/Inv_SY!P$2</f>
        <v>0</v>
      </c>
      <c r="Q194" s="1">
        <f>'Raw Data'!R194/Inv_SY!Q$2</f>
        <v>0</v>
      </c>
      <c r="R194" s="1">
        <f>'Raw Data'!S194/Inv_SY!R$2</f>
        <v>0</v>
      </c>
      <c r="S194" s="1">
        <f>'Raw Data'!T194/Inv_SY!S$2</f>
        <v>0</v>
      </c>
      <c r="T194" s="1">
        <f>'Raw Data'!U194/Inv_SY!T$2</f>
        <v>0</v>
      </c>
      <c r="U194" s="1">
        <f>'Raw Data'!V194/Inv_SY!U$2</f>
        <v>0</v>
      </c>
      <c r="V194" s="1">
        <f>'Raw Data'!W194/Inv_SY!V$2</f>
        <v>0</v>
      </c>
      <c r="W194" s="1">
        <f>'Raw Data'!X194/Inv_SY!W$2</f>
        <v>0</v>
      </c>
      <c r="X194" s="1">
        <f>'Raw Data'!Y194/Inv_SY!X$2</f>
        <v>0</v>
      </c>
      <c r="Y194" s="1" t="str">
        <f t="shared" si="14"/>
        <v/>
      </c>
      <c r="Z194" s="1">
        <f t="shared" si="15"/>
        <v>0</v>
      </c>
    </row>
    <row r="195" spans="1:26" x14ac:dyDescent="0.3">
      <c r="A195" s="55" t="s">
        <v>1365</v>
      </c>
      <c r="B195" s="55">
        <v>164</v>
      </c>
      <c r="C195" s="121">
        <f>YEAR(Table12[[#This Row],[Date]])</f>
        <v>2025</v>
      </c>
      <c r="D195" s="55" t="s">
        <v>329</v>
      </c>
      <c r="E195" s="55" t="s">
        <v>329</v>
      </c>
      <c r="F195" s="122" t="str">
        <f>TEXT(Table12[[#This Row],[Date]],"mmm-yy")</f>
        <v>Oct-25</v>
      </c>
      <c r="G195" s="121">
        <f t="shared" si="13"/>
        <v>31</v>
      </c>
      <c r="H195" s="123">
        <f t="shared" si="12"/>
        <v>45936</v>
      </c>
      <c r="I195" s="1">
        <v>8.0208999999999993</v>
      </c>
      <c r="J195" s="1">
        <f>'Raw Data'!K195/Inv_SY!J$2</f>
        <v>0</v>
      </c>
      <c r="K195" s="1">
        <f>'Raw Data'!L195/Inv_SY!K$2</f>
        <v>0</v>
      </c>
      <c r="L195" s="1">
        <f>'Raw Data'!M195/Inv_SY!L$2</f>
        <v>0</v>
      </c>
      <c r="M195" s="1">
        <f>'Raw Data'!N195/Inv_SY!M$2</f>
        <v>0</v>
      </c>
      <c r="N195" s="1">
        <f>'Raw Data'!O195/Inv_SY!N$2</f>
        <v>0</v>
      </c>
      <c r="O195" s="1">
        <f>'Raw Data'!P195/Inv_SY!O$2</f>
        <v>0</v>
      </c>
      <c r="P195" s="1">
        <f>'Raw Data'!Q195/Inv_SY!P$2</f>
        <v>0</v>
      </c>
      <c r="Q195" s="1">
        <f>'Raw Data'!R195/Inv_SY!Q$2</f>
        <v>0</v>
      </c>
      <c r="R195" s="1">
        <f>'Raw Data'!S195/Inv_SY!R$2</f>
        <v>0</v>
      </c>
      <c r="S195" s="1">
        <f>'Raw Data'!T195/Inv_SY!S$2</f>
        <v>0</v>
      </c>
      <c r="T195" s="1">
        <f>'Raw Data'!U195/Inv_SY!T$2</f>
        <v>0</v>
      </c>
      <c r="U195" s="1">
        <f>'Raw Data'!V195/Inv_SY!U$2</f>
        <v>0</v>
      </c>
      <c r="V195" s="1">
        <f>'Raw Data'!W195/Inv_SY!V$2</f>
        <v>0</v>
      </c>
      <c r="W195" s="1">
        <f>'Raw Data'!X195/Inv_SY!W$2</f>
        <v>0</v>
      </c>
      <c r="X195" s="1">
        <f>'Raw Data'!Y195/Inv_SY!X$2</f>
        <v>0</v>
      </c>
      <c r="Y195" s="1" t="str">
        <f t="shared" si="14"/>
        <v/>
      </c>
      <c r="Z195" s="1">
        <f t="shared" si="15"/>
        <v>0</v>
      </c>
    </row>
    <row r="196" spans="1:26" x14ac:dyDescent="0.3">
      <c r="A196" s="55" t="s">
        <v>1366</v>
      </c>
      <c r="B196" s="55">
        <v>165</v>
      </c>
      <c r="C196" s="121">
        <f>YEAR(Table12[[#This Row],[Date]])</f>
        <v>2025</v>
      </c>
      <c r="D196" s="55" t="s">
        <v>329</v>
      </c>
      <c r="E196" s="55" t="s">
        <v>329</v>
      </c>
      <c r="F196" s="122" t="str">
        <f>TEXT(Table12[[#This Row],[Date]],"mmm-yy")</f>
        <v>Oct-25</v>
      </c>
      <c r="G196" s="121">
        <f t="shared" si="13"/>
        <v>31</v>
      </c>
      <c r="H196" s="123">
        <f t="shared" si="12"/>
        <v>45937</v>
      </c>
      <c r="I196" s="1">
        <v>8.0208999999999993</v>
      </c>
      <c r="J196" s="1">
        <f>'Raw Data'!K196/Inv_SY!J$2</f>
        <v>0</v>
      </c>
      <c r="K196" s="1">
        <f>'Raw Data'!L196/Inv_SY!K$2</f>
        <v>0</v>
      </c>
      <c r="L196" s="1">
        <f>'Raw Data'!M196/Inv_SY!L$2</f>
        <v>0</v>
      </c>
      <c r="M196" s="1">
        <f>'Raw Data'!N196/Inv_SY!M$2</f>
        <v>0</v>
      </c>
      <c r="N196" s="1">
        <f>'Raw Data'!O196/Inv_SY!N$2</f>
        <v>0</v>
      </c>
      <c r="O196" s="1">
        <f>'Raw Data'!P196/Inv_SY!O$2</f>
        <v>0</v>
      </c>
      <c r="P196" s="1">
        <f>'Raw Data'!Q196/Inv_SY!P$2</f>
        <v>0</v>
      </c>
      <c r="Q196" s="1">
        <f>'Raw Data'!R196/Inv_SY!Q$2</f>
        <v>0</v>
      </c>
      <c r="R196" s="1">
        <f>'Raw Data'!S196/Inv_SY!R$2</f>
        <v>0</v>
      </c>
      <c r="S196" s="1">
        <f>'Raw Data'!T196/Inv_SY!S$2</f>
        <v>0</v>
      </c>
      <c r="T196" s="1">
        <f>'Raw Data'!U196/Inv_SY!T$2</f>
        <v>0</v>
      </c>
      <c r="U196" s="1">
        <f>'Raw Data'!V196/Inv_SY!U$2</f>
        <v>0</v>
      </c>
      <c r="V196" s="1">
        <f>'Raw Data'!W196/Inv_SY!V$2</f>
        <v>0</v>
      </c>
      <c r="W196" s="1">
        <f>'Raw Data'!X196/Inv_SY!W$2</f>
        <v>0</v>
      </c>
      <c r="X196" s="1">
        <f>'Raw Data'!Y196/Inv_SY!X$2</f>
        <v>0</v>
      </c>
      <c r="Y196" s="1" t="str">
        <f t="shared" si="14"/>
        <v/>
      </c>
      <c r="Z196" s="1">
        <f t="shared" si="15"/>
        <v>0</v>
      </c>
    </row>
    <row r="197" spans="1:26" x14ac:dyDescent="0.3">
      <c r="A197" s="55" t="s">
        <v>1367</v>
      </c>
      <c r="B197" s="55">
        <v>166</v>
      </c>
      <c r="C197" s="121">
        <f>YEAR(Table12[[#This Row],[Date]])</f>
        <v>2025</v>
      </c>
      <c r="D197" s="55" t="s">
        <v>329</v>
      </c>
      <c r="E197" s="55" t="s">
        <v>329</v>
      </c>
      <c r="F197" s="122" t="str">
        <f>TEXT(Table12[[#This Row],[Date]],"mmm-yy")</f>
        <v>Oct-25</v>
      </c>
      <c r="G197" s="121">
        <f t="shared" si="13"/>
        <v>31</v>
      </c>
      <c r="H197" s="123">
        <f t="shared" ref="H197:H260" si="16">H196+1</f>
        <v>45938</v>
      </c>
      <c r="I197" s="1">
        <v>8.0208999999999993</v>
      </c>
      <c r="J197" s="1">
        <f>'Raw Data'!K197/Inv_SY!J$2</f>
        <v>0</v>
      </c>
      <c r="K197" s="1">
        <f>'Raw Data'!L197/Inv_SY!K$2</f>
        <v>0</v>
      </c>
      <c r="L197" s="1">
        <f>'Raw Data'!M197/Inv_SY!L$2</f>
        <v>0</v>
      </c>
      <c r="M197" s="1">
        <f>'Raw Data'!N197/Inv_SY!M$2</f>
        <v>0</v>
      </c>
      <c r="N197" s="1">
        <f>'Raw Data'!O197/Inv_SY!N$2</f>
        <v>0</v>
      </c>
      <c r="O197" s="1">
        <f>'Raw Data'!P197/Inv_SY!O$2</f>
        <v>0</v>
      </c>
      <c r="P197" s="1">
        <f>'Raw Data'!Q197/Inv_SY!P$2</f>
        <v>0</v>
      </c>
      <c r="Q197" s="1">
        <f>'Raw Data'!R197/Inv_SY!Q$2</f>
        <v>0</v>
      </c>
      <c r="R197" s="1">
        <f>'Raw Data'!S197/Inv_SY!R$2</f>
        <v>0</v>
      </c>
      <c r="S197" s="1">
        <f>'Raw Data'!T197/Inv_SY!S$2</f>
        <v>0</v>
      </c>
      <c r="T197" s="1">
        <f>'Raw Data'!U197/Inv_SY!T$2</f>
        <v>0</v>
      </c>
      <c r="U197" s="1">
        <f>'Raw Data'!V197/Inv_SY!U$2</f>
        <v>0</v>
      </c>
      <c r="V197" s="1">
        <f>'Raw Data'!W197/Inv_SY!V$2</f>
        <v>0</v>
      </c>
      <c r="W197" s="1">
        <f>'Raw Data'!X197/Inv_SY!W$2</f>
        <v>0</v>
      </c>
      <c r="X197" s="1">
        <f>'Raw Data'!Y197/Inv_SY!X$2</f>
        <v>0</v>
      </c>
      <c r="Y197" s="1" t="str">
        <f t="shared" si="14"/>
        <v/>
      </c>
      <c r="Z197" s="1">
        <f t="shared" si="15"/>
        <v>0</v>
      </c>
    </row>
    <row r="198" spans="1:26" x14ac:dyDescent="0.3">
      <c r="A198" s="55" t="s">
        <v>1368</v>
      </c>
      <c r="B198" s="55">
        <v>167</v>
      </c>
      <c r="C198" s="121">
        <f>YEAR(Table12[[#This Row],[Date]])</f>
        <v>2025</v>
      </c>
      <c r="D198" s="55" t="s">
        <v>329</v>
      </c>
      <c r="E198" s="55" t="s">
        <v>329</v>
      </c>
      <c r="F198" s="122" t="str">
        <f>TEXT(Table12[[#This Row],[Date]],"mmm-yy")</f>
        <v>Oct-25</v>
      </c>
      <c r="G198" s="121">
        <f t="shared" si="13"/>
        <v>31</v>
      </c>
      <c r="H198" s="123">
        <f t="shared" si="16"/>
        <v>45939</v>
      </c>
      <c r="I198" s="1">
        <v>8.0208999999999993</v>
      </c>
      <c r="J198" s="1">
        <f>'Raw Data'!K198/Inv_SY!J$2</f>
        <v>0</v>
      </c>
      <c r="K198" s="1">
        <f>'Raw Data'!L198/Inv_SY!K$2</f>
        <v>0</v>
      </c>
      <c r="L198" s="1">
        <f>'Raw Data'!M198/Inv_SY!L$2</f>
        <v>0</v>
      </c>
      <c r="M198" s="1">
        <f>'Raw Data'!N198/Inv_SY!M$2</f>
        <v>0</v>
      </c>
      <c r="N198" s="1">
        <f>'Raw Data'!O198/Inv_SY!N$2</f>
        <v>0</v>
      </c>
      <c r="O198" s="1">
        <f>'Raw Data'!P198/Inv_SY!O$2</f>
        <v>0</v>
      </c>
      <c r="P198" s="1">
        <f>'Raw Data'!Q198/Inv_SY!P$2</f>
        <v>0</v>
      </c>
      <c r="Q198" s="1">
        <f>'Raw Data'!R198/Inv_SY!Q$2</f>
        <v>0</v>
      </c>
      <c r="R198" s="1">
        <f>'Raw Data'!S198/Inv_SY!R$2</f>
        <v>0</v>
      </c>
      <c r="S198" s="1">
        <f>'Raw Data'!T198/Inv_SY!S$2</f>
        <v>0</v>
      </c>
      <c r="T198" s="1">
        <f>'Raw Data'!U198/Inv_SY!T$2</f>
        <v>0</v>
      </c>
      <c r="U198" s="1">
        <f>'Raw Data'!V198/Inv_SY!U$2</f>
        <v>0</v>
      </c>
      <c r="V198" s="1">
        <f>'Raw Data'!W198/Inv_SY!V$2</f>
        <v>0</v>
      </c>
      <c r="W198" s="1">
        <f>'Raw Data'!X198/Inv_SY!W$2</f>
        <v>0</v>
      </c>
      <c r="X198" s="1">
        <f>'Raw Data'!Y198/Inv_SY!X$2</f>
        <v>0</v>
      </c>
      <c r="Y198" s="1" t="str">
        <f t="shared" si="14"/>
        <v/>
      </c>
      <c r="Z198" s="1">
        <f t="shared" si="15"/>
        <v>0</v>
      </c>
    </row>
    <row r="199" spans="1:26" x14ac:dyDescent="0.3">
      <c r="A199" s="55" t="s">
        <v>1369</v>
      </c>
      <c r="B199" s="55">
        <v>168</v>
      </c>
      <c r="C199" s="121">
        <f>YEAR(Table12[[#This Row],[Date]])</f>
        <v>2025</v>
      </c>
      <c r="D199" s="55" t="s">
        <v>329</v>
      </c>
      <c r="E199" s="55" t="s">
        <v>329</v>
      </c>
      <c r="F199" s="122" t="str">
        <f>TEXT(Table12[[#This Row],[Date]],"mmm-yy")</f>
        <v>Oct-25</v>
      </c>
      <c r="G199" s="121">
        <f t="shared" si="13"/>
        <v>31</v>
      </c>
      <c r="H199" s="123">
        <f t="shared" si="16"/>
        <v>45940</v>
      </c>
      <c r="I199" s="1">
        <v>8.0208999999999993</v>
      </c>
      <c r="J199" s="1">
        <f>'Raw Data'!K199/Inv_SY!J$2</f>
        <v>0</v>
      </c>
      <c r="K199" s="1">
        <f>'Raw Data'!L199/Inv_SY!K$2</f>
        <v>0</v>
      </c>
      <c r="L199" s="1">
        <f>'Raw Data'!M199/Inv_SY!L$2</f>
        <v>0</v>
      </c>
      <c r="M199" s="1">
        <f>'Raw Data'!N199/Inv_SY!M$2</f>
        <v>0</v>
      </c>
      <c r="N199" s="1">
        <f>'Raw Data'!O199/Inv_SY!N$2</f>
        <v>0</v>
      </c>
      <c r="O199" s="1">
        <f>'Raw Data'!P199/Inv_SY!O$2</f>
        <v>0</v>
      </c>
      <c r="P199" s="1">
        <f>'Raw Data'!Q199/Inv_SY!P$2</f>
        <v>0</v>
      </c>
      <c r="Q199" s="1">
        <f>'Raw Data'!R199/Inv_SY!Q$2</f>
        <v>0</v>
      </c>
      <c r="R199" s="1">
        <f>'Raw Data'!S199/Inv_SY!R$2</f>
        <v>0</v>
      </c>
      <c r="S199" s="1">
        <f>'Raw Data'!T199/Inv_SY!S$2</f>
        <v>0</v>
      </c>
      <c r="T199" s="1">
        <f>'Raw Data'!U199/Inv_SY!T$2</f>
        <v>0</v>
      </c>
      <c r="U199" s="1">
        <f>'Raw Data'!V199/Inv_SY!U$2</f>
        <v>0</v>
      </c>
      <c r="V199" s="1">
        <f>'Raw Data'!W199/Inv_SY!V$2</f>
        <v>0</v>
      </c>
      <c r="W199" s="1">
        <f>'Raw Data'!X199/Inv_SY!W$2</f>
        <v>0</v>
      </c>
      <c r="X199" s="1">
        <f>'Raw Data'!Y199/Inv_SY!X$2</f>
        <v>0</v>
      </c>
      <c r="Y199" s="1" t="str">
        <f t="shared" si="14"/>
        <v/>
      </c>
      <c r="Z199" s="1">
        <f t="shared" si="15"/>
        <v>0</v>
      </c>
    </row>
    <row r="200" spans="1:26" x14ac:dyDescent="0.3">
      <c r="A200" s="55" t="s">
        <v>1370</v>
      </c>
      <c r="B200" s="55">
        <v>169</v>
      </c>
      <c r="C200" s="121">
        <f>YEAR(Table12[[#This Row],[Date]])</f>
        <v>2025</v>
      </c>
      <c r="D200" s="55" t="s">
        <v>329</v>
      </c>
      <c r="E200" s="55" t="s">
        <v>329</v>
      </c>
      <c r="F200" s="122" t="str">
        <f>TEXT(Table12[[#This Row],[Date]],"mmm-yy")</f>
        <v>Oct-25</v>
      </c>
      <c r="G200" s="121">
        <f t="shared" si="13"/>
        <v>31</v>
      </c>
      <c r="H200" s="123">
        <f t="shared" si="16"/>
        <v>45941</v>
      </c>
      <c r="I200" s="1">
        <v>8.0208999999999993</v>
      </c>
      <c r="J200" s="1">
        <f>'Raw Data'!K200/Inv_SY!J$2</f>
        <v>0</v>
      </c>
      <c r="K200" s="1">
        <f>'Raw Data'!L200/Inv_SY!K$2</f>
        <v>0</v>
      </c>
      <c r="L200" s="1">
        <f>'Raw Data'!M200/Inv_SY!L$2</f>
        <v>0</v>
      </c>
      <c r="M200" s="1">
        <f>'Raw Data'!N200/Inv_SY!M$2</f>
        <v>0</v>
      </c>
      <c r="N200" s="1">
        <f>'Raw Data'!O200/Inv_SY!N$2</f>
        <v>0</v>
      </c>
      <c r="O200" s="1">
        <f>'Raw Data'!P200/Inv_SY!O$2</f>
        <v>0</v>
      </c>
      <c r="P200" s="1">
        <f>'Raw Data'!Q200/Inv_SY!P$2</f>
        <v>0</v>
      </c>
      <c r="Q200" s="1">
        <f>'Raw Data'!R200/Inv_SY!Q$2</f>
        <v>0</v>
      </c>
      <c r="R200" s="1">
        <f>'Raw Data'!S200/Inv_SY!R$2</f>
        <v>0</v>
      </c>
      <c r="S200" s="1">
        <f>'Raw Data'!T200/Inv_SY!S$2</f>
        <v>0</v>
      </c>
      <c r="T200" s="1">
        <f>'Raw Data'!U200/Inv_SY!T$2</f>
        <v>0</v>
      </c>
      <c r="U200" s="1">
        <f>'Raw Data'!V200/Inv_SY!U$2</f>
        <v>0</v>
      </c>
      <c r="V200" s="1">
        <f>'Raw Data'!W200/Inv_SY!V$2</f>
        <v>0</v>
      </c>
      <c r="W200" s="1">
        <f>'Raw Data'!X200/Inv_SY!W$2</f>
        <v>0</v>
      </c>
      <c r="X200" s="1">
        <f>'Raw Data'!Y200/Inv_SY!X$2</f>
        <v>0</v>
      </c>
      <c r="Y200" s="1" t="str">
        <f t="shared" si="14"/>
        <v/>
      </c>
      <c r="Z200" s="1">
        <f t="shared" si="15"/>
        <v>0</v>
      </c>
    </row>
    <row r="201" spans="1:26" x14ac:dyDescent="0.3">
      <c r="A201" s="55" t="s">
        <v>1371</v>
      </c>
      <c r="B201" s="55">
        <v>170</v>
      </c>
      <c r="C201" s="121">
        <f>YEAR(Table12[[#This Row],[Date]])</f>
        <v>2025</v>
      </c>
      <c r="D201" s="55" t="s">
        <v>329</v>
      </c>
      <c r="E201" s="55" t="s">
        <v>329</v>
      </c>
      <c r="F201" s="122" t="str">
        <f>TEXT(Table12[[#This Row],[Date]],"mmm-yy")</f>
        <v>Oct-25</v>
      </c>
      <c r="G201" s="121">
        <f t="shared" si="13"/>
        <v>31</v>
      </c>
      <c r="H201" s="123">
        <f t="shared" si="16"/>
        <v>45942</v>
      </c>
      <c r="I201" s="1">
        <v>8.0208999999999993</v>
      </c>
      <c r="J201" s="1">
        <f>'Raw Data'!K201/Inv_SY!J$2</f>
        <v>0</v>
      </c>
      <c r="K201" s="1">
        <f>'Raw Data'!L201/Inv_SY!K$2</f>
        <v>0</v>
      </c>
      <c r="L201" s="1">
        <f>'Raw Data'!M201/Inv_SY!L$2</f>
        <v>0</v>
      </c>
      <c r="M201" s="1">
        <f>'Raw Data'!N201/Inv_SY!M$2</f>
        <v>0</v>
      </c>
      <c r="N201" s="1">
        <f>'Raw Data'!O201/Inv_SY!N$2</f>
        <v>0</v>
      </c>
      <c r="O201" s="1">
        <f>'Raw Data'!P201/Inv_SY!O$2</f>
        <v>0</v>
      </c>
      <c r="P201" s="1">
        <f>'Raw Data'!Q201/Inv_SY!P$2</f>
        <v>0</v>
      </c>
      <c r="Q201" s="1">
        <f>'Raw Data'!R201/Inv_SY!Q$2</f>
        <v>0</v>
      </c>
      <c r="R201" s="1">
        <f>'Raw Data'!S201/Inv_SY!R$2</f>
        <v>0</v>
      </c>
      <c r="S201" s="1">
        <f>'Raw Data'!T201/Inv_SY!S$2</f>
        <v>0</v>
      </c>
      <c r="T201" s="1">
        <f>'Raw Data'!U201/Inv_SY!T$2</f>
        <v>0</v>
      </c>
      <c r="U201" s="1">
        <f>'Raw Data'!V201/Inv_SY!U$2</f>
        <v>0</v>
      </c>
      <c r="V201" s="1">
        <f>'Raw Data'!W201/Inv_SY!V$2</f>
        <v>0</v>
      </c>
      <c r="W201" s="1">
        <f>'Raw Data'!X201/Inv_SY!W$2</f>
        <v>0</v>
      </c>
      <c r="X201" s="1">
        <f>'Raw Data'!Y201/Inv_SY!X$2</f>
        <v>0</v>
      </c>
      <c r="Y201" s="1" t="str">
        <f t="shared" si="14"/>
        <v/>
      </c>
      <c r="Z201" s="1">
        <f t="shared" si="15"/>
        <v>0</v>
      </c>
    </row>
    <row r="202" spans="1:26" x14ac:dyDescent="0.3">
      <c r="A202" s="55" t="s">
        <v>1372</v>
      </c>
      <c r="B202" s="55">
        <v>171</v>
      </c>
      <c r="C202" s="121">
        <f>YEAR(Table12[[#This Row],[Date]])</f>
        <v>2025</v>
      </c>
      <c r="D202" s="55" t="s">
        <v>329</v>
      </c>
      <c r="E202" s="55" t="s">
        <v>329</v>
      </c>
      <c r="F202" s="122" t="str">
        <f>TEXT(Table12[[#This Row],[Date]],"mmm-yy")</f>
        <v>Oct-25</v>
      </c>
      <c r="G202" s="121">
        <f t="shared" si="13"/>
        <v>31</v>
      </c>
      <c r="H202" s="123">
        <f t="shared" si="16"/>
        <v>45943</v>
      </c>
      <c r="I202" s="1">
        <v>8.0208999999999993</v>
      </c>
      <c r="J202" s="1">
        <f>'Raw Data'!K202/Inv_SY!J$2</f>
        <v>0</v>
      </c>
      <c r="K202" s="1">
        <f>'Raw Data'!L202/Inv_SY!K$2</f>
        <v>0</v>
      </c>
      <c r="L202" s="1">
        <f>'Raw Data'!M202/Inv_SY!L$2</f>
        <v>0</v>
      </c>
      <c r="M202" s="1">
        <f>'Raw Data'!N202/Inv_SY!M$2</f>
        <v>0</v>
      </c>
      <c r="N202" s="1">
        <f>'Raw Data'!O202/Inv_SY!N$2</f>
        <v>0</v>
      </c>
      <c r="O202" s="1">
        <f>'Raw Data'!P202/Inv_SY!O$2</f>
        <v>0</v>
      </c>
      <c r="P202" s="1">
        <f>'Raw Data'!Q202/Inv_SY!P$2</f>
        <v>0</v>
      </c>
      <c r="Q202" s="1">
        <f>'Raw Data'!R202/Inv_SY!Q$2</f>
        <v>0</v>
      </c>
      <c r="R202" s="1">
        <f>'Raw Data'!S202/Inv_SY!R$2</f>
        <v>0</v>
      </c>
      <c r="S202" s="1">
        <f>'Raw Data'!T202/Inv_SY!S$2</f>
        <v>0</v>
      </c>
      <c r="T202" s="1">
        <f>'Raw Data'!U202/Inv_SY!T$2</f>
        <v>0</v>
      </c>
      <c r="U202" s="1">
        <f>'Raw Data'!V202/Inv_SY!U$2</f>
        <v>0</v>
      </c>
      <c r="V202" s="1">
        <f>'Raw Data'!W202/Inv_SY!V$2</f>
        <v>0</v>
      </c>
      <c r="W202" s="1">
        <f>'Raw Data'!X202/Inv_SY!W$2</f>
        <v>0</v>
      </c>
      <c r="X202" s="1">
        <f>'Raw Data'!Y202/Inv_SY!X$2</f>
        <v>0</v>
      </c>
      <c r="Y202" s="1" t="str">
        <f t="shared" si="14"/>
        <v/>
      </c>
      <c r="Z202" s="1">
        <f t="shared" si="15"/>
        <v>0</v>
      </c>
    </row>
    <row r="203" spans="1:26" x14ac:dyDescent="0.3">
      <c r="A203" s="55" t="s">
        <v>1373</v>
      </c>
      <c r="B203" s="55">
        <v>172</v>
      </c>
      <c r="C203" s="121">
        <f>YEAR(Table12[[#This Row],[Date]])</f>
        <v>2025</v>
      </c>
      <c r="D203" s="55" t="s">
        <v>329</v>
      </c>
      <c r="E203" s="55" t="s">
        <v>329</v>
      </c>
      <c r="F203" s="122" t="str">
        <f>TEXT(Table12[[#This Row],[Date]],"mmm-yy")</f>
        <v>Oct-25</v>
      </c>
      <c r="G203" s="121">
        <f t="shared" si="13"/>
        <v>31</v>
      </c>
      <c r="H203" s="123">
        <f t="shared" si="16"/>
        <v>45944</v>
      </c>
      <c r="I203" s="1">
        <v>8.0208999999999993</v>
      </c>
      <c r="J203" s="1">
        <f>'Raw Data'!K203/Inv_SY!J$2</f>
        <v>0</v>
      </c>
      <c r="K203" s="1">
        <f>'Raw Data'!L203/Inv_SY!K$2</f>
        <v>0</v>
      </c>
      <c r="L203" s="1">
        <f>'Raw Data'!M203/Inv_SY!L$2</f>
        <v>0</v>
      </c>
      <c r="M203" s="1">
        <f>'Raw Data'!N203/Inv_SY!M$2</f>
        <v>0</v>
      </c>
      <c r="N203" s="1">
        <f>'Raw Data'!O203/Inv_SY!N$2</f>
        <v>0</v>
      </c>
      <c r="O203" s="1">
        <f>'Raw Data'!P203/Inv_SY!O$2</f>
        <v>0</v>
      </c>
      <c r="P203" s="1">
        <f>'Raw Data'!Q203/Inv_SY!P$2</f>
        <v>0</v>
      </c>
      <c r="Q203" s="1">
        <f>'Raw Data'!R203/Inv_SY!Q$2</f>
        <v>0</v>
      </c>
      <c r="R203" s="1">
        <f>'Raw Data'!S203/Inv_SY!R$2</f>
        <v>0</v>
      </c>
      <c r="S203" s="1">
        <f>'Raw Data'!T203/Inv_SY!S$2</f>
        <v>0</v>
      </c>
      <c r="T203" s="1">
        <f>'Raw Data'!U203/Inv_SY!T$2</f>
        <v>0</v>
      </c>
      <c r="U203" s="1">
        <f>'Raw Data'!V203/Inv_SY!U$2</f>
        <v>0</v>
      </c>
      <c r="V203" s="1">
        <f>'Raw Data'!W203/Inv_SY!V$2</f>
        <v>0</v>
      </c>
      <c r="W203" s="1">
        <f>'Raw Data'!X203/Inv_SY!W$2</f>
        <v>0</v>
      </c>
      <c r="X203" s="1">
        <f>'Raw Data'!Y203/Inv_SY!X$2</f>
        <v>0</v>
      </c>
      <c r="Y203" s="1" t="str">
        <f t="shared" si="14"/>
        <v/>
      </c>
      <c r="Z203" s="1">
        <f t="shared" si="15"/>
        <v>0</v>
      </c>
    </row>
    <row r="204" spans="1:26" x14ac:dyDescent="0.3">
      <c r="A204" s="55" t="s">
        <v>1374</v>
      </c>
      <c r="B204" s="55">
        <v>173</v>
      </c>
      <c r="C204" s="121">
        <f>YEAR(Table12[[#This Row],[Date]])</f>
        <v>2025</v>
      </c>
      <c r="D204" s="55" t="s">
        <v>329</v>
      </c>
      <c r="E204" s="55" t="s">
        <v>329</v>
      </c>
      <c r="F204" s="122" t="str">
        <f>TEXT(Table12[[#This Row],[Date]],"mmm-yy")</f>
        <v>Oct-25</v>
      </c>
      <c r="G204" s="121">
        <f t="shared" si="13"/>
        <v>31</v>
      </c>
      <c r="H204" s="123">
        <f t="shared" si="16"/>
        <v>45945</v>
      </c>
      <c r="I204" s="1">
        <v>8.0208999999999993</v>
      </c>
      <c r="J204" s="1">
        <f>'Raw Data'!K204/Inv_SY!J$2</f>
        <v>0</v>
      </c>
      <c r="K204" s="1">
        <f>'Raw Data'!L204/Inv_SY!K$2</f>
        <v>0</v>
      </c>
      <c r="L204" s="1">
        <f>'Raw Data'!M204/Inv_SY!L$2</f>
        <v>0</v>
      </c>
      <c r="M204" s="1">
        <f>'Raw Data'!N204/Inv_SY!M$2</f>
        <v>0</v>
      </c>
      <c r="N204" s="1">
        <f>'Raw Data'!O204/Inv_SY!N$2</f>
        <v>0</v>
      </c>
      <c r="O204" s="1">
        <f>'Raw Data'!P204/Inv_SY!O$2</f>
        <v>0</v>
      </c>
      <c r="P204" s="1">
        <f>'Raw Data'!Q204/Inv_SY!P$2</f>
        <v>0</v>
      </c>
      <c r="Q204" s="1">
        <f>'Raw Data'!R204/Inv_SY!Q$2</f>
        <v>0</v>
      </c>
      <c r="R204" s="1">
        <f>'Raw Data'!S204/Inv_SY!R$2</f>
        <v>0</v>
      </c>
      <c r="S204" s="1">
        <f>'Raw Data'!T204/Inv_SY!S$2</f>
        <v>0</v>
      </c>
      <c r="T204" s="1">
        <f>'Raw Data'!U204/Inv_SY!T$2</f>
        <v>0</v>
      </c>
      <c r="U204" s="1">
        <f>'Raw Data'!V204/Inv_SY!U$2</f>
        <v>0</v>
      </c>
      <c r="V204" s="1">
        <f>'Raw Data'!W204/Inv_SY!V$2</f>
        <v>0</v>
      </c>
      <c r="W204" s="1">
        <f>'Raw Data'!X204/Inv_SY!W$2</f>
        <v>0</v>
      </c>
      <c r="X204" s="1">
        <f>'Raw Data'!Y204/Inv_SY!X$2</f>
        <v>0</v>
      </c>
      <c r="Y204" s="1" t="str">
        <f t="shared" si="14"/>
        <v/>
      </c>
      <c r="Z204" s="1">
        <f t="shared" si="15"/>
        <v>0</v>
      </c>
    </row>
    <row r="205" spans="1:26" x14ac:dyDescent="0.3">
      <c r="A205" s="55" t="s">
        <v>1375</v>
      </c>
      <c r="B205" s="55">
        <v>174</v>
      </c>
      <c r="C205" s="121">
        <f>YEAR(Table12[[#This Row],[Date]])</f>
        <v>2025</v>
      </c>
      <c r="D205" s="55" t="s">
        <v>329</v>
      </c>
      <c r="E205" s="55" t="s">
        <v>329</v>
      </c>
      <c r="F205" s="122" t="str">
        <f>TEXT(Table12[[#This Row],[Date]],"mmm-yy")</f>
        <v>Oct-25</v>
      </c>
      <c r="G205" s="121">
        <f t="shared" si="13"/>
        <v>31</v>
      </c>
      <c r="H205" s="123">
        <f t="shared" si="16"/>
        <v>45946</v>
      </c>
      <c r="I205" s="1">
        <v>8.0208999999999993</v>
      </c>
      <c r="J205" s="1">
        <f>'Raw Data'!K205/Inv_SY!J$2</f>
        <v>0</v>
      </c>
      <c r="K205" s="1">
        <f>'Raw Data'!L205/Inv_SY!K$2</f>
        <v>0</v>
      </c>
      <c r="L205" s="1">
        <f>'Raw Data'!M205/Inv_SY!L$2</f>
        <v>0</v>
      </c>
      <c r="M205" s="1">
        <f>'Raw Data'!N205/Inv_SY!M$2</f>
        <v>0</v>
      </c>
      <c r="N205" s="1">
        <f>'Raw Data'!O205/Inv_SY!N$2</f>
        <v>0</v>
      </c>
      <c r="O205" s="1">
        <f>'Raw Data'!P205/Inv_SY!O$2</f>
        <v>0</v>
      </c>
      <c r="P205" s="1">
        <f>'Raw Data'!Q205/Inv_SY!P$2</f>
        <v>0</v>
      </c>
      <c r="Q205" s="1">
        <f>'Raw Data'!R205/Inv_SY!Q$2</f>
        <v>0</v>
      </c>
      <c r="R205" s="1">
        <f>'Raw Data'!S205/Inv_SY!R$2</f>
        <v>0</v>
      </c>
      <c r="S205" s="1">
        <f>'Raw Data'!T205/Inv_SY!S$2</f>
        <v>0</v>
      </c>
      <c r="T205" s="1">
        <f>'Raw Data'!U205/Inv_SY!T$2</f>
        <v>0</v>
      </c>
      <c r="U205" s="1">
        <f>'Raw Data'!V205/Inv_SY!U$2</f>
        <v>0</v>
      </c>
      <c r="V205" s="1">
        <f>'Raw Data'!W205/Inv_SY!V$2</f>
        <v>0</v>
      </c>
      <c r="W205" s="1">
        <f>'Raw Data'!X205/Inv_SY!W$2</f>
        <v>0</v>
      </c>
      <c r="X205" s="1">
        <f>'Raw Data'!Y205/Inv_SY!X$2</f>
        <v>0</v>
      </c>
      <c r="Y205" s="1" t="str">
        <f t="shared" si="14"/>
        <v/>
      </c>
      <c r="Z205" s="1">
        <f t="shared" si="15"/>
        <v>0</v>
      </c>
    </row>
    <row r="206" spans="1:26" x14ac:dyDescent="0.3">
      <c r="A206" s="55" t="s">
        <v>1376</v>
      </c>
      <c r="B206" s="55">
        <v>175</v>
      </c>
      <c r="C206" s="121">
        <f>YEAR(Table12[[#This Row],[Date]])</f>
        <v>2025</v>
      </c>
      <c r="D206" s="55" t="s">
        <v>329</v>
      </c>
      <c r="E206" s="55" t="s">
        <v>329</v>
      </c>
      <c r="F206" s="122" t="str">
        <f>TEXT(Table12[[#This Row],[Date]],"mmm-yy")</f>
        <v>Oct-25</v>
      </c>
      <c r="G206" s="121">
        <f t="shared" si="13"/>
        <v>31</v>
      </c>
      <c r="H206" s="123">
        <f t="shared" si="16"/>
        <v>45947</v>
      </c>
      <c r="I206" s="1">
        <v>8.0208999999999993</v>
      </c>
      <c r="J206" s="1">
        <f>'Raw Data'!K206/Inv_SY!J$2</f>
        <v>0</v>
      </c>
      <c r="K206" s="1">
        <f>'Raw Data'!L206/Inv_SY!K$2</f>
        <v>0</v>
      </c>
      <c r="L206" s="1">
        <f>'Raw Data'!M206/Inv_SY!L$2</f>
        <v>0</v>
      </c>
      <c r="M206" s="1">
        <f>'Raw Data'!N206/Inv_SY!M$2</f>
        <v>0</v>
      </c>
      <c r="N206" s="1">
        <f>'Raw Data'!O206/Inv_SY!N$2</f>
        <v>0</v>
      </c>
      <c r="O206" s="1">
        <f>'Raw Data'!P206/Inv_SY!O$2</f>
        <v>0</v>
      </c>
      <c r="P206" s="1">
        <f>'Raw Data'!Q206/Inv_SY!P$2</f>
        <v>0</v>
      </c>
      <c r="Q206" s="1">
        <f>'Raw Data'!R206/Inv_SY!Q$2</f>
        <v>0</v>
      </c>
      <c r="R206" s="1">
        <f>'Raw Data'!S206/Inv_SY!R$2</f>
        <v>0</v>
      </c>
      <c r="S206" s="1">
        <f>'Raw Data'!T206/Inv_SY!S$2</f>
        <v>0</v>
      </c>
      <c r="T206" s="1">
        <f>'Raw Data'!U206/Inv_SY!T$2</f>
        <v>0</v>
      </c>
      <c r="U206" s="1">
        <f>'Raw Data'!V206/Inv_SY!U$2</f>
        <v>0</v>
      </c>
      <c r="V206" s="1">
        <f>'Raw Data'!W206/Inv_SY!V$2</f>
        <v>0</v>
      </c>
      <c r="W206" s="1">
        <f>'Raw Data'!X206/Inv_SY!W$2</f>
        <v>0</v>
      </c>
      <c r="X206" s="1">
        <f>'Raw Data'!Y206/Inv_SY!X$2</f>
        <v>0</v>
      </c>
      <c r="Y206" s="1" t="str">
        <f t="shared" si="14"/>
        <v/>
      </c>
      <c r="Z206" s="1">
        <f t="shared" si="15"/>
        <v>0</v>
      </c>
    </row>
    <row r="207" spans="1:26" x14ac:dyDescent="0.3">
      <c r="A207" s="55" t="s">
        <v>1377</v>
      </c>
      <c r="B207" s="55">
        <v>176</v>
      </c>
      <c r="C207" s="121">
        <f>YEAR(Table12[[#This Row],[Date]])</f>
        <v>2025</v>
      </c>
      <c r="D207" s="55" t="s">
        <v>329</v>
      </c>
      <c r="E207" s="55" t="s">
        <v>329</v>
      </c>
      <c r="F207" s="122" t="str">
        <f>TEXT(Table12[[#This Row],[Date]],"mmm-yy")</f>
        <v>Oct-25</v>
      </c>
      <c r="G207" s="121">
        <f t="shared" si="13"/>
        <v>31</v>
      </c>
      <c r="H207" s="123">
        <f t="shared" si="16"/>
        <v>45948</v>
      </c>
      <c r="I207" s="1">
        <v>8.0208999999999993</v>
      </c>
      <c r="J207" s="1">
        <f>'Raw Data'!K207/Inv_SY!J$2</f>
        <v>0</v>
      </c>
      <c r="K207" s="1">
        <f>'Raw Data'!L207/Inv_SY!K$2</f>
        <v>0</v>
      </c>
      <c r="L207" s="1">
        <f>'Raw Data'!M207/Inv_SY!L$2</f>
        <v>0</v>
      </c>
      <c r="M207" s="1">
        <f>'Raw Data'!N207/Inv_SY!M$2</f>
        <v>0</v>
      </c>
      <c r="N207" s="1">
        <f>'Raw Data'!O207/Inv_SY!N$2</f>
        <v>0</v>
      </c>
      <c r="O207" s="1">
        <f>'Raw Data'!P207/Inv_SY!O$2</f>
        <v>0</v>
      </c>
      <c r="P207" s="1">
        <f>'Raw Data'!Q207/Inv_SY!P$2</f>
        <v>0</v>
      </c>
      <c r="Q207" s="1">
        <f>'Raw Data'!R207/Inv_SY!Q$2</f>
        <v>0</v>
      </c>
      <c r="R207" s="1">
        <f>'Raw Data'!S207/Inv_SY!R$2</f>
        <v>0</v>
      </c>
      <c r="S207" s="1">
        <f>'Raw Data'!T207/Inv_SY!S$2</f>
        <v>0</v>
      </c>
      <c r="T207" s="1">
        <f>'Raw Data'!U207/Inv_SY!T$2</f>
        <v>0</v>
      </c>
      <c r="U207" s="1">
        <f>'Raw Data'!V207/Inv_SY!U$2</f>
        <v>0</v>
      </c>
      <c r="V207" s="1">
        <f>'Raw Data'!W207/Inv_SY!V$2</f>
        <v>0</v>
      </c>
      <c r="W207" s="1">
        <f>'Raw Data'!X207/Inv_SY!W$2</f>
        <v>0</v>
      </c>
      <c r="X207" s="1">
        <f>'Raw Data'!Y207/Inv_SY!X$2</f>
        <v>0</v>
      </c>
      <c r="Y207" s="1" t="str">
        <f t="shared" si="14"/>
        <v/>
      </c>
      <c r="Z207" s="1">
        <f t="shared" si="15"/>
        <v>0</v>
      </c>
    </row>
    <row r="208" spans="1:26" x14ac:dyDescent="0.3">
      <c r="A208" s="55" t="s">
        <v>1378</v>
      </c>
      <c r="B208" s="55">
        <v>177</v>
      </c>
      <c r="C208" s="121">
        <f>YEAR(Table12[[#This Row],[Date]])</f>
        <v>2025</v>
      </c>
      <c r="D208" s="55" t="s">
        <v>329</v>
      </c>
      <c r="E208" s="55" t="s">
        <v>329</v>
      </c>
      <c r="F208" s="122" t="str">
        <f>TEXT(Table12[[#This Row],[Date]],"mmm-yy")</f>
        <v>Oct-25</v>
      </c>
      <c r="G208" s="121">
        <f t="shared" si="13"/>
        <v>31</v>
      </c>
      <c r="H208" s="123">
        <f t="shared" si="16"/>
        <v>45949</v>
      </c>
      <c r="I208" s="1">
        <v>8.0208999999999993</v>
      </c>
      <c r="J208" s="1">
        <f>'Raw Data'!K208/Inv_SY!J$2</f>
        <v>0</v>
      </c>
      <c r="K208" s="1">
        <f>'Raw Data'!L208/Inv_SY!K$2</f>
        <v>0</v>
      </c>
      <c r="L208" s="1">
        <f>'Raw Data'!M208/Inv_SY!L$2</f>
        <v>0</v>
      </c>
      <c r="M208" s="1">
        <f>'Raw Data'!N208/Inv_SY!M$2</f>
        <v>0</v>
      </c>
      <c r="N208" s="1">
        <f>'Raw Data'!O208/Inv_SY!N$2</f>
        <v>0</v>
      </c>
      <c r="O208" s="1">
        <f>'Raw Data'!P208/Inv_SY!O$2</f>
        <v>0</v>
      </c>
      <c r="P208" s="1">
        <f>'Raw Data'!Q208/Inv_SY!P$2</f>
        <v>0</v>
      </c>
      <c r="Q208" s="1">
        <f>'Raw Data'!R208/Inv_SY!Q$2</f>
        <v>0</v>
      </c>
      <c r="R208" s="1">
        <f>'Raw Data'!S208/Inv_SY!R$2</f>
        <v>0</v>
      </c>
      <c r="S208" s="1">
        <f>'Raw Data'!T208/Inv_SY!S$2</f>
        <v>0</v>
      </c>
      <c r="T208" s="1">
        <f>'Raw Data'!U208/Inv_SY!T$2</f>
        <v>0</v>
      </c>
      <c r="U208" s="1">
        <f>'Raw Data'!V208/Inv_SY!U$2</f>
        <v>0</v>
      </c>
      <c r="V208" s="1">
        <f>'Raw Data'!W208/Inv_SY!V$2</f>
        <v>0</v>
      </c>
      <c r="W208" s="1">
        <f>'Raw Data'!X208/Inv_SY!W$2</f>
        <v>0</v>
      </c>
      <c r="X208" s="1">
        <f>'Raw Data'!Y208/Inv_SY!X$2</f>
        <v>0</v>
      </c>
      <c r="Y208" s="1" t="str">
        <f t="shared" si="14"/>
        <v/>
      </c>
      <c r="Z208" s="1">
        <f t="shared" si="15"/>
        <v>0</v>
      </c>
    </row>
    <row r="209" spans="1:26" x14ac:dyDescent="0.3">
      <c r="A209" s="55" t="s">
        <v>1379</v>
      </c>
      <c r="B209" s="55">
        <v>178</v>
      </c>
      <c r="C209" s="121">
        <f>YEAR(Table12[[#This Row],[Date]])</f>
        <v>2025</v>
      </c>
      <c r="D209" s="55" t="s">
        <v>329</v>
      </c>
      <c r="E209" s="55" t="s">
        <v>329</v>
      </c>
      <c r="F209" s="122" t="str">
        <f>TEXT(Table12[[#This Row],[Date]],"mmm-yy")</f>
        <v>Oct-25</v>
      </c>
      <c r="G209" s="121">
        <f t="shared" si="13"/>
        <v>31</v>
      </c>
      <c r="H209" s="123">
        <f t="shared" si="16"/>
        <v>45950</v>
      </c>
      <c r="I209" s="1">
        <v>8.0208999999999993</v>
      </c>
      <c r="J209" s="1">
        <f>'Raw Data'!K209/Inv_SY!J$2</f>
        <v>0</v>
      </c>
      <c r="K209" s="1">
        <f>'Raw Data'!L209/Inv_SY!K$2</f>
        <v>0</v>
      </c>
      <c r="L209" s="1">
        <f>'Raw Data'!M209/Inv_SY!L$2</f>
        <v>0</v>
      </c>
      <c r="M209" s="1">
        <f>'Raw Data'!N209/Inv_SY!M$2</f>
        <v>0</v>
      </c>
      <c r="N209" s="1">
        <f>'Raw Data'!O209/Inv_SY!N$2</f>
        <v>0</v>
      </c>
      <c r="O209" s="1">
        <f>'Raw Data'!P209/Inv_SY!O$2</f>
        <v>0</v>
      </c>
      <c r="P209" s="1">
        <f>'Raw Data'!Q209/Inv_SY!P$2</f>
        <v>0</v>
      </c>
      <c r="Q209" s="1">
        <f>'Raw Data'!R209/Inv_SY!Q$2</f>
        <v>0</v>
      </c>
      <c r="R209" s="1">
        <f>'Raw Data'!S209/Inv_SY!R$2</f>
        <v>0</v>
      </c>
      <c r="S209" s="1">
        <f>'Raw Data'!T209/Inv_SY!S$2</f>
        <v>0</v>
      </c>
      <c r="T209" s="1">
        <f>'Raw Data'!U209/Inv_SY!T$2</f>
        <v>0</v>
      </c>
      <c r="U209" s="1">
        <f>'Raw Data'!V209/Inv_SY!U$2</f>
        <v>0</v>
      </c>
      <c r="V209" s="1">
        <f>'Raw Data'!W209/Inv_SY!V$2</f>
        <v>0</v>
      </c>
      <c r="W209" s="1">
        <f>'Raw Data'!X209/Inv_SY!W$2</f>
        <v>0</v>
      </c>
      <c r="X209" s="1">
        <f>'Raw Data'!Y209/Inv_SY!X$2</f>
        <v>0</v>
      </c>
      <c r="Y209" s="1" t="str">
        <f t="shared" si="14"/>
        <v/>
      </c>
      <c r="Z209" s="1">
        <f t="shared" si="15"/>
        <v>0</v>
      </c>
    </row>
    <row r="210" spans="1:26" x14ac:dyDescent="0.3">
      <c r="A210" s="55" t="s">
        <v>1380</v>
      </c>
      <c r="B210" s="55">
        <v>179</v>
      </c>
      <c r="C210" s="121">
        <f>YEAR(Table12[[#This Row],[Date]])</f>
        <v>2025</v>
      </c>
      <c r="D210" s="55" t="s">
        <v>329</v>
      </c>
      <c r="E210" s="55" t="s">
        <v>329</v>
      </c>
      <c r="F210" s="122" t="str">
        <f>TEXT(Table12[[#This Row],[Date]],"mmm-yy")</f>
        <v>Oct-25</v>
      </c>
      <c r="G210" s="121">
        <f t="shared" si="13"/>
        <v>31</v>
      </c>
      <c r="H210" s="123">
        <f t="shared" si="16"/>
        <v>45951</v>
      </c>
      <c r="I210" s="1">
        <v>8.0208999999999993</v>
      </c>
      <c r="J210" s="1">
        <f>'Raw Data'!K210/Inv_SY!J$2</f>
        <v>0</v>
      </c>
      <c r="K210" s="1">
        <f>'Raw Data'!L210/Inv_SY!K$2</f>
        <v>0</v>
      </c>
      <c r="L210" s="1">
        <f>'Raw Data'!M210/Inv_SY!L$2</f>
        <v>0</v>
      </c>
      <c r="M210" s="1">
        <f>'Raw Data'!N210/Inv_SY!M$2</f>
        <v>0</v>
      </c>
      <c r="N210" s="1">
        <f>'Raw Data'!O210/Inv_SY!N$2</f>
        <v>0</v>
      </c>
      <c r="O210" s="1">
        <f>'Raw Data'!P210/Inv_SY!O$2</f>
        <v>0</v>
      </c>
      <c r="P210" s="1">
        <f>'Raw Data'!Q210/Inv_SY!P$2</f>
        <v>0</v>
      </c>
      <c r="Q210" s="1">
        <f>'Raw Data'!R210/Inv_SY!Q$2</f>
        <v>0</v>
      </c>
      <c r="R210" s="1">
        <f>'Raw Data'!S210/Inv_SY!R$2</f>
        <v>0</v>
      </c>
      <c r="S210" s="1">
        <f>'Raw Data'!T210/Inv_SY!S$2</f>
        <v>0</v>
      </c>
      <c r="T210" s="1">
        <f>'Raw Data'!U210/Inv_SY!T$2</f>
        <v>0</v>
      </c>
      <c r="U210" s="1">
        <f>'Raw Data'!V210/Inv_SY!U$2</f>
        <v>0</v>
      </c>
      <c r="V210" s="1">
        <f>'Raw Data'!W210/Inv_SY!V$2</f>
        <v>0</v>
      </c>
      <c r="W210" s="1">
        <f>'Raw Data'!X210/Inv_SY!W$2</f>
        <v>0</v>
      </c>
      <c r="X210" s="1">
        <f>'Raw Data'!Y210/Inv_SY!X$2</f>
        <v>0</v>
      </c>
      <c r="Y210" s="1" t="str">
        <f t="shared" si="14"/>
        <v/>
      </c>
      <c r="Z210" s="1">
        <f t="shared" si="15"/>
        <v>0</v>
      </c>
    </row>
    <row r="211" spans="1:26" x14ac:dyDescent="0.3">
      <c r="A211" s="55" t="s">
        <v>1381</v>
      </c>
      <c r="B211" s="55">
        <v>180</v>
      </c>
      <c r="C211" s="121">
        <f>YEAR(Table12[[#This Row],[Date]])</f>
        <v>2025</v>
      </c>
      <c r="D211" s="55" t="s">
        <v>329</v>
      </c>
      <c r="E211" s="55" t="s">
        <v>329</v>
      </c>
      <c r="F211" s="122" t="str">
        <f>TEXT(Table12[[#This Row],[Date]],"mmm-yy")</f>
        <v>Oct-25</v>
      </c>
      <c r="G211" s="121">
        <f t="shared" si="13"/>
        <v>31</v>
      </c>
      <c r="H211" s="123">
        <f t="shared" si="16"/>
        <v>45952</v>
      </c>
      <c r="I211" s="1">
        <v>8.0208999999999993</v>
      </c>
      <c r="J211" s="1">
        <f>'Raw Data'!K211/Inv_SY!J$2</f>
        <v>0</v>
      </c>
      <c r="K211" s="1">
        <f>'Raw Data'!L211/Inv_SY!K$2</f>
        <v>0</v>
      </c>
      <c r="L211" s="1">
        <f>'Raw Data'!M211/Inv_SY!L$2</f>
        <v>0</v>
      </c>
      <c r="M211" s="1">
        <f>'Raw Data'!N211/Inv_SY!M$2</f>
        <v>0</v>
      </c>
      <c r="N211" s="1">
        <f>'Raw Data'!O211/Inv_SY!N$2</f>
        <v>0</v>
      </c>
      <c r="O211" s="1">
        <f>'Raw Data'!P211/Inv_SY!O$2</f>
        <v>0</v>
      </c>
      <c r="P211" s="1">
        <f>'Raw Data'!Q211/Inv_SY!P$2</f>
        <v>0</v>
      </c>
      <c r="Q211" s="1">
        <f>'Raw Data'!R211/Inv_SY!Q$2</f>
        <v>0</v>
      </c>
      <c r="R211" s="1">
        <f>'Raw Data'!S211/Inv_SY!R$2</f>
        <v>0</v>
      </c>
      <c r="S211" s="1">
        <f>'Raw Data'!T211/Inv_SY!S$2</f>
        <v>0</v>
      </c>
      <c r="T211" s="1">
        <f>'Raw Data'!U211/Inv_SY!T$2</f>
        <v>0</v>
      </c>
      <c r="U211" s="1">
        <f>'Raw Data'!V211/Inv_SY!U$2</f>
        <v>0</v>
      </c>
      <c r="V211" s="1">
        <f>'Raw Data'!W211/Inv_SY!V$2</f>
        <v>0</v>
      </c>
      <c r="W211" s="1">
        <f>'Raw Data'!X211/Inv_SY!W$2</f>
        <v>0</v>
      </c>
      <c r="X211" s="1">
        <f>'Raw Data'!Y211/Inv_SY!X$2</f>
        <v>0</v>
      </c>
      <c r="Y211" s="1" t="str">
        <f t="shared" si="14"/>
        <v/>
      </c>
      <c r="Z211" s="1">
        <f t="shared" si="15"/>
        <v>0</v>
      </c>
    </row>
    <row r="212" spans="1:26" x14ac:dyDescent="0.3">
      <c r="A212" s="55" t="s">
        <v>1382</v>
      </c>
      <c r="B212" s="55">
        <v>181</v>
      </c>
      <c r="C212" s="121">
        <f>YEAR(Table12[[#This Row],[Date]])</f>
        <v>2025</v>
      </c>
      <c r="D212" s="55" t="s">
        <v>329</v>
      </c>
      <c r="E212" s="55" t="s">
        <v>329</v>
      </c>
      <c r="F212" s="122" t="str">
        <f>TEXT(Table12[[#This Row],[Date]],"mmm-yy")</f>
        <v>Oct-25</v>
      </c>
      <c r="G212" s="121">
        <f t="shared" si="13"/>
        <v>31</v>
      </c>
      <c r="H212" s="123">
        <f t="shared" si="16"/>
        <v>45953</v>
      </c>
      <c r="I212" s="1">
        <v>8.0208999999999993</v>
      </c>
      <c r="J212" s="1">
        <f>'Raw Data'!K212/Inv_SY!J$2</f>
        <v>0</v>
      </c>
      <c r="K212" s="1">
        <f>'Raw Data'!L212/Inv_SY!K$2</f>
        <v>0</v>
      </c>
      <c r="L212" s="1">
        <f>'Raw Data'!M212/Inv_SY!L$2</f>
        <v>0</v>
      </c>
      <c r="M212" s="1">
        <f>'Raw Data'!N212/Inv_SY!M$2</f>
        <v>0</v>
      </c>
      <c r="N212" s="1">
        <f>'Raw Data'!O212/Inv_SY!N$2</f>
        <v>0</v>
      </c>
      <c r="O212" s="1">
        <f>'Raw Data'!P212/Inv_SY!O$2</f>
        <v>0</v>
      </c>
      <c r="P212" s="1">
        <f>'Raw Data'!Q212/Inv_SY!P$2</f>
        <v>0</v>
      </c>
      <c r="Q212" s="1">
        <f>'Raw Data'!R212/Inv_SY!Q$2</f>
        <v>0</v>
      </c>
      <c r="R212" s="1">
        <f>'Raw Data'!S212/Inv_SY!R$2</f>
        <v>0</v>
      </c>
      <c r="S212" s="1">
        <f>'Raw Data'!T212/Inv_SY!S$2</f>
        <v>0</v>
      </c>
      <c r="T212" s="1">
        <f>'Raw Data'!U212/Inv_SY!T$2</f>
        <v>0</v>
      </c>
      <c r="U212" s="1">
        <f>'Raw Data'!V212/Inv_SY!U$2</f>
        <v>0</v>
      </c>
      <c r="V212" s="1">
        <f>'Raw Data'!W212/Inv_SY!V$2</f>
        <v>0</v>
      </c>
      <c r="W212" s="1">
        <f>'Raw Data'!X212/Inv_SY!W$2</f>
        <v>0</v>
      </c>
      <c r="X212" s="1">
        <f>'Raw Data'!Y212/Inv_SY!X$2</f>
        <v>0</v>
      </c>
      <c r="Y212" s="1" t="str">
        <f t="shared" si="14"/>
        <v/>
      </c>
      <c r="Z212" s="1">
        <f t="shared" si="15"/>
        <v>0</v>
      </c>
    </row>
    <row r="213" spans="1:26" x14ac:dyDescent="0.3">
      <c r="A213" s="55" t="s">
        <v>1383</v>
      </c>
      <c r="B213" s="55">
        <v>182</v>
      </c>
      <c r="C213" s="121">
        <f>YEAR(Table12[[#This Row],[Date]])</f>
        <v>2025</v>
      </c>
      <c r="D213" s="55" t="s">
        <v>329</v>
      </c>
      <c r="E213" s="55" t="s">
        <v>329</v>
      </c>
      <c r="F213" s="122" t="str">
        <f>TEXT(Table12[[#This Row],[Date]],"mmm-yy")</f>
        <v>Oct-25</v>
      </c>
      <c r="G213" s="121">
        <f t="shared" si="13"/>
        <v>31</v>
      </c>
      <c r="H213" s="123">
        <f t="shared" si="16"/>
        <v>45954</v>
      </c>
      <c r="I213" s="1">
        <v>8.0208999999999993</v>
      </c>
      <c r="J213" s="1">
        <f>'Raw Data'!K213/Inv_SY!J$2</f>
        <v>0</v>
      </c>
      <c r="K213" s="1">
        <f>'Raw Data'!L213/Inv_SY!K$2</f>
        <v>0</v>
      </c>
      <c r="L213" s="1">
        <f>'Raw Data'!M213/Inv_SY!L$2</f>
        <v>0</v>
      </c>
      <c r="M213" s="1">
        <f>'Raw Data'!N213/Inv_SY!M$2</f>
        <v>0</v>
      </c>
      <c r="N213" s="1">
        <f>'Raw Data'!O213/Inv_SY!N$2</f>
        <v>0</v>
      </c>
      <c r="O213" s="1">
        <f>'Raw Data'!P213/Inv_SY!O$2</f>
        <v>0</v>
      </c>
      <c r="P213" s="1">
        <f>'Raw Data'!Q213/Inv_SY!P$2</f>
        <v>0</v>
      </c>
      <c r="Q213" s="1">
        <f>'Raw Data'!R213/Inv_SY!Q$2</f>
        <v>0</v>
      </c>
      <c r="R213" s="1">
        <f>'Raw Data'!S213/Inv_SY!R$2</f>
        <v>0</v>
      </c>
      <c r="S213" s="1">
        <f>'Raw Data'!T213/Inv_SY!S$2</f>
        <v>0</v>
      </c>
      <c r="T213" s="1">
        <f>'Raw Data'!U213/Inv_SY!T$2</f>
        <v>0</v>
      </c>
      <c r="U213" s="1">
        <f>'Raw Data'!V213/Inv_SY!U$2</f>
        <v>0</v>
      </c>
      <c r="V213" s="1">
        <f>'Raw Data'!W213/Inv_SY!V$2</f>
        <v>0</v>
      </c>
      <c r="W213" s="1">
        <f>'Raw Data'!X213/Inv_SY!W$2</f>
        <v>0</v>
      </c>
      <c r="X213" s="1">
        <f>'Raw Data'!Y213/Inv_SY!X$2</f>
        <v>0</v>
      </c>
      <c r="Y213" s="1" t="str">
        <f t="shared" si="14"/>
        <v/>
      </c>
      <c r="Z213" s="1">
        <f t="shared" si="15"/>
        <v>0</v>
      </c>
    </row>
    <row r="214" spans="1:26" x14ac:dyDescent="0.3">
      <c r="A214" s="55" t="s">
        <v>1384</v>
      </c>
      <c r="B214" s="55">
        <v>183</v>
      </c>
      <c r="C214" s="121">
        <f>YEAR(Table12[[#This Row],[Date]])</f>
        <v>2025</v>
      </c>
      <c r="D214" s="55" t="s">
        <v>329</v>
      </c>
      <c r="E214" s="55" t="s">
        <v>329</v>
      </c>
      <c r="F214" s="122" t="str">
        <f>TEXT(Table12[[#This Row],[Date]],"mmm-yy")</f>
        <v>Oct-25</v>
      </c>
      <c r="G214" s="121">
        <f t="shared" si="13"/>
        <v>31</v>
      </c>
      <c r="H214" s="123">
        <f t="shared" si="16"/>
        <v>45955</v>
      </c>
      <c r="I214" s="1">
        <v>8.0208999999999993</v>
      </c>
      <c r="J214" s="1">
        <f>'Raw Data'!K214/Inv_SY!J$2</f>
        <v>0</v>
      </c>
      <c r="K214" s="1">
        <f>'Raw Data'!L214/Inv_SY!K$2</f>
        <v>0</v>
      </c>
      <c r="L214" s="1">
        <f>'Raw Data'!M214/Inv_SY!L$2</f>
        <v>0</v>
      </c>
      <c r="M214" s="1">
        <f>'Raw Data'!N214/Inv_SY!M$2</f>
        <v>0</v>
      </c>
      <c r="N214" s="1">
        <f>'Raw Data'!O214/Inv_SY!N$2</f>
        <v>0</v>
      </c>
      <c r="O214" s="1">
        <f>'Raw Data'!P214/Inv_SY!O$2</f>
        <v>0</v>
      </c>
      <c r="P214" s="1">
        <f>'Raw Data'!Q214/Inv_SY!P$2</f>
        <v>0</v>
      </c>
      <c r="Q214" s="1">
        <f>'Raw Data'!R214/Inv_SY!Q$2</f>
        <v>0</v>
      </c>
      <c r="R214" s="1">
        <f>'Raw Data'!S214/Inv_SY!R$2</f>
        <v>0</v>
      </c>
      <c r="S214" s="1">
        <f>'Raw Data'!T214/Inv_SY!S$2</f>
        <v>0</v>
      </c>
      <c r="T214" s="1">
        <f>'Raw Data'!U214/Inv_SY!T$2</f>
        <v>0</v>
      </c>
      <c r="U214" s="1">
        <f>'Raw Data'!V214/Inv_SY!U$2</f>
        <v>0</v>
      </c>
      <c r="V214" s="1">
        <f>'Raw Data'!W214/Inv_SY!V$2</f>
        <v>0</v>
      </c>
      <c r="W214" s="1">
        <f>'Raw Data'!X214/Inv_SY!W$2</f>
        <v>0</v>
      </c>
      <c r="X214" s="1">
        <f>'Raw Data'!Y214/Inv_SY!X$2</f>
        <v>0</v>
      </c>
      <c r="Y214" s="1" t="str">
        <f t="shared" si="14"/>
        <v/>
      </c>
      <c r="Z214" s="1">
        <f t="shared" si="15"/>
        <v>0</v>
      </c>
    </row>
    <row r="215" spans="1:26" x14ac:dyDescent="0.3">
      <c r="A215" s="55" t="s">
        <v>1385</v>
      </c>
      <c r="B215" s="55">
        <v>184</v>
      </c>
      <c r="C215" s="121">
        <f>YEAR(Table12[[#This Row],[Date]])</f>
        <v>2025</v>
      </c>
      <c r="D215" s="55" t="s">
        <v>329</v>
      </c>
      <c r="E215" s="55" t="s">
        <v>329</v>
      </c>
      <c r="F215" s="122" t="str">
        <f>TEXT(Table12[[#This Row],[Date]],"mmm-yy")</f>
        <v>Oct-25</v>
      </c>
      <c r="G215" s="121">
        <f t="shared" si="13"/>
        <v>31</v>
      </c>
      <c r="H215" s="123">
        <f t="shared" si="16"/>
        <v>45956</v>
      </c>
      <c r="I215" s="1">
        <v>8.0208999999999993</v>
      </c>
      <c r="J215" s="1">
        <f>'Raw Data'!K215/Inv_SY!J$2</f>
        <v>0</v>
      </c>
      <c r="K215" s="1">
        <f>'Raw Data'!L215/Inv_SY!K$2</f>
        <v>0</v>
      </c>
      <c r="L215" s="1">
        <f>'Raw Data'!M215/Inv_SY!L$2</f>
        <v>0</v>
      </c>
      <c r="M215" s="1">
        <f>'Raw Data'!N215/Inv_SY!M$2</f>
        <v>0</v>
      </c>
      <c r="N215" s="1">
        <f>'Raw Data'!O215/Inv_SY!N$2</f>
        <v>0</v>
      </c>
      <c r="O215" s="1">
        <f>'Raw Data'!P215/Inv_SY!O$2</f>
        <v>0</v>
      </c>
      <c r="P215" s="1">
        <f>'Raw Data'!Q215/Inv_SY!P$2</f>
        <v>0</v>
      </c>
      <c r="Q215" s="1">
        <f>'Raw Data'!R215/Inv_SY!Q$2</f>
        <v>0</v>
      </c>
      <c r="R215" s="1">
        <f>'Raw Data'!S215/Inv_SY!R$2</f>
        <v>0</v>
      </c>
      <c r="S215" s="1">
        <f>'Raw Data'!T215/Inv_SY!S$2</f>
        <v>0</v>
      </c>
      <c r="T215" s="1">
        <f>'Raw Data'!U215/Inv_SY!T$2</f>
        <v>0</v>
      </c>
      <c r="U215" s="1">
        <f>'Raw Data'!V215/Inv_SY!U$2</f>
        <v>0</v>
      </c>
      <c r="V215" s="1">
        <f>'Raw Data'!W215/Inv_SY!V$2</f>
        <v>0</v>
      </c>
      <c r="W215" s="1">
        <f>'Raw Data'!X215/Inv_SY!W$2</f>
        <v>0</v>
      </c>
      <c r="X215" s="1">
        <f>'Raw Data'!Y215/Inv_SY!X$2</f>
        <v>0</v>
      </c>
      <c r="Y215" s="1" t="str">
        <f t="shared" si="14"/>
        <v/>
      </c>
      <c r="Z215" s="1">
        <f t="shared" si="15"/>
        <v>0</v>
      </c>
    </row>
    <row r="216" spans="1:26" x14ac:dyDescent="0.3">
      <c r="A216" s="55" t="s">
        <v>1386</v>
      </c>
      <c r="B216" s="55">
        <v>185</v>
      </c>
      <c r="C216" s="121">
        <f>YEAR(Table12[[#This Row],[Date]])</f>
        <v>2025</v>
      </c>
      <c r="D216" s="55" t="s">
        <v>329</v>
      </c>
      <c r="E216" s="55" t="s">
        <v>329</v>
      </c>
      <c r="F216" s="122" t="str">
        <f>TEXT(Table12[[#This Row],[Date]],"mmm-yy")</f>
        <v>Oct-25</v>
      </c>
      <c r="G216" s="121">
        <f t="shared" si="13"/>
        <v>31</v>
      </c>
      <c r="H216" s="123">
        <f t="shared" si="16"/>
        <v>45957</v>
      </c>
      <c r="I216" s="1">
        <v>8.0208999999999993</v>
      </c>
      <c r="J216" s="1">
        <f>'Raw Data'!K216/Inv_SY!J$2</f>
        <v>0</v>
      </c>
      <c r="K216" s="1">
        <f>'Raw Data'!L216/Inv_SY!K$2</f>
        <v>0</v>
      </c>
      <c r="L216" s="1">
        <f>'Raw Data'!M216/Inv_SY!L$2</f>
        <v>0</v>
      </c>
      <c r="M216" s="1">
        <f>'Raw Data'!N216/Inv_SY!M$2</f>
        <v>0</v>
      </c>
      <c r="N216" s="1">
        <f>'Raw Data'!O216/Inv_SY!N$2</f>
        <v>0</v>
      </c>
      <c r="O216" s="1">
        <f>'Raw Data'!P216/Inv_SY!O$2</f>
        <v>0</v>
      </c>
      <c r="P216" s="1">
        <f>'Raw Data'!Q216/Inv_SY!P$2</f>
        <v>0</v>
      </c>
      <c r="Q216" s="1">
        <f>'Raw Data'!R216/Inv_SY!Q$2</f>
        <v>0</v>
      </c>
      <c r="R216" s="1">
        <f>'Raw Data'!S216/Inv_SY!R$2</f>
        <v>0</v>
      </c>
      <c r="S216" s="1">
        <f>'Raw Data'!T216/Inv_SY!S$2</f>
        <v>0</v>
      </c>
      <c r="T216" s="1">
        <f>'Raw Data'!U216/Inv_SY!T$2</f>
        <v>0</v>
      </c>
      <c r="U216" s="1">
        <f>'Raw Data'!V216/Inv_SY!U$2</f>
        <v>0</v>
      </c>
      <c r="V216" s="1">
        <f>'Raw Data'!W216/Inv_SY!V$2</f>
        <v>0</v>
      </c>
      <c r="W216" s="1">
        <f>'Raw Data'!X216/Inv_SY!W$2</f>
        <v>0</v>
      </c>
      <c r="X216" s="1">
        <f>'Raw Data'!Y216/Inv_SY!X$2</f>
        <v>0</v>
      </c>
      <c r="Y216" s="1" t="str">
        <f t="shared" si="14"/>
        <v/>
      </c>
      <c r="Z216" s="1">
        <f t="shared" si="15"/>
        <v>0</v>
      </c>
    </row>
    <row r="217" spans="1:26" x14ac:dyDescent="0.3">
      <c r="A217" s="55" t="s">
        <v>1387</v>
      </c>
      <c r="B217" s="55">
        <v>186</v>
      </c>
      <c r="C217" s="121">
        <f>YEAR(Table12[[#This Row],[Date]])</f>
        <v>2025</v>
      </c>
      <c r="D217" s="55" t="s">
        <v>329</v>
      </c>
      <c r="E217" s="55" t="s">
        <v>329</v>
      </c>
      <c r="F217" s="122" t="str">
        <f>TEXT(Table12[[#This Row],[Date]],"mmm-yy")</f>
        <v>Oct-25</v>
      </c>
      <c r="G217" s="121">
        <f t="shared" si="13"/>
        <v>31</v>
      </c>
      <c r="H217" s="123">
        <f t="shared" si="16"/>
        <v>45958</v>
      </c>
      <c r="I217" s="1">
        <v>8.0208999999999993</v>
      </c>
      <c r="J217" s="1">
        <f>'Raw Data'!K217/Inv_SY!J$2</f>
        <v>0</v>
      </c>
      <c r="K217" s="1">
        <f>'Raw Data'!L217/Inv_SY!K$2</f>
        <v>0</v>
      </c>
      <c r="L217" s="1">
        <f>'Raw Data'!M217/Inv_SY!L$2</f>
        <v>0</v>
      </c>
      <c r="M217" s="1">
        <f>'Raw Data'!N217/Inv_SY!M$2</f>
        <v>0</v>
      </c>
      <c r="N217" s="1">
        <f>'Raw Data'!O217/Inv_SY!N$2</f>
        <v>0</v>
      </c>
      <c r="O217" s="1">
        <f>'Raw Data'!P217/Inv_SY!O$2</f>
        <v>0</v>
      </c>
      <c r="P217" s="1">
        <f>'Raw Data'!Q217/Inv_SY!P$2</f>
        <v>0</v>
      </c>
      <c r="Q217" s="1">
        <f>'Raw Data'!R217/Inv_SY!Q$2</f>
        <v>0</v>
      </c>
      <c r="R217" s="1">
        <f>'Raw Data'!S217/Inv_SY!R$2</f>
        <v>0</v>
      </c>
      <c r="S217" s="1">
        <f>'Raw Data'!T217/Inv_SY!S$2</f>
        <v>0</v>
      </c>
      <c r="T217" s="1">
        <f>'Raw Data'!U217/Inv_SY!T$2</f>
        <v>0</v>
      </c>
      <c r="U217" s="1">
        <f>'Raw Data'!V217/Inv_SY!U$2</f>
        <v>0</v>
      </c>
      <c r="V217" s="1">
        <f>'Raw Data'!W217/Inv_SY!V$2</f>
        <v>0</v>
      </c>
      <c r="W217" s="1">
        <f>'Raw Data'!X217/Inv_SY!W$2</f>
        <v>0</v>
      </c>
      <c r="X217" s="1">
        <f>'Raw Data'!Y217/Inv_SY!X$2</f>
        <v>0</v>
      </c>
      <c r="Y217" s="1" t="str">
        <f t="shared" si="14"/>
        <v/>
      </c>
      <c r="Z217" s="1">
        <f t="shared" si="15"/>
        <v>0</v>
      </c>
    </row>
    <row r="218" spans="1:26" x14ac:dyDescent="0.3">
      <c r="A218" s="55" t="s">
        <v>1388</v>
      </c>
      <c r="B218" s="55">
        <v>187</v>
      </c>
      <c r="C218" s="121">
        <f>YEAR(Table12[[#This Row],[Date]])</f>
        <v>2025</v>
      </c>
      <c r="D218" s="55" t="s">
        <v>329</v>
      </c>
      <c r="E218" s="55" t="s">
        <v>329</v>
      </c>
      <c r="F218" s="122" t="str">
        <f>TEXT(Table12[[#This Row],[Date]],"mmm-yy")</f>
        <v>Oct-25</v>
      </c>
      <c r="G218" s="121">
        <f t="shared" si="13"/>
        <v>31</v>
      </c>
      <c r="H218" s="123">
        <f t="shared" si="16"/>
        <v>45959</v>
      </c>
      <c r="I218" s="1">
        <v>8.0208999999999993</v>
      </c>
      <c r="J218" s="1">
        <f>'Raw Data'!K218/Inv_SY!J$2</f>
        <v>0</v>
      </c>
      <c r="K218" s="1">
        <f>'Raw Data'!L218/Inv_SY!K$2</f>
        <v>0</v>
      </c>
      <c r="L218" s="1">
        <f>'Raw Data'!M218/Inv_SY!L$2</f>
        <v>0</v>
      </c>
      <c r="M218" s="1">
        <f>'Raw Data'!N218/Inv_SY!M$2</f>
        <v>0</v>
      </c>
      <c r="N218" s="1">
        <f>'Raw Data'!O218/Inv_SY!N$2</f>
        <v>0</v>
      </c>
      <c r="O218" s="1">
        <f>'Raw Data'!P218/Inv_SY!O$2</f>
        <v>0</v>
      </c>
      <c r="P218" s="1">
        <f>'Raw Data'!Q218/Inv_SY!P$2</f>
        <v>0</v>
      </c>
      <c r="Q218" s="1">
        <f>'Raw Data'!R218/Inv_SY!Q$2</f>
        <v>0</v>
      </c>
      <c r="R218" s="1">
        <f>'Raw Data'!S218/Inv_SY!R$2</f>
        <v>0</v>
      </c>
      <c r="S218" s="1">
        <f>'Raw Data'!T218/Inv_SY!S$2</f>
        <v>0</v>
      </c>
      <c r="T218" s="1">
        <f>'Raw Data'!U218/Inv_SY!T$2</f>
        <v>0</v>
      </c>
      <c r="U218" s="1">
        <f>'Raw Data'!V218/Inv_SY!U$2</f>
        <v>0</v>
      </c>
      <c r="V218" s="1">
        <f>'Raw Data'!W218/Inv_SY!V$2</f>
        <v>0</v>
      </c>
      <c r="W218" s="1">
        <f>'Raw Data'!X218/Inv_SY!W$2</f>
        <v>0</v>
      </c>
      <c r="X218" s="1">
        <f>'Raw Data'!Y218/Inv_SY!X$2</f>
        <v>0</v>
      </c>
      <c r="Y218" s="1" t="str">
        <f t="shared" si="14"/>
        <v/>
      </c>
      <c r="Z218" s="1">
        <f t="shared" si="15"/>
        <v>0</v>
      </c>
    </row>
    <row r="219" spans="1:26" x14ac:dyDescent="0.3">
      <c r="A219" s="55" t="s">
        <v>1389</v>
      </c>
      <c r="B219" s="55">
        <v>188</v>
      </c>
      <c r="C219" s="121">
        <f>YEAR(Table12[[#This Row],[Date]])</f>
        <v>2025</v>
      </c>
      <c r="D219" s="55" t="s">
        <v>329</v>
      </c>
      <c r="E219" s="55" t="s">
        <v>329</v>
      </c>
      <c r="F219" s="122" t="str">
        <f>TEXT(Table12[[#This Row],[Date]],"mmm-yy")</f>
        <v>Oct-25</v>
      </c>
      <c r="G219" s="121">
        <f t="shared" si="13"/>
        <v>31</v>
      </c>
      <c r="H219" s="123">
        <f t="shared" si="16"/>
        <v>45960</v>
      </c>
      <c r="I219" s="1">
        <v>8.0208999999999993</v>
      </c>
      <c r="J219" s="1">
        <f>'Raw Data'!K219/Inv_SY!J$2</f>
        <v>0</v>
      </c>
      <c r="K219" s="1">
        <f>'Raw Data'!L219/Inv_SY!K$2</f>
        <v>0</v>
      </c>
      <c r="L219" s="1">
        <f>'Raw Data'!M219/Inv_SY!L$2</f>
        <v>0</v>
      </c>
      <c r="M219" s="1">
        <f>'Raw Data'!N219/Inv_SY!M$2</f>
        <v>0</v>
      </c>
      <c r="N219" s="1">
        <f>'Raw Data'!O219/Inv_SY!N$2</f>
        <v>0</v>
      </c>
      <c r="O219" s="1">
        <f>'Raw Data'!P219/Inv_SY!O$2</f>
        <v>0</v>
      </c>
      <c r="P219" s="1">
        <f>'Raw Data'!Q219/Inv_SY!P$2</f>
        <v>0</v>
      </c>
      <c r="Q219" s="1">
        <f>'Raw Data'!R219/Inv_SY!Q$2</f>
        <v>0</v>
      </c>
      <c r="R219" s="1">
        <f>'Raw Data'!S219/Inv_SY!R$2</f>
        <v>0</v>
      </c>
      <c r="S219" s="1">
        <f>'Raw Data'!T219/Inv_SY!S$2</f>
        <v>0</v>
      </c>
      <c r="T219" s="1">
        <f>'Raw Data'!U219/Inv_SY!T$2</f>
        <v>0</v>
      </c>
      <c r="U219" s="1">
        <f>'Raw Data'!V219/Inv_SY!U$2</f>
        <v>0</v>
      </c>
      <c r="V219" s="1">
        <f>'Raw Data'!W219/Inv_SY!V$2</f>
        <v>0</v>
      </c>
      <c r="W219" s="1">
        <f>'Raw Data'!X219/Inv_SY!W$2</f>
        <v>0</v>
      </c>
      <c r="X219" s="1">
        <f>'Raw Data'!Y219/Inv_SY!X$2</f>
        <v>0</v>
      </c>
      <c r="Y219" s="1" t="str">
        <f t="shared" si="14"/>
        <v/>
      </c>
      <c r="Z219" s="1">
        <f t="shared" si="15"/>
        <v>0</v>
      </c>
    </row>
    <row r="220" spans="1:26" x14ac:dyDescent="0.3">
      <c r="A220" s="55" t="s">
        <v>1390</v>
      </c>
      <c r="B220" s="55">
        <v>189</v>
      </c>
      <c r="C220" s="121">
        <f>YEAR(Table12[[#This Row],[Date]])</f>
        <v>2025</v>
      </c>
      <c r="D220" s="55" t="s">
        <v>329</v>
      </c>
      <c r="E220" s="55" t="s">
        <v>329</v>
      </c>
      <c r="F220" s="122" t="str">
        <f>TEXT(Table12[[#This Row],[Date]],"mmm-yy")</f>
        <v>Oct-25</v>
      </c>
      <c r="G220" s="121">
        <f t="shared" si="13"/>
        <v>31</v>
      </c>
      <c r="H220" s="123">
        <f t="shared" si="16"/>
        <v>45961</v>
      </c>
      <c r="I220" s="1">
        <v>8.0208999999999993</v>
      </c>
      <c r="J220" s="1">
        <f>'Raw Data'!K220/Inv_SY!J$2</f>
        <v>0</v>
      </c>
      <c r="K220" s="1">
        <f>'Raw Data'!L220/Inv_SY!K$2</f>
        <v>0</v>
      </c>
      <c r="L220" s="1">
        <f>'Raw Data'!M220/Inv_SY!L$2</f>
        <v>0</v>
      </c>
      <c r="M220" s="1">
        <f>'Raw Data'!N220/Inv_SY!M$2</f>
        <v>0</v>
      </c>
      <c r="N220" s="1">
        <f>'Raw Data'!O220/Inv_SY!N$2</f>
        <v>0</v>
      </c>
      <c r="O220" s="1">
        <f>'Raw Data'!P220/Inv_SY!O$2</f>
        <v>0</v>
      </c>
      <c r="P220" s="1">
        <f>'Raw Data'!Q220/Inv_SY!P$2</f>
        <v>0</v>
      </c>
      <c r="Q220" s="1">
        <f>'Raw Data'!R220/Inv_SY!Q$2</f>
        <v>0</v>
      </c>
      <c r="R220" s="1">
        <f>'Raw Data'!S220/Inv_SY!R$2</f>
        <v>0</v>
      </c>
      <c r="S220" s="1">
        <f>'Raw Data'!T220/Inv_SY!S$2</f>
        <v>0</v>
      </c>
      <c r="T220" s="1">
        <f>'Raw Data'!U220/Inv_SY!T$2</f>
        <v>0</v>
      </c>
      <c r="U220" s="1">
        <f>'Raw Data'!V220/Inv_SY!U$2</f>
        <v>0</v>
      </c>
      <c r="V220" s="1">
        <f>'Raw Data'!W220/Inv_SY!V$2</f>
        <v>0</v>
      </c>
      <c r="W220" s="1">
        <f>'Raw Data'!X220/Inv_SY!W$2</f>
        <v>0</v>
      </c>
      <c r="X220" s="1">
        <f>'Raw Data'!Y220/Inv_SY!X$2</f>
        <v>0</v>
      </c>
      <c r="Y220" s="1" t="str">
        <f t="shared" si="14"/>
        <v/>
      </c>
      <c r="Z220" s="1">
        <f t="shared" si="15"/>
        <v>0</v>
      </c>
    </row>
    <row r="221" spans="1:26" x14ac:dyDescent="0.3">
      <c r="A221" s="55" t="s">
        <v>1391</v>
      </c>
      <c r="B221" s="55">
        <v>190</v>
      </c>
      <c r="C221" s="121">
        <f>YEAR(Table12[[#This Row],[Date]])</f>
        <v>2025</v>
      </c>
      <c r="D221" s="55" t="s">
        <v>329</v>
      </c>
      <c r="E221" s="55" t="s">
        <v>329</v>
      </c>
      <c r="F221" s="122" t="str">
        <f>TEXT(Table12[[#This Row],[Date]],"mmm-yy")</f>
        <v>Nov-25</v>
      </c>
      <c r="G221" s="121">
        <f t="shared" si="13"/>
        <v>30</v>
      </c>
      <c r="H221" s="123">
        <f t="shared" si="16"/>
        <v>45962</v>
      </c>
      <c r="I221" s="1">
        <v>8.0208999999999993</v>
      </c>
      <c r="J221" s="1">
        <f>'Raw Data'!K221/Inv_SY!J$2</f>
        <v>0</v>
      </c>
      <c r="K221" s="1">
        <f>'Raw Data'!L221/Inv_SY!K$2</f>
        <v>0</v>
      </c>
      <c r="L221" s="1">
        <f>'Raw Data'!M221/Inv_SY!L$2</f>
        <v>0</v>
      </c>
      <c r="M221" s="1">
        <f>'Raw Data'!N221/Inv_SY!M$2</f>
        <v>0</v>
      </c>
      <c r="N221" s="1">
        <f>'Raw Data'!O221/Inv_SY!N$2</f>
        <v>0</v>
      </c>
      <c r="O221" s="1">
        <f>'Raw Data'!P221/Inv_SY!O$2</f>
        <v>0</v>
      </c>
      <c r="P221" s="1">
        <f>'Raw Data'!Q221/Inv_SY!P$2</f>
        <v>0</v>
      </c>
      <c r="Q221" s="1">
        <f>'Raw Data'!R221/Inv_SY!Q$2</f>
        <v>0</v>
      </c>
      <c r="R221" s="1">
        <f>'Raw Data'!S221/Inv_SY!R$2</f>
        <v>0</v>
      </c>
      <c r="S221" s="1">
        <f>'Raw Data'!T221/Inv_SY!S$2</f>
        <v>0</v>
      </c>
      <c r="T221" s="1">
        <f>'Raw Data'!U221/Inv_SY!T$2</f>
        <v>0</v>
      </c>
      <c r="U221" s="1">
        <f>'Raw Data'!V221/Inv_SY!U$2</f>
        <v>0</v>
      </c>
      <c r="V221" s="1">
        <f>'Raw Data'!W221/Inv_SY!V$2</f>
        <v>0</v>
      </c>
      <c r="W221" s="1">
        <f>'Raw Data'!X221/Inv_SY!W$2</f>
        <v>0</v>
      </c>
      <c r="X221" s="1">
        <f>'Raw Data'!Y221/Inv_SY!X$2</f>
        <v>0</v>
      </c>
      <c r="Y221" s="1" t="str">
        <f t="shared" si="14"/>
        <v/>
      </c>
      <c r="Z221" s="1">
        <f t="shared" si="15"/>
        <v>0</v>
      </c>
    </row>
    <row r="222" spans="1:26" x14ac:dyDescent="0.3">
      <c r="A222" s="55" t="s">
        <v>1392</v>
      </c>
      <c r="B222" s="55">
        <v>191</v>
      </c>
      <c r="C222" s="121">
        <f>YEAR(Table12[[#This Row],[Date]])</f>
        <v>2025</v>
      </c>
      <c r="D222" s="55" t="s">
        <v>329</v>
      </c>
      <c r="E222" s="55" t="s">
        <v>329</v>
      </c>
      <c r="F222" s="122" t="str">
        <f>TEXT(Table12[[#This Row],[Date]],"mmm-yy")</f>
        <v>Nov-25</v>
      </c>
      <c r="G222" s="121">
        <f t="shared" si="13"/>
        <v>30</v>
      </c>
      <c r="H222" s="123">
        <f t="shared" si="16"/>
        <v>45963</v>
      </c>
      <c r="I222" s="1">
        <v>8.0208999999999993</v>
      </c>
      <c r="J222" s="1">
        <f>'Raw Data'!K222/Inv_SY!J$2</f>
        <v>0</v>
      </c>
      <c r="K222" s="1">
        <f>'Raw Data'!L222/Inv_SY!K$2</f>
        <v>0</v>
      </c>
      <c r="L222" s="1">
        <f>'Raw Data'!M222/Inv_SY!L$2</f>
        <v>0</v>
      </c>
      <c r="M222" s="1">
        <f>'Raw Data'!N222/Inv_SY!M$2</f>
        <v>0</v>
      </c>
      <c r="N222" s="1">
        <f>'Raw Data'!O222/Inv_SY!N$2</f>
        <v>0</v>
      </c>
      <c r="O222" s="1">
        <f>'Raw Data'!P222/Inv_SY!O$2</f>
        <v>0</v>
      </c>
      <c r="P222" s="1">
        <f>'Raw Data'!Q222/Inv_SY!P$2</f>
        <v>0</v>
      </c>
      <c r="Q222" s="1">
        <f>'Raw Data'!R222/Inv_SY!Q$2</f>
        <v>0</v>
      </c>
      <c r="R222" s="1">
        <f>'Raw Data'!S222/Inv_SY!R$2</f>
        <v>0</v>
      </c>
      <c r="S222" s="1">
        <f>'Raw Data'!T222/Inv_SY!S$2</f>
        <v>0</v>
      </c>
      <c r="T222" s="1">
        <f>'Raw Data'!U222/Inv_SY!T$2</f>
        <v>0</v>
      </c>
      <c r="U222" s="1">
        <f>'Raw Data'!V222/Inv_SY!U$2</f>
        <v>0</v>
      </c>
      <c r="V222" s="1">
        <f>'Raw Data'!W222/Inv_SY!V$2</f>
        <v>0</v>
      </c>
      <c r="W222" s="1">
        <f>'Raw Data'!X222/Inv_SY!W$2</f>
        <v>0</v>
      </c>
      <c r="X222" s="1">
        <f>'Raw Data'!Y222/Inv_SY!X$2</f>
        <v>0</v>
      </c>
      <c r="Y222" s="1" t="str">
        <f t="shared" si="14"/>
        <v/>
      </c>
      <c r="Z222" s="1">
        <f t="shared" si="15"/>
        <v>0</v>
      </c>
    </row>
    <row r="223" spans="1:26" x14ac:dyDescent="0.3">
      <c r="A223" s="55" t="s">
        <v>1393</v>
      </c>
      <c r="B223" s="55">
        <v>192</v>
      </c>
      <c r="C223" s="121">
        <f>YEAR(Table12[[#This Row],[Date]])</f>
        <v>2025</v>
      </c>
      <c r="D223" s="55" t="s">
        <v>329</v>
      </c>
      <c r="E223" s="55" t="s">
        <v>329</v>
      </c>
      <c r="F223" s="122" t="str">
        <f>TEXT(Table12[[#This Row],[Date]],"mmm-yy")</f>
        <v>Nov-25</v>
      </c>
      <c r="G223" s="121">
        <f t="shared" si="13"/>
        <v>30</v>
      </c>
      <c r="H223" s="123">
        <f t="shared" si="16"/>
        <v>45964</v>
      </c>
      <c r="I223" s="1">
        <v>8.0208999999999993</v>
      </c>
      <c r="J223" s="1">
        <f>'Raw Data'!K223/Inv_SY!J$2</f>
        <v>0</v>
      </c>
      <c r="K223" s="1">
        <f>'Raw Data'!L223/Inv_SY!K$2</f>
        <v>0</v>
      </c>
      <c r="L223" s="1">
        <f>'Raw Data'!M223/Inv_SY!L$2</f>
        <v>0</v>
      </c>
      <c r="M223" s="1">
        <f>'Raw Data'!N223/Inv_SY!M$2</f>
        <v>0</v>
      </c>
      <c r="N223" s="1">
        <f>'Raw Data'!O223/Inv_SY!N$2</f>
        <v>0</v>
      </c>
      <c r="O223" s="1">
        <f>'Raw Data'!P223/Inv_SY!O$2</f>
        <v>0</v>
      </c>
      <c r="P223" s="1">
        <f>'Raw Data'!Q223/Inv_SY!P$2</f>
        <v>0</v>
      </c>
      <c r="Q223" s="1">
        <f>'Raw Data'!R223/Inv_SY!Q$2</f>
        <v>0</v>
      </c>
      <c r="R223" s="1">
        <f>'Raw Data'!S223/Inv_SY!R$2</f>
        <v>0</v>
      </c>
      <c r="S223" s="1">
        <f>'Raw Data'!T223/Inv_SY!S$2</f>
        <v>0</v>
      </c>
      <c r="T223" s="1">
        <f>'Raw Data'!U223/Inv_SY!T$2</f>
        <v>0</v>
      </c>
      <c r="U223" s="1">
        <f>'Raw Data'!V223/Inv_SY!U$2</f>
        <v>0</v>
      </c>
      <c r="V223" s="1">
        <f>'Raw Data'!W223/Inv_SY!V$2</f>
        <v>0</v>
      </c>
      <c r="W223" s="1">
        <f>'Raw Data'!X223/Inv_SY!W$2</f>
        <v>0</v>
      </c>
      <c r="X223" s="1">
        <f>'Raw Data'!Y223/Inv_SY!X$2</f>
        <v>0</v>
      </c>
      <c r="Y223" s="1" t="str">
        <f t="shared" si="14"/>
        <v/>
      </c>
      <c r="Z223" s="1">
        <f t="shared" si="15"/>
        <v>0</v>
      </c>
    </row>
    <row r="224" spans="1:26" x14ac:dyDescent="0.3">
      <c r="A224" s="55" t="s">
        <v>1394</v>
      </c>
      <c r="B224" s="55">
        <v>193</v>
      </c>
      <c r="C224" s="121">
        <f>YEAR(Table12[[#This Row],[Date]])</f>
        <v>2025</v>
      </c>
      <c r="D224" s="55" t="s">
        <v>329</v>
      </c>
      <c r="E224" s="55" t="s">
        <v>329</v>
      </c>
      <c r="F224" s="122" t="str">
        <f>TEXT(Table12[[#This Row],[Date]],"mmm-yy")</f>
        <v>Nov-25</v>
      </c>
      <c r="G224" s="121">
        <f t="shared" si="13"/>
        <v>30</v>
      </c>
      <c r="H224" s="123">
        <f t="shared" si="16"/>
        <v>45965</v>
      </c>
      <c r="I224" s="1">
        <v>8.0208999999999993</v>
      </c>
      <c r="J224" s="1">
        <f>'Raw Data'!K224/Inv_SY!J$2</f>
        <v>0</v>
      </c>
      <c r="K224" s="1">
        <f>'Raw Data'!L224/Inv_SY!K$2</f>
        <v>0</v>
      </c>
      <c r="L224" s="1">
        <f>'Raw Data'!M224/Inv_SY!L$2</f>
        <v>0</v>
      </c>
      <c r="M224" s="1">
        <f>'Raw Data'!N224/Inv_SY!M$2</f>
        <v>0</v>
      </c>
      <c r="N224" s="1">
        <f>'Raw Data'!O224/Inv_SY!N$2</f>
        <v>0</v>
      </c>
      <c r="O224" s="1">
        <f>'Raw Data'!P224/Inv_SY!O$2</f>
        <v>0</v>
      </c>
      <c r="P224" s="1">
        <f>'Raw Data'!Q224/Inv_SY!P$2</f>
        <v>0</v>
      </c>
      <c r="Q224" s="1">
        <f>'Raw Data'!R224/Inv_SY!Q$2</f>
        <v>0</v>
      </c>
      <c r="R224" s="1">
        <f>'Raw Data'!S224/Inv_SY!R$2</f>
        <v>0</v>
      </c>
      <c r="S224" s="1">
        <f>'Raw Data'!T224/Inv_SY!S$2</f>
        <v>0</v>
      </c>
      <c r="T224" s="1">
        <f>'Raw Data'!U224/Inv_SY!T$2</f>
        <v>0</v>
      </c>
      <c r="U224" s="1">
        <f>'Raw Data'!V224/Inv_SY!U$2</f>
        <v>0</v>
      </c>
      <c r="V224" s="1">
        <f>'Raw Data'!W224/Inv_SY!V$2</f>
        <v>0</v>
      </c>
      <c r="W224" s="1">
        <f>'Raw Data'!X224/Inv_SY!W$2</f>
        <v>0</v>
      </c>
      <c r="X224" s="1">
        <f>'Raw Data'!Y224/Inv_SY!X$2</f>
        <v>0</v>
      </c>
      <c r="Y224" s="1" t="str">
        <f t="shared" si="14"/>
        <v/>
      </c>
      <c r="Z224" s="1">
        <f t="shared" si="15"/>
        <v>0</v>
      </c>
    </row>
    <row r="225" spans="1:26" x14ac:dyDescent="0.3">
      <c r="A225" s="55" t="s">
        <v>1395</v>
      </c>
      <c r="B225" s="55">
        <v>194</v>
      </c>
      <c r="C225" s="121">
        <f>YEAR(Table12[[#This Row],[Date]])</f>
        <v>2025</v>
      </c>
      <c r="D225" s="55" t="s">
        <v>329</v>
      </c>
      <c r="E225" s="55" t="s">
        <v>329</v>
      </c>
      <c r="F225" s="122" t="str">
        <f>TEXT(Table12[[#This Row],[Date]],"mmm-yy")</f>
        <v>Nov-25</v>
      </c>
      <c r="G225" s="121">
        <f t="shared" si="13"/>
        <v>30</v>
      </c>
      <c r="H225" s="123">
        <f t="shared" si="16"/>
        <v>45966</v>
      </c>
      <c r="I225" s="1">
        <v>8.0208999999999993</v>
      </c>
      <c r="J225" s="1">
        <f>'Raw Data'!K225/Inv_SY!J$2</f>
        <v>0</v>
      </c>
      <c r="K225" s="1">
        <f>'Raw Data'!L225/Inv_SY!K$2</f>
        <v>0</v>
      </c>
      <c r="L225" s="1">
        <f>'Raw Data'!M225/Inv_SY!L$2</f>
        <v>0</v>
      </c>
      <c r="M225" s="1">
        <f>'Raw Data'!N225/Inv_SY!M$2</f>
        <v>0</v>
      </c>
      <c r="N225" s="1">
        <f>'Raw Data'!O225/Inv_SY!N$2</f>
        <v>0</v>
      </c>
      <c r="O225" s="1">
        <f>'Raw Data'!P225/Inv_SY!O$2</f>
        <v>0</v>
      </c>
      <c r="P225" s="1">
        <f>'Raw Data'!Q225/Inv_SY!P$2</f>
        <v>0</v>
      </c>
      <c r="Q225" s="1">
        <f>'Raw Data'!R225/Inv_SY!Q$2</f>
        <v>0</v>
      </c>
      <c r="R225" s="1">
        <f>'Raw Data'!S225/Inv_SY!R$2</f>
        <v>0</v>
      </c>
      <c r="S225" s="1">
        <f>'Raw Data'!T225/Inv_SY!S$2</f>
        <v>0</v>
      </c>
      <c r="T225" s="1">
        <f>'Raw Data'!U225/Inv_SY!T$2</f>
        <v>0</v>
      </c>
      <c r="U225" s="1">
        <f>'Raw Data'!V225/Inv_SY!U$2</f>
        <v>0</v>
      </c>
      <c r="V225" s="1">
        <f>'Raw Data'!W225/Inv_SY!V$2</f>
        <v>0</v>
      </c>
      <c r="W225" s="1">
        <f>'Raw Data'!X225/Inv_SY!W$2</f>
        <v>0</v>
      </c>
      <c r="X225" s="1">
        <f>'Raw Data'!Y225/Inv_SY!X$2</f>
        <v>0</v>
      </c>
      <c r="Y225" s="1" t="str">
        <f t="shared" si="14"/>
        <v/>
      </c>
      <c r="Z225" s="1">
        <f t="shared" si="15"/>
        <v>0</v>
      </c>
    </row>
    <row r="226" spans="1:26" x14ac:dyDescent="0.3">
      <c r="A226" s="55" t="s">
        <v>1396</v>
      </c>
      <c r="B226" s="55">
        <v>195</v>
      </c>
      <c r="C226" s="121">
        <f>YEAR(Table12[[#This Row],[Date]])</f>
        <v>2025</v>
      </c>
      <c r="D226" s="55" t="s">
        <v>329</v>
      </c>
      <c r="E226" s="55" t="s">
        <v>329</v>
      </c>
      <c r="F226" s="122" t="str">
        <f>TEXT(Table12[[#This Row],[Date]],"mmm-yy")</f>
        <v>Nov-25</v>
      </c>
      <c r="G226" s="121">
        <f t="shared" si="13"/>
        <v>30</v>
      </c>
      <c r="H226" s="123">
        <f t="shared" si="16"/>
        <v>45967</v>
      </c>
      <c r="I226" s="1">
        <v>8.0208999999999993</v>
      </c>
      <c r="J226" s="1">
        <f>'Raw Data'!K226/Inv_SY!J$2</f>
        <v>0</v>
      </c>
      <c r="K226" s="1">
        <f>'Raw Data'!L226/Inv_SY!K$2</f>
        <v>0</v>
      </c>
      <c r="L226" s="1">
        <f>'Raw Data'!M226/Inv_SY!L$2</f>
        <v>0</v>
      </c>
      <c r="M226" s="1">
        <f>'Raw Data'!N226/Inv_SY!M$2</f>
        <v>0</v>
      </c>
      <c r="N226" s="1">
        <f>'Raw Data'!O226/Inv_SY!N$2</f>
        <v>0</v>
      </c>
      <c r="O226" s="1">
        <f>'Raw Data'!P226/Inv_SY!O$2</f>
        <v>0</v>
      </c>
      <c r="P226" s="1">
        <f>'Raw Data'!Q226/Inv_SY!P$2</f>
        <v>0</v>
      </c>
      <c r="Q226" s="1">
        <f>'Raw Data'!R226/Inv_SY!Q$2</f>
        <v>0</v>
      </c>
      <c r="R226" s="1">
        <f>'Raw Data'!S226/Inv_SY!R$2</f>
        <v>0</v>
      </c>
      <c r="S226" s="1">
        <f>'Raw Data'!T226/Inv_SY!S$2</f>
        <v>0</v>
      </c>
      <c r="T226" s="1">
        <f>'Raw Data'!U226/Inv_SY!T$2</f>
        <v>0</v>
      </c>
      <c r="U226" s="1">
        <f>'Raw Data'!V226/Inv_SY!U$2</f>
        <v>0</v>
      </c>
      <c r="V226" s="1">
        <f>'Raw Data'!W226/Inv_SY!V$2</f>
        <v>0</v>
      </c>
      <c r="W226" s="1">
        <f>'Raw Data'!X226/Inv_SY!W$2</f>
        <v>0</v>
      </c>
      <c r="X226" s="1">
        <f>'Raw Data'!Y226/Inv_SY!X$2</f>
        <v>0</v>
      </c>
      <c r="Y226" s="1" t="str">
        <f t="shared" si="14"/>
        <v/>
      </c>
      <c r="Z226" s="1">
        <f t="shared" si="15"/>
        <v>0</v>
      </c>
    </row>
    <row r="227" spans="1:26" x14ac:dyDescent="0.3">
      <c r="A227" s="55" t="s">
        <v>1397</v>
      </c>
      <c r="B227" s="55">
        <v>196</v>
      </c>
      <c r="C227" s="121">
        <f>YEAR(Table12[[#This Row],[Date]])</f>
        <v>2025</v>
      </c>
      <c r="D227" s="55" t="s">
        <v>329</v>
      </c>
      <c r="E227" s="55" t="s">
        <v>329</v>
      </c>
      <c r="F227" s="122" t="str">
        <f>TEXT(Table12[[#This Row],[Date]],"mmm-yy")</f>
        <v>Nov-25</v>
      </c>
      <c r="G227" s="121">
        <f t="shared" si="13"/>
        <v>30</v>
      </c>
      <c r="H227" s="123">
        <f t="shared" si="16"/>
        <v>45968</v>
      </c>
      <c r="I227" s="1">
        <v>8.0208999999999993</v>
      </c>
      <c r="J227" s="1">
        <f>'Raw Data'!K227/Inv_SY!J$2</f>
        <v>0</v>
      </c>
      <c r="K227" s="1">
        <f>'Raw Data'!L227/Inv_SY!K$2</f>
        <v>0</v>
      </c>
      <c r="L227" s="1">
        <f>'Raw Data'!M227/Inv_SY!L$2</f>
        <v>0</v>
      </c>
      <c r="M227" s="1">
        <f>'Raw Data'!N227/Inv_SY!M$2</f>
        <v>0</v>
      </c>
      <c r="N227" s="1">
        <f>'Raw Data'!O227/Inv_SY!N$2</f>
        <v>0</v>
      </c>
      <c r="O227" s="1">
        <f>'Raw Data'!P227/Inv_SY!O$2</f>
        <v>0</v>
      </c>
      <c r="P227" s="1">
        <f>'Raw Data'!Q227/Inv_SY!P$2</f>
        <v>0</v>
      </c>
      <c r="Q227" s="1">
        <f>'Raw Data'!R227/Inv_SY!Q$2</f>
        <v>0</v>
      </c>
      <c r="R227" s="1">
        <f>'Raw Data'!S227/Inv_SY!R$2</f>
        <v>0</v>
      </c>
      <c r="S227" s="1">
        <f>'Raw Data'!T227/Inv_SY!S$2</f>
        <v>0</v>
      </c>
      <c r="T227" s="1">
        <f>'Raw Data'!U227/Inv_SY!T$2</f>
        <v>0</v>
      </c>
      <c r="U227" s="1">
        <f>'Raw Data'!V227/Inv_SY!U$2</f>
        <v>0</v>
      </c>
      <c r="V227" s="1">
        <f>'Raw Data'!W227/Inv_SY!V$2</f>
        <v>0</v>
      </c>
      <c r="W227" s="1">
        <f>'Raw Data'!X227/Inv_SY!W$2</f>
        <v>0</v>
      </c>
      <c r="X227" s="1">
        <f>'Raw Data'!Y227/Inv_SY!X$2</f>
        <v>0</v>
      </c>
      <c r="Y227" s="1" t="str">
        <f t="shared" si="14"/>
        <v/>
      </c>
      <c r="Z227" s="1">
        <f t="shared" si="15"/>
        <v>0</v>
      </c>
    </row>
    <row r="228" spans="1:26" x14ac:dyDescent="0.3">
      <c r="A228" s="55" t="s">
        <v>1398</v>
      </c>
      <c r="B228" s="55">
        <v>197</v>
      </c>
      <c r="C228" s="121">
        <f>YEAR(Table12[[#This Row],[Date]])</f>
        <v>2025</v>
      </c>
      <c r="D228" s="55" t="s">
        <v>329</v>
      </c>
      <c r="E228" s="55" t="s">
        <v>329</v>
      </c>
      <c r="F228" s="122" t="str">
        <f>TEXT(Table12[[#This Row],[Date]],"mmm-yy")</f>
        <v>Nov-25</v>
      </c>
      <c r="G228" s="121">
        <f t="shared" ref="G228:G291" si="17">DAY(EOMONTH(F228,0))</f>
        <v>30</v>
      </c>
      <c r="H228" s="123">
        <f t="shared" si="16"/>
        <v>45969</v>
      </c>
      <c r="I228" s="1">
        <v>8.0208999999999993</v>
      </c>
      <c r="J228" s="1">
        <f>'Raw Data'!K228/Inv_SY!J$2</f>
        <v>0</v>
      </c>
      <c r="K228" s="1">
        <f>'Raw Data'!L228/Inv_SY!K$2</f>
        <v>0</v>
      </c>
      <c r="L228" s="1">
        <f>'Raw Data'!M228/Inv_SY!L$2</f>
        <v>0</v>
      </c>
      <c r="M228" s="1">
        <f>'Raw Data'!N228/Inv_SY!M$2</f>
        <v>0</v>
      </c>
      <c r="N228" s="1">
        <f>'Raw Data'!O228/Inv_SY!N$2</f>
        <v>0</v>
      </c>
      <c r="O228" s="1">
        <f>'Raw Data'!P228/Inv_SY!O$2</f>
        <v>0</v>
      </c>
      <c r="P228" s="1">
        <f>'Raw Data'!Q228/Inv_SY!P$2</f>
        <v>0</v>
      </c>
      <c r="Q228" s="1">
        <f>'Raw Data'!R228/Inv_SY!Q$2</f>
        <v>0</v>
      </c>
      <c r="R228" s="1">
        <f>'Raw Data'!S228/Inv_SY!R$2</f>
        <v>0</v>
      </c>
      <c r="S228" s="1">
        <f>'Raw Data'!T228/Inv_SY!S$2</f>
        <v>0</v>
      </c>
      <c r="T228" s="1">
        <f>'Raw Data'!U228/Inv_SY!T$2</f>
        <v>0</v>
      </c>
      <c r="U228" s="1">
        <f>'Raw Data'!V228/Inv_SY!U$2</f>
        <v>0</v>
      </c>
      <c r="V228" s="1">
        <f>'Raw Data'!W228/Inv_SY!V$2</f>
        <v>0</v>
      </c>
      <c r="W228" s="1">
        <f>'Raw Data'!X228/Inv_SY!W$2</f>
        <v>0</v>
      </c>
      <c r="X228" s="1">
        <f>'Raw Data'!Y228/Inv_SY!X$2</f>
        <v>0</v>
      </c>
      <c r="Y228" s="1" t="str">
        <f t="shared" ref="Y228:Y291" si="18">IFERROR(AVERAGEIF(V228:X228,"&gt;"&amp;0,V228:X228),"")</f>
        <v/>
      </c>
      <c r="Z228" s="1">
        <f t="shared" ref="Z228:Z291" si="19">MAXA(V228:X228)</f>
        <v>0</v>
      </c>
    </row>
    <row r="229" spans="1:26" x14ac:dyDescent="0.3">
      <c r="A229" s="55" t="s">
        <v>1399</v>
      </c>
      <c r="B229" s="55">
        <v>198</v>
      </c>
      <c r="C229" s="121">
        <f>YEAR(Table12[[#This Row],[Date]])</f>
        <v>2025</v>
      </c>
      <c r="D229" s="55" t="s">
        <v>329</v>
      </c>
      <c r="E229" s="55" t="s">
        <v>329</v>
      </c>
      <c r="F229" s="122" t="str">
        <f>TEXT(Table12[[#This Row],[Date]],"mmm-yy")</f>
        <v>Nov-25</v>
      </c>
      <c r="G229" s="121">
        <f t="shared" si="17"/>
        <v>30</v>
      </c>
      <c r="H229" s="123">
        <f t="shared" si="16"/>
        <v>45970</v>
      </c>
      <c r="I229" s="1">
        <v>8.0208999999999993</v>
      </c>
      <c r="J229" s="1">
        <f>'Raw Data'!K229/Inv_SY!J$2</f>
        <v>0</v>
      </c>
      <c r="K229" s="1">
        <f>'Raw Data'!L229/Inv_SY!K$2</f>
        <v>0</v>
      </c>
      <c r="L229" s="1">
        <f>'Raw Data'!M229/Inv_SY!L$2</f>
        <v>0</v>
      </c>
      <c r="M229" s="1">
        <f>'Raw Data'!N229/Inv_SY!M$2</f>
        <v>0</v>
      </c>
      <c r="N229" s="1">
        <f>'Raw Data'!O229/Inv_SY!N$2</f>
        <v>0</v>
      </c>
      <c r="O229" s="1">
        <f>'Raw Data'!P229/Inv_SY!O$2</f>
        <v>0</v>
      </c>
      <c r="P229" s="1">
        <f>'Raw Data'!Q229/Inv_SY!P$2</f>
        <v>0</v>
      </c>
      <c r="Q229" s="1">
        <f>'Raw Data'!R229/Inv_SY!Q$2</f>
        <v>0</v>
      </c>
      <c r="R229" s="1">
        <f>'Raw Data'!S229/Inv_SY!R$2</f>
        <v>0</v>
      </c>
      <c r="S229" s="1">
        <f>'Raw Data'!T229/Inv_SY!S$2</f>
        <v>0</v>
      </c>
      <c r="T229" s="1">
        <f>'Raw Data'!U229/Inv_SY!T$2</f>
        <v>0</v>
      </c>
      <c r="U229" s="1">
        <f>'Raw Data'!V229/Inv_SY!U$2</f>
        <v>0</v>
      </c>
      <c r="V229" s="1">
        <f>'Raw Data'!W229/Inv_SY!V$2</f>
        <v>0</v>
      </c>
      <c r="W229" s="1">
        <f>'Raw Data'!X229/Inv_SY!W$2</f>
        <v>0</v>
      </c>
      <c r="X229" s="1">
        <f>'Raw Data'!Y229/Inv_SY!X$2</f>
        <v>0</v>
      </c>
      <c r="Y229" s="1" t="str">
        <f t="shared" si="18"/>
        <v/>
      </c>
      <c r="Z229" s="1">
        <f t="shared" si="19"/>
        <v>0</v>
      </c>
    </row>
    <row r="230" spans="1:26" x14ac:dyDescent="0.3">
      <c r="A230" s="55" t="s">
        <v>1400</v>
      </c>
      <c r="B230" s="55">
        <v>199</v>
      </c>
      <c r="C230" s="121">
        <f>YEAR(Table12[[#This Row],[Date]])</f>
        <v>2025</v>
      </c>
      <c r="D230" s="55" t="s">
        <v>329</v>
      </c>
      <c r="E230" s="55" t="s">
        <v>329</v>
      </c>
      <c r="F230" s="122" t="str">
        <f>TEXT(Table12[[#This Row],[Date]],"mmm-yy")</f>
        <v>Nov-25</v>
      </c>
      <c r="G230" s="121">
        <f t="shared" si="17"/>
        <v>30</v>
      </c>
      <c r="H230" s="123">
        <f t="shared" si="16"/>
        <v>45971</v>
      </c>
      <c r="I230" s="1">
        <v>8.0208999999999993</v>
      </c>
      <c r="J230" s="1">
        <f>'Raw Data'!K230/Inv_SY!J$2</f>
        <v>0</v>
      </c>
      <c r="K230" s="1">
        <f>'Raw Data'!L230/Inv_SY!K$2</f>
        <v>0</v>
      </c>
      <c r="L230" s="1">
        <f>'Raw Data'!M230/Inv_SY!L$2</f>
        <v>0</v>
      </c>
      <c r="M230" s="1">
        <f>'Raw Data'!N230/Inv_SY!M$2</f>
        <v>0</v>
      </c>
      <c r="N230" s="1">
        <f>'Raw Data'!O230/Inv_SY!N$2</f>
        <v>0</v>
      </c>
      <c r="O230" s="1">
        <f>'Raw Data'!P230/Inv_SY!O$2</f>
        <v>0</v>
      </c>
      <c r="P230" s="1">
        <f>'Raw Data'!Q230/Inv_SY!P$2</f>
        <v>0</v>
      </c>
      <c r="Q230" s="1">
        <f>'Raw Data'!R230/Inv_SY!Q$2</f>
        <v>0</v>
      </c>
      <c r="R230" s="1">
        <f>'Raw Data'!S230/Inv_SY!R$2</f>
        <v>0</v>
      </c>
      <c r="S230" s="1">
        <f>'Raw Data'!T230/Inv_SY!S$2</f>
        <v>0</v>
      </c>
      <c r="T230" s="1">
        <f>'Raw Data'!U230/Inv_SY!T$2</f>
        <v>0</v>
      </c>
      <c r="U230" s="1">
        <f>'Raw Data'!V230/Inv_SY!U$2</f>
        <v>0</v>
      </c>
      <c r="V230" s="1">
        <f>'Raw Data'!W230/Inv_SY!V$2</f>
        <v>0</v>
      </c>
      <c r="W230" s="1">
        <f>'Raw Data'!X230/Inv_SY!W$2</f>
        <v>0</v>
      </c>
      <c r="X230" s="1">
        <f>'Raw Data'!Y230/Inv_SY!X$2</f>
        <v>0</v>
      </c>
      <c r="Y230" s="1" t="str">
        <f t="shared" si="18"/>
        <v/>
      </c>
      <c r="Z230" s="1">
        <f t="shared" si="19"/>
        <v>0</v>
      </c>
    </row>
    <row r="231" spans="1:26" x14ac:dyDescent="0.3">
      <c r="A231" s="55" t="s">
        <v>1401</v>
      </c>
      <c r="B231" s="55">
        <v>200</v>
      </c>
      <c r="C231" s="121">
        <f>YEAR(Table12[[#This Row],[Date]])</f>
        <v>2025</v>
      </c>
      <c r="D231" s="55" t="s">
        <v>329</v>
      </c>
      <c r="E231" s="55" t="s">
        <v>329</v>
      </c>
      <c r="F231" s="122" t="str">
        <f>TEXT(Table12[[#This Row],[Date]],"mmm-yy")</f>
        <v>Nov-25</v>
      </c>
      <c r="G231" s="121">
        <f t="shared" si="17"/>
        <v>30</v>
      </c>
      <c r="H231" s="123">
        <f t="shared" si="16"/>
        <v>45972</v>
      </c>
      <c r="I231" s="1">
        <v>8.0208999999999993</v>
      </c>
      <c r="J231" s="1">
        <f>'Raw Data'!K231/Inv_SY!J$2</f>
        <v>0</v>
      </c>
      <c r="K231" s="1">
        <f>'Raw Data'!L231/Inv_SY!K$2</f>
        <v>0</v>
      </c>
      <c r="L231" s="1">
        <f>'Raw Data'!M231/Inv_SY!L$2</f>
        <v>0</v>
      </c>
      <c r="M231" s="1">
        <f>'Raw Data'!N231/Inv_SY!M$2</f>
        <v>0</v>
      </c>
      <c r="N231" s="1">
        <f>'Raw Data'!O231/Inv_SY!N$2</f>
        <v>0</v>
      </c>
      <c r="O231" s="1">
        <f>'Raw Data'!P231/Inv_SY!O$2</f>
        <v>0</v>
      </c>
      <c r="P231" s="1">
        <f>'Raw Data'!Q231/Inv_SY!P$2</f>
        <v>0</v>
      </c>
      <c r="Q231" s="1">
        <f>'Raw Data'!R231/Inv_SY!Q$2</f>
        <v>0</v>
      </c>
      <c r="R231" s="1">
        <f>'Raw Data'!S231/Inv_SY!R$2</f>
        <v>0</v>
      </c>
      <c r="S231" s="1">
        <f>'Raw Data'!T231/Inv_SY!S$2</f>
        <v>0</v>
      </c>
      <c r="T231" s="1">
        <f>'Raw Data'!U231/Inv_SY!T$2</f>
        <v>0</v>
      </c>
      <c r="U231" s="1">
        <f>'Raw Data'!V231/Inv_SY!U$2</f>
        <v>0</v>
      </c>
      <c r="V231" s="1">
        <f>'Raw Data'!W231/Inv_SY!V$2</f>
        <v>0</v>
      </c>
      <c r="W231" s="1">
        <f>'Raw Data'!X231/Inv_SY!W$2</f>
        <v>0</v>
      </c>
      <c r="X231" s="1">
        <f>'Raw Data'!Y231/Inv_SY!X$2</f>
        <v>0</v>
      </c>
      <c r="Y231" s="1" t="str">
        <f t="shared" si="18"/>
        <v/>
      </c>
      <c r="Z231" s="1">
        <f t="shared" si="19"/>
        <v>0</v>
      </c>
    </row>
    <row r="232" spans="1:26" x14ac:dyDescent="0.3">
      <c r="A232" s="55" t="s">
        <v>1402</v>
      </c>
      <c r="B232" s="55">
        <v>201</v>
      </c>
      <c r="C232" s="121">
        <f>YEAR(Table12[[#This Row],[Date]])</f>
        <v>2025</v>
      </c>
      <c r="D232" s="55" t="s">
        <v>329</v>
      </c>
      <c r="E232" s="55" t="s">
        <v>329</v>
      </c>
      <c r="F232" s="122" t="str">
        <f>TEXT(Table12[[#This Row],[Date]],"mmm-yy")</f>
        <v>Nov-25</v>
      </c>
      <c r="G232" s="121">
        <f t="shared" si="17"/>
        <v>30</v>
      </c>
      <c r="H232" s="123">
        <f t="shared" si="16"/>
        <v>45973</v>
      </c>
      <c r="I232" s="1">
        <v>8.0208999999999993</v>
      </c>
      <c r="J232" s="1">
        <f>'Raw Data'!K232/Inv_SY!J$2</f>
        <v>0</v>
      </c>
      <c r="K232" s="1">
        <f>'Raw Data'!L232/Inv_SY!K$2</f>
        <v>0</v>
      </c>
      <c r="L232" s="1">
        <f>'Raw Data'!M232/Inv_SY!L$2</f>
        <v>0</v>
      </c>
      <c r="M232" s="1">
        <f>'Raw Data'!N232/Inv_SY!M$2</f>
        <v>0</v>
      </c>
      <c r="N232" s="1">
        <f>'Raw Data'!O232/Inv_SY!N$2</f>
        <v>0</v>
      </c>
      <c r="O232" s="1">
        <f>'Raw Data'!P232/Inv_SY!O$2</f>
        <v>0</v>
      </c>
      <c r="P232" s="1">
        <f>'Raw Data'!Q232/Inv_SY!P$2</f>
        <v>0</v>
      </c>
      <c r="Q232" s="1">
        <f>'Raw Data'!R232/Inv_SY!Q$2</f>
        <v>0</v>
      </c>
      <c r="R232" s="1">
        <f>'Raw Data'!S232/Inv_SY!R$2</f>
        <v>0</v>
      </c>
      <c r="S232" s="1">
        <f>'Raw Data'!T232/Inv_SY!S$2</f>
        <v>0</v>
      </c>
      <c r="T232" s="1">
        <f>'Raw Data'!U232/Inv_SY!T$2</f>
        <v>0</v>
      </c>
      <c r="U232" s="1">
        <f>'Raw Data'!V232/Inv_SY!U$2</f>
        <v>0</v>
      </c>
      <c r="V232" s="1">
        <f>'Raw Data'!W232/Inv_SY!V$2</f>
        <v>0</v>
      </c>
      <c r="W232" s="1">
        <f>'Raw Data'!X232/Inv_SY!W$2</f>
        <v>0</v>
      </c>
      <c r="X232" s="1">
        <f>'Raw Data'!Y232/Inv_SY!X$2</f>
        <v>0</v>
      </c>
      <c r="Y232" s="1" t="str">
        <f t="shared" si="18"/>
        <v/>
      </c>
      <c r="Z232" s="1">
        <f t="shared" si="19"/>
        <v>0</v>
      </c>
    </row>
    <row r="233" spans="1:26" x14ac:dyDescent="0.3">
      <c r="A233" s="55" t="s">
        <v>1403</v>
      </c>
      <c r="B233" s="55">
        <v>202</v>
      </c>
      <c r="C233" s="121">
        <f>YEAR(Table12[[#This Row],[Date]])</f>
        <v>2025</v>
      </c>
      <c r="D233" s="55" t="s">
        <v>329</v>
      </c>
      <c r="E233" s="55" t="s">
        <v>329</v>
      </c>
      <c r="F233" s="122" t="str">
        <f>TEXT(Table12[[#This Row],[Date]],"mmm-yy")</f>
        <v>Nov-25</v>
      </c>
      <c r="G233" s="121">
        <f t="shared" si="17"/>
        <v>30</v>
      </c>
      <c r="H233" s="123">
        <f t="shared" si="16"/>
        <v>45974</v>
      </c>
      <c r="I233" s="1">
        <v>8.0208999999999993</v>
      </c>
      <c r="J233" s="1">
        <f>'Raw Data'!K233/Inv_SY!J$2</f>
        <v>0</v>
      </c>
      <c r="K233" s="1">
        <f>'Raw Data'!L233/Inv_SY!K$2</f>
        <v>0</v>
      </c>
      <c r="L233" s="1">
        <f>'Raw Data'!M233/Inv_SY!L$2</f>
        <v>0</v>
      </c>
      <c r="M233" s="1">
        <f>'Raw Data'!N233/Inv_SY!M$2</f>
        <v>0</v>
      </c>
      <c r="N233" s="1">
        <f>'Raw Data'!O233/Inv_SY!N$2</f>
        <v>0</v>
      </c>
      <c r="O233" s="1">
        <f>'Raw Data'!P233/Inv_SY!O$2</f>
        <v>0</v>
      </c>
      <c r="P233" s="1">
        <f>'Raw Data'!Q233/Inv_SY!P$2</f>
        <v>0</v>
      </c>
      <c r="Q233" s="1">
        <f>'Raw Data'!R233/Inv_SY!Q$2</f>
        <v>0</v>
      </c>
      <c r="R233" s="1">
        <f>'Raw Data'!S233/Inv_SY!R$2</f>
        <v>0</v>
      </c>
      <c r="S233" s="1">
        <f>'Raw Data'!T233/Inv_SY!S$2</f>
        <v>0</v>
      </c>
      <c r="T233" s="1">
        <f>'Raw Data'!U233/Inv_SY!T$2</f>
        <v>0</v>
      </c>
      <c r="U233" s="1">
        <f>'Raw Data'!V233/Inv_SY!U$2</f>
        <v>0</v>
      </c>
      <c r="V233" s="1">
        <f>'Raw Data'!W233/Inv_SY!V$2</f>
        <v>0</v>
      </c>
      <c r="W233" s="1">
        <f>'Raw Data'!X233/Inv_SY!W$2</f>
        <v>0</v>
      </c>
      <c r="X233" s="1">
        <f>'Raw Data'!Y233/Inv_SY!X$2</f>
        <v>0</v>
      </c>
      <c r="Y233" s="1" t="str">
        <f t="shared" si="18"/>
        <v/>
      </c>
      <c r="Z233" s="1">
        <f t="shared" si="19"/>
        <v>0</v>
      </c>
    </row>
    <row r="234" spans="1:26" x14ac:dyDescent="0.3">
      <c r="A234" s="55" t="s">
        <v>1404</v>
      </c>
      <c r="B234" s="55">
        <v>203</v>
      </c>
      <c r="C234" s="121">
        <f>YEAR(Table12[[#This Row],[Date]])</f>
        <v>2025</v>
      </c>
      <c r="D234" s="55" t="s">
        <v>329</v>
      </c>
      <c r="E234" s="55" t="s">
        <v>329</v>
      </c>
      <c r="F234" s="122" t="str">
        <f>TEXT(Table12[[#This Row],[Date]],"mmm-yy")</f>
        <v>Nov-25</v>
      </c>
      <c r="G234" s="121">
        <f t="shared" si="17"/>
        <v>30</v>
      </c>
      <c r="H234" s="123">
        <f t="shared" si="16"/>
        <v>45975</v>
      </c>
      <c r="I234" s="1">
        <v>8.0208999999999993</v>
      </c>
      <c r="J234" s="1">
        <f>'Raw Data'!K234/Inv_SY!J$2</f>
        <v>0</v>
      </c>
      <c r="K234" s="1">
        <f>'Raw Data'!L234/Inv_SY!K$2</f>
        <v>0</v>
      </c>
      <c r="L234" s="1">
        <f>'Raw Data'!M234/Inv_SY!L$2</f>
        <v>0</v>
      </c>
      <c r="M234" s="1">
        <f>'Raw Data'!N234/Inv_SY!M$2</f>
        <v>0</v>
      </c>
      <c r="N234" s="1">
        <f>'Raw Data'!O234/Inv_SY!N$2</f>
        <v>0</v>
      </c>
      <c r="O234" s="1">
        <f>'Raw Data'!P234/Inv_SY!O$2</f>
        <v>0</v>
      </c>
      <c r="P234" s="1">
        <f>'Raw Data'!Q234/Inv_SY!P$2</f>
        <v>0</v>
      </c>
      <c r="Q234" s="1">
        <f>'Raw Data'!R234/Inv_SY!Q$2</f>
        <v>0</v>
      </c>
      <c r="R234" s="1">
        <f>'Raw Data'!S234/Inv_SY!R$2</f>
        <v>0</v>
      </c>
      <c r="S234" s="1">
        <f>'Raw Data'!T234/Inv_SY!S$2</f>
        <v>0</v>
      </c>
      <c r="T234" s="1">
        <f>'Raw Data'!U234/Inv_SY!T$2</f>
        <v>0</v>
      </c>
      <c r="U234" s="1">
        <f>'Raw Data'!V234/Inv_SY!U$2</f>
        <v>0</v>
      </c>
      <c r="V234" s="1">
        <f>'Raw Data'!W234/Inv_SY!V$2</f>
        <v>0</v>
      </c>
      <c r="W234" s="1">
        <f>'Raw Data'!X234/Inv_SY!W$2</f>
        <v>0</v>
      </c>
      <c r="X234" s="1">
        <f>'Raw Data'!Y234/Inv_SY!X$2</f>
        <v>0</v>
      </c>
      <c r="Y234" s="1" t="str">
        <f t="shared" si="18"/>
        <v/>
      </c>
      <c r="Z234" s="1">
        <f t="shared" si="19"/>
        <v>0</v>
      </c>
    </row>
    <row r="235" spans="1:26" x14ac:dyDescent="0.3">
      <c r="A235" s="55" t="s">
        <v>1405</v>
      </c>
      <c r="B235" s="55">
        <v>204</v>
      </c>
      <c r="C235" s="121">
        <f>YEAR(Table12[[#This Row],[Date]])</f>
        <v>2025</v>
      </c>
      <c r="D235" s="55" t="s">
        <v>329</v>
      </c>
      <c r="E235" s="55" t="s">
        <v>329</v>
      </c>
      <c r="F235" s="122" t="str">
        <f>TEXT(Table12[[#This Row],[Date]],"mmm-yy")</f>
        <v>Nov-25</v>
      </c>
      <c r="G235" s="121">
        <f t="shared" si="17"/>
        <v>30</v>
      </c>
      <c r="H235" s="123">
        <f t="shared" si="16"/>
        <v>45976</v>
      </c>
      <c r="I235" s="1">
        <v>8.0208999999999993</v>
      </c>
      <c r="J235" s="1">
        <f>'Raw Data'!K235/Inv_SY!J$2</f>
        <v>0</v>
      </c>
      <c r="K235" s="1">
        <f>'Raw Data'!L235/Inv_SY!K$2</f>
        <v>0</v>
      </c>
      <c r="L235" s="1">
        <f>'Raw Data'!M235/Inv_SY!L$2</f>
        <v>0</v>
      </c>
      <c r="M235" s="1">
        <f>'Raw Data'!N235/Inv_SY!M$2</f>
        <v>0</v>
      </c>
      <c r="N235" s="1">
        <f>'Raw Data'!O235/Inv_SY!N$2</f>
        <v>0</v>
      </c>
      <c r="O235" s="1">
        <f>'Raw Data'!P235/Inv_SY!O$2</f>
        <v>0</v>
      </c>
      <c r="P235" s="1">
        <f>'Raw Data'!Q235/Inv_SY!P$2</f>
        <v>0</v>
      </c>
      <c r="Q235" s="1">
        <f>'Raw Data'!R235/Inv_SY!Q$2</f>
        <v>0</v>
      </c>
      <c r="R235" s="1">
        <f>'Raw Data'!S235/Inv_SY!R$2</f>
        <v>0</v>
      </c>
      <c r="S235" s="1">
        <f>'Raw Data'!T235/Inv_SY!S$2</f>
        <v>0</v>
      </c>
      <c r="T235" s="1">
        <f>'Raw Data'!U235/Inv_SY!T$2</f>
        <v>0</v>
      </c>
      <c r="U235" s="1">
        <f>'Raw Data'!V235/Inv_SY!U$2</f>
        <v>0</v>
      </c>
      <c r="V235" s="1">
        <f>'Raw Data'!W235/Inv_SY!V$2</f>
        <v>0</v>
      </c>
      <c r="W235" s="1">
        <f>'Raw Data'!X235/Inv_SY!W$2</f>
        <v>0</v>
      </c>
      <c r="X235" s="1">
        <f>'Raw Data'!Y235/Inv_SY!X$2</f>
        <v>0</v>
      </c>
      <c r="Y235" s="1" t="str">
        <f t="shared" si="18"/>
        <v/>
      </c>
      <c r="Z235" s="1">
        <f t="shared" si="19"/>
        <v>0</v>
      </c>
    </row>
    <row r="236" spans="1:26" x14ac:dyDescent="0.3">
      <c r="A236" s="55" t="s">
        <v>1406</v>
      </c>
      <c r="B236" s="55">
        <v>205</v>
      </c>
      <c r="C236" s="121">
        <f>YEAR(Table12[[#This Row],[Date]])</f>
        <v>2025</v>
      </c>
      <c r="D236" s="55" t="s">
        <v>329</v>
      </c>
      <c r="E236" s="55" t="s">
        <v>329</v>
      </c>
      <c r="F236" s="122" t="str">
        <f>TEXT(Table12[[#This Row],[Date]],"mmm-yy")</f>
        <v>Nov-25</v>
      </c>
      <c r="G236" s="121">
        <f t="shared" si="17"/>
        <v>30</v>
      </c>
      <c r="H236" s="123">
        <f t="shared" si="16"/>
        <v>45977</v>
      </c>
      <c r="I236" s="1">
        <v>8.0208999999999993</v>
      </c>
      <c r="J236" s="1">
        <f>'Raw Data'!K236/Inv_SY!J$2</f>
        <v>0</v>
      </c>
      <c r="K236" s="1">
        <f>'Raw Data'!L236/Inv_SY!K$2</f>
        <v>0</v>
      </c>
      <c r="L236" s="1">
        <f>'Raw Data'!M236/Inv_SY!L$2</f>
        <v>0</v>
      </c>
      <c r="M236" s="1">
        <f>'Raw Data'!N236/Inv_SY!M$2</f>
        <v>0</v>
      </c>
      <c r="N236" s="1">
        <f>'Raw Data'!O236/Inv_SY!N$2</f>
        <v>0</v>
      </c>
      <c r="O236" s="1">
        <f>'Raw Data'!P236/Inv_SY!O$2</f>
        <v>0</v>
      </c>
      <c r="P236" s="1">
        <f>'Raw Data'!Q236/Inv_SY!P$2</f>
        <v>0</v>
      </c>
      <c r="Q236" s="1">
        <f>'Raw Data'!R236/Inv_SY!Q$2</f>
        <v>0</v>
      </c>
      <c r="R236" s="1">
        <f>'Raw Data'!S236/Inv_SY!R$2</f>
        <v>0</v>
      </c>
      <c r="S236" s="1">
        <f>'Raw Data'!T236/Inv_SY!S$2</f>
        <v>0</v>
      </c>
      <c r="T236" s="1">
        <f>'Raw Data'!U236/Inv_SY!T$2</f>
        <v>0</v>
      </c>
      <c r="U236" s="1">
        <f>'Raw Data'!V236/Inv_SY!U$2</f>
        <v>0</v>
      </c>
      <c r="V236" s="1">
        <f>'Raw Data'!W236/Inv_SY!V$2</f>
        <v>0</v>
      </c>
      <c r="W236" s="1">
        <f>'Raw Data'!X236/Inv_SY!W$2</f>
        <v>0</v>
      </c>
      <c r="X236" s="1">
        <f>'Raw Data'!Y236/Inv_SY!X$2</f>
        <v>0</v>
      </c>
      <c r="Y236" s="1" t="str">
        <f t="shared" si="18"/>
        <v/>
      </c>
      <c r="Z236" s="1">
        <f t="shared" si="19"/>
        <v>0</v>
      </c>
    </row>
    <row r="237" spans="1:26" x14ac:dyDescent="0.3">
      <c r="A237" s="55" t="s">
        <v>1407</v>
      </c>
      <c r="B237" s="55">
        <v>206</v>
      </c>
      <c r="C237" s="121">
        <f>YEAR(Table12[[#This Row],[Date]])</f>
        <v>2025</v>
      </c>
      <c r="D237" s="55" t="s">
        <v>329</v>
      </c>
      <c r="E237" s="55" t="s">
        <v>329</v>
      </c>
      <c r="F237" s="122" t="str">
        <f>TEXT(Table12[[#This Row],[Date]],"mmm-yy")</f>
        <v>Nov-25</v>
      </c>
      <c r="G237" s="121">
        <f t="shared" si="17"/>
        <v>30</v>
      </c>
      <c r="H237" s="123">
        <f t="shared" si="16"/>
        <v>45978</v>
      </c>
      <c r="I237" s="1">
        <v>8.0208999999999993</v>
      </c>
      <c r="J237" s="1">
        <f>'Raw Data'!K237/Inv_SY!J$2</f>
        <v>0</v>
      </c>
      <c r="K237" s="1">
        <f>'Raw Data'!L237/Inv_SY!K$2</f>
        <v>0</v>
      </c>
      <c r="L237" s="1">
        <f>'Raw Data'!M237/Inv_SY!L$2</f>
        <v>0</v>
      </c>
      <c r="M237" s="1">
        <f>'Raw Data'!N237/Inv_SY!M$2</f>
        <v>0</v>
      </c>
      <c r="N237" s="1">
        <f>'Raw Data'!O237/Inv_SY!N$2</f>
        <v>0</v>
      </c>
      <c r="O237" s="1">
        <f>'Raw Data'!P237/Inv_SY!O$2</f>
        <v>0</v>
      </c>
      <c r="P237" s="1">
        <f>'Raw Data'!Q237/Inv_SY!P$2</f>
        <v>0</v>
      </c>
      <c r="Q237" s="1">
        <f>'Raw Data'!R237/Inv_SY!Q$2</f>
        <v>0</v>
      </c>
      <c r="R237" s="1">
        <f>'Raw Data'!S237/Inv_SY!R$2</f>
        <v>0</v>
      </c>
      <c r="S237" s="1">
        <f>'Raw Data'!T237/Inv_SY!S$2</f>
        <v>0</v>
      </c>
      <c r="T237" s="1">
        <f>'Raw Data'!U237/Inv_SY!T$2</f>
        <v>0</v>
      </c>
      <c r="U237" s="1">
        <f>'Raw Data'!V237/Inv_SY!U$2</f>
        <v>0</v>
      </c>
      <c r="V237" s="1">
        <f>'Raw Data'!W237/Inv_SY!V$2</f>
        <v>0</v>
      </c>
      <c r="W237" s="1">
        <f>'Raw Data'!X237/Inv_SY!W$2</f>
        <v>0</v>
      </c>
      <c r="X237" s="1">
        <f>'Raw Data'!Y237/Inv_SY!X$2</f>
        <v>0</v>
      </c>
      <c r="Y237" s="1" t="str">
        <f t="shared" si="18"/>
        <v/>
      </c>
      <c r="Z237" s="1">
        <f t="shared" si="19"/>
        <v>0</v>
      </c>
    </row>
    <row r="238" spans="1:26" x14ac:dyDescent="0.3">
      <c r="A238" s="55" t="s">
        <v>1408</v>
      </c>
      <c r="B238" s="55">
        <v>207</v>
      </c>
      <c r="C238" s="121">
        <f>YEAR(Table12[[#This Row],[Date]])</f>
        <v>2025</v>
      </c>
      <c r="D238" s="55" t="s">
        <v>329</v>
      </c>
      <c r="E238" s="55" t="s">
        <v>329</v>
      </c>
      <c r="F238" s="122" t="str">
        <f>TEXT(Table12[[#This Row],[Date]],"mmm-yy")</f>
        <v>Nov-25</v>
      </c>
      <c r="G238" s="121">
        <f t="shared" si="17"/>
        <v>30</v>
      </c>
      <c r="H238" s="123">
        <f t="shared" si="16"/>
        <v>45979</v>
      </c>
      <c r="I238" s="1">
        <v>8.0208999999999993</v>
      </c>
      <c r="J238" s="1">
        <f>'Raw Data'!K238/Inv_SY!J$2</f>
        <v>0</v>
      </c>
      <c r="K238" s="1">
        <f>'Raw Data'!L238/Inv_SY!K$2</f>
        <v>0</v>
      </c>
      <c r="L238" s="1">
        <f>'Raw Data'!M238/Inv_SY!L$2</f>
        <v>0</v>
      </c>
      <c r="M238" s="1">
        <f>'Raw Data'!N238/Inv_SY!M$2</f>
        <v>0</v>
      </c>
      <c r="N238" s="1">
        <f>'Raw Data'!O238/Inv_SY!N$2</f>
        <v>0</v>
      </c>
      <c r="O238" s="1">
        <f>'Raw Data'!P238/Inv_SY!O$2</f>
        <v>0</v>
      </c>
      <c r="P238" s="1">
        <f>'Raw Data'!Q238/Inv_SY!P$2</f>
        <v>0</v>
      </c>
      <c r="Q238" s="1">
        <f>'Raw Data'!R238/Inv_SY!Q$2</f>
        <v>0</v>
      </c>
      <c r="R238" s="1">
        <f>'Raw Data'!S238/Inv_SY!R$2</f>
        <v>0</v>
      </c>
      <c r="S238" s="1">
        <f>'Raw Data'!T238/Inv_SY!S$2</f>
        <v>0</v>
      </c>
      <c r="T238" s="1">
        <f>'Raw Data'!U238/Inv_SY!T$2</f>
        <v>0</v>
      </c>
      <c r="U238" s="1">
        <f>'Raw Data'!V238/Inv_SY!U$2</f>
        <v>0</v>
      </c>
      <c r="V238" s="1">
        <f>'Raw Data'!W238/Inv_SY!V$2</f>
        <v>0</v>
      </c>
      <c r="W238" s="1">
        <f>'Raw Data'!X238/Inv_SY!W$2</f>
        <v>0</v>
      </c>
      <c r="X238" s="1">
        <f>'Raw Data'!Y238/Inv_SY!X$2</f>
        <v>0</v>
      </c>
      <c r="Y238" s="1" t="str">
        <f t="shared" si="18"/>
        <v/>
      </c>
      <c r="Z238" s="1">
        <f t="shared" si="19"/>
        <v>0</v>
      </c>
    </row>
    <row r="239" spans="1:26" x14ac:dyDescent="0.3">
      <c r="A239" s="55" t="s">
        <v>1409</v>
      </c>
      <c r="B239" s="55">
        <v>208</v>
      </c>
      <c r="C239" s="121">
        <f>YEAR(Table12[[#This Row],[Date]])</f>
        <v>2025</v>
      </c>
      <c r="D239" s="55" t="s">
        <v>329</v>
      </c>
      <c r="E239" s="55" t="s">
        <v>329</v>
      </c>
      <c r="F239" s="122" t="str">
        <f>TEXT(Table12[[#This Row],[Date]],"mmm-yy")</f>
        <v>Nov-25</v>
      </c>
      <c r="G239" s="121">
        <f t="shared" si="17"/>
        <v>30</v>
      </c>
      <c r="H239" s="123">
        <f t="shared" si="16"/>
        <v>45980</v>
      </c>
      <c r="I239" s="1">
        <v>8.0208999999999993</v>
      </c>
      <c r="J239" s="1">
        <f>'Raw Data'!K239/Inv_SY!J$2</f>
        <v>0</v>
      </c>
      <c r="K239" s="1">
        <f>'Raw Data'!L239/Inv_SY!K$2</f>
        <v>0</v>
      </c>
      <c r="L239" s="1">
        <f>'Raw Data'!M239/Inv_SY!L$2</f>
        <v>0</v>
      </c>
      <c r="M239" s="1">
        <f>'Raw Data'!N239/Inv_SY!M$2</f>
        <v>0</v>
      </c>
      <c r="N239" s="1">
        <f>'Raw Data'!O239/Inv_SY!N$2</f>
        <v>0</v>
      </c>
      <c r="O239" s="1">
        <f>'Raw Data'!P239/Inv_SY!O$2</f>
        <v>0</v>
      </c>
      <c r="P239" s="1">
        <f>'Raw Data'!Q239/Inv_SY!P$2</f>
        <v>0</v>
      </c>
      <c r="Q239" s="1">
        <f>'Raw Data'!R239/Inv_SY!Q$2</f>
        <v>0</v>
      </c>
      <c r="R239" s="1">
        <f>'Raw Data'!S239/Inv_SY!R$2</f>
        <v>0</v>
      </c>
      <c r="S239" s="1">
        <f>'Raw Data'!T239/Inv_SY!S$2</f>
        <v>0</v>
      </c>
      <c r="T239" s="1">
        <f>'Raw Data'!U239/Inv_SY!T$2</f>
        <v>0</v>
      </c>
      <c r="U239" s="1">
        <f>'Raw Data'!V239/Inv_SY!U$2</f>
        <v>0</v>
      </c>
      <c r="V239" s="1">
        <f>'Raw Data'!W239/Inv_SY!V$2</f>
        <v>0</v>
      </c>
      <c r="W239" s="1">
        <f>'Raw Data'!X239/Inv_SY!W$2</f>
        <v>0</v>
      </c>
      <c r="X239" s="1">
        <f>'Raw Data'!Y239/Inv_SY!X$2</f>
        <v>0</v>
      </c>
      <c r="Y239" s="1" t="str">
        <f t="shared" si="18"/>
        <v/>
      </c>
      <c r="Z239" s="1">
        <f t="shared" si="19"/>
        <v>0</v>
      </c>
    </row>
    <row r="240" spans="1:26" x14ac:dyDescent="0.3">
      <c r="A240" s="55" t="s">
        <v>1410</v>
      </c>
      <c r="B240" s="55">
        <v>209</v>
      </c>
      <c r="C240" s="121">
        <f>YEAR(Table12[[#This Row],[Date]])</f>
        <v>2025</v>
      </c>
      <c r="D240" s="55" t="s">
        <v>329</v>
      </c>
      <c r="E240" s="55" t="s">
        <v>329</v>
      </c>
      <c r="F240" s="122" t="str">
        <f>TEXT(Table12[[#This Row],[Date]],"mmm-yy")</f>
        <v>Nov-25</v>
      </c>
      <c r="G240" s="121">
        <f t="shared" si="17"/>
        <v>30</v>
      </c>
      <c r="H240" s="123">
        <f t="shared" si="16"/>
        <v>45981</v>
      </c>
      <c r="I240" s="1">
        <v>8.0208999999999993</v>
      </c>
      <c r="J240" s="1">
        <f>'Raw Data'!K240/Inv_SY!J$2</f>
        <v>0</v>
      </c>
      <c r="K240" s="1">
        <f>'Raw Data'!L240/Inv_SY!K$2</f>
        <v>0</v>
      </c>
      <c r="L240" s="1">
        <f>'Raw Data'!M240/Inv_SY!L$2</f>
        <v>0</v>
      </c>
      <c r="M240" s="1">
        <f>'Raw Data'!N240/Inv_SY!M$2</f>
        <v>0</v>
      </c>
      <c r="N240" s="1">
        <f>'Raw Data'!O240/Inv_SY!N$2</f>
        <v>0</v>
      </c>
      <c r="O240" s="1">
        <f>'Raw Data'!P240/Inv_SY!O$2</f>
        <v>0</v>
      </c>
      <c r="P240" s="1">
        <f>'Raw Data'!Q240/Inv_SY!P$2</f>
        <v>0</v>
      </c>
      <c r="Q240" s="1">
        <f>'Raw Data'!R240/Inv_SY!Q$2</f>
        <v>0</v>
      </c>
      <c r="R240" s="1">
        <f>'Raw Data'!S240/Inv_SY!R$2</f>
        <v>0</v>
      </c>
      <c r="S240" s="1">
        <f>'Raw Data'!T240/Inv_SY!S$2</f>
        <v>0</v>
      </c>
      <c r="T240" s="1">
        <f>'Raw Data'!U240/Inv_SY!T$2</f>
        <v>0</v>
      </c>
      <c r="U240" s="1">
        <f>'Raw Data'!V240/Inv_SY!U$2</f>
        <v>0</v>
      </c>
      <c r="V240" s="1">
        <f>'Raw Data'!W240/Inv_SY!V$2</f>
        <v>0</v>
      </c>
      <c r="W240" s="1">
        <f>'Raw Data'!X240/Inv_SY!W$2</f>
        <v>0</v>
      </c>
      <c r="X240" s="1">
        <f>'Raw Data'!Y240/Inv_SY!X$2</f>
        <v>0</v>
      </c>
      <c r="Y240" s="1" t="str">
        <f t="shared" si="18"/>
        <v/>
      </c>
      <c r="Z240" s="1">
        <f t="shared" si="19"/>
        <v>0</v>
      </c>
    </row>
    <row r="241" spans="1:26" x14ac:dyDescent="0.3">
      <c r="A241" s="55" t="s">
        <v>1411</v>
      </c>
      <c r="B241" s="55">
        <v>210</v>
      </c>
      <c r="C241" s="121">
        <f>YEAR(Table12[[#This Row],[Date]])</f>
        <v>2025</v>
      </c>
      <c r="D241" s="55" t="s">
        <v>329</v>
      </c>
      <c r="E241" s="55" t="s">
        <v>329</v>
      </c>
      <c r="F241" s="122" t="str">
        <f>TEXT(Table12[[#This Row],[Date]],"mmm-yy")</f>
        <v>Nov-25</v>
      </c>
      <c r="G241" s="121">
        <f t="shared" si="17"/>
        <v>30</v>
      </c>
      <c r="H241" s="123">
        <f t="shared" si="16"/>
        <v>45982</v>
      </c>
      <c r="I241" s="1">
        <v>8.0208999999999993</v>
      </c>
      <c r="J241" s="1">
        <f>'Raw Data'!K241/Inv_SY!J$2</f>
        <v>0</v>
      </c>
      <c r="K241" s="1">
        <f>'Raw Data'!L241/Inv_SY!K$2</f>
        <v>0</v>
      </c>
      <c r="L241" s="1">
        <f>'Raw Data'!M241/Inv_SY!L$2</f>
        <v>0</v>
      </c>
      <c r="M241" s="1">
        <f>'Raw Data'!N241/Inv_SY!M$2</f>
        <v>0</v>
      </c>
      <c r="N241" s="1">
        <f>'Raw Data'!O241/Inv_SY!N$2</f>
        <v>0</v>
      </c>
      <c r="O241" s="1">
        <f>'Raw Data'!P241/Inv_SY!O$2</f>
        <v>0</v>
      </c>
      <c r="P241" s="1">
        <f>'Raw Data'!Q241/Inv_SY!P$2</f>
        <v>0</v>
      </c>
      <c r="Q241" s="1">
        <f>'Raw Data'!R241/Inv_SY!Q$2</f>
        <v>0</v>
      </c>
      <c r="R241" s="1">
        <f>'Raw Data'!S241/Inv_SY!R$2</f>
        <v>0</v>
      </c>
      <c r="S241" s="1">
        <f>'Raw Data'!T241/Inv_SY!S$2</f>
        <v>0</v>
      </c>
      <c r="T241" s="1">
        <f>'Raw Data'!U241/Inv_SY!T$2</f>
        <v>0</v>
      </c>
      <c r="U241" s="1">
        <f>'Raw Data'!V241/Inv_SY!U$2</f>
        <v>0</v>
      </c>
      <c r="V241" s="1">
        <f>'Raw Data'!W241/Inv_SY!V$2</f>
        <v>0</v>
      </c>
      <c r="W241" s="1">
        <f>'Raw Data'!X241/Inv_SY!W$2</f>
        <v>0</v>
      </c>
      <c r="X241" s="1">
        <f>'Raw Data'!Y241/Inv_SY!X$2</f>
        <v>0</v>
      </c>
      <c r="Y241" s="1" t="str">
        <f t="shared" si="18"/>
        <v/>
      </c>
      <c r="Z241" s="1">
        <f t="shared" si="19"/>
        <v>0</v>
      </c>
    </row>
    <row r="242" spans="1:26" x14ac:dyDescent="0.3">
      <c r="A242" s="55" t="s">
        <v>1412</v>
      </c>
      <c r="B242" s="55">
        <v>211</v>
      </c>
      <c r="C242" s="121">
        <f>YEAR(Table12[[#This Row],[Date]])</f>
        <v>2025</v>
      </c>
      <c r="D242" s="55" t="s">
        <v>329</v>
      </c>
      <c r="E242" s="55" t="s">
        <v>329</v>
      </c>
      <c r="F242" s="122" t="str">
        <f>TEXT(Table12[[#This Row],[Date]],"mmm-yy")</f>
        <v>Nov-25</v>
      </c>
      <c r="G242" s="121">
        <f t="shared" si="17"/>
        <v>30</v>
      </c>
      <c r="H242" s="123">
        <f t="shared" si="16"/>
        <v>45983</v>
      </c>
      <c r="I242" s="1">
        <v>8.0208999999999993</v>
      </c>
      <c r="J242" s="1">
        <f>'Raw Data'!K242/Inv_SY!J$2</f>
        <v>0</v>
      </c>
      <c r="K242" s="1">
        <f>'Raw Data'!L242/Inv_SY!K$2</f>
        <v>0</v>
      </c>
      <c r="L242" s="1">
        <f>'Raw Data'!M242/Inv_SY!L$2</f>
        <v>0</v>
      </c>
      <c r="M242" s="1">
        <f>'Raw Data'!N242/Inv_SY!M$2</f>
        <v>0</v>
      </c>
      <c r="N242" s="1">
        <f>'Raw Data'!O242/Inv_SY!N$2</f>
        <v>0</v>
      </c>
      <c r="O242" s="1">
        <f>'Raw Data'!P242/Inv_SY!O$2</f>
        <v>0</v>
      </c>
      <c r="P242" s="1">
        <f>'Raw Data'!Q242/Inv_SY!P$2</f>
        <v>0</v>
      </c>
      <c r="Q242" s="1">
        <f>'Raw Data'!R242/Inv_SY!Q$2</f>
        <v>0</v>
      </c>
      <c r="R242" s="1">
        <f>'Raw Data'!S242/Inv_SY!R$2</f>
        <v>0</v>
      </c>
      <c r="S242" s="1">
        <f>'Raw Data'!T242/Inv_SY!S$2</f>
        <v>0</v>
      </c>
      <c r="T242" s="1">
        <f>'Raw Data'!U242/Inv_SY!T$2</f>
        <v>0</v>
      </c>
      <c r="U242" s="1">
        <f>'Raw Data'!V242/Inv_SY!U$2</f>
        <v>0</v>
      </c>
      <c r="V242" s="1">
        <f>'Raw Data'!W242/Inv_SY!V$2</f>
        <v>0</v>
      </c>
      <c r="W242" s="1">
        <f>'Raw Data'!X242/Inv_SY!W$2</f>
        <v>0</v>
      </c>
      <c r="X242" s="1">
        <f>'Raw Data'!Y242/Inv_SY!X$2</f>
        <v>0</v>
      </c>
      <c r="Y242" s="1" t="str">
        <f t="shared" si="18"/>
        <v/>
      </c>
      <c r="Z242" s="1">
        <f t="shared" si="19"/>
        <v>0</v>
      </c>
    </row>
    <row r="243" spans="1:26" x14ac:dyDescent="0.3">
      <c r="A243" s="55" t="s">
        <v>1413</v>
      </c>
      <c r="B243" s="55">
        <v>212</v>
      </c>
      <c r="C243" s="121">
        <f>YEAR(Table12[[#This Row],[Date]])</f>
        <v>2025</v>
      </c>
      <c r="D243" s="55" t="s">
        <v>329</v>
      </c>
      <c r="E243" s="55" t="s">
        <v>329</v>
      </c>
      <c r="F243" s="122" t="str">
        <f>TEXT(Table12[[#This Row],[Date]],"mmm-yy")</f>
        <v>Nov-25</v>
      </c>
      <c r="G243" s="121">
        <f t="shared" si="17"/>
        <v>30</v>
      </c>
      <c r="H243" s="123">
        <f t="shared" si="16"/>
        <v>45984</v>
      </c>
      <c r="I243" s="1">
        <v>8.0208999999999993</v>
      </c>
      <c r="J243" s="1">
        <f>'Raw Data'!K243/Inv_SY!J$2</f>
        <v>0</v>
      </c>
      <c r="K243" s="1">
        <f>'Raw Data'!L243/Inv_SY!K$2</f>
        <v>0</v>
      </c>
      <c r="L243" s="1">
        <f>'Raw Data'!M243/Inv_SY!L$2</f>
        <v>0</v>
      </c>
      <c r="M243" s="1">
        <f>'Raw Data'!N243/Inv_SY!M$2</f>
        <v>0</v>
      </c>
      <c r="N243" s="1">
        <f>'Raw Data'!O243/Inv_SY!N$2</f>
        <v>0</v>
      </c>
      <c r="O243" s="1">
        <f>'Raw Data'!P243/Inv_SY!O$2</f>
        <v>0</v>
      </c>
      <c r="P243" s="1">
        <f>'Raw Data'!Q243/Inv_SY!P$2</f>
        <v>0</v>
      </c>
      <c r="Q243" s="1">
        <f>'Raw Data'!R243/Inv_SY!Q$2</f>
        <v>0</v>
      </c>
      <c r="R243" s="1">
        <f>'Raw Data'!S243/Inv_SY!R$2</f>
        <v>0</v>
      </c>
      <c r="S243" s="1">
        <f>'Raw Data'!T243/Inv_SY!S$2</f>
        <v>0</v>
      </c>
      <c r="T243" s="1">
        <f>'Raw Data'!U243/Inv_SY!T$2</f>
        <v>0</v>
      </c>
      <c r="U243" s="1">
        <f>'Raw Data'!V243/Inv_SY!U$2</f>
        <v>0</v>
      </c>
      <c r="V243" s="1">
        <f>'Raw Data'!W243/Inv_SY!V$2</f>
        <v>0</v>
      </c>
      <c r="W243" s="1">
        <f>'Raw Data'!X243/Inv_SY!W$2</f>
        <v>0</v>
      </c>
      <c r="X243" s="1">
        <f>'Raw Data'!Y243/Inv_SY!X$2</f>
        <v>0</v>
      </c>
      <c r="Y243" s="1" t="str">
        <f t="shared" si="18"/>
        <v/>
      </c>
      <c r="Z243" s="1">
        <f t="shared" si="19"/>
        <v>0</v>
      </c>
    </row>
    <row r="244" spans="1:26" x14ac:dyDescent="0.3">
      <c r="A244" s="55" t="s">
        <v>1414</v>
      </c>
      <c r="B244" s="55">
        <v>213</v>
      </c>
      <c r="C244" s="121">
        <f>YEAR(Table12[[#This Row],[Date]])</f>
        <v>2025</v>
      </c>
      <c r="D244" s="55" t="s">
        <v>329</v>
      </c>
      <c r="E244" s="55" t="s">
        <v>329</v>
      </c>
      <c r="F244" s="122" t="str">
        <f>TEXT(Table12[[#This Row],[Date]],"mmm-yy")</f>
        <v>Nov-25</v>
      </c>
      <c r="G244" s="121">
        <f t="shared" si="17"/>
        <v>30</v>
      </c>
      <c r="H244" s="123">
        <f t="shared" si="16"/>
        <v>45985</v>
      </c>
      <c r="I244" s="1">
        <v>8.0208999999999993</v>
      </c>
      <c r="J244" s="1">
        <f>'Raw Data'!K244/Inv_SY!J$2</f>
        <v>0</v>
      </c>
      <c r="K244" s="1">
        <f>'Raw Data'!L244/Inv_SY!K$2</f>
        <v>0</v>
      </c>
      <c r="L244" s="1">
        <f>'Raw Data'!M244/Inv_SY!L$2</f>
        <v>0</v>
      </c>
      <c r="M244" s="1">
        <f>'Raw Data'!N244/Inv_SY!M$2</f>
        <v>0</v>
      </c>
      <c r="N244" s="1">
        <f>'Raw Data'!O244/Inv_SY!N$2</f>
        <v>0</v>
      </c>
      <c r="O244" s="1">
        <f>'Raw Data'!P244/Inv_SY!O$2</f>
        <v>0</v>
      </c>
      <c r="P244" s="1">
        <f>'Raw Data'!Q244/Inv_SY!P$2</f>
        <v>0</v>
      </c>
      <c r="Q244" s="1">
        <f>'Raw Data'!R244/Inv_SY!Q$2</f>
        <v>0</v>
      </c>
      <c r="R244" s="1">
        <f>'Raw Data'!S244/Inv_SY!R$2</f>
        <v>0</v>
      </c>
      <c r="S244" s="1">
        <f>'Raw Data'!T244/Inv_SY!S$2</f>
        <v>0</v>
      </c>
      <c r="T244" s="1">
        <f>'Raw Data'!U244/Inv_SY!T$2</f>
        <v>0</v>
      </c>
      <c r="U244" s="1">
        <f>'Raw Data'!V244/Inv_SY!U$2</f>
        <v>0</v>
      </c>
      <c r="V244" s="1">
        <f>'Raw Data'!W244/Inv_SY!V$2</f>
        <v>0</v>
      </c>
      <c r="W244" s="1">
        <f>'Raw Data'!X244/Inv_SY!W$2</f>
        <v>0</v>
      </c>
      <c r="X244" s="1">
        <f>'Raw Data'!Y244/Inv_SY!X$2</f>
        <v>0</v>
      </c>
      <c r="Y244" s="1" t="str">
        <f t="shared" si="18"/>
        <v/>
      </c>
      <c r="Z244" s="1">
        <f t="shared" si="19"/>
        <v>0</v>
      </c>
    </row>
    <row r="245" spans="1:26" x14ac:dyDescent="0.3">
      <c r="A245" s="55" t="s">
        <v>1415</v>
      </c>
      <c r="B245" s="55">
        <v>214</v>
      </c>
      <c r="C245" s="121">
        <f>YEAR(Table12[[#This Row],[Date]])</f>
        <v>2025</v>
      </c>
      <c r="D245" s="55" t="s">
        <v>329</v>
      </c>
      <c r="E245" s="55" t="s">
        <v>329</v>
      </c>
      <c r="F245" s="122" t="str">
        <f>TEXT(Table12[[#This Row],[Date]],"mmm-yy")</f>
        <v>Nov-25</v>
      </c>
      <c r="G245" s="121">
        <f t="shared" si="17"/>
        <v>30</v>
      </c>
      <c r="H245" s="123">
        <f t="shared" si="16"/>
        <v>45986</v>
      </c>
      <c r="I245" s="1">
        <v>8.0208999999999993</v>
      </c>
      <c r="J245" s="1">
        <f>'Raw Data'!K245/Inv_SY!J$2</f>
        <v>0</v>
      </c>
      <c r="K245" s="1">
        <f>'Raw Data'!L245/Inv_SY!K$2</f>
        <v>0</v>
      </c>
      <c r="L245" s="1">
        <f>'Raw Data'!M245/Inv_SY!L$2</f>
        <v>0</v>
      </c>
      <c r="M245" s="1">
        <f>'Raw Data'!N245/Inv_SY!M$2</f>
        <v>0</v>
      </c>
      <c r="N245" s="1">
        <f>'Raw Data'!O245/Inv_SY!N$2</f>
        <v>0</v>
      </c>
      <c r="O245" s="1">
        <f>'Raw Data'!P245/Inv_SY!O$2</f>
        <v>0</v>
      </c>
      <c r="P245" s="1">
        <f>'Raw Data'!Q245/Inv_SY!P$2</f>
        <v>0</v>
      </c>
      <c r="Q245" s="1">
        <f>'Raw Data'!R245/Inv_SY!Q$2</f>
        <v>0</v>
      </c>
      <c r="R245" s="1">
        <f>'Raw Data'!S245/Inv_SY!R$2</f>
        <v>0</v>
      </c>
      <c r="S245" s="1">
        <f>'Raw Data'!T245/Inv_SY!S$2</f>
        <v>0</v>
      </c>
      <c r="T245" s="1">
        <f>'Raw Data'!U245/Inv_SY!T$2</f>
        <v>0</v>
      </c>
      <c r="U245" s="1">
        <f>'Raw Data'!V245/Inv_SY!U$2</f>
        <v>0</v>
      </c>
      <c r="V245" s="1">
        <f>'Raw Data'!W245/Inv_SY!V$2</f>
        <v>0</v>
      </c>
      <c r="W245" s="1">
        <f>'Raw Data'!X245/Inv_SY!W$2</f>
        <v>0</v>
      </c>
      <c r="X245" s="1">
        <f>'Raw Data'!Y245/Inv_SY!X$2</f>
        <v>0</v>
      </c>
      <c r="Y245" s="1" t="str">
        <f t="shared" si="18"/>
        <v/>
      </c>
      <c r="Z245" s="1">
        <f t="shared" si="19"/>
        <v>0</v>
      </c>
    </row>
    <row r="246" spans="1:26" x14ac:dyDescent="0.3">
      <c r="A246" s="55" t="s">
        <v>1416</v>
      </c>
      <c r="B246" s="55">
        <v>215</v>
      </c>
      <c r="C246" s="121">
        <f>YEAR(Table12[[#This Row],[Date]])</f>
        <v>2025</v>
      </c>
      <c r="D246" s="55" t="s">
        <v>329</v>
      </c>
      <c r="E246" s="55" t="s">
        <v>329</v>
      </c>
      <c r="F246" s="122" t="str">
        <f>TEXT(Table12[[#This Row],[Date]],"mmm-yy")</f>
        <v>Nov-25</v>
      </c>
      <c r="G246" s="121">
        <f t="shared" si="17"/>
        <v>30</v>
      </c>
      <c r="H246" s="123">
        <f t="shared" si="16"/>
        <v>45987</v>
      </c>
      <c r="I246" s="1">
        <v>8.0208999999999993</v>
      </c>
      <c r="J246" s="1">
        <f>'Raw Data'!K246/Inv_SY!J$2</f>
        <v>0</v>
      </c>
      <c r="K246" s="1">
        <f>'Raw Data'!L246/Inv_SY!K$2</f>
        <v>0</v>
      </c>
      <c r="L246" s="1">
        <f>'Raw Data'!M246/Inv_SY!L$2</f>
        <v>0</v>
      </c>
      <c r="M246" s="1">
        <f>'Raw Data'!N246/Inv_SY!M$2</f>
        <v>0</v>
      </c>
      <c r="N246" s="1">
        <f>'Raw Data'!O246/Inv_SY!N$2</f>
        <v>0</v>
      </c>
      <c r="O246" s="1">
        <f>'Raw Data'!P246/Inv_SY!O$2</f>
        <v>0</v>
      </c>
      <c r="P246" s="1">
        <f>'Raw Data'!Q246/Inv_SY!P$2</f>
        <v>0</v>
      </c>
      <c r="Q246" s="1">
        <f>'Raw Data'!R246/Inv_SY!Q$2</f>
        <v>0</v>
      </c>
      <c r="R246" s="1">
        <f>'Raw Data'!S246/Inv_SY!R$2</f>
        <v>0</v>
      </c>
      <c r="S246" s="1">
        <f>'Raw Data'!T246/Inv_SY!S$2</f>
        <v>0</v>
      </c>
      <c r="T246" s="1">
        <f>'Raw Data'!U246/Inv_SY!T$2</f>
        <v>0</v>
      </c>
      <c r="U246" s="1">
        <f>'Raw Data'!V246/Inv_SY!U$2</f>
        <v>0</v>
      </c>
      <c r="V246" s="1">
        <f>'Raw Data'!W246/Inv_SY!V$2</f>
        <v>0</v>
      </c>
      <c r="W246" s="1">
        <f>'Raw Data'!X246/Inv_SY!W$2</f>
        <v>0</v>
      </c>
      <c r="X246" s="1">
        <f>'Raw Data'!Y246/Inv_SY!X$2</f>
        <v>0</v>
      </c>
      <c r="Y246" s="1" t="str">
        <f t="shared" si="18"/>
        <v/>
      </c>
      <c r="Z246" s="1">
        <f t="shared" si="19"/>
        <v>0</v>
      </c>
    </row>
    <row r="247" spans="1:26" x14ac:dyDescent="0.3">
      <c r="A247" s="55" t="s">
        <v>1417</v>
      </c>
      <c r="B247" s="55">
        <v>216</v>
      </c>
      <c r="C247" s="121">
        <f>YEAR(Table12[[#This Row],[Date]])</f>
        <v>2025</v>
      </c>
      <c r="D247" s="55" t="s">
        <v>329</v>
      </c>
      <c r="E247" s="55" t="s">
        <v>329</v>
      </c>
      <c r="F247" s="122" t="str">
        <f>TEXT(Table12[[#This Row],[Date]],"mmm-yy")</f>
        <v>Nov-25</v>
      </c>
      <c r="G247" s="121">
        <f t="shared" si="17"/>
        <v>30</v>
      </c>
      <c r="H247" s="123">
        <f t="shared" si="16"/>
        <v>45988</v>
      </c>
      <c r="I247" s="1">
        <v>8.0208999999999993</v>
      </c>
      <c r="J247" s="1">
        <f>'Raw Data'!K247/Inv_SY!J$2</f>
        <v>0</v>
      </c>
      <c r="K247" s="1">
        <f>'Raw Data'!L247/Inv_SY!K$2</f>
        <v>0</v>
      </c>
      <c r="L247" s="1">
        <f>'Raw Data'!M247/Inv_SY!L$2</f>
        <v>0</v>
      </c>
      <c r="M247" s="1">
        <f>'Raw Data'!N247/Inv_SY!M$2</f>
        <v>0</v>
      </c>
      <c r="N247" s="1">
        <f>'Raw Data'!O247/Inv_SY!N$2</f>
        <v>0</v>
      </c>
      <c r="O247" s="1">
        <f>'Raw Data'!P247/Inv_SY!O$2</f>
        <v>0</v>
      </c>
      <c r="P247" s="1">
        <f>'Raw Data'!Q247/Inv_SY!P$2</f>
        <v>0</v>
      </c>
      <c r="Q247" s="1">
        <f>'Raw Data'!R247/Inv_SY!Q$2</f>
        <v>0</v>
      </c>
      <c r="R247" s="1">
        <f>'Raw Data'!S247/Inv_SY!R$2</f>
        <v>0</v>
      </c>
      <c r="S247" s="1">
        <f>'Raw Data'!T247/Inv_SY!S$2</f>
        <v>0</v>
      </c>
      <c r="T247" s="1">
        <f>'Raw Data'!U247/Inv_SY!T$2</f>
        <v>0</v>
      </c>
      <c r="U247" s="1">
        <f>'Raw Data'!V247/Inv_SY!U$2</f>
        <v>0</v>
      </c>
      <c r="V247" s="1">
        <f>'Raw Data'!W247/Inv_SY!V$2</f>
        <v>0</v>
      </c>
      <c r="W247" s="1">
        <f>'Raw Data'!X247/Inv_SY!W$2</f>
        <v>0</v>
      </c>
      <c r="X247" s="1">
        <f>'Raw Data'!Y247/Inv_SY!X$2</f>
        <v>0</v>
      </c>
      <c r="Y247" s="1" t="str">
        <f t="shared" si="18"/>
        <v/>
      </c>
      <c r="Z247" s="1">
        <f t="shared" si="19"/>
        <v>0</v>
      </c>
    </row>
    <row r="248" spans="1:26" x14ac:dyDescent="0.3">
      <c r="A248" s="55" t="s">
        <v>1418</v>
      </c>
      <c r="B248" s="55">
        <v>217</v>
      </c>
      <c r="C248" s="121">
        <f>YEAR(Table12[[#This Row],[Date]])</f>
        <v>2025</v>
      </c>
      <c r="D248" s="55" t="s">
        <v>329</v>
      </c>
      <c r="E248" s="55" t="s">
        <v>329</v>
      </c>
      <c r="F248" s="122" t="str">
        <f>TEXT(Table12[[#This Row],[Date]],"mmm-yy")</f>
        <v>Nov-25</v>
      </c>
      <c r="G248" s="121">
        <f t="shared" si="17"/>
        <v>30</v>
      </c>
      <c r="H248" s="123">
        <f t="shared" si="16"/>
        <v>45989</v>
      </c>
      <c r="I248" s="1">
        <v>8.0208999999999993</v>
      </c>
      <c r="J248" s="1">
        <f>'Raw Data'!K248/Inv_SY!J$2</f>
        <v>0</v>
      </c>
      <c r="K248" s="1">
        <f>'Raw Data'!L248/Inv_SY!K$2</f>
        <v>0</v>
      </c>
      <c r="L248" s="1">
        <f>'Raw Data'!M248/Inv_SY!L$2</f>
        <v>0</v>
      </c>
      <c r="M248" s="1">
        <f>'Raw Data'!N248/Inv_SY!M$2</f>
        <v>0</v>
      </c>
      <c r="N248" s="1">
        <f>'Raw Data'!O248/Inv_SY!N$2</f>
        <v>0</v>
      </c>
      <c r="O248" s="1">
        <f>'Raw Data'!P248/Inv_SY!O$2</f>
        <v>0</v>
      </c>
      <c r="P248" s="1">
        <f>'Raw Data'!Q248/Inv_SY!P$2</f>
        <v>0</v>
      </c>
      <c r="Q248" s="1">
        <f>'Raw Data'!R248/Inv_SY!Q$2</f>
        <v>0</v>
      </c>
      <c r="R248" s="1">
        <f>'Raw Data'!S248/Inv_SY!R$2</f>
        <v>0</v>
      </c>
      <c r="S248" s="1">
        <f>'Raw Data'!T248/Inv_SY!S$2</f>
        <v>0</v>
      </c>
      <c r="T248" s="1">
        <f>'Raw Data'!U248/Inv_SY!T$2</f>
        <v>0</v>
      </c>
      <c r="U248" s="1">
        <f>'Raw Data'!V248/Inv_SY!U$2</f>
        <v>0</v>
      </c>
      <c r="V248" s="1">
        <f>'Raw Data'!W248/Inv_SY!V$2</f>
        <v>0</v>
      </c>
      <c r="W248" s="1">
        <f>'Raw Data'!X248/Inv_SY!W$2</f>
        <v>0</v>
      </c>
      <c r="X248" s="1">
        <f>'Raw Data'!Y248/Inv_SY!X$2</f>
        <v>0</v>
      </c>
      <c r="Y248" s="1" t="str">
        <f t="shared" si="18"/>
        <v/>
      </c>
      <c r="Z248" s="1">
        <f t="shared" si="19"/>
        <v>0</v>
      </c>
    </row>
    <row r="249" spans="1:26" x14ac:dyDescent="0.3">
      <c r="A249" s="55" t="s">
        <v>1419</v>
      </c>
      <c r="B249" s="55">
        <v>218</v>
      </c>
      <c r="C249" s="121">
        <f>YEAR(Table12[[#This Row],[Date]])</f>
        <v>2025</v>
      </c>
      <c r="D249" s="55" t="s">
        <v>329</v>
      </c>
      <c r="E249" s="55" t="s">
        <v>329</v>
      </c>
      <c r="F249" s="122" t="str">
        <f>TEXT(Table12[[#This Row],[Date]],"mmm-yy")</f>
        <v>Nov-25</v>
      </c>
      <c r="G249" s="121">
        <f t="shared" si="17"/>
        <v>30</v>
      </c>
      <c r="H249" s="123">
        <f t="shared" si="16"/>
        <v>45990</v>
      </c>
      <c r="I249" s="1">
        <v>8.0208999999999993</v>
      </c>
      <c r="J249" s="1">
        <f>'Raw Data'!K249/Inv_SY!J$2</f>
        <v>0</v>
      </c>
      <c r="K249" s="1">
        <f>'Raw Data'!L249/Inv_SY!K$2</f>
        <v>0</v>
      </c>
      <c r="L249" s="1">
        <f>'Raw Data'!M249/Inv_SY!L$2</f>
        <v>0</v>
      </c>
      <c r="M249" s="1">
        <f>'Raw Data'!N249/Inv_SY!M$2</f>
        <v>0</v>
      </c>
      <c r="N249" s="1">
        <f>'Raw Data'!O249/Inv_SY!N$2</f>
        <v>0</v>
      </c>
      <c r="O249" s="1">
        <f>'Raw Data'!P249/Inv_SY!O$2</f>
        <v>0</v>
      </c>
      <c r="P249" s="1">
        <f>'Raw Data'!Q249/Inv_SY!P$2</f>
        <v>0</v>
      </c>
      <c r="Q249" s="1">
        <f>'Raw Data'!R249/Inv_SY!Q$2</f>
        <v>0</v>
      </c>
      <c r="R249" s="1">
        <f>'Raw Data'!S249/Inv_SY!R$2</f>
        <v>0</v>
      </c>
      <c r="S249" s="1">
        <f>'Raw Data'!T249/Inv_SY!S$2</f>
        <v>0</v>
      </c>
      <c r="T249" s="1">
        <f>'Raw Data'!U249/Inv_SY!T$2</f>
        <v>0</v>
      </c>
      <c r="U249" s="1">
        <f>'Raw Data'!V249/Inv_SY!U$2</f>
        <v>0</v>
      </c>
      <c r="V249" s="1">
        <f>'Raw Data'!W249/Inv_SY!V$2</f>
        <v>0</v>
      </c>
      <c r="W249" s="1">
        <f>'Raw Data'!X249/Inv_SY!W$2</f>
        <v>0</v>
      </c>
      <c r="X249" s="1">
        <f>'Raw Data'!Y249/Inv_SY!X$2</f>
        <v>0</v>
      </c>
      <c r="Y249" s="1" t="str">
        <f t="shared" si="18"/>
        <v/>
      </c>
      <c r="Z249" s="1">
        <f t="shared" si="19"/>
        <v>0</v>
      </c>
    </row>
    <row r="250" spans="1:26" x14ac:dyDescent="0.3">
      <c r="A250" s="55" t="s">
        <v>1420</v>
      </c>
      <c r="B250" s="55">
        <v>219</v>
      </c>
      <c r="C250" s="121">
        <f>YEAR(Table12[[#This Row],[Date]])</f>
        <v>2025</v>
      </c>
      <c r="D250" s="55" t="s">
        <v>329</v>
      </c>
      <c r="E250" s="55" t="s">
        <v>329</v>
      </c>
      <c r="F250" s="122" t="str">
        <f>TEXT(Table12[[#This Row],[Date]],"mmm-yy")</f>
        <v>Nov-25</v>
      </c>
      <c r="G250" s="121">
        <f t="shared" si="17"/>
        <v>30</v>
      </c>
      <c r="H250" s="123">
        <f t="shared" si="16"/>
        <v>45991</v>
      </c>
      <c r="I250" s="1">
        <v>8.0208999999999993</v>
      </c>
      <c r="J250" s="1">
        <f>'Raw Data'!K250/Inv_SY!J$2</f>
        <v>0</v>
      </c>
      <c r="K250" s="1">
        <f>'Raw Data'!L250/Inv_SY!K$2</f>
        <v>0</v>
      </c>
      <c r="L250" s="1">
        <f>'Raw Data'!M250/Inv_SY!L$2</f>
        <v>0</v>
      </c>
      <c r="M250" s="1">
        <f>'Raw Data'!N250/Inv_SY!M$2</f>
        <v>0</v>
      </c>
      <c r="N250" s="1">
        <f>'Raw Data'!O250/Inv_SY!N$2</f>
        <v>0</v>
      </c>
      <c r="O250" s="1">
        <f>'Raw Data'!P250/Inv_SY!O$2</f>
        <v>0</v>
      </c>
      <c r="P250" s="1">
        <f>'Raw Data'!Q250/Inv_SY!P$2</f>
        <v>0</v>
      </c>
      <c r="Q250" s="1">
        <f>'Raw Data'!R250/Inv_SY!Q$2</f>
        <v>0</v>
      </c>
      <c r="R250" s="1">
        <f>'Raw Data'!S250/Inv_SY!R$2</f>
        <v>0</v>
      </c>
      <c r="S250" s="1">
        <f>'Raw Data'!T250/Inv_SY!S$2</f>
        <v>0</v>
      </c>
      <c r="T250" s="1">
        <f>'Raw Data'!U250/Inv_SY!T$2</f>
        <v>0</v>
      </c>
      <c r="U250" s="1">
        <f>'Raw Data'!V250/Inv_SY!U$2</f>
        <v>0</v>
      </c>
      <c r="V250" s="1">
        <f>'Raw Data'!W250/Inv_SY!V$2</f>
        <v>0</v>
      </c>
      <c r="W250" s="1">
        <f>'Raw Data'!X250/Inv_SY!W$2</f>
        <v>0</v>
      </c>
      <c r="X250" s="1">
        <f>'Raw Data'!Y250/Inv_SY!X$2</f>
        <v>0</v>
      </c>
      <c r="Y250" s="1" t="str">
        <f t="shared" si="18"/>
        <v/>
      </c>
      <c r="Z250" s="1">
        <f t="shared" si="19"/>
        <v>0</v>
      </c>
    </row>
    <row r="251" spans="1:26" x14ac:dyDescent="0.3">
      <c r="A251" s="55" t="s">
        <v>1421</v>
      </c>
      <c r="B251" s="55">
        <v>220</v>
      </c>
      <c r="C251" s="121">
        <f>YEAR(Table12[[#This Row],[Date]])</f>
        <v>2025</v>
      </c>
      <c r="D251" s="55" t="s">
        <v>329</v>
      </c>
      <c r="E251" s="55" t="s">
        <v>329</v>
      </c>
      <c r="F251" s="122" t="str">
        <f>TEXT(Table12[[#This Row],[Date]],"mmm-yy")</f>
        <v>Dec-25</v>
      </c>
      <c r="G251" s="121">
        <f t="shared" si="17"/>
        <v>31</v>
      </c>
      <c r="H251" s="123">
        <f t="shared" si="16"/>
        <v>45992</v>
      </c>
      <c r="I251" s="1">
        <v>8.0208999999999993</v>
      </c>
      <c r="J251" s="1">
        <f>'Raw Data'!K251/Inv_SY!J$2</f>
        <v>0</v>
      </c>
      <c r="K251" s="1">
        <f>'Raw Data'!L251/Inv_SY!K$2</f>
        <v>0</v>
      </c>
      <c r="L251" s="1">
        <f>'Raw Data'!M251/Inv_SY!L$2</f>
        <v>0</v>
      </c>
      <c r="M251" s="1">
        <f>'Raw Data'!N251/Inv_SY!M$2</f>
        <v>0</v>
      </c>
      <c r="N251" s="1">
        <f>'Raw Data'!O251/Inv_SY!N$2</f>
        <v>0</v>
      </c>
      <c r="O251" s="1">
        <f>'Raw Data'!P251/Inv_SY!O$2</f>
        <v>0</v>
      </c>
      <c r="P251" s="1">
        <f>'Raw Data'!Q251/Inv_SY!P$2</f>
        <v>0</v>
      </c>
      <c r="Q251" s="1">
        <f>'Raw Data'!R251/Inv_SY!Q$2</f>
        <v>0</v>
      </c>
      <c r="R251" s="1">
        <f>'Raw Data'!S251/Inv_SY!R$2</f>
        <v>0</v>
      </c>
      <c r="S251" s="1">
        <f>'Raw Data'!T251/Inv_SY!S$2</f>
        <v>0</v>
      </c>
      <c r="T251" s="1">
        <f>'Raw Data'!U251/Inv_SY!T$2</f>
        <v>0</v>
      </c>
      <c r="U251" s="1">
        <f>'Raw Data'!V251/Inv_SY!U$2</f>
        <v>0</v>
      </c>
      <c r="V251" s="1">
        <f>'Raw Data'!W251/Inv_SY!V$2</f>
        <v>0</v>
      </c>
      <c r="W251" s="1">
        <f>'Raw Data'!X251/Inv_SY!W$2</f>
        <v>0</v>
      </c>
      <c r="X251" s="1">
        <f>'Raw Data'!Y251/Inv_SY!X$2</f>
        <v>0</v>
      </c>
      <c r="Y251" s="1" t="str">
        <f t="shared" si="18"/>
        <v/>
      </c>
      <c r="Z251" s="1">
        <f t="shared" si="19"/>
        <v>0</v>
      </c>
    </row>
    <row r="252" spans="1:26" x14ac:dyDescent="0.3">
      <c r="A252" s="55" t="s">
        <v>1422</v>
      </c>
      <c r="B252" s="55">
        <v>221</v>
      </c>
      <c r="C252" s="121">
        <f>YEAR(Table12[[#This Row],[Date]])</f>
        <v>2025</v>
      </c>
      <c r="D252" s="55" t="s">
        <v>329</v>
      </c>
      <c r="E252" s="55" t="s">
        <v>329</v>
      </c>
      <c r="F252" s="122" t="str">
        <f>TEXT(Table12[[#This Row],[Date]],"mmm-yy")</f>
        <v>Dec-25</v>
      </c>
      <c r="G252" s="121">
        <f t="shared" si="17"/>
        <v>31</v>
      </c>
      <c r="H252" s="123">
        <f t="shared" si="16"/>
        <v>45993</v>
      </c>
      <c r="I252" s="1">
        <v>8.0208999999999993</v>
      </c>
      <c r="J252" s="1">
        <f>'Raw Data'!K252/Inv_SY!J$2</f>
        <v>0</v>
      </c>
      <c r="K252" s="1">
        <f>'Raw Data'!L252/Inv_SY!K$2</f>
        <v>0</v>
      </c>
      <c r="L252" s="1">
        <f>'Raw Data'!M252/Inv_SY!L$2</f>
        <v>0</v>
      </c>
      <c r="M252" s="1">
        <f>'Raw Data'!N252/Inv_SY!M$2</f>
        <v>0</v>
      </c>
      <c r="N252" s="1">
        <f>'Raw Data'!O252/Inv_SY!N$2</f>
        <v>0</v>
      </c>
      <c r="O252" s="1">
        <f>'Raw Data'!P252/Inv_SY!O$2</f>
        <v>0</v>
      </c>
      <c r="P252" s="1">
        <f>'Raw Data'!Q252/Inv_SY!P$2</f>
        <v>0</v>
      </c>
      <c r="Q252" s="1">
        <f>'Raw Data'!R252/Inv_SY!Q$2</f>
        <v>0</v>
      </c>
      <c r="R252" s="1">
        <f>'Raw Data'!S252/Inv_SY!R$2</f>
        <v>0</v>
      </c>
      <c r="S252" s="1">
        <f>'Raw Data'!T252/Inv_SY!S$2</f>
        <v>0</v>
      </c>
      <c r="T252" s="1">
        <f>'Raw Data'!U252/Inv_SY!T$2</f>
        <v>0</v>
      </c>
      <c r="U252" s="1">
        <f>'Raw Data'!V252/Inv_SY!U$2</f>
        <v>0</v>
      </c>
      <c r="V252" s="1">
        <f>'Raw Data'!W252/Inv_SY!V$2</f>
        <v>0</v>
      </c>
      <c r="W252" s="1">
        <f>'Raw Data'!X252/Inv_SY!W$2</f>
        <v>0</v>
      </c>
      <c r="X252" s="1">
        <f>'Raw Data'!Y252/Inv_SY!X$2</f>
        <v>0</v>
      </c>
      <c r="Y252" s="1" t="str">
        <f t="shared" si="18"/>
        <v/>
      </c>
      <c r="Z252" s="1">
        <f t="shared" si="19"/>
        <v>0</v>
      </c>
    </row>
    <row r="253" spans="1:26" x14ac:dyDescent="0.3">
      <c r="A253" s="55" t="s">
        <v>1423</v>
      </c>
      <c r="B253" s="55">
        <v>222</v>
      </c>
      <c r="C253" s="121">
        <f>YEAR(Table12[[#This Row],[Date]])</f>
        <v>2025</v>
      </c>
      <c r="D253" s="55" t="s">
        <v>329</v>
      </c>
      <c r="E253" s="55" t="s">
        <v>329</v>
      </c>
      <c r="F253" s="122" t="str">
        <f>TEXT(Table12[[#This Row],[Date]],"mmm-yy")</f>
        <v>Dec-25</v>
      </c>
      <c r="G253" s="121">
        <f t="shared" si="17"/>
        <v>31</v>
      </c>
      <c r="H253" s="123">
        <f t="shared" si="16"/>
        <v>45994</v>
      </c>
      <c r="I253" s="1">
        <v>8.0208999999999993</v>
      </c>
      <c r="J253" s="1">
        <f>'Raw Data'!K253/Inv_SY!J$2</f>
        <v>0</v>
      </c>
      <c r="K253" s="1">
        <f>'Raw Data'!L253/Inv_SY!K$2</f>
        <v>0</v>
      </c>
      <c r="L253" s="1">
        <f>'Raw Data'!M253/Inv_SY!L$2</f>
        <v>0</v>
      </c>
      <c r="M253" s="1">
        <f>'Raw Data'!N253/Inv_SY!M$2</f>
        <v>0</v>
      </c>
      <c r="N253" s="1">
        <f>'Raw Data'!O253/Inv_SY!N$2</f>
        <v>0</v>
      </c>
      <c r="O253" s="1">
        <f>'Raw Data'!P253/Inv_SY!O$2</f>
        <v>0</v>
      </c>
      <c r="P253" s="1">
        <f>'Raw Data'!Q253/Inv_SY!P$2</f>
        <v>0</v>
      </c>
      <c r="Q253" s="1">
        <f>'Raw Data'!R253/Inv_SY!Q$2</f>
        <v>0</v>
      </c>
      <c r="R253" s="1">
        <f>'Raw Data'!S253/Inv_SY!R$2</f>
        <v>0</v>
      </c>
      <c r="S253" s="1">
        <f>'Raw Data'!T253/Inv_SY!S$2</f>
        <v>0</v>
      </c>
      <c r="T253" s="1">
        <f>'Raw Data'!U253/Inv_SY!T$2</f>
        <v>0</v>
      </c>
      <c r="U253" s="1">
        <f>'Raw Data'!V253/Inv_SY!U$2</f>
        <v>0</v>
      </c>
      <c r="V253" s="1">
        <f>'Raw Data'!W253/Inv_SY!V$2</f>
        <v>0</v>
      </c>
      <c r="W253" s="1">
        <f>'Raw Data'!X253/Inv_SY!W$2</f>
        <v>0</v>
      </c>
      <c r="X253" s="1">
        <f>'Raw Data'!Y253/Inv_SY!X$2</f>
        <v>0</v>
      </c>
      <c r="Y253" s="1" t="str">
        <f t="shared" si="18"/>
        <v/>
      </c>
      <c r="Z253" s="1">
        <f t="shared" si="19"/>
        <v>0</v>
      </c>
    </row>
    <row r="254" spans="1:26" x14ac:dyDescent="0.3">
      <c r="A254" s="55" t="s">
        <v>1424</v>
      </c>
      <c r="B254" s="55">
        <v>223</v>
      </c>
      <c r="C254" s="121">
        <f>YEAR(Table12[[#This Row],[Date]])</f>
        <v>2025</v>
      </c>
      <c r="D254" s="55" t="s">
        <v>329</v>
      </c>
      <c r="E254" s="55" t="s">
        <v>329</v>
      </c>
      <c r="F254" s="122" t="str">
        <f>TEXT(Table12[[#This Row],[Date]],"mmm-yy")</f>
        <v>Dec-25</v>
      </c>
      <c r="G254" s="121">
        <f t="shared" si="17"/>
        <v>31</v>
      </c>
      <c r="H254" s="123">
        <f t="shared" si="16"/>
        <v>45995</v>
      </c>
      <c r="I254" s="1">
        <v>8.0208999999999993</v>
      </c>
      <c r="J254" s="1">
        <f>'Raw Data'!K254/Inv_SY!J$2</f>
        <v>0</v>
      </c>
      <c r="K254" s="1">
        <f>'Raw Data'!L254/Inv_SY!K$2</f>
        <v>0</v>
      </c>
      <c r="L254" s="1">
        <f>'Raw Data'!M254/Inv_SY!L$2</f>
        <v>0</v>
      </c>
      <c r="M254" s="1">
        <f>'Raw Data'!N254/Inv_SY!M$2</f>
        <v>0</v>
      </c>
      <c r="N254" s="1">
        <f>'Raw Data'!O254/Inv_SY!N$2</f>
        <v>0</v>
      </c>
      <c r="O254" s="1">
        <f>'Raw Data'!P254/Inv_SY!O$2</f>
        <v>0</v>
      </c>
      <c r="P254" s="1">
        <f>'Raw Data'!Q254/Inv_SY!P$2</f>
        <v>0</v>
      </c>
      <c r="Q254" s="1">
        <f>'Raw Data'!R254/Inv_SY!Q$2</f>
        <v>0</v>
      </c>
      <c r="R254" s="1">
        <f>'Raw Data'!S254/Inv_SY!R$2</f>
        <v>0</v>
      </c>
      <c r="S254" s="1">
        <f>'Raw Data'!T254/Inv_SY!S$2</f>
        <v>0</v>
      </c>
      <c r="T254" s="1">
        <f>'Raw Data'!U254/Inv_SY!T$2</f>
        <v>0</v>
      </c>
      <c r="U254" s="1">
        <f>'Raw Data'!V254/Inv_SY!U$2</f>
        <v>0</v>
      </c>
      <c r="V254" s="1">
        <f>'Raw Data'!W254/Inv_SY!V$2</f>
        <v>0</v>
      </c>
      <c r="W254" s="1">
        <f>'Raw Data'!X254/Inv_SY!W$2</f>
        <v>0</v>
      </c>
      <c r="X254" s="1">
        <f>'Raw Data'!Y254/Inv_SY!X$2</f>
        <v>0</v>
      </c>
      <c r="Y254" s="1" t="str">
        <f t="shared" si="18"/>
        <v/>
      </c>
      <c r="Z254" s="1">
        <f t="shared" si="19"/>
        <v>0</v>
      </c>
    </row>
    <row r="255" spans="1:26" x14ac:dyDescent="0.3">
      <c r="A255" s="55" t="s">
        <v>1425</v>
      </c>
      <c r="B255" s="55">
        <v>224</v>
      </c>
      <c r="C255" s="121">
        <f>YEAR(Table12[[#This Row],[Date]])</f>
        <v>2025</v>
      </c>
      <c r="D255" s="55" t="s">
        <v>329</v>
      </c>
      <c r="E255" s="55" t="s">
        <v>329</v>
      </c>
      <c r="F255" s="122" t="str">
        <f>TEXT(Table12[[#This Row],[Date]],"mmm-yy")</f>
        <v>Dec-25</v>
      </c>
      <c r="G255" s="121">
        <f t="shared" si="17"/>
        <v>31</v>
      </c>
      <c r="H255" s="123">
        <f t="shared" si="16"/>
        <v>45996</v>
      </c>
      <c r="I255" s="1">
        <v>8.0208999999999993</v>
      </c>
      <c r="J255" s="1">
        <f>'Raw Data'!K255/Inv_SY!J$2</f>
        <v>0</v>
      </c>
      <c r="K255" s="1">
        <f>'Raw Data'!L255/Inv_SY!K$2</f>
        <v>0</v>
      </c>
      <c r="L255" s="1">
        <f>'Raw Data'!M255/Inv_SY!L$2</f>
        <v>0</v>
      </c>
      <c r="M255" s="1">
        <f>'Raw Data'!N255/Inv_SY!M$2</f>
        <v>0</v>
      </c>
      <c r="N255" s="1">
        <f>'Raw Data'!O255/Inv_SY!N$2</f>
        <v>0</v>
      </c>
      <c r="O255" s="1">
        <f>'Raw Data'!P255/Inv_SY!O$2</f>
        <v>0</v>
      </c>
      <c r="P255" s="1">
        <f>'Raw Data'!Q255/Inv_SY!P$2</f>
        <v>0</v>
      </c>
      <c r="Q255" s="1">
        <f>'Raw Data'!R255/Inv_SY!Q$2</f>
        <v>0</v>
      </c>
      <c r="R255" s="1">
        <f>'Raw Data'!S255/Inv_SY!R$2</f>
        <v>0</v>
      </c>
      <c r="S255" s="1">
        <f>'Raw Data'!T255/Inv_SY!S$2</f>
        <v>0</v>
      </c>
      <c r="T255" s="1">
        <f>'Raw Data'!U255/Inv_SY!T$2</f>
        <v>0</v>
      </c>
      <c r="U255" s="1">
        <f>'Raw Data'!V255/Inv_SY!U$2</f>
        <v>0</v>
      </c>
      <c r="V255" s="1">
        <f>'Raw Data'!W255/Inv_SY!V$2</f>
        <v>0</v>
      </c>
      <c r="W255" s="1">
        <f>'Raw Data'!X255/Inv_SY!W$2</f>
        <v>0</v>
      </c>
      <c r="X255" s="1">
        <f>'Raw Data'!Y255/Inv_SY!X$2</f>
        <v>0</v>
      </c>
      <c r="Y255" s="1" t="str">
        <f t="shared" si="18"/>
        <v/>
      </c>
      <c r="Z255" s="1">
        <f t="shared" si="19"/>
        <v>0</v>
      </c>
    </row>
    <row r="256" spans="1:26" x14ac:dyDescent="0.3">
      <c r="A256" s="55" t="s">
        <v>1426</v>
      </c>
      <c r="B256" s="55">
        <v>225</v>
      </c>
      <c r="C256" s="121">
        <f>YEAR(Table12[[#This Row],[Date]])</f>
        <v>2025</v>
      </c>
      <c r="D256" s="55" t="s">
        <v>329</v>
      </c>
      <c r="E256" s="55" t="s">
        <v>329</v>
      </c>
      <c r="F256" s="122" t="str">
        <f>TEXT(Table12[[#This Row],[Date]],"mmm-yy")</f>
        <v>Dec-25</v>
      </c>
      <c r="G256" s="121">
        <f t="shared" si="17"/>
        <v>31</v>
      </c>
      <c r="H256" s="123">
        <f t="shared" si="16"/>
        <v>45997</v>
      </c>
      <c r="I256" s="1">
        <v>8.0208999999999993</v>
      </c>
      <c r="J256" s="1">
        <f>'Raw Data'!K256/Inv_SY!J$2</f>
        <v>0</v>
      </c>
      <c r="K256" s="1">
        <f>'Raw Data'!L256/Inv_SY!K$2</f>
        <v>0</v>
      </c>
      <c r="L256" s="1">
        <f>'Raw Data'!M256/Inv_SY!L$2</f>
        <v>0</v>
      </c>
      <c r="M256" s="1">
        <f>'Raw Data'!N256/Inv_SY!M$2</f>
        <v>0</v>
      </c>
      <c r="N256" s="1">
        <f>'Raw Data'!O256/Inv_SY!N$2</f>
        <v>0</v>
      </c>
      <c r="O256" s="1">
        <f>'Raw Data'!P256/Inv_SY!O$2</f>
        <v>0</v>
      </c>
      <c r="P256" s="1">
        <f>'Raw Data'!Q256/Inv_SY!P$2</f>
        <v>0</v>
      </c>
      <c r="Q256" s="1">
        <f>'Raw Data'!R256/Inv_SY!Q$2</f>
        <v>0</v>
      </c>
      <c r="R256" s="1">
        <f>'Raw Data'!S256/Inv_SY!R$2</f>
        <v>0</v>
      </c>
      <c r="S256" s="1">
        <f>'Raw Data'!T256/Inv_SY!S$2</f>
        <v>0</v>
      </c>
      <c r="T256" s="1">
        <f>'Raw Data'!U256/Inv_SY!T$2</f>
        <v>0</v>
      </c>
      <c r="U256" s="1">
        <f>'Raw Data'!V256/Inv_SY!U$2</f>
        <v>0</v>
      </c>
      <c r="V256" s="1">
        <f>'Raw Data'!W256/Inv_SY!V$2</f>
        <v>0</v>
      </c>
      <c r="W256" s="1">
        <f>'Raw Data'!X256/Inv_SY!W$2</f>
        <v>0</v>
      </c>
      <c r="X256" s="1">
        <f>'Raw Data'!Y256/Inv_SY!X$2</f>
        <v>0</v>
      </c>
      <c r="Y256" s="1" t="str">
        <f t="shared" si="18"/>
        <v/>
      </c>
      <c r="Z256" s="1">
        <f t="shared" si="19"/>
        <v>0</v>
      </c>
    </row>
    <row r="257" spans="1:26" x14ac:dyDescent="0.3">
      <c r="A257" s="55" t="s">
        <v>1427</v>
      </c>
      <c r="B257" s="55">
        <v>226</v>
      </c>
      <c r="C257" s="121">
        <f>YEAR(Table12[[#This Row],[Date]])</f>
        <v>2025</v>
      </c>
      <c r="D257" s="55" t="s">
        <v>329</v>
      </c>
      <c r="E257" s="55" t="s">
        <v>329</v>
      </c>
      <c r="F257" s="122" t="str">
        <f>TEXT(Table12[[#This Row],[Date]],"mmm-yy")</f>
        <v>Dec-25</v>
      </c>
      <c r="G257" s="121">
        <f t="shared" si="17"/>
        <v>31</v>
      </c>
      <c r="H257" s="123">
        <f t="shared" si="16"/>
        <v>45998</v>
      </c>
      <c r="I257" s="1">
        <v>8.0208999999999993</v>
      </c>
      <c r="J257" s="1">
        <f>'Raw Data'!K257/Inv_SY!J$2</f>
        <v>0</v>
      </c>
      <c r="K257" s="1">
        <f>'Raw Data'!L257/Inv_SY!K$2</f>
        <v>0</v>
      </c>
      <c r="L257" s="1">
        <f>'Raw Data'!M257/Inv_SY!L$2</f>
        <v>0</v>
      </c>
      <c r="M257" s="1">
        <f>'Raw Data'!N257/Inv_SY!M$2</f>
        <v>0</v>
      </c>
      <c r="N257" s="1">
        <f>'Raw Data'!O257/Inv_SY!N$2</f>
        <v>0</v>
      </c>
      <c r="O257" s="1">
        <f>'Raw Data'!P257/Inv_SY!O$2</f>
        <v>0</v>
      </c>
      <c r="P257" s="1">
        <f>'Raw Data'!Q257/Inv_SY!P$2</f>
        <v>0</v>
      </c>
      <c r="Q257" s="1">
        <f>'Raw Data'!R257/Inv_SY!Q$2</f>
        <v>0</v>
      </c>
      <c r="R257" s="1">
        <f>'Raw Data'!S257/Inv_SY!R$2</f>
        <v>0</v>
      </c>
      <c r="S257" s="1">
        <f>'Raw Data'!T257/Inv_SY!S$2</f>
        <v>0</v>
      </c>
      <c r="T257" s="1">
        <f>'Raw Data'!U257/Inv_SY!T$2</f>
        <v>0</v>
      </c>
      <c r="U257" s="1">
        <f>'Raw Data'!V257/Inv_SY!U$2</f>
        <v>0</v>
      </c>
      <c r="V257" s="1">
        <f>'Raw Data'!W257/Inv_SY!V$2</f>
        <v>0</v>
      </c>
      <c r="W257" s="1">
        <f>'Raw Data'!X257/Inv_SY!W$2</f>
        <v>0</v>
      </c>
      <c r="X257" s="1">
        <f>'Raw Data'!Y257/Inv_SY!X$2</f>
        <v>0</v>
      </c>
      <c r="Y257" s="1" t="str">
        <f t="shared" si="18"/>
        <v/>
      </c>
      <c r="Z257" s="1">
        <f t="shared" si="19"/>
        <v>0</v>
      </c>
    </row>
    <row r="258" spans="1:26" x14ac:dyDescent="0.3">
      <c r="A258" s="55" t="s">
        <v>1428</v>
      </c>
      <c r="B258" s="55">
        <v>227</v>
      </c>
      <c r="C258" s="121">
        <f>YEAR(Table12[[#This Row],[Date]])</f>
        <v>2025</v>
      </c>
      <c r="D258" s="55" t="s">
        <v>329</v>
      </c>
      <c r="E258" s="55" t="s">
        <v>329</v>
      </c>
      <c r="F258" s="122" t="str">
        <f>TEXT(Table12[[#This Row],[Date]],"mmm-yy")</f>
        <v>Dec-25</v>
      </c>
      <c r="G258" s="121">
        <f t="shared" si="17"/>
        <v>31</v>
      </c>
      <c r="H258" s="123">
        <f t="shared" si="16"/>
        <v>45999</v>
      </c>
      <c r="I258" s="1">
        <v>8.0208999999999993</v>
      </c>
      <c r="J258" s="1">
        <f>'Raw Data'!K258/Inv_SY!J$2</f>
        <v>0</v>
      </c>
      <c r="K258" s="1">
        <f>'Raw Data'!L258/Inv_SY!K$2</f>
        <v>0</v>
      </c>
      <c r="L258" s="1">
        <f>'Raw Data'!M258/Inv_SY!L$2</f>
        <v>0</v>
      </c>
      <c r="M258" s="1">
        <f>'Raw Data'!N258/Inv_SY!M$2</f>
        <v>0</v>
      </c>
      <c r="N258" s="1">
        <f>'Raw Data'!O258/Inv_SY!N$2</f>
        <v>0</v>
      </c>
      <c r="O258" s="1">
        <f>'Raw Data'!P258/Inv_SY!O$2</f>
        <v>0</v>
      </c>
      <c r="P258" s="1">
        <f>'Raw Data'!Q258/Inv_SY!P$2</f>
        <v>0</v>
      </c>
      <c r="Q258" s="1">
        <f>'Raw Data'!R258/Inv_SY!Q$2</f>
        <v>0</v>
      </c>
      <c r="R258" s="1">
        <f>'Raw Data'!S258/Inv_SY!R$2</f>
        <v>0</v>
      </c>
      <c r="S258" s="1">
        <f>'Raw Data'!T258/Inv_SY!S$2</f>
        <v>0</v>
      </c>
      <c r="T258" s="1">
        <f>'Raw Data'!U258/Inv_SY!T$2</f>
        <v>0</v>
      </c>
      <c r="U258" s="1">
        <f>'Raw Data'!V258/Inv_SY!U$2</f>
        <v>0</v>
      </c>
      <c r="V258" s="1">
        <f>'Raw Data'!W258/Inv_SY!V$2</f>
        <v>0</v>
      </c>
      <c r="W258" s="1">
        <f>'Raw Data'!X258/Inv_SY!W$2</f>
        <v>0</v>
      </c>
      <c r="X258" s="1">
        <f>'Raw Data'!Y258/Inv_SY!X$2</f>
        <v>0</v>
      </c>
      <c r="Y258" s="1" t="str">
        <f t="shared" si="18"/>
        <v/>
      </c>
      <c r="Z258" s="1">
        <f t="shared" si="19"/>
        <v>0</v>
      </c>
    </row>
    <row r="259" spans="1:26" x14ac:dyDescent="0.3">
      <c r="A259" s="55" t="s">
        <v>1429</v>
      </c>
      <c r="B259" s="55">
        <v>228</v>
      </c>
      <c r="C259" s="121">
        <f>YEAR(Table12[[#This Row],[Date]])</f>
        <v>2025</v>
      </c>
      <c r="D259" s="55" t="s">
        <v>329</v>
      </c>
      <c r="E259" s="55" t="s">
        <v>329</v>
      </c>
      <c r="F259" s="122" t="str">
        <f>TEXT(Table12[[#This Row],[Date]],"mmm-yy")</f>
        <v>Dec-25</v>
      </c>
      <c r="G259" s="121">
        <f t="shared" si="17"/>
        <v>31</v>
      </c>
      <c r="H259" s="123">
        <f t="shared" si="16"/>
        <v>46000</v>
      </c>
      <c r="I259" s="1">
        <v>8.0208999999999993</v>
      </c>
      <c r="J259" s="1">
        <f>'Raw Data'!K259/Inv_SY!J$2</f>
        <v>0</v>
      </c>
      <c r="K259" s="1">
        <f>'Raw Data'!L259/Inv_SY!K$2</f>
        <v>0</v>
      </c>
      <c r="L259" s="1">
        <f>'Raw Data'!M259/Inv_SY!L$2</f>
        <v>0</v>
      </c>
      <c r="M259" s="1">
        <f>'Raw Data'!N259/Inv_SY!M$2</f>
        <v>0</v>
      </c>
      <c r="N259" s="1">
        <f>'Raw Data'!O259/Inv_SY!N$2</f>
        <v>0</v>
      </c>
      <c r="O259" s="1">
        <f>'Raw Data'!P259/Inv_SY!O$2</f>
        <v>0</v>
      </c>
      <c r="P259" s="1">
        <f>'Raw Data'!Q259/Inv_SY!P$2</f>
        <v>0</v>
      </c>
      <c r="Q259" s="1">
        <f>'Raw Data'!R259/Inv_SY!Q$2</f>
        <v>0</v>
      </c>
      <c r="R259" s="1">
        <f>'Raw Data'!S259/Inv_SY!R$2</f>
        <v>0</v>
      </c>
      <c r="S259" s="1">
        <f>'Raw Data'!T259/Inv_SY!S$2</f>
        <v>0</v>
      </c>
      <c r="T259" s="1">
        <f>'Raw Data'!U259/Inv_SY!T$2</f>
        <v>0</v>
      </c>
      <c r="U259" s="1">
        <f>'Raw Data'!V259/Inv_SY!U$2</f>
        <v>0</v>
      </c>
      <c r="V259" s="1">
        <f>'Raw Data'!W259/Inv_SY!V$2</f>
        <v>0</v>
      </c>
      <c r="W259" s="1">
        <f>'Raw Data'!X259/Inv_SY!W$2</f>
        <v>0</v>
      </c>
      <c r="X259" s="1">
        <f>'Raw Data'!Y259/Inv_SY!X$2</f>
        <v>0</v>
      </c>
      <c r="Y259" s="1" t="str">
        <f t="shared" si="18"/>
        <v/>
      </c>
      <c r="Z259" s="1">
        <f t="shared" si="19"/>
        <v>0</v>
      </c>
    </row>
    <row r="260" spans="1:26" x14ac:dyDescent="0.3">
      <c r="A260" s="55" t="s">
        <v>1430</v>
      </c>
      <c r="B260" s="55">
        <v>229</v>
      </c>
      <c r="C260" s="121">
        <f>YEAR(Table12[[#This Row],[Date]])</f>
        <v>2025</v>
      </c>
      <c r="D260" s="55" t="s">
        <v>329</v>
      </c>
      <c r="E260" s="55" t="s">
        <v>329</v>
      </c>
      <c r="F260" s="122" t="str">
        <f>TEXT(Table12[[#This Row],[Date]],"mmm-yy")</f>
        <v>Dec-25</v>
      </c>
      <c r="G260" s="121">
        <f t="shared" si="17"/>
        <v>31</v>
      </c>
      <c r="H260" s="123">
        <f t="shared" si="16"/>
        <v>46001</v>
      </c>
      <c r="I260" s="1">
        <v>8.0208999999999993</v>
      </c>
      <c r="J260" s="1">
        <f>'Raw Data'!K260/Inv_SY!J$2</f>
        <v>0</v>
      </c>
      <c r="K260" s="1">
        <f>'Raw Data'!L260/Inv_SY!K$2</f>
        <v>0</v>
      </c>
      <c r="L260" s="1">
        <f>'Raw Data'!M260/Inv_SY!L$2</f>
        <v>0</v>
      </c>
      <c r="M260" s="1">
        <f>'Raw Data'!N260/Inv_SY!M$2</f>
        <v>0</v>
      </c>
      <c r="N260" s="1">
        <f>'Raw Data'!O260/Inv_SY!N$2</f>
        <v>0</v>
      </c>
      <c r="O260" s="1">
        <f>'Raw Data'!P260/Inv_SY!O$2</f>
        <v>0</v>
      </c>
      <c r="P260" s="1">
        <f>'Raw Data'!Q260/Inv_SY!P$2</f>
        <v>0</v>
      </c>
      <c r="Q260" s="1">
        <f>'Raw Data'!R260/Inv_SY!Q$2</f>
        <v>0</v>
      </c>
      <c r="R260" s="1">
        <f>'Raw Data'!S260/Inv_SY!R$2</f>
        <v>0</v>
      </c>
      <c r="S260" s="1">
        <f>'Raw Data'!T260/Inv_SY!S$2</f>
        <v>0</v>
      </c>
      <c r="T260" s="1">
        <f>'Raw Data'!U260/Inv_SY!T$2</f>
        <v>0</v>
      </c>
      <c r="U260" s="1">
        <f>'Raw Data'!V260/Inv_SY!U$2</f>
        <v>0</v>
      </c>
      <c r="V260" s="1">
        <f>'Raw Data'!W260/Inv_SY!V$2</f>
        <v>0</v>
      </c>
      <c r="W260" s="1">
        <f>'Raw Data'!X260/Inv_SY!W$2</f>
        <v>0</v>
      </c>
      <c r="X260" s="1">
        <f>'Raw Data'!Y260/Inv_SY!X$2</f>
        <v>0</v>
      </c>
      <c r="Y260" s="1" t="str">
        <f t="shared" si="18"/>
        <v/>
      </c>
      <c r="Z260" s="1">
        <f t="shared" si="19"/>
        <v>0</v>
      </c>
    </row>
    <row r="261" spans="1:26" x14ac:dyDescent="0.3">
      <c r="A261" s="55" t="s">
        <v>1431</v>
      </c>
      <c r="B261" s="55">
        <v>230</v>
      </c>
      <c r="C261" s="121">
        <f>YEAR(Table12[[#This Row],[Date]])</f>
        <v>2025</v>
      </c>
      <c r="D261" s="55" t="s">
        <v>329</v>
      </c>
      <c r="E261" s="55" t="s">
        <v>329</v>
      </c>
      <c r="F261" s="122" t="str">
        <f>TEXT(Table12[[#This Row],[Date]],"mmm-yy")</f>
        <v>Dec-25</v>
      </c>
      <c r="G261" s="121">
        <f t="shared" si="17"/>
        <v>31</v>
      </c>
      <c r="H261" s="123">
        <f t="shared" ref="H261:H324" si="20">H260+1</f>
        <v>46002</v>
      </c>
      <c r="I261" s="1">
        <v>8.0208999999999993</v>
      </c>
      <c r="J261" s="1">
        <f>'Raw Data'!K261/Inv_SY!J$2</f>
        <v>0</v>
      </c>
      <c r="K261" s="1">
        <f>'Raw Data'!L261/Inv_SY!K$2</f>
        <v>0</v>
      </c>
      <c r="L261" s="1">
        <f>'Raw Data'!M261/Inv_SY!L$2</f>
        <v>0</v>
      </c>
      <c r="M261" s="1">
        <f>'Raw Data'!N261/Inv_SY!M$2</f>
        <v>0</v>
      </c>
      <c r="N261" s="1">
        <f>'Raw Data'!O261/Inv_SY!N$2</f>
        <v>0</v>
      </c>
      <c r="O261" s="1">
        <f>'Raw Data'!P261/Inv_SY!O$2</f>
        <v>0</v>
      </c>
      <c r="P261" s="1">
        <f>'Raw Data'!Q261/Inv_SY!P$2</f>
        <v>0</v>
      </c>
      <c r="Q261" s="1">
        <f>'Raw Data'!R261/Inv_SY!Q$2</f>
        <v>0</v>
      </c>
      <c r="R261" s="1">
        <f>'Raw Data'!S261/Inv_SY!R$2</f>
        <v>0</v>
      </c>
      <c r="S261" s="1">
        <f>'Raw Data'!T261/Inv_SY!S$2</f>
        <v>0</v>
      </c>
      <c r="T261" s="1">
        <f>'Raw Data'!U261/Inv_SY!T$2</f>
        <v>0</v>
      </c>
      <c r="U261" s="1">
        <f>'Raw Data'!V261/Inv_SY!U$2</f>
        <v>0</v>
      </c>
      <c r="V261" s="1">
        <f>'Raw Data'!W261/Inv_SY!V$2</f>
        <v>0</v>
      </c>
      <c r="W261" s="1">
        <f>'Raw Data'!X261/Inv_SY!W$2</f>
        <v>0</v>
      </c>
      <c r="X261" s="1">
        <f>'Raw Data'!Y261/Inv_SY!X$2</f>
        <v>0</v>
      </c>
      <c r="Y261" s="1" t="str">
        <f t="shared" si="18"/>
        <v/>
      </c>
      <c r="Z261" s="1">
        <f t="shared" si="19"/>
        <v>0</v>
      </c>
    </row>
    <row r="262" spans="1:26" x14ac:dyDescent="0.3">
      <c r="A262" s="55" t="s">
        <v>1432</v>
      </c>
      <c r="B262" s="55">
        <v>231</v>
      </c>
      <c r="C262" s="121">
        <f>YEAR(Table12[[#This Row],[Date]])</f>
        <v>2025</v>
      </c>
      <c r="D262" s="55" t="s">
        <v>329</v>
      </c>
      <c r="E262" s="55" t="s">
        <v>329</v>
      </c>
      <c r="F262" s="122" t="str">
        <f>TEXT(Table12[[#This Row],[Date]],"mmm-yy")</f>
        <v>Dec-25</v>
      </c>
      <c r="G262" s="121">
        <f t="shared" si="17"/>
        <v>31</v>
      </c>
      <c r="H262" s="123">
        <f t="shared" si="20"/>
        <v>46003</v>
      </c>
      <c r="I262" s="1">
        <v>8.0208999999999993</v>
      </c>
      <c r="J262" s="1">
        <f>'Raw Data'!K262/Inv_SY!J$2</f>
        <v>0</v>
      </c>
      <c r="K262" s="1">
        <f>'Raw Data'!L262/Inv_SY!K$2</f>
        <v>0</v>
      </c>
      <c r="L262" s="1">
        <f>'Raw Data'!M262/Inv_SY!L$2</f>
        <v>0</v>
      </c>
      <c r="M262" s="1">
        <f>'Raw Data'!N262/Inv_SY!M$2</f>
        <v>0</v>
      </c>
      <c r="N262" s="1">
        <f>'Raw Data'!O262/Inv_SY!N$2</f>
        <v>0</v>
      </c>
      <c r="O262" s="1">
        <f>'Raw Data'!P262/Inv_SY!O$2</f>
        <v>0</v>
      </c>
      <c r="P262" s="1">
        <f>'Raw Data'!Q262/Inv_SY!P$2</f>
        <v>0</v>
      </c>
      <c r="Q262" s="1">
        <f>'Raw Data'!R262/Inv_SY!Q$2</f>
        <v>0</v>
      </c>
      <c r="R262" s="1">
        <f>'Raw Data'!S262/Inv_SY!R$2</f>
        <v>0</v>
      </c>
      <c r="S262" s="1">
        <f>'Raw Data'!T262/Inv_SY!S$2</f>
        <v>0</v>
      </c>
      <c r="T262" s="1">
        <f>'Raw Data'!U262/Inv_SY!T$2</f>
        <v>0</v>
      </c>
      <c r="U262" s="1">
        <f>'Raw Data'!V262/Inv_SY!U$2</f>
        <v>0</v>
      </c>
      <c r="V262" s="1">
        <f>'Raw Data'!W262/Inv_SY!V$2</f>
        <v>0</v>
      </c>
      <c r="W262" s="1">
        <f>'Raw Data'!X262/Inv_SY!W$2</f>
        <v>0</v>
      </c>
      <c r="X262" s="1">
        <f>'Raw Data'!Y262/Inv_SY!X$2</f>
        <v>0</v>
      </c>
      <c r="Y262" s="1" t="str">
        <f t="shared" si="18"/>
        <v/>
      </c>
      <c r="Z262" s="1">
        <f t="shared" si="19"/>
        <v>0</v>
      </c>
    </row>
    <row r="263" spans="1:26" x14ac:dyDescent="0.3">
      <c r="A263" s="55" t="s">
        <v>1433</v>
      </c>
      <c r="B263" s="55">
        <v>232</v>
      </c>
      <c r="C263" s="121">
        <f>YEAR(Table12[[#This Row],[Date]])</f>
        <v>2025</v>
      </c>
      <c r="D263" s="55" t="s">
        <v>329</v>
      </c>
      <c r="E263" s="55" t="s">
        <v>329</v>
      </c>
      <c r="F263" s="122" t="str">
        <f>TEXT(Table12[[#This Row],[Date]],"mmm-yy")</f>
        <v>Dec-25</v>
      </c>
      <c r="G263" s="121">
        <f t="shared" si="17"/>
        <v>31</v>
      </c>
      <c r="H263" s="123">
        <f t="shared" si="20"/>
        <v>46004</v>
      </c>
      <c r="I263" s="1">
        <v>8.0208999999999993</v>
      </c>
      <c r="J263" s="1">
        <f>'Raw Data'!K263/Inv_SY!J$2</f>
        <v>0</v>
      </c>
      <c r="K263" s="1">
        <f>'Raw Data'!L263/Inv_SY!K$2</f>
        <v>0</v>
      </c>
      <c r="L263" s="1">
        <f>'Raw Data'!M263/Inv_SY!L$2</f>
        <v>0</v>
      </c>
      <c r="M263" s="1">
        <f>'Raw Data'!N263/Inv_SY!M$2</f>
        <v>0</v>
      </c>
      <c r="N263" s="1">
        <f>'Raw Data'!O263/Inv_SY!N$2</f>
        <v>0</v>
      </c>
      <c r="O263" s="1">
        <f>'Raw Data'!P263/Inv_SY!O$2</f>
        <v>0</v>
      </c>
      <c r="P263" s="1">
        <f>'Raw Data'!Q263/Inv_SY!P$2</f>
        <v>0</v>
      </c>
      <c r="Q263" s="1">
        <f>'Raw Data'!R263/Inv_SY!Q$2</f>
        <v>0</v>
      </c>
      <c r="R263" s="1">
        <f>'Raw Data'!S263/Inv_SY!R$2</f>
        <v>0</v>
      </c>
      <c r="S263" s="1">
        <f>'Raw Data'!T263/Inv_SY!S$2</f>
        <v>0</v>
      </c>
      <c r="T263" s="1">
        <f>'Raw Data'!U263/Inv_SY!T$2</f>
        <v>0</v>
      </c>
      <c r="U263" s="1">
        <f>'Raw Data'!V263/Inv_SY!U$2</f>
        <v>0</v>
      </c>
      <c r="V263" s="1">
        <f>'Raw Data'!W263/Inv_SY!V$2</f>
        <v>0</v>
      </c>
      <c r="W263" s="1">
        <f>'Raw Data'!X263/Inv_SY!W$2</f>
        <v>0</v>
      </c>
      <c r="X263" s="1">
        <f>'Raw Data'!Y263/Inv_SY!X$2</f>
        <v>0</v>
      </c>
      <c r="Y263" s="1" t="str">
        <f t="shared" si="18"/>
        <v/>
      </c>
      <c r="Z263" s="1">
        <f t="shared" si="19"/>
        <v>0</v>
      </c>
    </row>
    <row r="264" spans="1:26" x14ac:dyDescent="0.3">
      <c r="A264" s="55" t="s">
        <v>1434</v>
      </c>
      <c r="B264" s="55">
        <v>233</v>
      </c>
      <c r="C264" s="121">
        <f>YEAR(Table12[[#This Row],[Date]])</f>
        <v>2025</v>
      </c>
      <c r="D264" s="55" t="s">
        <v>329</v>
      </c>
      <c r="E264" s="55" t="s">
        <v>329</v>
      </c>
      <c r="F264" s="122" t="str">
        <f>TEXT(Table12[[#This Row],[Date]],"mmm-yy")</f>
        <v>Dec-25</v>
      </c>
      <c r="G264" s="121">
        <f t="shared" si="17"/>
        <v>31</v>
      </c>
      <c r="H264" s="123">
        <f t="shared" si="20"/>
        <v>46005</v>
      </c>
      <c r="I264" s="1">
        <v>8.0208999999999993</v>
      </c>
      <c r="J264" s="1">
        <f>'Raw Data'!K264/Inv_SY!J$2</f>
        <v>0</v>
      </c>
      <c r="K264" s="1">
        <f>'Raw Data'!L264/Inv_SY!K$2</f>
        <v>0</v>
      </c>
      <c r="L264" s="1">
        <f>'Raw Data'!M264/Inv_SY!L$2</f>
        <v>0</v>
      </c>
      <c r="M264" s="1">
        <f>'Raw Data'!N264/Inv_SY!M$2</f>
        <v>0</v>
      </c>
      <c r="N264" s="1">
        <f>'Raw Data'!O264/Inv_SY!N$2</f>
        <v>0</v>
      </c>
      <c r="O264" s="1">
        <f>'Raw Data'!P264/Inv_SY!O$2</f>
        <v>0</v>
      </c>
      <c r="P264" s="1">
        <f>'Raw Data'!Q264/Inv_SY!P$2</f>
        <v>0</v>
      </c>
      <c r="Q264" s="1">
        <f>'Raw Data'!R264/Inv_SY!Q$2</f>
        <v>0</v>
      </c>
      <c r="R264" s="1">
        <f>'Raw Data'!S264/Inv_SY!R$2</f>
        <v>0</v>
      </c>
      <c r="S264" s="1">
        <f>'Raw Data'!T264/Inv_SY!S$2</f>
        <v>0</v>
      </c>
      <c r="T264" s="1">
        <f>'Raw Data'!U264/Inv_SY!T$2</f>
        <v>0</v>
      </c>
      <c r="U264" s="1">
        <f>'Raw Data'!V264/Inv_SY!U$2</f>
        <v>0</v>
      </c>
      <c r="V264" s="1">
        <f>'Raw Data'!W264/Inv_SY!V$2</f>
        <v>0</v>
      </c>
      <c r="W264" s="1">
        <f>'Raw Data'!X264/Inv_SY!W$2</f>
        <v>0</v>
      </c>
      <c r="X264" s="1">
        <f>'Raw Data'!Y264/Inv_SY!X$2</f>
        <v>0</v>
      </c>
      <c r="Y264" s="1" t="str">
        <f t="shared" si="18"/>
        <v/>
      </c>
      <c r="Z264" s="1">
        <f t="shared" si="19"/>
        <v>0</v>
      </c>
    </row>
    <row r="265" spans="1:26" x14ac:dyDescent="0.3">
      <c r="A265" s="55" t="s">
        <v>1435</v>
      </c>
      <c r="B265" s="55">
        <v>234</v>
      </c>
      <c r="C265" s="121">
        <f>YEAR(Table12[[#This Row],[Date]])</f>
        <v>2025</v>
      </c>
      <c r="D265" s="55" t="s">
        <v>329</v>
      </c>
      <c r="E265" s="55" t="s">
        <v>329</v>
      </c>
      <c r="F265" s="122" t="str">
        <f>TEXT(Table12[[#This Row],[Date]],"mmm-yy")</f>
        <v>Dec-25</v>
      </c>
      <c r="G265" s="121">
        <f t="shared" si="17"/>
        <v>31</v>
      </c>
      <c r="H265" s="123">
        <f t="shared" si="20"/>
        <v>46006</v>
      </c>
      <c r="I265" s="1">
        <v>8.0208999999999993</v>
      </c>
      <c r="J265" s="1">
        <f>'Raw Data'!K265/Inv_SY!J$2</f>
        <v>0</v>
      </c>
      <c r="K265" s="1">
        <f>'Raw Data'!L265/Inv_SY!K$2</f>
        <v>0</v>
      </c>
      <c r="L265" s="1">
        <f>'Raw Data'!M265/Inv_SY!L$2</f>
        <v>0</v>
      </c>
      <c r="M265" s="1">
        <f>'Raw Data'!N265/Inv_SY!M$2</f>
        <v>0</v>
      </c>
      <c r="N265" s="1">
        <f>'Raw Data'!O265/Inv_SY!N$2</f>
        <v>0</v>
      </c>
      <c r="O265" s="1">
        <f>'Raw Data'!P265/Inv_SY!O$2</f>
        <v>0</v>
      </c>
      <c r="P265" s="1">
        <f>'Raw Data'!Q265/Inv_SY!P$2</f>
        <v>0</v>
      </c>
      <c r="Q265" s="1">
        <f>'Raw Data'!R265/Inv_SY!Q$2</f>
        <v>0</v>
      </c>
      <c r="R265" s="1">
        <f>'Raw Data'!S265/Inv_SY!R$2</f>
        <v>0</v>
      </c>
      <c r="S265" s="1">
        <f>'Raw Data'!T265/Inv_SY!S$2</f>
        <v>0</v>
      </c>
      <c r="T265" s="1">
        <f>'Raw Data'!U265/Inv_SY!T$2</f>
        <v>0</v>
      </c>
      <c r="U265" s="1">
        <f>'Raw Data'!V265/Inv_SY!U$2</f>
        <v>0</v>
      </c>
      <c r="V265" s="1">
        <f>'Raw Data'!W265/Inv_SY!V$2</f>
        <v>0</v>
      </c>
      <c r="W265" s="1">
        <f>'Raw Data'!X265/Inv_SY!W$2</f>
        <v>0</v>
      </c>
      <c r="X265" s="1">
        <f>'Raw Data'!Y265/Inv_SY!X$2</f>
        <v>0</v>
      </c>
      <c r="Y265" s="1" t="str">
        <f t="shared" si="18"/>
        <v/>
      </c>
      <c r="Z265" s="1">
        <f t="shared" si="19"/>
        <v>0</v>
      </c>
    </row>
    <row r="266" spans="1:26" x14ac:dyDescent="0.3">
      <c r="A266" s="55" t="s">
        <v>1436</v>
      </c>
      <c r="B266" s="55">
        <v>235</v>
      </c>
      <c r="C266" s="121">
        <f>YEAR(Table12[[#This Row],[Date]])</f>
        <v>2025</v>
      </c>
      <c r="D266" s="55" t="s">
        <v>329</v>
      </c>
      <c r="E266" s="55" t="s">
        <v>329</v>
      </c>
      <c r="F266" s="122" t="str">
        <f>TEXT(Table12[[#This Row],[Date]],"mmm-yy")</f>
        <v>Dec-25</v>
      </c>
      <c r="G266" s="121">
        <f t="shared" si="17"/>
        <v>31</v>
      </c>
      <c r="H266" s="123">
        <f t="shared" si="20"/>
        <v>46007</v>
      </c>
      <c r="I266" s="1">
        <v>8.0208999999999993</v>
      </c>
      <c r="J266" s="1">
        <f>'Raw Data'!K266/Inv_SY!J$2</f>
        <v>0</v>
      </c>
      <c r="K266" s="1">
        <f>'Raw Data'!L266/Inv_SY!K$2</f>
        <v>0</v>
      </c>
      <c r="L266" s="1">
        <f>'Raw Data'!M266/Inv_SY!L$2</f>
        <v>0</v>
      </c>
      <c r="M266" s="1">
        <f>'Raw Data'!N266/Inv_SY!M$2</f>
        <v>0</v>
      </c>
      <c r="N266" s="1">
        <f>'Raw Data'!O266/Inv_SY!N$2</f>
        <v>0</v>
      </c>
      <c r="O266" s="1">
        <f>'Raw Data'!P266/Inv_SY!O$2</f>
        <v>0</v>
      </c>
      <c r="P266" s="1">
        <f>'Raw Data'!Q266/Inv_SY!P$2</f>
        <v>0</v>
      </c>
      <c r="Q266" s="1">
        <f>'Raw Data'!R266/Inv_SY!Q$2</f>
        <v>0</v>
      </c>
      <c r="R266" s="1">
        <f>'Raw Data'!S266/Inv_SY!R$2</f>
        <v>0</v>
      </c>
      <c r="S266" s="1">
        <f>'Raw Data'!T266/Inv_SY!S$2</f>
        <v>0</v>
      </c>
      <c r="T266" s="1">
        <f>'Raw Data'!U266/Inv_SY!T$2</f>
        <v>0</v>
      </c>
      <c r="U266" s="1">
        <f>'Raw Data'!V266/Inv_SY!U$2</f>
        <v>0</v>
      </c>
      <c r="V266" s="1">
        <f>'Raw Data'!W266/Inv_SY!V$2</f>
        <v>0</v>
      </c>
      <c r="W266" s="1">
        <f>'Raw Data'!X266/Inv_SY!W$2</f>
        <v>0</v>
      </c>
      <c r="X266" s="1">
        <f>'Raw Data'!Y266/Inv_SY!X$2</f>
        <v>0</v>
      </c>
      <c r="Y266" s="1" t="str">
        <f t="shared" si="18"/>
        <v/>
      </c>
      <c r="Z266" s="1">
        <f t="shared" si="19"/>
        <v>0</v>
      </c>
    </row>
    <row r="267" spans="1:26" x14ac:dyDescent="0.3">
      <c r="A267" s="55" t="s">
        <v>1437</v>
      </c>
      <c r="B267" s="55">
        <v>236</v>
      </c>
      <c r="C267" s="121">
        <f>YEAR(Table12[[#This Row],[Date]])</f>
        <v>2025</v>
      </c>
      <c r="D267" s="55" t="s">
        <v>329</v>
      </c>
      <c r="E267" s="55" t="s">
        <v>329</v>
      </c>
      <c r="F267" s="122" t="str">
        <f>TEXT(Table12[[#This Row],[Date]],"mmm-yy")</f>
        <v>Dec-25</v>
      </c>
      <c r="G267" s="121">
        <f t="shared" si="17"/>
        <v>31</v>
      </c>
      <c r="H267" s="123">
        <f t="shared" si="20"/>
        <v>46008</v>
      </c>
      <c r="I267" s="1">
        <v>8.0208999999999993</v>
      </c>
      <c r="J267" s="1">
        <f>'Raw Data'!K267/Inv_SY!J$2</f>
        <v>0</v>
      </c>
      <c r="K267" s="1">
        <f>'Raw Data'!L267/Inv_SY!K$2</f>
        <v>0</v>
      </c>
      <c r="L267" s="1">
        <f>'Raw Data'!M267/Inv_SY!L$2</f>
        <v>0</v>
      </c>
      <c r="M267" s="1">
        <f>'Raw Data'!N267/Inv_SY!M$2</f>
        <v>0</v>
      </c>
      <c r="N267" s="1">
        <f>'Raw Data'!O267/Inv_SY!N$2</f>
        <v>0</v>
      </c>
      <c r="O267" s="1">
        <f>'Raw Data'!P267/Inv_SY!O$2</f>
        <v>0</v>
      </c>
      <c r="P267" s="1">
        <f>'Raw Data'!Q267/Inv_SY!P$2</f>
        <v>0</v>
      </c>
      <c r="Q267" s="1">
        <f>'Raw Data'!R267/Inv_SY!Q$2</f>
        <v>0</v>
      </c>
      <c r="R267" s="1">
        <f>'Raw Data'!S267/Inv_SY!R$2</f>
        <v>0</v>
      </c>
      <c r="S267" s="1">
        <f>'Raw Data'!T267/Inv_SY!S$2</f>
        <v>0</v>
      </c>
      <c r="T267" s="1">
        <f>'Raw Data'!U267/Inv_SY!T$2</f>
        <v>0</v>
      </c>
      <c r="U267" s="1">
        <f>'Raw Data'!V267/Inv_SY!U$2</f>
        <v>0</v>
      </c>
      <c r="V267" s="1">
        <f>'Raw Data'!W267/Inv_SY!V$2</f>
        <v>0</v>
      </c>
      <c r="W267" s="1">
        <f>'Raw Data'!X267/Inv_SY!W$2</f>
        <v>0</v>
      </c>
      <c r="X267" s="1">
        <f>'Raw Data'!Y267/Inv_SY!X$2</f>
        <v>0</v>
      </c>
      <c r="Y267" s="1" t="str">
        <f t="shared" si="18"/>
        <v/>
      </c>
      <c r="Z267" s="1">
        <f t="shared" si="19"/>
        <v>0</v>
      </c>
    </row>
    <row r="268" spans="1:26" x14ac:dyDescent="0.3">
      <c r="A268" s="55" t="s">
        <v>1438</v>
      </c>
      <c r="B268" s="55">
        <v>237</v>
      </c>
      <c r="C268" s="121">
        <f>YEAR(Table12[[#This Row],[Date]])</f>
        <v>2025</v>
      </c>
      <c r="D268" s="55" t="s">
        <v>329</v>
      </c>
      <c r="E268" s="55" t="s">
        <v>329</v>
      </c>
      <c r="F268" s="122" t="str">
        <f>TEXT(Table12[[#This Row],[Date]],"mmm-yy")</f>
        <v>Dec-25</v>
      </c>
      <c r="G268" s="121">
        <f t="shared" si="17"/>
        <v>31</v>
      </c>
      <c r="H268" s="123">
        <f t="shared" si="20"/>
        <v>46009</v>
      </c>
      <c r="I268" s="1">
        <v>8.0208999999999993</v>
      </c>
      <c r="J268" s="1">
        <f>'Raw Data'!K268/Inv_SY!J$2</f>
        <v>0</v>
      </c>
      <c r="K268" s="1">
        <f>'Raw Data'!L268/Inv_SY!K$2</f>
        <v>0</v>
      </c>
      <c r="L268" s="1">
        <f>'Raw Data'!M268/Inv_SY!L$2</f>
        <v>0</v>
      </c>
      <c r="M268" s="1">
        <f>'Raw Data'!N268/Inv_SY!M$2</f>
        <v>0</v>
      </c>
      <c r="N268" s="1">
        <f>'Raw Data'!O268/Inv_SY!N$2</f>
        <v>0</v>
      </c>
      <c r="O268" s="1">
        <f>'Raw Data'!P268/Inv_SY!O$2</f>
        <v>0</v>
      </c>
      <c r="P268" s="1">
        <f>'Raw Data'!Q268/Inv_SY!P$2</f>
        <v>0</v>
      </c>
      <c r="Q268" s="1">
        <f>'Raw Data'!R268/Inv_SY!Q$2</f>
        <v>0</v>
      </c>
      <c r="R268" s="1">
        <f>'Raw Data'!S268/Inv_SY!R$2</f>
        <v>0</v>
      </c>
      <c r="S268" s="1">
        <f>'Raw Data'!T268/Inv_SY!S$2</f>
        <v>0</v>
      </c>
      <c r="T268" s="1">
        <f>'Raw Data'!U268/Inv_SY!T$2</f>
        <v>0</v>
      </c>
      <c r="U268" s="1">
        <f>'Raw Data'!V268/Inv_SY!U$2</f>
        <v>0</v>
      </c>
      <c r="V268" s="1">
        <f>'Raw Data'!W268/Inv_SY!V$2</f>
        <v>0</v>
      </c>
      <c r="W268" s="1">
        <f>'Raw Data'!X268/Inv_SY!W$2</f>
        <v>0</v>
      </c>
      <c r="X268" s="1">
        <f>'Raw Data'!Y268/Inv_SY!X$2</f>
        <v>0</v>
      </c>
      <c r="Y268" s="1" t="str">
        <f t="shared" si="18"/>
        <v/>
      </c>
      <c r="Z268" s="1">
        <f t="shared" si="19"/>
        <v>0</v>
      </c>
    </row>
    <row r="269" spans="1:26" x14ac:dyDescent="0.3">
      <c r="A269" s="55" t="s">
        <v>1439</v>
      </c>
      <c r="B269" s="55">
        <v>238</v>
      </c>
      <c r="C269" s="121">
        <f>YEAR(Table12[[#This Row],[Date]])</f>
        <v>2025</v>
      </c>
      <c r="D269" s="55" t="s">
        <v>329</v>
      </c>
      <c r="E269" s="55" t="s">
        <v>329</v>
      </c>
      <c r="F269" s="122" t="str">
        <f>TEXT(Table12[[#This Row],[Date]],"mmm-yy")</f>
        <v>Dec-25</v>
      </c>
      <c r="G269" s="121">
        <f t="shared" si="17"/>
        <v>31</v>
      </c>
      <c r="H269" s="123">
        <f t="shared" si="20"/>
        <v>46010</v>
      </c>
      <c r="I269" s="1">
        <v>8.0208999999999993</v>
      </c>
      <c r="J269" s="1">
        <f>'Raw Data'!K269/Inv_SY!J$2</f>
        <v>0</v>
      </c>
      <c r="K269" s="1">
        <f>'Raw Data'!L269/Inv_SY!K$2</f>
        <v>0</v>
      </c>
      <c r="L269" s="1">
        <f>'Raw Data'!M269/Inv_SY!L$2</f>
        <v>0</v>
      </c>
      <c r="M269" s="1">
        <f>'Raw Data'!N269/Inv_SY!M$2</f>
        <v>0</v>
      </c>
      <c r="N269" s="1">
        <f>'Raw Data'!O269/Inv_SY!N$2</f>
        <v>0</v>
      </c>
      <c r="O269" s="1">
        <f>'Raw Data'!P269/Inv_SY!O$2</f>
        <v>0</v>
      </c>
      <c r="P269" s="1">
        <f>'Raw Data'!Q269/Inv_SY!P$2</f>
        <v>0</v>
      </c>
      <c r="Q269" s="1">
        <f>'Raw Data'!R269/Inv_SY!Q$2</f>
        <v>0</v>
      </c>
      <c r="R269" s="1">
        <f>'Raw Data'!S269/Inv_SY!R$2</f>
        <v>0</v>
      </c>
      <c r="S269" s="1">
        <f>'Raw Data'!T269/Inv_SY!S$2</f>
        <v>0</v>
      </c>
      <c r="T269" s="1">
        <f>'Raw Data'!U269/Inv_SY!T$2</f>
        <v>0</v>
      </c>
      <c r="U269" s="1">
        <f>'Raw Data'!V269/Inv_SY!U$2</f>
        <v>0</v>
      </c>
      <c r="V269" s="1">
        <f>'Raw Data'!W269/Inv_SY!V$2</f>
        <v>0</v>
      </c>
      <c r="W269" s="1">
        <f>'Raw Data'!X269/Inv_SY!W$2</f>
        <v>0</v>
      </c>
      <c r="X269" s="1">
        <f>'Raw Data'!Y269/Inv_SY!X$2</f>
        <v>0</v>
      </c>
      <c r="Y269" s="1" t="str">
        <f t="shared" si="18"/>
        <v/>
      </c>
      <c r="Z269" s="1">
        <f t="shared" si="19"/>
        <v>0</v>
      </c>
    </row>
    <row r="270" spans="1:26" x14ac:dyDescent="0.3">
      <c r="A270" s="55" t="s">
        <v>1440</v>
      </c>
      <c r="B270" s="55">
        <v>239</v>
      </c>
      <c r="C270" s="121">
        <f>YEAR(Table12[[#This Row],[Date]])</f>
        <v>2025</v>
      </c>
      <c r="D270" s="55" t="s">
        <v>329</v>
      </c>
      <c r="E270" s="55" t="s">
        <v>329</v>
      </c>
      <c r="F270" s="122" t="str">
        <f>TEXT(Table12[[#This Row],[Date]],"mmm-yy")</f>
        <v>Dec-25</v>
      </c>
      <c r="G270" s="121">
        <f t="shared" si="17"/>
        <v>31</v>
      </c>
      <c r="H270" s="123">
        <f t="shared" si="20"/>
        <v>46011</v>
      </c>
      <c r="I270" s="1">
        <v>8.0208999999999993</v>
      </c>
      <c r="J270" s="1">
        <f>'Raw Data'!K270/Inv_SY!J$2</f>
        <v>0</v>
      </c>
      <c r="K270" s="1">
        <f>'Raw Data'!L270/Inv_SY!K$2</f>
        <v>0</v>
      </c>
      <c r="L270" s="1">
        <f>'Raw Data'!M270/Inv_SY!L$2</f>
        <v>0</v>
      </c>
      <c r="M270" s="1">
        <f>'Raw Data'!N270/Inv_SY!M$2</f>
        <v>0</v>
      </c>
      <c r="N270" s="1">
        <f>'Raw Data'!O270/Inv_SY!N$2</f>
        <v>0</v>
      </c>
      <c r="O270" s="1">
        <f>'Raw Data'!P270/Inv_SY!O$2</f>
        <v>0</v>
      </c>
      <c r="P270" s="1">
        <f>'Raw Data'!Q270/Inv_SY!P$2</f>
        <v>0</v>
      </c>
      <c r="Q270" s="1">
        <f>'Raw Data'!R270/Inv_SY!Q$2</f>
        <v>0</v>
      </c>
      <c r="R270" s="1">
        <f>'Raw Data'!S270/Inv_SY!R$2</f>
        <v>0</v>
      </c>
      <c r="S270" s="1">
        <f>'Raw Data'!T270/Inv_SY!S$2</f>
        <v>0</v>
      </c>
      <c r="T270" s="1">
        <f>'Raw Data'!U270/Inv_SY!T$2</f>
        <v>0</v>
      </c>
      <c r="U270" s="1">
        <f>'Raw Data'!V270/Inv_SY!U$2</f>
        <v>0</v>
      </c>
      <c r="V270" s="1">
        <f>'Raw Data'!W270/Inv_SY!V$2</f>
        <v>0</v>
      </c>
      <c r="W270" s="1">
        <f>'Raw Data'!X270/Inv_SY!W$2</f>
        <v>0</v>
      </c>
      <c r="X270" s="1">
        <f>'Raw Data'!Y270/Inv_SY!X$2</f>
        <v>0</v>
      </c>
      <c r="Y270" s="1" t="str">
        <f t="shared" si="18"/>
        <v/>
      </c>
      <c r="Z270" s="1">
        <f t="shared" si="19"/>
        <v>0</v>
      </c>
    </row>
    <row r="271" spans="1:26" x14ac:dyDescent="0.3">
      <c r="A271" s="55" t="s">
        <v>1441</v>
      </c>
      <c r="B271" s="55">
        <v>240</v>
      </c>
      <c r="C271" s="121">
        <f>YEAR(Table12[[#This Row],[Date]])</f>
        <v>2025</v>
      </c>
      <c r="D271" s="55" t="s">
        <v>329</v>
      </c>
      <c r="E271" s="55" t="s">
        <v>329</v>
      </c>
      <c r="F271" s="122" t="str">
        <f>TEXT(Table12[[#This Row],[Date]],"mmm-yy")</f>
        <v>Dec-25</v>
      </c>
      <c r="G271" s="121">
        <f t="shared" si="17"/>
        <v>31</v>
      </c>
      <c r="H271" s="123">
        <f t="shared" si="20"/>
        <v>46012</v>
      </c>
      <c r="I271" s="1">
        <v>8.0208999999999993</v>
      </c>
      <c r="J271" s="1">
        <f>'Raw Data'!K271/Inv_SY!J$2</f>
        <v>0</v>
      </c>
      <c r="K271" s="1">
        <f>'Raw Data'!L271/Inv_SY!K$2</f>
        <v>0</v>
      </c>
      <c r="L271" s="1">
        <f>'Raw Data'!M271/Inv_SY!L$2</f>
        <v>0</v>
      </c>
      <c r="M271" s="1">
        <f>'Raw Data'!N271/Inv_SY!M$2</f>
        <v>0</v>
      </c>
      <c r="N271" s="1">
        <f>'Raw Data'!O271/Inv_SY!N$2</f>
        <v>0</v>
      </c>
      <c r="O271" s="1">
        <f>'Raw Data'!P271/Inv_SY!O$2</f>
        <v>0</v>
      </c>
      <c r="P271" s="1">
        <f>'Raw Data'!Q271/Inv_SY!P$2</f>
        <v>0</v>
      </c>
      <c r="Q271" s="1">
        <f>'Raw Data'!R271/Inv_SY!Q$2</f>
        <v>0</v>
      </c>
      <c r="R271" s="1">
        <f>'Raw Data'!S271/Inv_SY!R$2</f>
        <v>0</v>
      </c>
      <c r="S271" s="1">
        <f>'Raw Data'!T271/Inv_SY!S$2</f>
        <v>0</v>
      </c>
      <c r="T271" s="1">
        <f>'Raw Data'!U271/Inv_SY!T$2</f>
        <v>0</v>
      </c>
      <c r="U271" s="1">
        <f>'Raw Data'!V271/Inv_SY!U$2</f>
        <v>0</v>
      </c>
      <c r="V271" s="1">
        <f>'Raw Data'!W271/Inv_SY!V$2</f>
        <v>0</v>
      </c>
      <c r="W271" s="1">
        <f>'Raw Data'!X271/Inv_SY!W$2</f>
        <v>0</v>
      </c>
      <c r="X271" s="1">
        <f>'Raw Data'!Y271/Inv_SY!X$2</f>
        <v>0</v>
      </c>
      <c r="Y271" s="1" t="str">
        <f t="shared" si="18"/>
        <v/>
      </c>
      <c r="Z271" s="1">
        <f t="shared" si="19"/>
        <v>0</v>
      </c>
    </row>
    <row r="272" spans="1:26" x14ac:dyDescent="0.3">
      <c r="A272" s="55" t="s">
        <v>1442</v>
      </c>
      <c r="B272" s="55">
        <v>241</v>
      </c>
      <c r="C272" s="121">
        <f>YEAR(Table12[[#This Row],[Date]])</f>
        <v>2025</v>
      </c>
      <c r="D272" s="55" t="s">
        <v>329</v>
      </c>
      <c r="E272" s="55" t="s">
        <v>329</v>
      </c>
      <c r="F272" s="122" t="str">
        <f>TEXT(Table12[[#This Row],[Date]],"mmm-yy")</f>
        <v>Dec-25</v>
      </c>
      <c r="G272" s="121">
        <f t="shared" si="17"/>
        <v>31</v>
      </c>
      <c r="H272" s="123">
        <f t="shared" si="20"/>
        <v>46013</v>
      </c>
      <c r="I272" s="1">
        <v>8.0208999999999993</v>
      </c>
      <c r="J272" s="1">
        <f>'Raw Data'!K272/Inv_SY!J$2</f>
        <v>0</v>
      </c>
      <c r="K272" s="1">
        <f>'Raw Data'!L272/Inv_SY!K$2</f>
        <v>0</v>
      </c>
      <c r="L272" s="1">
        <f>'Raw Data'!M272/Inv_SY!L$2</f>
        <v>0</v>
      </c>
      <c r="M272" s="1">
        <f>'Raw Data'!N272/Inv_SY!M$2</f>
        <v>0</v>
      </c>
      <c r="N272" s="1">
        <f>'Raw Data'!O272/Inv_SY!N$2</f>
        <v>0</v>
      </c>
      <c r="O272" s="1">
        <f>'Raw Data'!P272/Inv_SY!O$2</f>
        <v>0</v>
      </c>
      <c r="P272" s="1">
        <f>'Raw Data'!Q272/Inv_SY!P$2</f>
        <v>0</v>
      </c>
      <c r="Q272" s="1">
        <f>'Raw Data'!R272/Inv_SY!Q$2</f>
        <v>0</v>
      </c>
      <c r="R272" s="1">
        <f>'Raw Data'!S272/Inv_SY!R$2</f>
        <v>0</v>
      </c>
      <c r="S272" s="1">
        <f>'Raw Data'!T272/Inv_SY!S$2</f>
        <v>0</v>
      </c>
      <c r="T272" s="1">
        <f>'Raw Data'!U272/Inv_SY!T$2</f>
        <v>0</v>
      </c>
      <c r="U272" s="1">
        <f>'Raw Data'!V272/Inv_SY!U$2</f>
        <v>0</v>
      </c>
      <c r="V272" s="1">
        <f>'Raw Data'!W272/Inv_SY!V$2</f>
        <v>0</v>
      </c>
      <c r="W272" s="1">
        <f>'Raw Data'!X272/Inv_SY!W$2</f>
        <v>0</v>
      </c>
      <c r="X272" s="1">
        <f>'Raw Data'!Y272/Inv_SY!X$2</f>
        <v>0</v>
      </c>
      <c r="Y272" s="1" t="str">
        <f t="shared" si="18"/>
        <v/>
      </c>
      <c r="Z272" s="1">
        <f t="shared" si="19"/>
        <v>0</v>
      </c>
    </row>
    <row r="273" spans="1:26" x14ac:dyDescent="0.3">
      <c r="A273" s="55" t="s">
        <v>1443</v>
      </c>
      <c r="B273" s="55">
        <v>242</v>
      </c>
      <c r="C273" s="121">
        <f>YEAR(Table12[[#This Row],[Date]])</f>
        <v>2025</v>
      </c>
      <c r="D273" s="55" t="s">
        <v>329</v>
      </c>
      <c r="E273" s="55" t="s">
        <v>329</v>
      </c>
      <c r="F273" s="122" t="str">
        <f>TEXT(Table12[[#This Row],[Date]],"mmm-yy")</f>
        <v>Dec-25</v>
      </c>
      <c r="G273" s="121">
        <f t="shared" si="17"/>
        <v>31</v>
      </c>
      <c r="H273" s="123">
        <f t="shared" si="20"/>
        <v>46014</v>
      </c>
      <c r="I273" s="1">
        <v>8.0208999999999993</v>
      </c>
      <c r="J273" s="1">
        <f>'Raw Data'!K273/Inv_SY!J$2</f>
        <v>0</v>
      </c>
      <c r="K273" s="1">
        <f>'Raw Data'!L273/Inv_SY!K$2</f>
        <v>0</v>
      </c>
      <c r="L273" s="1">
        <f>'Raw Data'!M273/Inv_SY!L$2</f>
        <v>0</v>
      </c>
      <c r="M273" s="1">
        <f>'Raw Data'!N273/Inv_SY!M$2</f>
        <v>0</v>
      </c>
      <c r="N273" s="1">
        <f>'Raw Data'!O273/Inv_SY!N$2</f>
        <v>0</v>
      </c>
      <c r="O273" s="1">
        <f>'Raw Data'!P273/Inv_SY!O$2</f>
        <v>0</v>
      </c>
      <c r="P273" s="1">
        <f>'Raw Data'!Q273/Inv_SY!P$2</f>
        <v>0</v>
      </c>
      <c r="Q273" s="1">
        <f>'Raw Data'!R273/Inv_SY!Q$2</f>
        <v>0</v>
      </c>
      <c r="R273" s="1">
        <f>'Raw Data'!S273/Inv_SY!R$2</f>
        <v>0</v>
      </c>
      <c r="S273" s="1">
        <f>'Raw Data'!T273/Inv_SY!S$2</f>
        <v>0</v>
      </c>
      <c r="T273" s="1">
        <f>'Raw Data'!U273/Inv_SY!T$2</f>
        <v>0</v>
      </c>
      <c r="U273" s="1">
        <f>'Raw Data'!V273/Inv_SY!U$2</f>
        <v>0</v>
      </c>
      <c r="V273" s="1">
        <f>'Raw Data'!W273/Inv_SY!V$2</f>
        <v>0</v>
      </c>
      <c r="W273" s="1">
        <f>'Raw Data'!X273/Inv_SY!W$2</f>
        <v>0</v>
      </c>
      <c r="X273" s="1">
        <f>'Raw Data'!Y273/Inv_SY!X$2</f>
        <v>0</v>
      </c>
      <c r="Y273" s="1" t="str">
        <f t="shared" si="18"/>
        <v/>
      </c>
      <c r="Z273" s="1">
        <f t="shared" si="19"/>
        <v>0</v>
      </c>
    </row>
    <row r="274" spans="1:26" x14ac:dyDescent="0.3">
      <c r="A274" s="55" t="s">
        <v>1444</v>
      </c>
      <c r="B274" s="55">
        <v>243</v>
      </c>
      <c r="C274" s="121">
        <f>YEAR(Table12[[#This Row],[Date]])</f>
        <v>2025</v>
      </c>
      <c r="D274" s="55" t="s">
        <v>329</v>
      </c>
      <c r="E274" s="55" t="s">
        <v>329</v>
      </c>
      <c r="F274" s="122" t="str">
        <f>TEXT(Table12[[#This Row],[Date]],"mmm-yy")</f>
        <v>Dec-25</v>
      </c>
      <c r="G274" s="121">
        <f t="shared" si="17"/>
        <v>31</v>
      </c>
      <c r="H274" s="123">
        <f t="shared" si="20"/>
        <v>46015</v>
      </c>
      <c r="I274" s="1">
        <v>8.0208999999999993</v>
      </c>
      <c r="J274" s="1">
        <f>'Raw Data'!K274/Inv_SY!J$2</f>
        <v>0</v>
      </c>
      <c r="K274" s="1">
        <f>'Raw Data'!L274/Inv_SY!K$2</f>
        <v>0</v>
      </c>
      <c r="L274" s="1">
        <f>'Raw Data'!M274/Inv_SY!L$2</f>
        <v>0</v>
      </c>
      <c r="M274" s="1">
        <f>'Raw Data'!N274/Inv_SY!M$2</f>
        <v>0</v>
      </c>
      <c r="N274" s="1">
        <f>'Raw Data'!O274/Inv_SY!N$2</f>
        <v>0</v>
      </c>
      <c r="O274" s="1">
        <f>'Raw Data'!P274/Inv_SY!O$2</f>
        <v>0</v>
      </c>
      <c r="P274" s="1">
        <f>'Raw Data'!Q274/Inv_SY!P$2</f>
        <v>0</v>
      </c>
      <c r="Q274" s="1">
        <f>'Raw Data'!R274/Inv_SY!Q$2</f>
        <v>0</v>
      </c>
      <c r="R274" s="1">
        <f>'Raw Data'!S274/Inv_SY!R$2</f>
        <v>0</v>
      </c>
      <c r="S274" s="1">
        <f>'Raw Data'!T274/Inv_SY!S$2</f>
        <v>0</v>
      </c>
      <c r="T274" s="1">
        <f>'Raw Data'!U274/Inv_SY!T$2</f>
        <v>0</v>
      </c>
      <c r="U274" s="1">
        <f>'Raw Data'!V274/Inv_SY!U$2</f>
        <v>0</v>
      </c>
      <c r="V274" s="1">
        <f>'Raw Data'!W274/Inv_SY!V$2</f>
        <v>0</v>
      </c>
      <c r="W274" s="1">
        <f>'Raw Data'!X274/Inv_SY!W$2</f>
        <v>0</v>
      </c>
      <c r="X274" s="1">
        <f>'Raw Data'!Y274/Inv_SY!X$2</f>
        <v>0</v>
      </c>
      <c r="Y274" s="1" t="str">
        <f t="shared" si="18"/>
        <v/>
      </c>
      <c r="Z274" s="1">
        <f t="shared" si="19"/>
        <v>0</v>
      </c>
    </row>
    <row r="275" spans="1:26" x14ac:dyDescent="0.3">
      <c r="A275" s="55" t="s">
        <v>1445</v>
      </c>
      <c r="B275" s="55">
        <v>244</v>
      </c>
      <c r="C275" s="121">
        <f>YEAR(Table12[[#This Row],[Date]])</f>
        <v>2025</v>
      </c>
      <c r="D275" s="55" t="s">
        <v>329</v>
      </c>
      <c r="E275" s="55" t="s">
        <v>329</v>
      </c>
      <c r="F275" s="122" t="str">
        <f>TEXT(Table12[[#This Row],[Date]],"mmm-yy")</f>
        <v>Dec-25</v>
      </c>
      <c r="G275" s="121">
        <f t="shared" si="17"/>
        <v>31</v>
      </c>
      <c r="H275" s="123">
        <f t="shared" si="20"/>
        <v>46016</v>
      </c>
      <c r="I275" s="1">
        <v>8.0208999999999993</v>
      </c>
      <c r="J275" s="1">
        <f>'Raw Data'!K275/Inv_SY!J$2</f>
        <v>0</v>
      </c>
      <c r="K275" s="1">
        <f>'Raw Data'!L275/Inv_SY!K$2</f>
        <v>0</v>
      </c>
      <c r="L275" s="1">
        <f>'Raw Data'!M275/Inv_SY!L$2</f>
        <v>0</v>
      </c>
      <c r="M275" s="1">
        <f>'Raw Data'!N275/Inv_SY!M$2</f>
        <v>0</v>
      </c>
      <c r="N275" s="1">
        <f>'Raw Data'!O275/Inv_SY!N$2</f>
        <v>0</v>
      </c>
      <c r="O275" s="1">
        <f>'Raw Data'!P275/Inv_SY!O$2</f>
        <v>0</v>
      </c>
      <c r="P275" s="1">
        <f>'Raw Data'!Q275/Inv_SY!P$2</f>
        <v>0</v>
      </c>
      <c r="Q275" s="1">
        <f>'Raw Data'!R275/Inv_SY!Q$2</f>
        <v>0</v>
      </c>
      <c r="R275" s="1">
        <f>'Raw Data'!S275/Inv_SY!R$2</f>
        <v>0</v>
      </c>
      <c r="S275" s="1">
        <f>'Raw Data'!T275/Inv_SY!S$2</f>
        <v>0</v>
      </c>
      <c r="T275" s="1">
        <f>'Raw Data'!U275/Inv_SY!T$2</f>
        <v>0</v>
      </c>
      <c r="U275" s="1">
        <f>'Raw Data'!V275/Inv_SY!U$2</f>
        <v>0</v>
      </c>
      <c r="V275" s="1">
        <f>'Raw Data'!W275/Inv_SY!V$2</f>
        <v>0</v>
      </c>
      <c r="W275" s="1">
        <f>'Raw Data'!X275/Inv_SY!W$2</f>
        <v>0</v>
      </c>
      <c r="X275" s="1">
        <f>'Raw Data'!Y275/Inv_SY!X$2</f>
        <v>0</v>
      </c>
      <c r="Y275" s="1" t="str">
        <f t="shared" si="18"/>
        <v/>
      </c>
      <c r="Z275" s="1">
        <f t="shared" si="19"/>
        <v>0</v>
      </c>
    </row>
    <row r="276" spans="1:26" x14ac:dyDescent="0.3">
      <c r="A276" s="55" t="s">
        <v>1446</v>
      </c>
      <c r="B276" s="55">
        <v>245</v>
      </c>
      <c r="C276" s="121">
        <f>YEAR(Table12[[#This Row],[Date]])</f>
        <v>2025</v>
      </c>
      <c r="D276" s="55" t="s">
        <v>329</v>
      </c>
      <c r="E276" s="55" t="s">
        <v>329</v>
      </c>
      <c r="F276" s="122" t="str">
        <f>TEXT(Table12[[#This Row],[Date]],"mmm-yy")</f>
        <v>Dec-25</v>
      </c>
      <c r="G276" s="121">
        <f t="shared" si="17"/>
        <v>31</v>
      </c>
      <c r="H276" s="123">
        <f t="shared" si="20"/>
        <v>46017</v>
      </c>
      <c r="I276" s="1">
        <v>8.0208999999999993</v>
      </c>
      <c r="J276" s="1">
        <f>'Raw Data'!K276/Inv_SY!J$2</f>
        <v>0</v>
      </c>
      <c r="K276" s="1">
        <f>'Raw Data'!L276/Inv_SY!K$2</f>
        <v>0</v>
      </c>
      <c r="L276" s="1">
        <f>'Raw Data'!M276/Inv_SY!L$2</f>
        <v>0</v>
      </c>
      <c r="M276" s="1">
        <f>'Raw Data'!N276/Inv_SY!M$2</f>
        <v>0</v>
      </c>
      <c r="N276" s="1">
        <f>'Raw Data'!O276/Inv_SY!N$2</f>
        <v>0</v>
      </c>
      <c r="O276" s="1">
        <f>'Raw Data'!P276/Inv_SY!O$2</f>
        <v>0</v>
      </c>
      <c r="P276" s="1">
        <f>'Raw Data'!Q276/Inv_SY!P$2</f>
        <v>0</v>
      </c>
      <c r="Q276" s="1">
        <f>'Raw Data'!R276/Inv_SY!Q$2</f>
        <v>0</v>
      </c>
      <c r="R276" s="1">
        <f>'Raw Data'!S276/Inv_SY!R$2</f>
        <v>0</v>
      </c>
      <c r="S276" s="1">
        <f>'Raw Data'!T276/Inv_SY!S$2</f>
        <v>0</v>
      </c>
      <c r="T276" s="1">
        <f>'Raw Data'!U276/Inv_SY!T$2</f>
        <v>0</v>
      </c>
      <c r="U276" s="1">
        <f>'Raw Data'!V276/Inv_SY!U$2</f>
        <v>0</v>
      </c>
      <c r="V276" s="1">
        <f>'Raw Data'!W276/Inv_SY!V$2</f>
        <v>0</v>
      </c>
      <c r="W276" s="1">
        <f>'Raw Data'!X276/Inv_SY!W$2</f>
        <v>0</v>
      </c>
      <c r="X276" s="1">
        <f>'Raw Data'!Y276/Inv_SY!X$2</f>
        <v>0</v>
      </c>
      <c r="Y276" s="1" t="str">
        <f t="shared" si="18"/>
        <v/>
      </c>
      <c r="Z276" s="1">
        <f t="shared" si="19"/>
        <v>0</v>
      </c>
    </row>
    <row r="277" spans="1:26" x14ac:dyDescent="0.3">
      <c r="A277" s="55" t="s">
        <v>1447</v>
      </c>
      <c r="B277" s="55">
        <v>246</v>
      </c>
      <c r="C277" s="121">
        <f>YEAR(Table12[[#This Row],[Date]])</f>
        <v>2025</v>
      </c>
      <c r="D277" s="55" t="s">
        <v>329</v>
      </c>
      <c r="E277" s="55" t="s">
        <v>329</v>
      </c>
      <c r="F277" s="122" t="str">
        <f>TEXT(Table12[[#This Row],[Date]],"mmm-yy")</f>
        <v>Dec-25</v>
      </c>
      <c r="G277" s="121">
        <f t="shared" si="17"/>
        <v>31</v>
      </c>
      <c r="H277" s="123">
        <f t="shared" si="20"/>
        <v>46018</v>
      </c>
      <c r="I277" s="1">
        <v>8.0208999999999993</v>
      </c>
      <c r="J277" s="1">
        <f>'Raw Data'!K277/Inv_SY!J$2</f>
        <v>0</v>
      </c>
      <c r="K277" s="1">
        <f>'Raw Data'!L277/Inv_SY!K$2</f>
        <v>0</v>
      </c>
      <c r="L277" s="1">
        <f>'Raw Data'!M277/Inv_SY!L$2</f>
        <v>0</v>
      </c>
      <c r="M277" s="1">
        <f>'Raw Data'!N277/Inv_SY!M$2</f>
        <v>0</v>
      </c>
      <c r="N277" s="1">
        <f>'Raw Data'!O277/Inv_SY!N$2</f>
        <v>0</v>
      </c>
      <c r="O277" s="1">
        <f>'Raw Data'!P277/Inv_SY!O$2</f>
        <v>0</v>
      </c>
      <c r="P277" s="1">
        <f>'Raw Data'!Q277/Inv_SY!P$2</f>
        <v>0</v>
      </c>
      <c r="Q277" s="1">
        <f>'Raw Data'!R277/Inv_SY!Q$2</f>
        <v>0</v>
      </c>
      <c r="R277" s="1">
        <f>'Raw Data'!S277/Inv_SY!R$2</f>
        <v>0</v>
      </c>
      <c r="S277" s="1">
        <f>'Raw Data'!T277/Inv_SY!S$2</f>
        <v>0</v>
      </c>
      <c r="T277" s="1">
        <f>'Raw Data'!U277/Inv_SY!T$2</f>
        <v>0</v>
      </c>
      <c r="U277" s="1">
        <f>'Raw Data'!V277/Inv_SY!U$2</f>
        <v>0</v>
      </c>
      <c r="V277" s="1">
        <f>'Raw Data'!W277/Inv_SY!V$2</f>
        <v>0</v>
      </c>
      <c r="W277" s="1">
        <f>'Raw Data'!X277/Inv_SY!W$2</f>
        <v>0</v>
      </c>
      <c r="X277" s="1">
        <f>'Raw Data'!Y277/Inv_SY!X$2</f>
        <v>0</v>
      </c>
      <c r="Y277" s="1" t="str">
        <f t="shared" si="18"/>
        <v/>
      </c>
      <c r="Z277" s="1">
        <f t="shared" si="19"/>
        <v>0</v>
      </c>
    </row>
    <row r="278" spans="1:26" x14ac:dyDescent="0.3">
      <c r="A278" s="55" t="s">
        <v>1448</v>
      </c>
      <c r="B278" s="55">
        <v>247</v>
      </c>
      <c r="C278" s="121">
        <f>YEAR(Table12[[#This Row],[Date]])</f>
        <v>2025</v>
      </c>
      <c r="D278" s="55" t="s">
        <v>329</v>
      </c>
      <c r="E278" s="55" t="s">
        <v>329</v>
      </c>
      <c r="F278" s="122" t="str">
        <f>TEXT(Table12[[#This Row],[Date]],"mmm-yy")</f>
        <v>Dec-25</v>
      </c>
      <c r="G278" s="121">
        <f t="shared" si="17"/>
        <v>31</v>
      </c>
      <c r="H278" s="123">
        <f t="shared" si="20"/>
        <v>46019</v>
      </c>
      <c r="I278" s="1">
        <v>8.0208999999999993</v>
      </c>
      <c r="J278" s="1">
        <f>'Raw Data'!K278/Inv_SY!J$2</f>
        <v>0</v>
      </c>
      <c r="K278" s="1">
        <f>'Raw Data'!L278/Inv_SY!K$2</f>
        <v>0</v>
      </c>
      <c r="L278" s="1">
        <f>'Raw Data'!M278/Inv_SY!L$2</f>
        <v>0</v>
      </c>
      <c r="M278" s="1">
        <f>'Raw Data'!N278/Inv_SY!M$2</f>
        <v>0</v>
      </c>
      <c r="N278" s="1">
        <f>'Raw Data'!O278/Inv_SY!N$2</f>
        <v>0</v>
      </c>
      <c r="O278" s="1">
        <f>'Raw Data'!P278/Inv_SY!O$2</f>
        <v>0</v>
      </c>
      <c r="P278" s="1">
        <f>'Raw Data'!Q278/Inv_SY!P$2</f>
        <v>0</v>
      </c>
      <c r="Q278" s="1">
        <f>'Raw Data'!R278/Inv_SY!Q$2</f>
        <v>0</v>
      </c>
      <c r="R278" s="1">
        <f>'Raw Data'!S278/Inv_SY!R$2</f>
        <v>0</v>
      </c>
      <c r="S278" s="1">
        <f>'Raw Data'!T278/Inv_SY!S$2</f>
        <v>0</v>
      </c>
      <c r="T278" s="1">
        <f>'Raw Data'!U278/Inv_SY!T$2</f>
        <v>0</v>
      </c>
      <c r="U278" s="1">
        <f>'Raw Data'!V278/Inv_SY!U$2</f>
        <v>0</v>
      </c>
      <c r="V278" s="1">
        <f>'Raw Data'!W278/Inv_SY!V$2</f>
        <v>0</v>
      </c>
      <c r="W278" s="1">
        <f>'Raw Data'!X278/Inv_SY!W$2</f>
        <v>0</v>
      </c>
      <c r="X278" s="1">
        <f>'Raw Data'!Y278/Inv_SY!X$2</f>
        <v>0</v>
      </c>
      <c r="Y278" s="1" t="str">
        <f t="shared" si="18"/>
        <v/>
      </c>
      <c r="Z278" s="1">
        <f t="shared" si="19"/>
        <v>0</v>
      </c>
    </row>
    <row r="279" spans="1:26" x14ac:dyDescent="0.3">
      <c r="A279" s="55" t="s">
        <v>1449</v>
      </c>
      <c r="B279" s="55">
        <v>248</v>
      </c>
      <c r="C279" s="121">
        <f>YEAR(Table12[[#This Row],[Date]])</f>
        <v>2025</v>
      </c>
      <c r="D279" s="55" t="s">
        <v>329</v>
      </c>
      <c r="E279" s="55" t="s">
        <v>329</v>
      </c>
      <c r="F279" s="122" t="str">
        <f>TEXT(Table12[[#This Row],[Date]],"mmm-yy")</f>
        <v>Dec-25</v>
      </c>
      <c r="G279" s="121">
        <f t="shared" si="17"/>
        <v>31</v>
      </c>
      <c r="H279" s="123">
        <f t="shared" si="20"/>
        <v>46020</v>
      </c>
      <c r="I279" s="1">
        <v>8.0208999999999993</v>
      </c>
      <c r="J279" s="1">
        <f>'Raw Data'!K279/Inv_SY!J$2</f>
        <v>0</v>
      </c>
      <c r="K279" s="1">
        <f>'Raw Data'!L279/Inv_SY!K$2</f>
        <v>0</v>
      </c>
      <c r="L279" s="1">
        <f>'Raw Data'!M279/Inv_SY!L$2</f>
        <v>0</v>
      </c>
      <c r="M279" s="1">
        <f>'Raw Data'!N279/Inv_SY!M$2</f>
        <v>0</v>
      </c>
      <c r="N279" s="1">
        <f>'Raw Data'!O279/Inv_SY!N$2</f>
        <v>0</v>
      </c>
      <c r="O279" s="1">
        <f>'Raw Data'!P279/Inv_SY!O$2</f>
        <v>0</v>
      </c>
      <c r="P279" s="1">
        <f>'Raw Data'!Q279/Inv_SY!P$2</f>
        <v>0</v>
      </c>
      <c r="Q279" s="1">
        <f>'Raw Data'!R279/Inv_SY!Q$2</f>
        <v>0</v>
      </c>
      <c r="R279" s="1">
        <f>'Raw Data'!S279/Inv_SY!R$2</f>
        <v>0</v>
      </c>
      <c r="S279" s="1">
        <f>'Raw Data'!T279/Inv_SY!S$2</f>
        <v>0</v>
      </c>
      <c r="T279" s="1">
        <f>'Raw Data'!U279/Inv_SY!T$2</f>
        <v>0</v>
      </c>
      <c r="U279" s="1">
        <f>'Raw Data'!V279/Inv_SY!U$2</f>
        <v>0</v>
      </c>
      <c r="V279" s="1">
        <f>'Raw Data'!W279/Inv_SY!V$2</f>
        <v>0</v>
      </c>
      <c r="W279" s="1">
        <f>'Raw Data'!X279/Inv_SY!W$2</f>
        <v>0</v>
      </c>
      <c r="X279" s="1">
        <f>'Raw Data'!Y279/Inv_SY!X$2</f>
        <v>0</v>
      </c>
      <c r="Y279" s="1" t="str">
        <f t="shared" si="18"/>
        <v/>
      </c>
      <c r="Z279" s="1">
        <f t="shared" si="19"/>
        <v>0</v>
      </c>
    </row>
    <row r="280" spans="1:26" x14ac:dyDescent="0.3">
      <c r="A280" s="55" t="s">
        <v>1450</v>
      </c>
      <c r="B280" s="55">
        <v>249</v>
      </c>
      <c r="C280" s="121">
        <f>YEAR(Table12[[#This Row],[Date]])</f>
        <v>2025</v>
      </c>
      <c r="D280" s="55" t="s">
        <v>329</v>
      </c>
      <c r="E280" s="55" t="s">
        <v>329</v>
      </c>
      <c r="F280" s="122" t="str">
        <f>TEXT(Table12[[#This Row],[Date]],"mmm-yy")</f>
        <v>Dec-25</v>
      </c>
      <c r="G280" s="121">
        <f t="shared" si="17"/>
        <v>31</v>
      </c>
      <c r="H280" s="123">
        <f t="shared" si="20"/>
        <v>46021</v>
      </c>
      <c r="I280" s="1">
        <v>8.0208999999999993</v>
      </c>
      <c r="J280" s="1">
        <f>'Raw Data'!K280/Inv_SY!J$2</f>
        <v>0</v>
      </c>
      <c r="K280" s="1">
        <f>'Raw Data'!L280/Inv_SY!K$2</f>
        <v>0</v>
      </c>
      <c r="L280" s="1">
        <f>'Raw Data'!M280/Inv_SY!L$2</f>
        <v>0</v>
      </c>
      <c r="M280" s="1">
        <f>'Raw Data'!N280/Inv_SY!M$2</f>
        <v>0</v>
      </c>
      <c r="N280" s="1">
        <f>'Raw Data'!O280/Inv_SY!N$2</f>
        <v>0</v>
      </c>
      <c r="O280" s="1">
        <f>'Raw Data'!P280/Inv_SY!O$2</f>
        <v>0</v>
      </c>
      <c r="P280" s="1">
        <f>'Raw Data'!Q280/Inv_SY!P$2</f>
        <v>0</v>
      </c>
      <c r="Q280" s="1">
        <f>'Raw Data'!R280/Inv_SY!Q$2</f>
        <v>0</v>
      </c>
      <c r="R280" s="1">
        <f>'Raw Data'!S280/Inv_SY!R$2</f>
        <v>0</v>
      </c>
      <c r="S280" s="1">
        <f>'Raw Data'!T280/Inv_SY!S$2</f>
        <v>0</v>
      </c>
      <c r="T280" s="1">
        <f>'Raw Data'!U280/Inv_SY!T$2</f>
        <v>0</v>
      </c>
      <c r="U280" s="1">
        <f>'Raw Data'!V280/Inv_SY!U$2</f>
        <v>0</v>
      </c>
      <c r="V280" s="1">
        <f>'Raw Data'!W280/Inv_SY!V$2</f>
        <v>0</v>
      </c>
      <c r="W280" s="1">
        <f>'Raw Data'!X280/Inv_SY!W$2</f>
        <v>0</v>
      </c>
      <c r="X280" s="1">
        <f>'Raw Data'!Y280/Inv_SY!X$2</f>
        <v>0</v>
      </c>
      <c r="Y280" s="1" t="str">
        <f t="shared" si="18"/>
        <v/>
      </c>
      <c r="Z280" s="1">
        <f t="shared" si="19"/>
        <v>0</v>
      </c>
    </row>
    <row r="281" spans="1:26" x14ac:dyDescent="0.3">
      <c r="A281" s="55" t="s">
        <v>1451</v>
      </c>
      <c r="B281" s="55">
        <v>250</v>
      </c>
      <c r="C281" s="121">
        <f>YEAR(Table12[[#This Row],[Date]])</f>
        <v>2025</v>
      </c>
      <c r="D281" s="55" t="s">
        <v>329</v>
      </c>
      <c r="E281" s="55" t="s">
        <v>329</v>
      </c>
      <c r="F281" s="122" t="str">
        <f>TEXT(Table12[[#This Row],[Date]],"mmm-yy")</f>
        <v>Dec-25</v>
      </c>
      <c r="G281" s="121">
        <f t="shared" si="17"/>
        <v>31</v>
      </c>
      <c r="H281" s="123">
        <f t="shared" si="20"/>
        <v>46022</v>
      </c>
      <c r="I281" s="1">
        <v>8.0208999999999993</v>
      </c>
      <c r="J281" s="1">
        <f>'Raw Data'!K281/Inv_SY!J$2</f>
        <v>0</v>
      </c>
      <c r="K281" s="1">
        <f>'Raw Data'!L281/Inv_SY!K$2</f>
        <v>0</v>
      </c>
      <c r="L281" s="1">
        <f>'Raw Data'!M281/Inv_SY!L$2</f>
        <v>0</v>
      </c>
      <c r="M281" s="1">
        <f>'Raw Data'!N281/Inv_SY!M$2</f>
        <v>0</v>
      </c>
      <c r="N281" s="1">
        <f>'Raw Data'!O281/Inv_SY!N$2</f>
        <v>0</v>
      </c>
      <c r="O281" s="1">
        <f>'Raw Data'!P281/Inv_SY!O$2</f>
        <v>0</v>
      </c>
      <c r="P281" s="1">
        <f>'Raw Data'!Q281/Inv_SY!P$2</f>
        <v>0</v>
      </c>
      <c r="Q281" s="1">
        <f>'Raw Data'!R281/Inv_SY!Q$2</f>
        <v>0</v>
      </c>
      <c r="R281" s="1">
        <f>'Raw Data'!S281/Inv_SY!R$2</f>
        <v>0</v>
      </c>
      <c r="S281" s="1">
        <f>'Raw Data'!T281/Inv_SY!S$2</f>
        <v>0</v>
      </c>
      <c r="T281" s="1">
        <f>'Raw Data'!U281/Inv_SY!T$2</f>
        <v>0</v>
      </c>
      <c r="U281" s="1">
        <f>'Raw Data'!V281/Inv_SY!U$2</f>
        <v>0</v>
      </c>
      <c r="V281" s="1">
        <f>'Raw Data'!W281/Inv_SY!V$2</f>
        <v>0</v>
      </c>
      <c r="W281" s="1">
        <f>'Raw Data'!X281/Inv_SY!W$2</f>
        <v>0</v>
      </c>
      <c r="X281" s="1">
        <f>'Raw Data'!Y281/Inv_SY!X$2</f>
        <v>0</v>
      </c>
      <c r="Y281" s="1" t="str">
        <f t="shared" si="18"/>
        <v/>
      </c>
      <c r="Z281" s="1">
        <f t="shared" si="19"/>
        <v>0</v>
      </c>
    </row>
    <row r="282" spans="1:26" x14ac:dyDescent="0.3">
      <c r="A282" s="55" t="s">
        <v>1452</v>
      </c>
      <c r="B282" s="55">
        <v>251</v>
      </c>
      <c r="C282" s="121">
        <f>YEAR(Table12[[#This Row],[Date]])</f>
        <v>2026</v>
      </c>
      <c r="D282" s="55" t="s">
        <v>329</v>
      </c>
      <c r="E282" s="55" t="s">
        <v>329</v>
      </c>
      <c r="F282" s="122" t="str">
        <f>TEXT(Table12[[#This Row],[Date]],"mmm-yy")</f>
        <v>Jan-26</v>
      </c>
      <c r="G282" s="121">
        <f t="shared" si="17"/>
        <v>31</v>
      </c>
      <c r="H282" s="123">
        <f t="shared" si="20"/>
        <v>46023</v>
      </c>
      <c r="I282" s="1">
        <v>8.0208999999999993</v>
      </c>
      <c r="J282" s="1">
        <f>'Raw Data'!K282/Inv_SY!J$2</f>
        <v>0</v>
      </c>
      <c r="K282" s="1">
        <f>'Raw Data'!L282/Inv_SY!K$2</f>
        <v>0</v>
      </c>
      <c r="L282" s="1">
        <f>'Raw Data'!M282/Inv_SY!L$2</f>
        <v>0</v>
      </c>
      <c r="M282" s="1">
        <f>'Raw Data'!N282/Inv_SY!M$2</f>
        <v>0</v>
      </c>
      <c r="N282" s="1">
        <f>'Raw Data'!O282/Inv_SY!N$2</f>
        <v>0</v>
      </c>
      <c r="O282" s="1">
        <f>'Raw Data'!P282/Inv_SY!O$2</f>
        <v>0</v>
      </c>
      <c r="P282" s="1">
        <f>'Raw Data'!Q282/Inv_SY!P$2</f>
        <v>0</v>
      </c>
      <c r="Q282" s="1">
        <f>'Raw Data'!R282/Inv_SY!Q$2</f>
        <v>0</v>
      </c>
      <c r="R282" s="1">
        <f>'Raw Data'!S282/Inv_SY!R$2</f>
        <v>0</v>
      </c>
      <c r="S282" s="1">
        <f>'Raw Data'!T282/Inv_SY!S$2</f>
        <v>0</v>
      </c>
      <c r="T282" s="1">
        <f>'Raw Data'!U282/Inv_SY!T$2</f>
        <v>0</v>
      </c>
      <c r="U282" s="1">
        <f>'Raw Data'!V282/Inv_SY!U$2</f>
        <v>0</v>
      </c>
      <c r="V282" s="1">
        <f>'Raw Data'!W282/Inv_SY!V$2</f>
        <v>0</v>
      </c>
      <c r="W282" s="1">
        <f>'Raw Data'!X282/Inv_SY!W$2</f>
        <v>0</v>
      </c>
      <c r="X282" s="1">
        <f>'Raw Data'!Y282/Inv_SY!X$2</f>
        <v>0</v>
      </c>
      <c r="Y282" s="1" t="str">
        <f t="shared" si="18"/>
        <v/>
      </c>
      <c r="Z282" s="1">
        <f t="shared" si="19"/>
        <v>0</v>
      </c>
    </row>
    <row r="283" spans="1:26" x14ac:dyDescent="0.3">
      <c r="A283" s="55" t="s">
        <v>1453</v>
      </c>
      <c r="B283" s="55">
        <v>252</v>
      </c>
      <c r="C283" s="121">
        <f>YEAR(Table12[[#This Row],[Date]])</f>
        <v>2026</v>
      </c>
      <c r="D283" s="55" t="s">
        <v>329</v>
      </c>
      <c r="E283" s="55" t="s">
        <v>329</v>
      </c>
      <c r="F283" s="122" t="str">
        <f>TEXT(Table12[[#This Row],[Date]],"mmm-yy")</f>
        <v>Jan-26</v>
      </c>
      <c r="G283" s="121">
        <f t="shared" si="17"/>
        <v>31</v>
      </c>
      <c r="H283" s="123">
        <f t="shared" si="20"/>
        <v>46024</v>
      </c>
      <c r="I283" s="1">
        <v>8.0208999999999993</v>
      </c>
      <c r="J283" s="1">
        <f>'Raw Data'!K283/Inv_SY!J$2</f>
        <v>0</v>
      </c>
      <c r="K283" s="1">
        <f>'Raw Data'!L283/Inv_SY!K$2</f>
        <v>0</v>
      </c>
      <c r="L283" s="1">
        <f>'Raw Data'!M283/Inv_SY!L$2</f>
        <v>0</v>
      </c>
      <c r="M283" s="1">
        <f>'Raw Data'!N283/Inv_SY!M$2</f>
        <v>0</v>
      </c>
      <c r="N283" s="1">
        <f>'Raw Data'!O283/Inv_SY!N$2</f>
        <v>0</v>
      </c>
      <c r="O283" s="1">
        <f>'Raw Data'!P283/Inv_SY!O$2</f>
        <v>0</v>
      </c>
      <c r="P283" s="1">
        <f>'Raw Data'!Q283/Inv_SY!P$2</f>
        <v>0</v>
      </c>
      <c r="Q283" s="1">
        <f>'Raw Data'!R283/Inv_SY!Q$2</f>
        <v>0</v>
      </c>
      <c r="R283" s="1">
        <f>'Raw Data'!S283/Inv_SY!R$2</f>
        <v>0</v>
      </c>
      <c r="S283" s="1">
        <f>'Raw Data'!T283/Inv_SY!S$2</f>
        <v>0</v>
      </c>
      <c r="T283" s="1">
        <f>'Raw Data'!U283/Inv_SY!T$2</f>
        <v>0</v>
      </c>
      <c r="U283" s="1">
        <f>'Raw Data'!V283/Inv_SY!U$2</f>
        <v>0</v>
      </c>
      <c r="V283" s="1">
        <f>'Raw Data'!W283/Inv_SY!V$2</f>
        <v>0</v>
      </c>
      <c r="W283" s="1">
        <f>'Raw Data'!X283/Inv_SY!W$2</f>
        <v>0</v>
      </c>
      <c r="X283" s="1">
        <f>'Raw Data'!Y283/Inv_SY!X$2</f>
        <v>0</v>
      </c>
      <c r="Y283" s="1" t="str">
        <f t="shared" si="18"/>
        <v/>
      </c>
      <c r="Z283" s="1">
        <f t="shared" si="19"/>
        <v>0</v>
      </c>
    </row>
    <row r="284" spans="1:26" x14ac:dyDescent="0.3">
      <c r="A284" s="55" t="s">
        <v>1454</v>
      </c>
      <c r="B284" s="55">
        <v>253</v>
      </c>
      <c r="C284" s="121">
        <f>YEAR(Table12[[#This Row],[Date]])</f>
        <v>2026</v>
      </c>
      <c r="D284" s="55" t="s">
        <v>329</v>
      </c>
      <c r="E284" s="55" t="s">
        <v>329</v>
      </c>
      <c r="F284" s="122" t="str">
        <f>TEXT(Table12[[#This Row],[Date]],"mmm-yy")</f>
        <v>Jan-26</v>
      </c>
      <c r="G284" s="121">
        <f t="shared" si="17"/>
        <v>31</v>
      </c>
      <c r="H284" s="123">
        <f t="shared" si="20"/>
        <v>46025</v>
      </c>
      <c r="I284" s="1">
        <v>8.0208999999999993</v>
      </c>
      <c r="J284" s="1">
        <f>'Raw Data'!K284/Inv_SY!J$2</f>
        <v>0</v>
      </c>
      <c r="K284" s="1">
        <f>'Raw Data'!L284/Inv_SY!K$2</f>
        <v>0</v>
      </c>
      <c r="L284" s="1">
        <f>'Raw Data'!M284/Inv_SY!L$2</f>
        <v>0</v>
      </c>
      <c r="M284" s="1">
        <f>'Raw Data'!N284/Inv_SY!M$2</f>
        <v>0</v>
      </c>
      <c r="N284" s="1">
        <f>'Raw Data'!O284/Inv_SY!N$2</f>
        <v>0</v>
      </c>
      <c r="O284" s="1">
        <f>'Raw Data'!P284/Inv_SY!O$2</f>
        <v>0</v>
      </c>
      <c r="P284" s="1">
        <f>'Raw Data'!Q284/Inv_SY!P$2</f>
        <v>0</v>
      </c>
      <c r="Q284" s="1">
        <f>'Raw Data'!R284/Inv_SY!Q$2</f>
        <v>0</v>
      </c>
      <c r="R284" s="1">
        <f>'Raw Data'!S284/Inv_SY!R$2</f>
        <v>0</v>
      </c>
      <c r="S284" s="1">
        <f>'Raw Data'!T284/Inv_SY!S$2</f>
        <v>0</v>
      </c>
      <c r="T284" s="1">
        <f>'Raw Data'!U284/Inv_SY!T$2</f>
        <v>0</v>
      </c>
      <c r="U284" s="1">
        <f>'Raw Data'!V284/Inv_SY!U$2</f>
        <v>0</v>
      </c>
      <c r="V284" s="1">
        <f>'Raw Data'!W284/Inv_SY!V$2</f>
        <v>0</v>
      </c>
      <c r="W284" s="1">
        <f>'Raw Data'!X284/Inv_SY!W$2</f>
        <v>0</v>
      </c>
      <c r="X284" s="1">
        <f>'Raw Data'!Y284/Inv_SY!X$2</f>
        <v>0</v>
      </c>
      <c r="Y284" s="1" t="str">
        <f t="shared" si="18"/>
        <v/>
      </c>
      <c r="Z284" s="1">
        <f t="shared" si="19"/>
        <v>0</v>
      </c>
    </row>
    <row r="285" spans="1:26" x14ac:dyDescent="0.3">
      <c r="A285" s="55" t="s">
        <v>1455</v>
      </c>
      <c r="B285" s="55">
        <v>254</v>
      </c>
      <c r="C285" s="121">
        <f>YEAR(Table12[[#This Row],[Date]])</f>
        <v>2026</v>
      </c>
      <c r="D285" s="55" t="s">
        <v>329</v>
      </c>
      <c r="E285" s="55" t="s">
        <v>329</v>
      </c>
      <c r="F285" s="122" t="str">
        <f>TEXT(Table12[[#This Row],[Date]],"mmm-yy")</f>
        <v>Jan-26</v>
      </c>
      <c r="G285" s="121">
        <f t="shared" si="17"/>
        <v>31</v>
      </c>
      <c r="H285" s="123">
        <f t="shared" si="20"/>
        <v>46026</v>
      </c>
      <c r="I285" s="1">
        <v>8.0208999999999993</v>
      </c>
      <c r="J285" s="1">
        <f>'Raw Data'!K285/Inv_SY!J$2</f>
        <v>0</v>
      </c>
      <c r="K285" s="1">
        <f>'Raw Data'!L285/Inv_SY!K$2</f>
        <v>0</v>
      </c>
      <c r="L285" s="1">
        <f>'Raw Data'!M285/Inv_SY!L$2</f>
        <v>0</v>
      </c>
      <c r="M285" s="1">
        <f>'Raw Data'!N285/Inv_SY!M$2</f>
        <v>0</v>
      </c>
      <c r="N285" s="1">
        <f>'Raw Data'!O285/Inv_SY!N$2</f>
        <v>0</v>
      </c>
      <c r="O285" s="1">
        <f>'Raw Data'!P285/Inv_SY!O$2</f>
        <v>0</v>
      </c>
      <c r="P285" s="1">
        <f>'Raw Data'!Q285/Inv_SY!P$2</f>
        <v>0</v>
      </c>
      <c r="Q285" s="1">
        <f>'Raw Data'!R285/Inv_SY!Q$2</f>
        <v>0</v>
      </c>
      <c r="R285" s="1">
        <f>'Raw Data'!S285/Inv_SY!R$2</f>
        <v>0</v>
      </c>
      <c r="S285" s="1">
        <f>'Raw Data'!T285/Inv_SY!S$2</f>
        <v>0</v>
      </c>
      <c r="T285" s="1">
        <f>'Raw Data'!U285/Inv_SY!T$2</f>
        <v>0</v>
      </c>
      <c r="U285" s="1">
        <f>'Raw Data'!V285/Inv_SY!U$2</f>
        <v>0</v>
      </c>
      <c r="V285" s="1">
        <f>'Raw Data'!W285/Inv_SY!V$2</f>
        <v>0</v>
      </c>
      <c r="W285" s="1">
        <f>'Raw Data'!X285/Inv_SY!W$2</f>
        <v>0</v>
      </c>
      <c r="X285" s="1">
        <f>'Raw Data'!Y285/Inv_SY!X$2</f>
        <v>0</v>
      </c>
      <c r="Y285" s="1" t="str">
        <f t="shared" si="18"/>
        <v/>
      </c>
      <c r="Z285" s="1">
        <f t="shared" si="19"/>
        <v>0</v>
      </c>
    </row>
    <row r="286" spans="1:26" x14ac:dyDescent="0.3">
      <c r="A286" s="55" t="s">
        <v>1456</v>
      </c>
      <c r="B286" s="55">
        <v>255</v>
      </c>
      <c r="C286" s="121">
        <f>YEAR(Table12[[#This Row],[Date]])</f>
        <v>2026</v>
      </c>
      <c r="D286" s="55" t="s">
        <v>329</v>
      </c>
      <c r="E286" s="55" t="s">
        <v>329</v>
      </c>
      <c r="F286" s="122" t="str">
        <f>TEXT(Table12[[#This Row],[Date]],"mmm-yy")</f>
        <v>Jan-26</v>
      </c>
      <c r="G286" s="121">
        <f t="shared" si="17"/>
        <v>31</v>
      </c>
      <c r="H286" s="123">
        <f t="shared" si="20"/>
        <v>46027</v>
      </c>
      <c r="I286" s="1">
        <v>8.0208999999999993</v>
      </c>
      <c r="J286" s="1">
        <f>'Raw Data'!K286/Inv_SY!J$2</f>
        <v>0</v>
      </c>
      <c r="K286" s="1">
        <f>'Raw Data'!L286/Inv_SY!K$2</f>
        <v>0</v>
      </c>
      <c r="L286" s="1">
        <f>'Raw Data'!M286/Inv_SY!L$2</f>
        <v>0</v>
      </c>
      <c r="M286" s="1">
        <f>'Raw Data'!N286/Inv_SY!M$2</f>
        <v>0</v>
      </c>
      <c r="N286" s="1">
        <f>'Raw Data'!O286/Inv_SY!N$2</f>
        <v>0</v>
      </c>
      <c r="O286" s="1">
        <f>'Raw Data'!P286/Inv_SY!O$2</f>
        <v>0</v>
      </c>
      <c r="P286" s="1">
        <f>'Raw Data'!Q286/Inv_SY!P$2</f>
        <v>0</v>
      </c>
      <c r="Q286" s="1">
        <f>'Raw Data'!R286/Inv_SY!Q$2</f>
        <v>0</v>
      </c>
      <c r="R286" s="1">
        <f>'Raw Data'!S286/Inv_SY!R$2</f>
        <v>0</v>
      </c>
      <c r="S286" s="1">
        <f>'Raw Data'!T286/Inv_SY!S$2</f>
        <v>0</v>
      </c>
      <c r="T286" s="1">
        <f>'Raw Data'!U286/Inv_SY!T$2</f>
        <v>0</v>
      </c>
      <c r="U286" s="1">
        <f>'Raw Data'!V286/Inv_SY!U$2</f>
        <v>0</v>
      </c>
      <c r="V286" s="1">
        <f>'Raw Data'!W286/Inv_SY!V$2</f>
        <v>0</v>
      </c>
      <c r="W286" s="1">
        <f>'Raw Data'!X286/Inv_SY!W$2</f>
        <v>0</v>
      </c>
      <c r="X286" s="1">
        <f>'Raw Data'!Y286/Inv_SY!X$2</f>
        <v>0</v>
      </c>
      <c r="Y286" s="1" t="str">
        <f t="shared" si="18"/>
        <v/>
      </c>
      <c r="Z286" s="1">
        <f t="shared" si="19"/>
        <v>0</v>
      </c>
    </row>
    <row r="287" spans="1:26" x14ac:dyDescent="0.3">
      <c r="A287" s="55" t="s">
        <v>1457</v>
      </c>
      <c r="B287" s="55">
        <v>256</v>
      </c>
      <c r="C287" s="121">
        <f>YEAR(Table12[[#This Row],[Date]])</f>
        <v>2026</v>
      </c>
      <c r="D287" s="55" t="s">
        <v>329</v>
      </c>
      <c r="E287" s="55" t="s">
        <v>329</v>
      </c>
      <c r="F287" s="122" t="str">
        <f>TEXT(Table12[[#This Row],[Date]],"mmm-yy")</f>
        <v>Jan-26</v>
      </c>
      <c r="G287" s="121">
        <f t="shared" si="17"/>
        <v>31</v>
      </c>
      <c r="H287" s="123">
        <f t="shared" si="20"/>
        <v>46028</v>
      </c>
      <c r="I287" s="1">
        <v>8.0208999999999993</v>
      </c>
      <c r="J287" s="1">
        <f>'Raw Data'!K287/Inv_SY!J$2</f>
        <v>0</v>
      </c>
      <c r="K287" s="1">
        <f>'Raw Data'!L287/Inv_SY!K$2</f>
        <v>0</v>
      </c>
      <c r="L287" s="1">
        <f>'Raw Data'!M287/Inv_SY!L$2</f>
        <v>0</v>
      </c>
      <c r="M287" s="1">
        <f>'Raw Data'!N287/Inv_SY!M$2</f>
        <v>0</v>
      </c>
      <c r="N287" s="1">
        <f>'Raw Data'!O287/Inv_SY!N$2</f>
        <v>0</v>
      </c>
      <c r="O287" s="1">
        <f>'Raw Data'!P287/Inv_SY!O$2</f>
        <v>0</v>
      </c>
      <c r="P287" s="1">
        <f>'Raw Data'!Q287/Inv_SY!P$2</f>
        <v>0</v>
      </c>
      <c r="Q287" s="1">
        <f>'Raw Data'!R287/Inv_SY!Q$2</f>
        <v>0</v>
      </c>
      <c r="R287" s="1">
        <f>'Raw Data'!S287/Inv_SY!R$2</f>
        <v>0</v>
      </c>
      <c r="S287" s="1">
        <f>'Raw Data'!T287/Inv_SY!S$2</f>
        <v>0</v>
      </c>
      <c r="T287" s="1">
        <f>'Raw Data'!U287/Inv_SY!T$2</f>
        <v>0</v>
      </c>
      <c r="U287" s="1">
        <f>'Raw Data'!V287/Inv_SY!U$2</f>
        <v>0</v>
      </c>
      <c r="V287" s="1">
        <f>'Raw Data'!W287/Inv_SY!V$2</f>
        <v>0</v>
      </c>
      <c r="W287" s="1">
        <f>'Raw Data'!X287/Inv_SY!W$2</f>
        <v>0</v>
      </c>
      <c r="X287" s="1">
        <f>'Raw Data'!Y287/Inv_SY!X$2</f>
        <v>0</v>
      </c>
      <c r="Y287" s="1" t="str">
        <f t="shared" si="18"/>
        <v/>
      </c>
      <c r="Z287" s="1">
        <f t="shared" si="19"/>
        <v>0</v>
      </c>
    </row>
    <row r="288" spans="1:26" x14ac:dyDescent="0.3">
      <c r="A288" s="55" t="s">
        <v>1458</v>
      </c>
      <c r="B288" s="55">
        <v>257</v>
      </c>
      <c r="C288" s="121">
        <f>YEAR(Table12[[#This Row],[Date]])</f>
        <v>2026</v>
      </c>
      <c r="D288" s="55" t="s">
        <v>329</v>
      </c>
      <c r="E288" s="55" t="s">
        <v>329</v>
      </c>
      <c r="F288" s="122" t="str">
        <f>TEXT(Table12[[#This Row],[Date]],"mmm-yy")</f>
        <v>Jan-26</v>
      </c>
      <c r="G288" s="121">
        <f t="shared" si="17"/>
        <v>31</v>
      </c>
      <c r="H288" s="123">
        <f t="shared" si="20"/>
        <v>46029</v>
      </c>
      <c r="I288" s="1">
        <v>8.0208999999999993</v>
      </c>
      <c r="J288" s="1">
        <f>'Raw Data'!K288/Inv_SY!J$2</f>
        <v>0</v>
      </c>
      <c r="K288" s="1">
        <f>'Raw Data'!L288/Inv_SY!K$2</f>
        <v>0</v>
      </c>
      <c r="L288" s="1">
        <f>'Raw Data'!M288/Inv_SY!L$2</f>
        <v>0</v>
      </c>
      <c r="M288" s="1">
        <f>'Raw Data'!N288/Inv_SY!M$2</f>
        <v>0</v>
      </c>
      <c r="N288" s="1">
        <f>'Raw Data'!O288/Inv_SY!N$2</f>
        <v>0</v>
      </c>
      <c r="O288" s="1">
        <f>'Raw Data'!P288/Inv_SY!O$2</f>
        <v>0</v>
      </c>
      <c r="P288" s="1">
        <f>'Raw Data'!Q288/Inv_SY!P$2</f>
        <v>0</v>
      </c>
      <c r="Q288" s="1">
        <f>'Raw Data'!R288/Inv_SY!Q$2</f>
        <v>0</v>
      </c>
      <c r="R288" s="1">
        <f>'Raw Data'!S288/Inv_SY!R$2</f>
        <v>0</v>
      </c>
      <c r="S288" s="1">
        <f>'Raw Data'!T288/Inv_SY!S$2</f>
        <v>0</v>
      </c>
      <c r="T288" s="1">
        <f>'Raw Data'!U288/Inv_SY!T$2</f>
        <v>0</v>
      </c>
      <c r="U288" s="1">
        <f>'Raw Data'!V288/Inv_SY!U$2</f>
        <v>0</v>
      </c>
      <c r="V288" s="1">
        <f>'Raw Data'!W288/Inv_SY!V$2</f>
        <v>0</v>
      </c>
      <c r="W288" s="1">
        <f>'Raw Data'!X288/Inv_SY!W$2</f>
        <v>0</v>
      </c>
      <c r="X288" s="1">
        <f>'Raw Data'!Y288/Inv_SY!X$2</f>
        <v>0</v>
      </c>
      <c r="Y288" s="1" t="str">
        <f t="shared" si="18"/>
        <v/>
      </c>
      <c r="Z288" s="1">
        <f t="shared" si="19"/>
        <v>0</v>
      </c>
    </row>
    <row r="289" spans="1:26" x14ac:dyDescent="0.3">
      <c r="A289" s="55" t="s">
        <v>1459</v>
      </c>
      <c r="B289" s="55">
        <v>258</v>
      </c>
      <c r="C289" s="121">
        <f>YEAR(Table12[[#This Row],[Date]])</f>
        <v>2026</v>
      </c>
      <c r="D289" s="55" t="s">
        <v>329</v>
      </c>
      <c r="E289" s="55" t="s">
        <v>329</v>
      </c>
      <c r="F289" s="122" t="str">
        <f>TEXT(Table12[[#This Row],[Date]],"mmm-yy")</f>
        <v>Jan-26</v>
      </c>
      <c r="G289" s="121">
        <f t="shared" si="17"/>
        <v>31</v>
      </c>
      <c r="H289" s="123">
        <f t="shared" si="20"/>
        <v>46030</v>
      </c>
      <c r="I289" s="1">
        <v>8.0208999999999993</v>
      </c>
      <c r="J289" s="1">
        <f>'Raw Data'!K289/Inv_SY!J$2</f>
        <v>0</v>
      </c>
      <c r="K289" s="1">
        <f>'Raw Data'!L289/Inv_SY!K$2</f>
        <v>0</v>
      </c>
      <c r="L289" s="1">
        <f>'Raw Data'!M289/Inv_SY!L$2</f>
        <v>0</v>
      </c>
      <c r="M289" s="1">
        <f>'Raw Data'!N289/Inv_SY!M$2</f>
        <v>0</v>
      </c>
      <c r="N289" s="1">
        <f>'Raw Data'!O289/Inv_SY!N$2</f>
        <v>0</v>
      </c>
      <c r="O289" s="1">
        <f>'Raw Data'!P289/Inv_SY!O$2</f>
        <v>0</v>
      </c>
      <c r="P289" s="1">
        <f>'Raw Data'!Q289/Inv_SY!P$2</f>
        <v>0</v>
      </c>
      <c r="Q289" s="1">
        <f>'Raw Data'!R289/Inv_SY!Q$2</f>
        <v>0</v>
      </c>
      <c r="R289" s="1">
        <f>'Raw Data'!S289/Inv_SY!R$2</f>
        <v>0</v>
      </c>
      <c r="S289" s="1">
        <f>'Raw Data'!T289/Inv_SY!S$2</f>
        <v>0</v>
      </c>
      <c r="T289" s="1">
        <f>'Raw Data'!U289/Inv_SY!T$2</f>
        <v>0</v>
      </c>
      <c r="U289" s="1">
        <f>'Raw Data'!V289/Inv_SY!U$2</f>
        <v>0</v>
      </c>
      <c r="V289" s="1">
        <f>'Raw Data'!W289/Inv_SY!V$2</f>
        <v>0</v>
      </c>
      <c r="W289" s="1">
        <f>'Raw Data'!X289/Inv_SY!W$2</f>
        <v>0</v>
      </c>
      <c r="X289" s="1">
        <f>'Raw Data'!Y289/Inv_SY!X$2</f>
        <v>0</v>
      </c>
      <c r="Y289" s="1" t="str">
        <f t="shared" si="18"/>
        <v/>
      </c>
      <c r="Z289" s="1">
        <f t="shared" si="19"/>
        <v>0</v>
      </c>
    </row>
    <row r="290" spans="1:26" x14ac:dyDescent="0.3">
      <c r="A290" s="55" t="s">
        <v>1460</v>
      </c>
      <c r="B290" s="55">
        <v>259</v>
      </c>
      <c r="C290" s="121">
        <f>YEAR(Table12[[#This Row],[Date]])</f>
        <v>2026</v>
      </c>
      <c r="D290" s="55" t="s">
        <v>329</v>
      </c>
      <c r="E290" s="55" t="s">
        <v>329</v>
      </c>
      <c r="F290" s="122" t="str">
        <f>TEXT(Table12[[#This Row],[Date]],"mmm-yy")</f>
        <v>Jan-26</v>
      </c>
      <c r="G290" s="121">
        <f t="shared" si="17"/>
        <v>31</v>
      </c>
      <c r="H290" s="123">
        <f t="shared" si="20"/>
        <v>46031</v>
      </c>
      <c r="I290" s="1">
        <v>8.0208999999999993</v>
      </c>
      <c r="J290" s="1">
        <f>'Raw Data'!K290/Inv_SY!J$2</f>
        <v>0</v>
      </c>
      <c r="K290" s="1">
        <f>'Raw Data'!L290/Inv_SY!K$2</f>
        <v>0</v>
      </c>
      <c r="L290" s="1">
        <f>'Raw Data'!M290/Inv_SY!L$2</f>
        <v>0</v>
      </c>
      <c r="M290" s="1">
        <f>'Raw Data'!N290/Inv_SY!M$2</f>
        <v>0</v>
      </c>
      <c r="N290" s="1">
        <f>'Raw Data'!O290/Inv_SY!N$2</f>
        <v>0</v>
      </c>
      <c r="O290" s="1">
        <f>'Raw Data'!P290/Inv_SY!O$2</f>
        <v>0</v>
      </c>
      <c r="P290" s="1">
        <f>'Raw Data'!Q290/Inv_SY!P$2</f>
        <v>0</v>
      </c>
      <c r="Q290" s="1">
        <f>'Raw Data'!R290/Inv_SY!Q$2</f>
        <v>0</v>
      </c>
      <c r="R290" s="1">
        <f>'Raw Data'!S290/Inv_SY!R$2</f>
        <v>0</v>
      </c>
      <c r="S290" s="1">
        <f>'Raw Data'!T290/Inv_SY!S$2</f>
        <v>0</v>
      </c>
      <c r="T290" s="1">
        <f>'Raw Data'!U290/Inv_SY!T$2</f>
        <v>0</v>
      </c>
      <c r="U290" s="1">
        <f>'Raw Data'!V290/Inv_SY!U$2</f>
        <v>0</v>
      </c>
      <c r="V290" s="1">
        <f>'Raw Data'!W290/Inv_SY!V$2</f>
        <v>0</v>
      </c>
      <c r="W290" s="1">
        <f>'Raw Data'!X290/Inv_SY!W$2</f>
        <v>0</v>
      </c>
      <c r="X290" s="1">
        <f>'Raw Data'!Y290/Inv_SY!X$2</f>
        <v>0</v>
      </c>
      <c r="Y290" s="1" t="str">
        <f t="shared" si="18"/>
        <v/>
      </c>
      <c r="Z290" s="1">
        <f t="shared" si="19"/>
        <v>0</v>
      </c>
    </row>
    <row r="291" spans="1:26" x14ac:dyDescent="0.3">
      <c r="A291" s="55" t="s">
        <v>1461</v>
      </c>
      <c r="B291" s="55">
        <v>260</v>
      </c>
      <c r="C291" s="121">
        <f>YEAR(Table12[[#This Row],[Date]])</f>
        <v>2026</v>
      </c>
      <c r="D291" s="55" t="s">
        <v>329</v>
      </c>
      <c r="E291" s="55" t="s">
        <v>329</v>
      </c>
      <c r="F291" s="122" t="str">
        <f>TEXT(Table12[[#This Row],[Date]],"mmm-yy")</f>
        <v>Jan-26</v>
      </c>
      <c r="G291" s="121">
        <f t="shared" si="17"/>
        <v>31</v>
      </c>
      <c r="H291" s="123">
        <f t="shared" si="20"/>
        <v>46032</v>
      </c>
      <c r="I291" s="1">
        <v>8.0208999999999993</v>
      </c>
      <c r="J291" s="1">
        <f>'Raw Data'!K291/Inv_SY!J$2</f>
        <v>0</v>
      </c>
      <c r="K291" s="1">
        <f>'Raw Data'!L291/Inv_SY!K$2</f>
        <v>0</v>
      </c>
      <c r="L291" s="1">
        <f>'Raw Data'!M291/Inv_SY!L$2</f>
        <v>0</v>
      </c>
      <c r="M291" s="1">
        <f>'Raw Data'!N291/Inv_SY!M$2</f>
        <v>0</v>
      </c>
      <c r="N291" s="1">
        <f>'Raw Data'!O291/Inv_SY!N$2</f>
        <v>0</v>
      </c>
      <c r="O291" s="1">
        <f>'Raw Data'!P291/Inv_SY!O$2</f>
        <v>0</v>
      </c>
      <c r="P291" s="1">
        <f>'Raw Data'!Q291/Inv_SY!P$2</f>
        <v>0</v>
      </c>
      <c r="Q291" s="1">
        <f>'Raw Data'!R291/Inv_SY!Q$2</f>
        <v>0</v>
      </c>
      <c r="R291" s="1">
        <f>'Raw Data'!S291/Inv_SY!R$2</f>
        <v>0</v>
      </c>
      <c r="S291" s="1">
        <f>'Raw Data'!T291/Inv_SY!S$2</f>
        <v>0</v>
      </c>
      <c r="T291" s="1">
        <f>'Raw Data'!U291/Inv_SY!T$2</f>
        <v>0</v>
      </c>
      <c r="U291" s="1">
        <f>'Raw Data'!V291/Inv_SY!U$2</f>
        <v>0</v>
      </c>
      <c r="V291" s="1">
        <f>'Raw Data'!W291/Inv_SY!V$2</f>
        <v>0</v>
      </c>
      <c r="W291" s="1">
        <f>'Raw Data'!X291/Inv_SY!W$2</f>
        <v>0</v>
      </c>
      <c r="X291" s="1">
        <f>'Raw Data'!Y291/Inv_SY!X$2</f>
        <v>0</v>
      </c>
      <c r="Y291" s="1" t="str">
        <f t="shared" si="18"/>
        <v/>
      </c>
      <c r="Z291" s="1">
        <f t="shared" si="19"/>
        <v>0</v>
      </c>
    </row>
    <row r="292" spans="1:26" x14ac:dyDescent="0.3">
      <c r="A292" s="55" t="s">
        <v>1462</v>
      </c>
      <c r="B292" s="55">
        <v>261</v>
      </c>
      <c r="C292" s="121">
        <f>YEAR(Table12[[#This Row],[Date]])</f>
        <v>2026</v>
      </c>
      <c r="D292" s="55" t="s">
        <v>329</v>
      </c>
      <c r="E292" s="55" t="s">
        <v>329</v>
      </c>
      <c r="F292" s="122" t="str">
        <f>TEXT(Table12[[#This Row],[Date]],"mmm-yy")</f>
        <v>Jan-26</v>
      </c>
      <c r="G292" s="121">
        <f t="shared" ref="G292:G355" si="21">DAY(EOMONTH(F292,0))</f>
        <v>31</v>
      </c>
      <c r="H292" s="123">
        <f t="shared" si="20"/>
        <v>46033</v>
      </c>
      <c r="I292" s="1">
        <v>8.0208999999999993</v>
      </c>
      <c r="J292" s="1">
        <f>'Raw Data'!K292/Inv_SY!J$2</f>
        <v>0</v>
      </c>
      <c r="K292" s="1">
        <f>'Raw Data'!L292/Inv_SY!K$2</f>
        <v>0</v>
      </c>
      <c r="L292" s="1">
        <f>'Raw Data'!M292/Inv_SY!L$2</f>
        <v>0</v>
      </c>
      <c r="M292" s="1">
        <f>'Raw Data'!N292/Inv_SY!M$2</f>
        <v>0</v>
      </c>
      <c r="N292" s="1">
        <f>'Raw Data'!O292/Inv_SY!N$2</f>
        <v>0</v>
      </c>
      <c r="O292" s="1">
        <f>'Raw Data'!P292/Inv_SY!O$2</f>
        <v>0</v>
      </c>
      <c r="P292" s="1">
        <f>'Raw Data'!Q292/Inv_SY!P$2</f>
        <v>0</v>
      </c>
      <c r="Q292" s="1">
        <f>'Raw Data'!R292/Inv_SY!Q$2</f>
        <v>0</v>
      </c>
      <c r="R292" s="1">
        <f>'Raw Data'!S292/Inv_SY!R$2</f>
        <v>0</v>
      </c>
      <c r="S292" s="1">
        <f>'Raw Data'!T292/Inv_SY!S$2</f>
        <v>0</v>
      </c>
      <c r="T292" s="1">
        <f>'Raw Data'!U292/Inv_SY!T$2</f>
        <v>0</v>
      </c>
      <c r="U292" s="1">
        <f>'Raw Data'!V292/Inv_SY!U$2</f>
        <v>0</v>
      </c>
      <c r="V292" s="1">
        <f>'Raw Data'!W292/Inv_SY!V$2</f>
        <v>0</v>
      </c>
      <c r="W292" s="1">
        <f>'Raw Data'!X292/Inv_SY!W$2</f>
        <v>0</v>
      </c>
      <c r="X292" s="1">
        <f>'Raw Data'!Y292/Inv_SY!X$2</f>
        <v>0</v>
      </c>
      <c r="Y292" s="1" t="str">
        <f t="shared" ref="Y292:Y355" si="22">IFERROR(AVERAGEIF(V292:X292,"&gt;"&amp;0,V292:X292),"")</f>
        <v/>
      </c>
      <c r="Z292" s="1">
        <f t="shared" ref="Z292:Z355" si="23">MAXA(V292:X292)</f>
        <v>0</v>
      </c>
    </row>
    <row r="293" spans="1:26" x14ac:dyDescent="0.3">
      <c r="A293" s="55" t="s">
        <v>1463</v>
      </c>
      <c r="B293" s="55">
        <v>262</v>
      </c>
      <c r="C293" s="121">
        <f>YEAR(Table12[[#This Row],[Date]])</f>
        <v>2026</v>
      </c>
      <c r="D293" s="55" t="s">
        <v>329</v>
      </c>
      <c r="E293" s="55" t="s">
        <v>329</v>
      </c>
      <c r="F293" s="122" t="str">
        <f>TEXT(Table12[[#This Row],[Date]],"mmm-yy")</f>
        <v>Jan-26</v>
      </c>
      <c r="G293" s="121">
        <f t="shared" si="21"/>
        <v>31</v>
      </c>
      <c r="H293" s="123">
        <f t="shared" si="20"/>
        <v>46034</v>
      </c>
      <c r="I293" s="1">
        <v>8.0208999999999993</v>
      </c>
      <c r="J293" s="1">
        <f>'Raw Data'!K293/Inv_SY!J$2</f>
        <v>0</v>
      </c>
      <c r="K293" s="1">
        <f>'Raw Data'!L293/Inv_SY!K$2</f>
        <v>0</v>
      </c>
      <c r="L293" s="1">
        <f>'Raw Data'!M293/Inv_SY!L$2</f>
        <v>0</v>
      </c>
      <c r="M293" s="1">
        <f>'Raw Data'!N293/Inv_SY!M$2</f>
        <v>0</v>
      </c>
      <c r="N293" s="1">
        <f>'Raw Data'!O293/Inv_SY!N$2</f>
        <v>0</v>
      </c>
      <c r="O293" s="1">
        <f>'Raw Data'!P293/Inv_SY!O$2</f>
        <v>0</v>
      </c>
      <c r="P293" s="1">
        <f>'Raw Data'!Q293/Inv_SY!P$2</f>
        <v>0</v>
      </c>
      <c r="Q293" s="1">
        <f>'Raw Data'!R293/Inv_SY!Q$2</f>
        <v>0</v>
      </c>
      <c r="R293" s="1">
        <f>'Raw Data'!S293/Inv_SY!R$2</f>
        <v>0</v>
      </c>
      <c r="S293" s="1">
        <f>'Raw Data'!T293/Inv_SY!S$2</f>
        <v>0</v>
      </c>
      <c r="T293" s="1">
        <f>'Raw Data'!U293/Inv_SY!T$2</f>
        <v>0</v>
      </c>
      <c r="U293" s="1">
        <f>'Raw Data'!V293/Inv_SY!U$2</f>
        <v>0</v>
      </c>
      <c r="V293" s="1">
        <f>'Raw Data'!W293/Inv_SY!V$2</f>
        <v>0</v>
      </c>
      <c r="W293" s="1">
        <f>'Raw Data'!X293/Inv_SY!W$2</f>
        <v>0</v>
      </c>
      <c r="X293" s="1">
        <f>'Raw Data'!Y293/Inv_SY!X$2</f>
        <v>0</v>
      </c>
      <c r="Y293" s="1" t="str">
        <f t="shared" si="22"/>
        <v/>
      </c>
      <c r="Z293" s="1">
        <f t="shared" si="23"/>
        <v>0</v>
      </c>
    </row>
    <row r="294" spans="1:26" x14ac:dyDescent="0.3">
      <c r="A294" s="55" t="s">
        <v>1464</v>
      </c>
      <c r="B294" s="55">
        <v>263</v>
      </c>
      <c r="C294" s="121">
        <f>YEAR(Table12[[#This Row],[Date]])</f>
        <v>2026</v>
      </c>
      <c r="D294" s="55" t="s">
        <v>329</v>
      </c>
      <c r="E294" s="55" t="s">
        <v>329</v>
      </c>
      <c r="F294" s="122" t="str">
        <f>TEXT(Table12[[#This Row],[Date]],"mmm-yy")</f>
        <v>Jan-26</v>
      </c>
      <c r="G294" s="121">
        <f t="shared" si="21"/>
        <v>31</v>
      </c>
      <c r="H294" s="123">
        <f t="shared" si="20"/>
        <v>46035</v>
      </c>
      <c r="I294" s="1">
        <v>8.0208999999999993</v>
      </c>
      <c r="J294" s="1">
        <f>'Raw Data'!K294/Inv_SY!J$2</f>
        <v>0</v>
      </c>
      <c r="K294" s="1">
        <f>'Raw Data'!L294/Inv_SY!K$2</f>
        <v>0</v>
      </c>
      <c r="L294" s="1">
        <f>'Raw Data'!M294/Inv_SY!L$2</f>
        <v>0</v>
      </c>
      <c r="M294" s="1">
        <f>'Raw Data'!N294/Inv_SY!M$2</f>
        <v>0</v>
      </c>
      <c r="N294" s="1">
        <f>'Raw Data'!O294/Inv_SY!N$2</f>
        <v>0</v>
      </c>
      <c r="O294" s="1">
        <f>'Raw Data'!P294/Inv_SY!O$2</f>
        <v>0</v>
      </c>
      <c r="P294" s="1">
        <f>'Raw Data'!Q294/Inv_SY!P$2</f>
        <v>0</v>
      </c>
      <c r="Q294" s="1">
        <f>'Raw Data'!R294/Inv_SY!Q$2</f>
        <v>0</v>
      </c>
      <c r="R294" s="1">
        <f>'Raw Data'!S294/Inv_SY!R$2</f>
        <v>0</v>
      </c>
      <c r="S294" s="1">
        <f>'Raw Data'!T294/Inv_SY!S$2</f>
        <v>0</v>
      </c>
      <c r="T294" s="1">
        <f>'Raw Data'!U294/Inv_SY!T$2</f>
        <v>0</v>
      </c>
      <c r="U294" s="1">
        <f>'Raw Data'!V294/Inv_SY!U$2</f>
        <v>0</v>
      </c>
      <c r="V294" s="1">
        <f>'Raw Data'!W294/Inv_SY!V$2</f>
        <v>0</v>
      </c>
      <c r="W294" s="1">
        <f>'Raw Data'!X294/Inv_SY!W$2</f>
        <v>0</v>
      </c>
      <c r="X294" s="1">
        <f>'Raw Data'!Y294/Inv_SY!X$2</f>
        <v>0</v>
      </c>
      <c r="Y294" s="1" t="str">
        <f t="shared" si="22"/>
        <v/>
      </c>
      <c r="Z294" s="1">
        <f t="shared" si="23"/>
        <v>0</v>
      </c>
    </row>
    <row r="295" spans="1:26" x14ac:dyDescent="0.3">
      <c r="A295" s="55" t="s">
        <v>1465</v>
      </c>
      <c r="B295" s="55">
        <v>264</v>
      </c>
      <c r="C295" s="121">
        <f>YEAR(Table12[[#This Row],[Date]])</f>
        <v>2026</v>
      </c>
      <c r="D295" s="55" t="s">
        <v>329</v>
      </c>
      <c r="E295" s="55" t="s">
        <v>329</v>
      </c>
      <c r="F295" s="122" t="str">
        <f>TEXT(Table12[[#This Row],[Date]],"mmm-yy")</f>
        <v>Jan-26</v>
      </c>
      <c r="G295" s="121">
        <f t="shared" si="21"/>
        <v>31</v>
      </c>
      <c r="H295" s="123">
        <f t="shared" si="20"/>
        <v>46036</v>
      </c>
      <c r="I295" s="1">
        <v>8.0208999999999993</v>
      </c>
      <c r="J295" s="1">
        <f>'Raw Data'!K295/Inv_SY!J$2</f>
        <v>0</v>
      </c>
      <c r="K295" s="1">
        <f>'Raw Data'!L295/Inv_SY!K$2</f>
        <v>0</v>
      </c>
      <c r="L295" s="1">
        <f>'Raw Data'!M295/Inv_SY!L$2</f>
        <v>0</v>
      </c>
      <c r="M295" s="1">
        <f>'Raw Data'!N295/Inv_SY!M$2</f>
        <v>0</v>
      </c>
      <c r="N295" s="1">
        <f>'Raw Data'!O295/Inv_SY!N$2</f>
        <v>0</v>
      </c>
      <c r="O295" s="1">
        <f>'Raw Data'!P295/Inv_SY!O$2</f>
        <v>0</v>
      </c>
      <c r="P295" s="1">
        <f>'Raw Data'!Q295/Inv_SY!P$2</f>
        <v>0</v>
      </c>
      <c r="Q295" s="1">
        <f>'Raw Data'!R295/Inv_SY!Q$2</f>
        <v>0</v>
      </c>
      <c r="R295" s="1">
        <f>'Raw Data'!S295/Inv_SY!R$2</f>
        <v>0</v>
      </c>
      <c r="S295" s="1">
        <f>'Raw Data'!T295/Inv_SY!S$2</f>
        <v>0</v>
      </c>
      <c r="T295" s="1">
        <f>'Raw Data'!U295/Inv_SY!T$2</f>
        <v>0</v>
      </c>
      <c r="U295" s="1">
        <f>'Raw Data'!V295/Inv_SY!U$2</f>
        <v>0</v>
      </c>
      <c r="V295" s="1">
        <f>'Raw Data'!W295/Inv_SY!V$2</f>
        <v>0</v>
      </c>
      <c r="W295" s="1">
        <f>'Raw Data'!X295/Inv_SY!W$2</f>
        <v>0</v>
      </c>
      <c r="X295" s="1">
        <f>'Raw Data'!Y295/Inv_SY!X$2</f>
        <v>0</v>
      </c>
      <c r="Y295" s="1" t="str">
        <f t="shared" si="22"/>
        <v/>
      </c>
      <c r="Z295" s="1">
        <f t="shared" si="23"/>
        <v>0</v>
      </c>
    </row>
    <row r="296" spans="1:26" x14ac:dyDescent="0.3">
      <c r="A296" s="55" t="s">
        <v>1466</v>
      </c>
      <c r="B296" s="55">
        <v>265</v>
      </c>
      <c r="C296" s="121">
        <f>YEAR(Table12[[#This Row],[Date]])</f>
        <v>2026</v>
      </c>
      <c r="D296" s="55" t="s">
        <v>329</v>
      </c>
      <c r="E296" s="55" t="s">
        <v>329</v>
      </c>
      <c r="F296" s="122" t="str">
        <f>TEXT(Table12[[#This Row],[Date]],"mmm-yy")</f>
        <v>Jan-26</v>
      </c>
      <c r="G296" s="121">
        <f t="shared" si="21"/>
        <v>31</v>
      </c>
      <c r="H296" s="123">
        <f t="shared" si="20"/>
        <v>46037</v>
      </c>
      <c r="I296" s="1">
        <v>8.0208999999999993</v>
      </c>
      <c r="J296" s="1">
        <f>'Raw Data'!K296/Inv_SY!J$2</f>
        <v>0</v>
      </c>
      <c r="K296" s="1">
        <f>'Raw Data'!L296/Inv_SY!K$2</f>
        <v>0</v>
      </c>
      <c r="L296" s="1">
        <f>'Raw Data'!M296/Inv_SY!L$2</f>
        <v>0</v>
      </c>
      <c r="M296" s="1">
        <f>'Raw Data'!N296/Inv_SY!M$2</f>
        <v>0</v>
      </c>
      <c r="N296" s="1">
        <f>'Raw Data'!O296/Inv_SY!N$2</f>
        <v>0</v>
      </c>
      <c r="O296" s="1">
        <f>'Raw Data'!P296/Inv_SY!O$2</f>
        <v>0</v>
      </c>
      <c r="P296" s="1">
        <f>'Raw Data'!Q296/Inv_SY!P$2</f>
        <v>0</v>
      </c>
      <c r="Q296" s="1">
        <f>'Raw Data'!R296/Inv_SY!Q$2</f>
        <v>0</v>
      </c>
      <c r="R296" s="1">
        <f>'Raw Data'!S296/Inv_SY!R$2</f>
        <v>0</v>
      </c>
      <c r="S296" s="1">
        <f>'Raw Data'!T296/Inv_SY!S$2</f>
        <v>0</v>
      </c>
      <c r="T296" s="1">
        <f>'Raw Data'!U296/Inv_SY!T$2</f>
        <v>0</v>
      </c>
      <c r="U296" s="1">
        <f>'Raw Data'!V296/Inv_SY!U$2</f>
        <v>0</v>
      </c>
      <c r="V296" s="1">
        <f>'Raw Data'!W296/Inv_SY!V$2</f>
        <v>0</v>
      </c>
      <c r="W296" s="1">
        <f>'Raw Data'!X296/Inv_SY!W$2</f>
        <v>0</v>
      </c>
      <c r="X296" s="1">
        <f>'Raw Data'!Y296/Inv_SY!X$2</f>
        <v>0</v>
      </c>
      <c r="Y296" s="1" t="str">
        <f t="shared" si="22"/>
        <v/>
      </c>
      <c r="Z296" s="1">
        <f t="shared" si="23"/>
        <v>0</v>
      </c>
    </row>
    <row r="297" spans="1:26" x14ac:dyDescent="0.3">
      <c r="A297" s="55" t="s">
        <v>1467</v>
      </c>
      <c r="B297" s="55">
        <v>266</v>
      </c>
      <c r="C297" s="121">
        <f>YEAR(Table12[[#This Row],[Date]])</f>
        <v>2026</v>
      </c>
      <c r="D297" s="55" t="s">
        <v>329</v>
      </c>
      <c r="E297" s="55" t="s">
        <v>329</v>
      </c>
      <c r="F297" s="122" t="str">
        <f>TEXT(Table12[[#This Row],[Date]],"mmm-yy")</f>
        <v>Jan-26</v>
      </c>
      <c r="G297" s="121">
        <f t="shared" si="21"/>
        <v>31</v>
      </c>
      <c r="H297" s="123">
        <f t="shared" si="20"/>
        <v>46038</v>
      </c>
      <c r="I297" s="1">
        <v>8.0208999999999993</v>
      </c>
      <c r="J297" s="1">
        <f>'Raw Data'!K297/Inv_SY!J$2</f>
        <v>0</v>
      </c>
      <c r="K297" s="1">
        <f>'Raw Data'!L297/Inv_SY!K$2</f>
        <v>0</v>
      </c>
      <c r="L297" s="1">
        <f>'Raw Data'!M297/Inv_SY!L$2</f>
        <v>0</v>
      </c>
      <c r="M297" s="1">
        <f>'Raw Data'!N297/Inv_SY!M$2</f>
        <v>0</v>
      </c>
      <c r="N297" s="1">
        <f>'Raw Data'!O297/Inv_SY!N$2</f>
        <v>0</v>
      </c>
      <c r="O297" s="1">
        <f>'Raw Data'!P297/Inv_SY!O$2</f>
        <v>0</v>
      </c>
      <c r="P297" s="1">
        <f>'Raw Data'!Q297/Inv_SY!P$2</f>
        <v>0</v>
      </c>
      <c r="Q297" s="1">
        <f>'Raw Data'!R297/Inv_SY!Q$2</f>
        <v>0</v>
      </c>
      <c r="R297" s="1">
        <f>'Raw Data'!S297/Inv_SY!R$2</f>
        <v>0</v>
      </c>
      <c r="S297" s="1">
        <f>'Raw Data'!T297/Inv_SY!S$2</f>
        <v>0</v>
      </c>
      <c r="T297" s="1">
        <f>'Raw Data'!U297/Inv_SY!T$2</f>
        <v>0</v>
      </c>
      <c r="U297" s="1">
        <f>'Raw Data'!V297/Inv_SY!U$2</f>
        <v>0</v>
      </c>
      <c r="V297" s="1">
        <f>'Raw Data'!W297/Inv_SY!V$2</f>
        <v>0</v>
      </c>
      <c r="W297" s="1">
        <f>'Raw Data'!X297/Inv_SY!W$2</f>
        <v>0</v>
      </c>
      <c r="X297" s="1">
        <f>'Raw Data'!Y297/Inv_SY!X$2</f>
        <v>0</v>
      </c>
      <c r="Y297" s="1" t="str">
        <f t="shared" si="22"/>
        <v/>
      </c>
      <c r="Z297" s="1">
        <f t="shared" si="23"/>
        <v>0</v>
      </c>
    </row>
    <row r="298" spans="1:26" x14ac:dyDescent="0.3">
      <c r="A298" s="55" t="s">
        <v>1468</v>
      </c>
      <c r="B298" s="55">
        <v>267</v>
      </c>
      <c r="C298" s="121">
        <f>YEAR(Table12[[#This Row],[Date]])</f>
        <v>2026</v>
      </c>
      <c r="D298" s="55" t="s">
        <v>329</v>
      </c>
      <c r="E298" s="55" t="s">
        <v>329</v>
      </c>
      <c r="F298" s="122" t="str">
        <f>TEXT(Table12[[#This Row],[Date]],"mmm-yy")</f>
        <v>Jan-26</v>
      </c>
      <c r="G298" s="121">
        <f t="shared" si="21"/>
        <v>31</v>
      </c>
      <c r="H298" s="123">
        <f t="shared" si="20"/>
        <v>46039</v>
      </c>
      <c r="I298" s="1">
        <v>8.0208999999999993</v>
      </c>
      <c r="J298" s="1">
        <f>'Raw Data'!K298/Inv_SY!J$2</f>
        <v>0</v>
      </c>
      <c r="K298" s="1">
        <f>'Raw Data'!L298/Inv_SY!K$2</f>
        <v>0</v>
      </c>
      <c r="L298" s="1">
        <f>'Raw Data'!M298/Inv_SY!L$2</f>
        <v>0</v>
      </c>
      <c r="M298" s="1">
        <f>'Raw Data'!N298/Inv_SY!M$2</f>
        <v>0</v>
      </c>
      <c r="N298" s="1">
        <f>'Raw Data'!O298/Inv_SY!N$2</f>
        <v>0</v>
      </c>
      <c r="O298" s="1">
        <f>'Raw Data'!P298/Inv_SY!O$2</f>
        <v>0</v>
      </c>
      <c r="P298" s="1">
        <f>'Raw Data'!Q298/Inv_SY!P$2</f>
        <v>0</v>
      </c>
      <c r="Q298" s="1">
        <f>'Raw Data'!R298/Inv_SY!Q$2</f>
        <v>0</v>
      </c>
      <c r="R298" s="1">
        <f>'Raw Data'!S298/Inv_SY!R$2</f>
        <v>0</v>
      </c>
      <c r="S298" s="1">
        <f>'Raw Data'!T298/Inv_SY!S$2</f>
        <v>0</v>
      </c>
      <c r="T298" s="1">
        <f>'Raw Data'!U298/Inv_SY!T$2</f>
        <v>0</v>
      </c>
      <c r="U298" s="1">
        <f>'Raw Data'!V298/Inv_SY!U$2</f>
        <v>0</v>
      </c>
      <c r="V298" s="1">
        <f>'Raw Data'!W298/Inv_SY!V$2</f>
        <v>0</v>
      </c>
      <c r="W298" s="1">
        <f>'Raw Data'!X298/Inv_SY!W$2</f>
        <v>0</v>
      </c>
      <c r="X298" s="1">
        <f>'Raw Data'!Y298/Inv_SY!X$2</f>
        <v>0</v>
      </c>
      <c r="Y298" s="1" t="str">
        <f t="shared" si="22"/>
        <v/>
      </c>
      <c r="Z298" s="1">
        <f t="shared" si="23"/>
        <v>0</v>
      </c>
    </row>
    <row r="299" spans="1:26" x14ac:dyDescent="0.3">
      <c r="A299" s="55" t="s">
        <v>1469</v>
      </c>
      <c r="B299" s="55">
        <v>268</v>
      </c>
      <c r="C299" s="121">
        <f>YEAR(Table12[[#This Row],[Date]])</f>
        <v>2026</v>
      </c>
      <c r="D299" s="55" t="s">
        <v>329</v>
      </c>
      <c r="E299" s="55" t="s">
        <v>329</v>
      </c>
      <c r="F299" s="122" t="str">
        <f>TEXT(Table12[[#This Row],[Date]],"mmm-yy")</f>
        <v>Jan-26</v>
      </c>
      <c r="G299" s="121">
        <f t="shared" si="21"/>
        <v>31</v>
      </c>
      <c r="H299" s="123">
        <f t="shared" si="20"/>
        <v>46040</v>
      </c>
      <c r="I299" s="1">
        <v>8.0208999999999993</v>
      </c>
      <c r="J299" s="1">
        <f>'Raw Data'!K299/Inv_SY!J$2</f>
        <v>0</v>
      </c>
      <c r="K299" s="1">
        <f>'Raw Data'!L299/Inv_SY!K$2</f>
        <v>0</v>
      </c>
      <c r="L299" s="1">
        <f>'Raw Data'!M299/Inv_SY!L$2</f>
        <v>0</v>
      </c>
      <c r="M299" s="1">
        <f>'Raw Data'!N299/Inv_SY!M$2</f>
        <v>0</v>
      </c>
      <c r="N299" s="1">
        <f>'Raw Data'!O299/Inv_SY!N$2</f>
        <v>0</v>
      </c>
      <c r="O299" s="1">
        <f>'Raw Data'!P299/Inv_SY!O$2</f>
        <v>0</v>
      </c>
      <c r="P299" s="1">
        <f>'Raw Data'!Q299/Inv_SY!P$2</f>
        <v>0</v>
      </c>
      <c r="Q299" s="1">
        <f>'Raw Data'!R299/Inv_SY!Q$2</f>
        <v>0</v>
      </c>
      <c r="R299" s="1">
        <f>'Raw Data'!S299/Inv_SY!R$2</f>
        <v>0</v>
      </c>
      <c r="S299" s="1">
        <f>'Raw Data'!T299/Inv_SY!S$2</f>
        <v>0</v>
      </c>
      <c r="T299" s="1">
        <f>'Raw Data'!U299/Inv_SY!T$2</f>
        <v>0</v>
      </c>
      <c r="U299" s="1">
        <f>'Raw Data'!V299/Inv_SY!U$2</f>
        <v>0</v>
      </c>
      <c r="V299" s="1">
        <f>'Raw Data'!W299/Inv_SY!V$2</f>
        <v>0</v>
      </c>
      <c r="W299" s="1">
        <f>'Raw Data'!X299/Inv_SY!W$2</f>
        <v>0</v>
      </c>
      <c r="X299" s="1">
        <f>'Raw Data'!Y299/Inv_SY!X$2</f>
        <v>0</v>
      </c>
      <c r="Y299" s="1" t="str">
        <f t="shared" si="22"/>
        <v/>
      </c>
      <c r="Z299" s="1">
        <f t="shared" si="23"/>
        <v>0</v>
      </c>
    </row>
    <row r="300" spans="1:26" x14ac:dyDescent="0.3">
      <c r="A300" s="55" t="s">
        <v>1470</v>
      </c>
      <c r="B300" s="55">
        <v>269</v>
      </c>
      <c r="C300" s="121">
        <f>YEAR(Table12[[#This Row],[Date]])</f>
        <v>2026</v>
      </c>
      <c r="D300" s="55" t="s">
        <v>329</v>
      </c>
      <c r="E300" s="55" t="s">
        <v>329</v>
      </c>
      <c r="F300" s="122" t="str">
        <f>TEXT(Table12[[#This Row],[Date]],"mmm-yy")</f>
        <v>Jan-26</v>
      </c>
      <c r="G300" s="121">
        <f t="shared" si="21"/>
        <v>31</v>
      </c>
      <c r="H300" s="123">
        <f t="shared" si="20"/>
        <v>46041</v>
      </c>
      <c r="I300" s="1">
        <v>8.0208999999999993</v>
      </c>
      <c r="J300" s="1">
        <f>'Raw Data'!K300/Inv_SY!J$2</f>
        <v>0</v>
      </c>
      <c r="K300" s="1">
        <f>'Raw Data'!L300/Inv_SY!K$2</f>
        <v>0</v>
      </c>
      <c r="L300" s="1">
        <f>'Raw Data'!M300/Inv_SY!L$2</f>
        <v>0</v>
      </c>
      <c r="M300" s="1">
        <f>'Raw Data'!N300/Inv_SY!M$2</f>
        <v>0</v>
      </c>
      <c r="N300" s="1">
        <f>'Raw Data'!O300/Inv_SY!N$2</f>
        <v>0</v>
      </c>
      <c r="O300" s="1">
        <f>'Raw Data'!P300/Inv_SY!O$2</f>
        <v>0</v>
      </c>
      <c r="P300" s="1">
        <f>'Raw Data'!Q300/Inv_SY!P$2</f>
        <v>0</v>
      </c>
      <c r="Q300" s="1">
        <f>'Raw Data'!R300/Inv_SY!Q$2</f>
        <v>0</v>
      </c>
      <c r="R300" s="1">
        <f>'Raw Data'!S300/Inv_SY!R$2</f>
        <v>0</v>
      </c>
      <c r="S300" s="1">
        <f>'Raw Data'!T300/Inv_SY!S$2</f>
        <v>0</v>
      </c>
      <c r="T300" s="1">
        <f>'Raw Data'!U300/Inv_SY!T$2</f>
        <v>0</v>
      </c>
      <c r="U300" s="1">
        <f>'Raw Data'!V300/Inv_SY!U$2</f>
        <v>0</v>
      </c>
      <c r="V300" s="1">
        <f>'Raw Data'!W300/Inv_SY!V$2</f>
        <v>0</v>
      </c>
      <c r="W300" s="1">
        <f>'Raw Data'!X300/Inv_SY!W$2</f>
        <v>0</v>
      </c>
      <c r="X300" s="1">
        <f>'Raw Data'!Y300/Inv_SY!X$2</f>
        <v>0</v>
      </c>
      <c r="Y300" s="1" t="str">
        <f t="shared" si="22"/>
        <v/>
      </c>
      <c r="Z300" s="1">
        <f t="shared" si="23"/>
        <v>0</v>
      </c>
    </row>
    <row r="301" spans="1:26" x14ac:dyDescent="0.3">
      <c r="A301" s="55" t="s">
        <v>1471</v>
      </c>
      <c r="B301" s="55">
        <v>270</v>
      </c>
      <c r="C301" s="121">
        <f>YEAR(Table12[[#This Row],[Date]])</f>
        <v>2026</v>
      </c>
      <c r="D301" s="55" t="s">
        <v>329</v>
      </c>
      <c r="E301" s="55" t="s">
        <v>329</v>
      </c>
      <c r="F301" s="122" t="str">
        <f>TEXT(Table12[[#This Row],[Date]],"mmm-yy")</f>
        <v>Jan-26</v>
      </c>
      <c r="G301" s="121">
        <f t="shared" si="21"/>
        <v>31</v>
      </c>
      <c r="H301" s="123">
        <f t="shared" si="20"/>
        <v>46042</v>
      </c>
      <c r="I301" s="1">
        <v>8.0208999999999993</v>
      </c>
      <c r="J301" s="1">
        <f>'Raw Data'!K301/Inv_SY!J$2</f>
        <v>0</v>
      </c>
      <c r="K301" s="1">
        <f>'Raw Data'!L301/Inv_SY!K$2</f>
        <v>0</v>
      </c>
      <c r="L301" s="1">
        <f>'Raw Data'!M301/Inv_SY!L$2</f>
        <v>0</v>
      </c>
      <c r="M301" s="1">
        <f>'Raw Data'!N301/Inv_SY!M$2</f>
        <v>0</v>
      </c>
      <c r="N301" s="1">
        <f>'Raw Data'!O301/Inv_SY!N$2</f>
        <v>0</v>
      </c>
      <c r="O301" s="1">
        <f>'Raw Data'!P301/Inv_SY!O$2</f>
        <v>0</v>
      </c>
      <c r="P301" s="1">
        <f>'Raw Data'!Q301/Inv_SY!P$2</f>
        <v>0</v>
      </c>
      <c r="Q301" s="1">
        <f>'Raw Data'!R301/Inv_SY!Q$2</f>
        <v>0</v>
      </c>
      <c r="R301" s="1">
        <f>'Raw Data'!S301/Inv_SY!R$2</f>
        <v>0</v>
      </c>
      <c r="S301" s="1">
        <f>'Raw Data'!T301/Inv_SY!S$2</f>
        <v>0</v>
      </c>
      <c r="T301" s="1">
        <f>'Raw Data'!U301/Inv_SY!T$2</f>
        <v>0</v>
      </c>
      <c r="U301" s="1">
        <f>'Raw Data'!V301/Inv_SY!U$2</f>
        <v>0</v>
      </c>
      <c r="V301" s="1">
        <f>'Raw Data'!W301/Inv_SY!V$2</f>
        <v>0</v>
      </c>
      <c r="W301" s="1">
        <f>'Raw Data'!X301/Inv_SY!W$2</f>
        <v>0</v>
      </c>
      <c r="X301" s="1">
        <f>'Raw Data'!Y301/Inv_SY!X$2</f>
        <v>0</v>
      </c>
      <c r="Y301" s="1" t="str">
        <f t="shared" si="22"/>
        <v/>
      </c>
      <c r="Z301" s="1">
        <f t="shared" si="23"/>
        <v>0</v>
      </c>
    </row>
    <row r="302" spans="1:26" x14ac:dyDescent="0.3">
      <c r="A302" s="55" t="s">
        <v>1472</v>
      </c>
      <c r="B302" s="55">
        <v>271</v>
      </c>
      <c r="C302" s="121">
        <f>YEAR(Table12[[#This Row],[Date]])</f>
        <v>2026</v>
      </c>
      <c r="D302" s="55" t="s">
        <v>329</v>
      </c>
      <c r="E302" s="55" t="s">
        <v>329</v>
      </c>
      <c r="F302" s="122" t="str">
        <f>TEXT(Table12[[#This Row],[Date]],"mmm-yy")</f>
        <v>Jan-26</v>
      </c>
      <c r="G302" s="121">
        <f t="shared" si="21"/>
        <v>31</v>
      </c>
      <c r="H302" s="123">
        <f t="shared" si="20"/>
        <v>46043</v>
      </c>
      <c r="I302" s="1">
        <v>8.0208999999999993</v>
      </c>
      <c r="J302" s="1">
        <f>'Raw Data'!K302/Inv_SY!J$2</f>
        <v>0</v>
      </c>
      <c r="K302" s="1">
        <f>'Raw Data'!L302/Inv_SY!K$2</f>
        <v>0</v>
      </c>
      <c r="L302" s="1">
        <f>'Raw Data'!M302/Inv_SY!L$2</f>
        <v>0</v>
      </c>
      <c r="M302" s="1">
        <f>'Raw Data'!N302/Inv_SY!M$2</f>
        <v>0</v>
      </c>
      <c r="N302" s="1">
        <f>'Raw Data'!O302/Inv_SY!N$2</f>
        <v>0</v>
      </c>
      <c r="O302" s="1">
        <f>'Raw Data'!P302/Inv_SY!O$2</f>
        <v>0</v>
      </c>
      <c r="P302" s="1">
        <f>'Raw Data'!Q302/Inv_SY!P$2</f>
        <v>0</v>
      </c>
      <c r="Q302" s="1">
        <f>'Raw Data'!R302/Inv_SY!Q$2</f>
        <v>0</v>
      </c>
      <c r="R302" s="1">
        <f>'Raw Data'!S302/Inv_SY!R$2</f>
        <v>0</v>
      </c>
      <c r="S302" s="1">
        <f>'Raw Data'!T302/Inv_SY!S$2</f>
        <v>0</v>
      </c>
      <c r="T302" s="1">
        <f>'Raw Data'!U302/Inv_SY!T$2</f>
        <v>0</v>
      </c>
      <c r="U302" s="1">
        <f>'Raw Data'!V302/Inv_SY!U$2</f>
        <v>0</v>
      </c>
      <c r="V302" s="1">
        <f>'Raw Data'!W302/Inv_SY!V$2</f>
        <v>0</v>
      </c>
      <c r="W302" s="1">
        <f>'Raw Data'!X302/Inv_SY!W$2</f>
        <v>0</v>
      </c>
      <c r="X302" s="1">
        <f>'Raw Data'!Y302/Inv_SY!X$2</f>
        <v>0</v>
      </c>
      <c r="Y302" s="1" t="str">
        <f t="shared" si="22"/>
        <v/>
      </c>
      <c r="Z302" s="1">
        <f t="shared" si="23"/>
        <v>0</v>
      </c>
    </row>
    <row r="303" spans="1:26" x14ac:dyDescent="0.3">
      <c r="A303" s="55" t="s">
        <v>1473</v>
      </c>
      <c r="B303" s="55">
        <v>272</v>
      </c>
      <c r="C303" s="121">
        <f>YEAR(Table12[[#This Row],[Date]])</f>
        <v>2026</v>
      </c>
      <c r="D303" s="55" t="s">
        <v>329</v>
      </c>
      <c r="E303" s="55" t="s">
        <v>329</v>
      </c>
      <c r="F303" s="122" t="str">
        <f>TEXT(Table12[[#This Row],[Date]],"mmm-yy")</f>
        <v>Jan-26</v>
      </c>
      <c r="G303" s="121">
        <f t="shared" si="21"/>
        <v>31</v>
      </c>
      <c r="H303" s="123">
        <f t="shared" si="20"/>
        <v>46044</v>
      </c>
      <c r="I303" s="1">
        <v>8.0208999999999993</v>
      </c>
      <c r="J303" s="1">
        <f>'Raw Data'!K303/Inv_SY!J$2</f>
        <v>0</v>
      </c>
      <c r="K303" s="1">
        <f>'Raw Data'!L303/Inv_SY!K$2</f>
        <v>0</v>
      </c>
      <c r="L303" s="1">
        <f>'Raw Data'!M303/Inv_SY!L$2</f>
        <v>0</v>
      </c>
      <c r="M303" s="1">
        <f>'Raw Data'!N303/Inv_SY!M$2</f>
        <v>0</v>
      </c>
      <c r="N303" s="1">
        <f>'Raw Data'!O303/Inv_SY!N$2</f>
        <v>0</v>
      </c>
      <c r="O303" s="1">
        <f>'Raw Data'!P303/Inv_SY!O$2</f>
        <v>0</v>
      </c>
      <c r="P303" s="1">
        <f>'Raw Data'!Q303/Inv_SY!P$2</f>
        <v>0</v>
      </c>
      <c r="Q303" s="1">
        <f>'Raw Data'!R303/Inv_SY!Q$2</f>
        <v>0</v>
      </c>
      <c r="R303" s="1">
        <f>'Raw Data'!S303/Inv_SY!R$2</f>
        <v>0</v>
      </c>
      <c r="S303" s="1">
        <f>'Raw Data'!T303/Inv_SY!S$2</f>
        <v>0</v>
      </c>
      <c r="T303" s="1">
        <f>'Raw Data'!U303/Inv_SY!T$2</f>
        <v>0</v>
      </c>
      <c r="U303" s="1">
        <f>'Raw Data'!V303/Inv_SY!U$2</f>
        <v>0</v>
      </c>
      <c r="V303" s="1">
        <f>'Raw Data'!W303/Inv_SY!V$2</f>
        <v>0</v>
      </c>
      <c r="W303" s="1">
        <f>'Raw Data'!X303/Inv_SY!W$2</f>
        <v>0</v>
      </c>
      <c r="X303" s="1">
        <f>'Raw Data'!Y303/Inv_SY!X$2</f>
        <v>0</v>
      </c>
      <c r="Y303" s="1" t="str">
        <f t="shared" si="22"/>
        <v/>
      </c>
      <c r="Z303" s="1">
        <f t="shared" si="23"/>
        <v>0</v>
      </c>
    </row>
    <row r="304" spans="1:26" x14ac:dyDescent="0.3">
      <c r="A304" s="55" t="s">
        <v>1474</v>
      </c>
      <c r="B304" s="55">
        <v>273</v>
      </c>
      <c r="C304" s="121">
        <f>YEAR(Table12[[#This Row],[Date]])</f>
        <v>2026</v>
      </c>
      <c r="D304" s="55" t="s">
        <v>329</v>
      </c>
      <c r="E304" s="55" t="s">
        <v>329</v>
      </c>
      <c r="F304" s="122" t="str">
        <f>TEXT(Table12[[#This Row],[Date]],"mmm-yy")</f>
        <v>Jan-26</v>
      </c>
      <c r="G304" s="121">
        <f t="shared" si="21"/>
        <v>31</v>
      </c>
      <c r="H304" s="123">
        <f t="shared" si="20"/>
        <v>46045</v>
      </c>
      <c r="I304" s="1">
        <v>8.0208999999999993</v>
      </c>
      <c r="J304" s="1">
        <f>'Raw Data'!K304/Inv_SY!J$2</f>
        <v>0</v>
      </c>
      <c r="K304" s="1">
        <f>'Raw Data'!L304/Inv_SY!K$2</f>
        <v>0</v>
      </c>
      <c r="L304" s="1">
        <f>'Raw Data'!M304/Inv_SY!L$2</f>
        <v>0</v>
      </c>
      <c r="M304" s="1">
        <f>'Raw Data'!N304/Inv_SY!M$2</f>
        <v>0</v>
      </c>
      <c r="N304" s="1">
        <f>'Raw Data'!O304/Inv_SY!N$2</f>
        <v>0</v>
      </c>
      <c r="O304" s="1">
        <f>'Raw Data'!P304/Inv_SY!O$2</f>
        <v>0</v>
      </c>
      <c r="P304" s="1">
        <f>'Raw Data'!Q304/Inv_SY!P$2</f>
        <v>0</v>
      </c>
      <c r="Q304" s="1">
        <f>'Raw Data'!R304/Inv_SY!Q$2</f>
        <v>0</v>
      </c>
      <c r="R304" s="1">
        <f>'Raw Data'!S304/Inv_SY!R$2</f>
        <v>0</v>
      </c>
      <c r="S304" s="1">
        <f>'Raw Data'!T304/Inv_SY!S$2</f>
        <v>0</v>
      </c>
      <c r="T304" s="1">
        <f>'Raw Data'!U304/Inv_SY!T$2</f>
        <v>0</v>
      </c>
      <c r="U304" s="1">
        <f>'Raw Data'!V304/Inv_SY!U$2</f>
        <v>0</v>
      </c>
      <c r="V304" s="1">
        <f>'Raw Data'!W304/Inv_SY!V$2</f>
        <v>0</v>
      </c>
      <c r="W304" s="1">
        <f>'Raw Data'!X304/Inv_SY!W$2</f>
        <v>0</v>
      </c>
      <c r="X304" s="1">
        <f>'Raw Data'!Y304/Inv_SY!X$2</f>
        <v>0</v>
      </c>
      <c r="Y304" s="1" t="str">
        <f t="shared" si="22"/>
        <v/>
      </c>
      <c r="Z304" s="1">
        <f t="shared" si="23"/>
        <v>0</v>
      </c>
    </row>
    <row r="305" spans="1:26" x14ac:dyDescent="0.3">
      <c r="A305" s="55" t="s">
        <v>1475</v>
      </c>
      <c r="B305" s="55">
        <v>274</v>
      </c>
      <c r="C305" s="121">
        <f>YEAR(Table12[[#This Row],[Date]])</f>
        <v>2026</v>
      </c>
      <c r="D305" s="55" t="s">
        <v>329</v>
      </c>
      <c r="E305" s="55" t="s">
        <v>329</v>
      </c>
      <c r="F305" s="122" t="str">
        <f>TEXT(Table12[[#This Row],[Date]],"mmm-yy")</f>
        <v>Jan-26</v>
      </c>
      <c r="G305" s="121">
        <f t="shared" si="21"/>
        <v>31</v>
      </c>
      <c r="H305" s="123">
        <f t="shared" si="20"/>
        <v>46046</v>
      </c>
      <c r="I305" s="1">
        <v>8.0208999999999993</v>
      </c>
      <c r="J305" s="1">
        <f>'Raw Data'!K305/Inv_SY!J$2</f>
        <v>0</v>
      </c>
      <c r="K305" s="1">
        <f>'Raw Data'!L305/Inv_SY!K$2</f>
        <v>0</v>
      </c>
      <c r="L305" s="1">
        <f>'Raw Data'!M305/Inv_SY!L$2</f>
        <v>0</v>
      </c>
      <c r="M305" s="1">
        <f>'Raw Data'!N305/Inv_SY!M$2</f>
        <v>0</v>
      </c>
      <c r="N305" s="1">
        <f>'Raw Data'!O305/Inv_SY!N$2</f>
        <v>0</v>
      </c>
      <c r="O305" s="1">
        <f>'Raw Data'!P305/Inv_SY!O$2</f>
        <v>0</v>
      </c>
      <c r="P305" s="1">
        <f>'Raw Data'!Q305/Inv_SY!P$2</f>
        <v>0</v>
      </c>
      <c r="Q305" s="1">
        <f>'Raw Data'!R305/Inv_SY!Q$2</f>
        <v>0</v>
      </c>
      <c r="R305" s="1">
        <f>'Raw Data'!S305/Inv_SY!R$2</f>
        <v>0</v>
      </c>
      <c r="S305" s="1">
        <f>'Raw Data'!T305/Inv_SY!S$2</f>
        <v>0</v>
      </c>
      <c r="T305" s="1">
        <f>'Raw Data'!U305/Inv_SY!T$2</f>
        <v>0</v>
      </c>
      <c r="U305" s="1">
        <f>'Raw Data'!V305/Inv_SY!U$2</f>
        <v>0</v>
      </c>
      <c r="V305" s="1">
        <f>'Raw Data'!W305/Inv_SY!V$2</f>
        <v>0</v>
      </c>
      <c r="W305" s="1">
        <f>'Raw Data'!X305/Inv_SY!W$2</f>
        <v>0</v>
      </c>
      <c r="X305" s="1">
        <f>'Raw Data'!Y305/Inv_SY!X$2</f>
        <v>0</v>
      </c>
      <c r="Y305" s="1" t="str">
        <f t="shared" si="22"/>
        <v/>
      </c>
      <c r="Z305" s="1">
        <f t="shared" si="23"/>
        <v>0</v>
      </c>
    </row>
    <row r="306" spans="1:26" x14ac:dyDescent="0.3">
      <c r="A306" s="55" t="s">
        <v>1476</v>
      </c>
      <c r="B306" s="55">
        <v>275</v>
      </c>
      <c r="C306" s="121">
        <f>YEAR(Table12[[#This Row],[Date]])</f>
        <v>2026</v>
      </c>
      <c r="D306" s="55" t="s">
        <v>329</v>
      </c>
      <c r="E306" s="55" t="s">
        <v>329</v>
      </c>
      <c r="F306" s="122" t="str">
        <f>TEXT(Table12[[#This Row],[Date]],"mmm-yy")</f>
        <v>Jan-26</v>
      </c>
      <c r="G306" s="121">
        <f t="shared" si="21"/>
        <v>31</v>
      </c>
      <c r="H306" s="123">
        <f t="shared" si="20"/>
        <v>46047</v>
      </c>
      <c r="I306" s="1">
        <v>8.0208999999999993</v>
      </c>
      <c r="J306" s="1">
        <f>'Raw Data'!K306/Inv_SY!J$2</f>
        <v>0</v>
      </c>
      <c r="K306" s="1">
        <f>'Raw Data'!L306/Inv_SY!K$2</f>
        <v>0</v>
      </c>
      <c r="L306" s="1">
        <f>'Raw Data'!M306/Inv_SY!L$2</f>
        <v>0</v>
      </c>
      <c r="M306" s="1">
        <f>'Raw Data'!N306/Inv_SY!M$2</f>
        <v>0</v>
      </c>
      <c r="N306" s="1">
        <f>'Raw Data'!O306/Inv_SY!N$2</f>
        <v>0</v>
      </c>
      <c r="O306" s="1">
        <f>'Raw Data'!P306/Inv_SY!O$2</f>
        <v>0</v>
      </c>
      <c r="P306" s="1">
        <f>'Raw Data'!Q306/Inv_SY!P$2</f>
        <v>0</v>
      </c>
      <c r="Q306" s="1">
        <f>'Raw Data'!R306/Inv_SY!Q$2</f>
        <v>0</v>
      </c>
      <c r="R306" s="1">
        <f>'Raw Data'!S306/Inv_SY!R$2</f>
        <v>0</v>
      </c>
      <c r="S306" s="1">
        <f>'Raw Data'!T306/Inv_SY!S$2</f>
        <v>0</v>
      </c>
      <c r="T306" s="1">
        <f>'Raw Data'!U306/Inv_SY!T$2</f>
        <v>0</v>
      </c>
      <c r="U306" s="1">
        <f>'Raw Data'!V306/Inv_SY!U$2</f>
        <v>0</v>
      </c>
      <c r="V306" s="1">
        <f>'Raw Data'!W306/Inv_SY!V$2</f>
        <v>0</v>
      </c>
      <c r="W306" s="1">
        <f>'Raw Data'!X306/Inv_SY!W$2</f>
        <v>0</v>
      </c>
      <c r="X306" s="1">
        <f>'Raw Data'!Y306/Inv_SY!X$2</f>
        <v>0</v>
      </c>
      <c r="Y306" s="1" t="str">
        <f t="shared" si="22"/>
        <v/>
      </c>
      <c r="Z306" s="1">
        <f t="shared" si="23"/>
        <v>0</v>
      </c>
    </row>
    <row r="307" spans="1:26" x14ac:dyDescent="0.3">
      <c r="A307" s="55" t="s">
        <v>1477</v>
      </c>
      <c r="B307" s="55">
        <v>276</v>
      </c>
      <c r="C307" s="121">
        <f>YEAR(Table12[[#This Row],[Date]])</f>
        <v>2026</v>
      </c>
      <c r="D307" s="55" t="s">
        <v>329</v>
      </c>
      <c r="E307" s="55" t="s">
        <v>329</v>
      </c>
      <c r="F307" s="122" t="str">
        <f>TEXT(Table12[[#This Row],[Date]],"mmm-yy")</f>
        <v>Jan-26</v>
      </c>
      <c r="G307" s="121">
        <f t="shared" si="21"/>
        <v>31</v>
      </c>
      <c r="H307" s="123">
        <f t="shared" si="20"/>
        <v>46048</v>
      </c>
      <c r="I307" s="1">
        <v>8.0208999999999993</v>
      </c>
      <c r="J307" s="1">
        <f>'Raw Data'!K307/Inv_SY!J$2</f>
        <v>0</v>
      </c>
      <c r="K307" s="1">
        <f>'Raw Data'!L307/Inv_SY!K$2</f>
        <v>0</v>
      </c>
      <c r="L307" s="1">
        <f>'Raw Data'!M307/Inv_SY!L$2</f>
        <v>0</v>
      </c>
      <c r="M307" s="1">
        <f>'Raw Data'!N307/Inv_SY!M$2</f>
        <v>0</v>
      </c>
      <c r="N307" s="1">
        <f>'Raw Data'!O307/Inv_SY!N$2</f>
        <v>0</v>
      </c>
      <c r="O307" s="1">
        <f>'Raw Data'!P307/Inv_SY!O$2</f>
        <v>0</v>
      </c>
      <c r="P307" s="1">
        <f>'Raw Data'!Q307/Inv_SY!P$2</f>
        <v>0</v>
      </c>
      <c r="Q307" s="1">
        <f>'Raw Data'!R307/Inv_SY!Q$2</f>
        <v>0</v>
      </c>
      <c r="R307" s="1">
        <f>'Raw Data'!S307/Inv_SY!R$2</f>
        <v>0</v>
      </c>
      <c r="S307" s="1">
        <f>'Raw Data'!T307/Inv_SY!S$2</f>
        <v>0</v>
      </c>
      <c r="T307" s="1">
        <f>'Raw Data'!U307/Inv_SY!T$2</f>
        <v>0</v>
      </c>
      <c r="U307" s="1">
        <f>'Raw Data'!V307/Inv_SY!U$2</f>
        <v>0</v>
      </c>
      <c r="V307" s="1">
        <f>'Raw Data'!W307/Inv_SY!V$2</f>
        <v>0</v>
      </c>
      <c r="W307" s="1">
        <f>'Raw Data'!X307/Inv_SY!W$2</f>
        <v>0</v>
      </c>
      <c r="X307" s="1">
        <f>'Raw Data'!Y307/Inv_SY!X$2</f>
        <v>0</v>
      </c>
      <c r="Y307" s="1" t="str">
        <f t="shared" si="22"/>
        <v/>
      </c>
      <c r="Z307" s="1">
        <f t="shared" si="23"/>
        <v>0</v>
      </c>
    </row>
    <row r="308" spans="1:26" x14ac:dyDescent="0.3">
      <c r="A308" s="55" t="s">
        <v>1478</v>
      </c>
      <c r="B308" s="55">
        <v>277</v>
      </c>
      <c r="C308" s="121">
        <f>YEAR(Table12[[#This Row],[Date]])</f>
        <v>2026</v>
      </c>
      <c r="D308" s="55" t="s">
        <v>329</v>
      </c>
      <c r="E308" s="55" t="s">
        <v>329</v>
      </c>
      <c r="F308" s="122" t="str">
        <f>TEXT(Table12[[#This Row],[Date]],"mmm-yy")</f>
        <v>Jan-26</v>
      </c>
      <c r="G308" s="121">
        <f t="shared" si="21"/>
        <v>31</v>
      </c>
      <c r="H308" s="123">
        <f t="shared" si="20"/>
        <v>46049</v>
      </c>
      <c r="I308" s="1">
        <v>8.0208999999999993</v>
      </c>
      <c r="J308" s="1">
        <f>'Raw Data'!K308/Inv_SY!J$2</f>
        <v>0</v>
      </c>
      <c r="K308" s="1">
        <f>'Raw Data'!L308/Inv_SY!K$2</f>
        <v>0</v>
      </c>
      <c r="L308" s="1">
        <f>'Raw Data'!M308/Inv_SY!L$2</f>
        <v>0</v>
      </c>
      <c r="M308" s="1">
        <f>'Raw Data'!N308/Inv_SY!M$2</f>
        <v>0</v>
      </c>
      <c r="N308" s="1">
        <f>'Raw Data'!O308/Inv_SY!N$2</f>
        <v>0</v>
      </c>
      <c r="O308" s="1">
        <f>'Raw Data'!P308/Inv_SY!O$2</f>
        <v>0</v>
      </c>
      <c r="P308" s="1">
        <f>'Raw Data'!Q308/Inv_SY!P$2</f>
        <v>0</v>
      </c>
      <c r="Q308" s="1">
        <f>'Raw Data'!R308/Inv_SY!Q$2</f>
        <v>0</v>
      </c>
      <c r="R308" s="1">
        <f>'Raw Data'!S308/Inv_SY!R$2</f>
        <v>0</v>
      </c>
      <c r="S308" s="1">
        <f>'Raw Data'!T308/Inv_SY!S$2</f>
        <v>0</v>
      </c>
      <c r="T308" s="1">
        <f>'Raw Data'!U308/Inv_SY!T$2</f>
        <v>0</v>
      </c>
      <c r="U308" s="1">
        <f>'Raw Data'!V308/Inv_SY!U$2</f>
        <v>0</v>
      </c>
      <c r="V308" s="1">
        <f>'Raw Data'!W308/Inv_SY!V$2</f>
        <v>0</v>
      </c>
      <c r="W308" s="1">
        <f>'Raw Data'!X308/Inv_SY!W$2</f>
        <v>0</v>
      </c>
      <c r="X308" s="1">
        <f>'Raw Data'!Y308/Inv_SY!X$2</f>
        <v>0</v>
      </c>
      <c r="Y308" s="1" t="str">
        <f t="shared" si="22"/>
        <v/>
      </c>
      <c r="Z308" s="1">
        <f t="shared" si="23"/>
        <v>0</v>
      </c>
    </row>
    <row r="309" spans="1:26" x14ac:dyDescent="0.3">
      <c r="A309" s="55" t="s">
        <v>1479</v>
      </c>
      <c r="B309" s="55">
        <v>278</v>
      </c>
      <c r="C309" s="121">
        <f>YEAR(Table12[[#This Row],[Date]])</f>
        <v>2026</v>
      </c>
      <c r="D309" s="55" t="s">
        <v>329</v>
      </c>
      <c r="E309" s="55" t="s">
        <v>329</v>
      </c>
      <c r="F309" s="122" t="str">
        <f>TEXT(Table12[[#This Row],[Date]],"mmm-yy")</f>
        <v>Jan-26</v>
      </c>
      <c r="G309" s="121">
        <f t="shared" si="21"/>
        <v>31</v>
      </c>
      <c r="H309" s="123">
        <f t="shared" si="20"/>
        <v>46050</v>
      </c>
      <c r="I309" s="1">
        <v>8.0208999999999993</v>
      </c>
      <c r="J309" s="1">
        <f>'Raw Data'!K309/Inv_SY!J$2</f>
        <v>0</v>
      </c>
      <c r="K309" s="1">
        <f>'Raw Data'!L309/Inv_SY!K$2</f>
        <v>0</v>
      </c>
      <c r="L309" s="1">
        <f>'Raw Data'!M309/Inv_SY!L$2</f>
        <v>0</v>
      </c>
      <c r="M309" s="1">
        <f>'Raw Data'!N309/Inv_SY!M$2</f>
        <v>0</v>
      </c>
      <c r="N309" s="1">
        <f>'Raw Data'!O309/Inv_SY!N$2</f>
        <v>0</v>
      </c>
      <c r="O309" s="1">
        <f>'Raw Data'!P309/Inv_SY!O$2</f>
        <v>0</v>
      </c>
      <c r="P309" s="1">
        <f>'Raw Data'!Q309/Inv_SY!P$2</f>
        <v>0</v>
      </c>
      <c r="Q309" s="1">
        <f>'Raw Data'!R309/Inv_SY!Q$2</f>
        <v>0</v>
      </c>
      <c r="R309" s="1">
        <f>'Raw Data'!S309/Inv_SY!R$2</f>
        <v>0</v>
      </c>
      <c r="S309" s="1">
        <f>'Raw Data'!T309/Inv_SY!S$2</f>
        <v>0</v>
      </c>
      <c r="T309" s="1">
        <f>'Raw Data'!U309/Inv_SY!T$2</f>
        <v>0</v>
      </c>
      <c r="U309" s="1">
        <f>'Raw Data'!V309/Inv_SY!U$2</f>
        <v>0</v>
      </c>
      <c r="V309" s="1">
        <f>'Raw Data'!W309/Inv_SY!V$2</f>
        <v>0</v>
      </c>
      <c r="W309" s="1">
        <f>'Raw Data'!X309/Inv_SY!W$2</f>
        <v>0</v>
      </c>
      <c r="X309" s="1">
        <f>'Raw Data'!Y309/Inv_SY!X$2</f>
        <v>0</v>
      </c>
      <c r="Y309" s="1" t="str">
        <f t="shared" si="22"/>
        <v/>
      </c>
      <c r="Z309" s="1">
        <f t="shared" si="23"/>
        <v>0</v>
      </c>
    </row>
    <row r="310" spans="1:26" x14ac:dyDescent="0.3">
      <c r="A310" s="55" t="s">
        <v>1480</v>
      </c>
      <c r="B310" s="55">
        <v>279</v>
      </c>
      <c r="C310" s="121">
        <f>YEAR(Table12[[#This Row],[Date]])</f>
        <v>2026</v>
      </c>
      <c r="D310" s="55" t="s">
        <v>329</v>
      </c>
      <c r="E310" s="55" t="s">
        <v>329</v>
      </c>
      <c r="F310" s="122" t="str">
        <f>TEXT(Table12[[#This Row],[Date]],"mmm-yy")</f>
        <v>Jan-26</v>
      </c>
      <c r="G310" s="121">
        <f t="shared" si="21"/>
        <v>31</v>
      </c>
      <c r="H310" s="123">
        <f t="shared" si="20"/>
        <v>46051</v>
      </c>
      <c r="I310" s="1">
        <v>8.0208999999999993</v>
      </c>
      <c r="J310" s="1">
        <f>'Raw Data'!K310/Inv_SY!J$2</f>
        <v>0</v>
      </c>
      <c r="K310" s="1">
        <f>'Raw Data'!L310/Inv_SY!K$2</f>
        <v>0</v>
      </c>
      <c r="L310" s="1">
        <f>'Raw Data'!M310/Inv_SY!L$2</f>
        <v>0</v>
      </c>
      <c r="M310" s="1">
        <f>'Raw Data'!N310/Inv_SY!M$2</f>
        <v>0</v>
      </c>
      <c r="N310" s="1">
        <f>'Raw Data'!O310/Inv_SY!N$2</f>
        <v>0</v>
      </c>
      <c r="O310" s="1">
        <f>'Raw Data'!P310/Inv_SY!O$2</f>
        <v>0</v>
      </c>
      <c r="P310" s="1">
        <f>'Raw Data'!Q310/Inv_SY!P$2</f>
        <v>0</v>
      </c>
      <c r="Q310" s="1">
        <f>'Raw Data'!R310/Inv_SY!Q$2</f>
        <v>0</v>
      </c>
      <c r="R310" s="1">
        <f>'Raw Data'!S310/Inv_SY!R$2</f>
        <v>0</v>
      </c>
      <c r="S310" s="1">
        <f>'Raw Data'!T310/Inv_SY!S$2</f>
        <v>0</v>
      </c>
      <c r="T310" s="1">
        <f>'Raw Data'!U310/Inv_SY!T$2</f>
        <v>0</v>
      </c>
      <c r="U310" s="1">
        <f>'Raw Data'!V310/Inv_SY!U$2</f>
        <v>0</v>
      </c>
      <c r="V310" s="1">
        <f>'Raw Data'!W310/Inv_SY!V$2</f>
        <v>0</v>
      </c>
      <c r="W310" s="1">
        <f>'Raw Data'!X310/Inv_SY!W$2</f>
        <v>0</v>
      </c>
      <c r="X310" s="1">
        <f>'Raw Data'!Y310/Inv_SY!X$2</f>
        <v>0</v>
      </c>
      <c r="Y310" s="1" t="str">
        <f t="shared" si="22"/>
        <v/>
      </c>
      <c r="Z310" s="1">
        <f t="shared" si="23"/>
        <v>0</v>
      </c>
    </row>
    <row r="311" spans="1:26" x14ac:dyDescent="0.3">
      <c r="A311" s="55" t="s">
        <v>1481</v>
      </c>
      <c r="B311" s="55">
        <v>280</v>
      </c>
      <c r="C311" s="121">
        <f>YEAR(Table12[[#This Row],[Date]])</f>
        <v>2026</v>
      </c>
      <c r="D311" s="55" t="s">
        <v>329</v>
      </c>
      <c r="E311" s="55" t="s">
        <v>329</v>
      </c>
      <c r="F311" s="122" t="str">
        <f>TEXT(Table12[[#This Row],[Date]],"mmm-yy")</f>
        <v>Jan-26</v>
      </c>
      <c r="G311" s="121">
        <f t="shared" si="21"/>
        <v>31</v>
      </c>
      <c r="H311" s="123">
        <f t="shared" si="20"/>
        <v>46052</v>
      </c>
      <c r="I311" s="1">
        <v>8.0208999999999993</v>
      </c>
      <c r="J311" s="1">
        <f>'Raw Data'!K311/Inv_SY!J$2</f>
        <v>0</v>
      </c>
      <c r="K311" s="1">
        <f>'Raw Data'!L311/Inv_SY!K$2</f>
        <v>0</v>
      </c>
      <c r="L311" s="1">
        <f>'Raw Data'!M311/Inv_SY!L$2</f>
        <v>0</v>
      </c>
      <c r="M311" s="1">
        <f>'Raw Data'!N311/Inv_SY!M$2</f>
        <v>0</v>
      </c>
      <c r="N311" s="1">
        <f>'Raw Data'!O311/Inv_SY!N$2</f>
        <v>0</v>
      </c>
      <c r="O311" s="1">
        <f>'Raw Data'!P311/Inv_SY!O$2</f>
        <v>0</v>
      </c>
      <c r="P311" s="1">
        <f>'Raw Data'!Q311/Inv_SY!P$2</f>
        <v>0</v>
      </c>
      <c r="Q311" s="1">
        <f>'Raw Data'!R311/Inv_SY!Q$2</f>
        <v>0</v>
      </c>
      <c r="R311" s="1">
        <f>'Raw Data'!S311/Inv_SY!R$2</f>
        <v>0</v>
      </c>
      <c r="S311" s="1">
        <f>'Raw Data'!T311/Inv_SY!S$2</f>
        <v>0</v>
      </c>
      <c r="T311" s="1">
        <f>'Raw Data'!U311/Inv_SY!T$2</f>
        <v>0</v>
      </c>
      <c r="U311" s="1">
        <f>'Raw Data'!V311/Inv_SY!U$2</f>
        <v>0</v>
      </c>
      <c r="V311" s="1">
        <f>'Raw Data'!W311/Inv_SY!V$2</f>
        <v>0</v>
      </c>
      <c r="W311" s="1">
        <f>'Raw Data'!X311/Inv_SY!W$2</f>
        <v>0</v>
      </c>
      <c r="X311" s="1">
        <f>'Raw Data'!Y311/Inv_SY!X$2</f>
        <v>0</v>
      </c>
      <c r="Y311" s="1" t="str">
        <f t="shared" si="22"/>
        <v/>
      </c>
      <c r="Z311" s="1">
        <f t="shared" si="23"/>
        <v>0</v>
      </c>
    </row>
    <row r="312" spans="1:26" x14ac:dyDescent="0.3">
      <c r="A312" s="55" t="s">
        <v>1482</v>
      </c>
      <c r="B312" s="55">
        <v>281</v>
      </c>
      <c r="C312" s="121">
        <f>YEAR(Table12[[#This Row],[Date]])</f>
        <v>2026</v>
      </c>
      <c r="D312" s="55" t="s">
        <v>329</v>
      </c>
      <c r="E312" s="55" t="s">
        <v>329</v>
      </c>
      <c r="F312" s="122" t="str">
        <f>TEXT(Table12[[#This Row],[Date]],"mmm-yy")</f>
        <v>Jan-26</v>
      </c>
      <c r="G312" s="121">
        <f t="shared" si="21"/>
        <v>31</v>
      </c>
      <c r="H312" s="123">
        <f t="shared" si="20"/>
        <v>46053</v>
      </c>
      <c r="I312" s="1">
        <v>8.0208999999999993</v>
      </c>
      <c r="J312" s="1">
        <f>'Raw Data'!K312/Inv_SY!J$2</f>
        <v>0</v>
      </c>
      <c r="K312" s="1">
        <f>'Raw Data'!L312/Inv_SY!K$2</f>
        <v>0</v>
      </c>
      <c r="L312" s="1">
        <f>'Raw Data'!M312/Inv_SY!L$2</f>
        <v>0</v>
      </c>
      <c r="M312" s="1">
        <f>'Raw Data'!N312/Inv_SY!M$2</f>
        <v>0</v>
      </c>
      <c r="N312" s="1">
        <f>'Raw Data'!O312/Inv_SY!N$2</f>
        <v>0</v>
      </c>
      <c r="O312" s="1">
        <f>'Raw Data'!P312/Inv_SY!O$2</f>
        <v>0</v>
      </c>
      <c r="P312" s="1">
        <f>'Raw Data'!Q312/Inv_SY!P$2</f>
        <v>0</v>
      </c>
      <c r="Q312" s="1">
        <f>'Raw Data'!R312/Inv_SY!Q$2</f>
        <v>0</v>
      </c>
      <c r="R312" s="1">
        <f>'Raw Data'!S312/Inv_SY!R$2</f>
        <v>0</v>
      </c>
      <c r="S312" s="1">
        <f>'Raw Data'!T312/Inv_SY!S$2</f>
        <v>0</v>
      </c>
      <c r="T312" s="1">
        <f>'Raw Data'!U312/Inv_SY!T$2</f>
        <v>0</v>
      </c>
      <c r="U312" s="1">
        <f>'Raw Data'!V312/Inv_SY!U$2</f>
        <v>0</v>
      </c>
      <c r="V312" s="1">
        <f>'Raw Data'!W312/Inv_SY!V$2</f>
        <v>0</v>
      </c>
      <c r="W312" s="1">
        <f>'Raw Data'!X312/Inv_SY!W$2</f>
        <v>0</v>
      </c>
      <c r="X312" s="1">
        <f>'Raw Data'!Y312/Inv_SY!X$2</f>
        <v>0</v>
      </c>
      <c r="Y312" s="1" t="str">
        <f t="shared" si="22"/>
        <v/>
      </c>
      <c r="Z312" s="1">
        <f t="shared" si="23"/>
        <v>0</v>
      </c>
    </row>
    <row r="313" spans="1:26" x14ac:dyDescent="0.3">
      <c r="A313" s="55" t="s">
        <v>1483</v>
      </c>
      <c r="B313" s="55">
        <v>282</v>
      </c>
      <c r="C313" s="121">
        <f>YEAR(Table12[[#This Row],[Date]])</f>
        <v>2026</v>
      </c>
      <c r="D313" s="55" t="s">
        <v>329</v>
      </c>
      <c r="E313" s="55" t="s">
        <v>329</v>
      </c>
      <c r="F313" s="122" t="str">
        <f>TEXT(Table12[[#This Row],[Date]],"mmm-yy")</f>
        <v>Feb-26</v>
      </c>
      <c r="G313" s="121">
        <f t="shared" si="21"/>
        <v>28</v>
      </c>
      <c r="H313" s="123">
        <f t="shared" si="20"/>
        <v>46054</v>
      </c>
      <c r="I313" s="1">
        <v>8.0208999999999993</v>
      </c>
      <c r="J313" s="1">
        <f>'Raw Data'!K313/Inv_SY!J$2</f>
        <v>0</v>
      </c>
      <c r="K313" s="1">
        <f>'Raw Data'!L313/Inv_SY!K$2</f>
        <v>0</v>
      </c>
      <c r="L313" s="1">
        <f>'Raw Data'!M313/Inv_SY!L$2</f>
        <v>0</v>
      </c>
      <c r="M313" s="1">
        <f>'Raw Data'!N313/Inv_SY!M$2</f>
        <v>0</v>
      </c>
      <c r="N313" s="1">
        <f>'Raw Data'!O313/Inv_SY!N$2</f>
        <v>0</v>
      </c>
      <c r="O313" s="1">
        <f>'Raw Data'!P313/Inv_SY!O$2</f>
        <v>0</v>
      </c>
      <c r="P313" s="1">
        <f>'Raw Data'!Q313/Inv_SY!P$2</f>
        <v>0</v>
      </c>
      <c r="Q313" s="1">
        <f>'Raw Data'!R313/Inv_SY!Q$2</f>
        <v>0</v>
      </c>
      <c r="R313" s="1">
        <f>'Raw Data'!S313/Inv_SY!R$2</f>
        <v>0</v>
      </c>
      <c r="S313" s="1">
        <f>'Raw Data'!T313/Inv_SY!S$2</f>
        <v>0</v>
      </c>
      <c r="T313" s="1">
        <f>'Raw Data'!U313/Inv_SY!T$2</f>
        <v>0</v>
      </c>
      <c r="U313" s="1">
        <f>'Raw Data'!V313/Inv_SY!U$2</f>
        <v>0</v>
      </c>
      <c r="V313" s="1">
        <f>'Raw Data'!W313/Inv_SY!V$2</f>
        <v>0</v>
      </c>
      <c r="W313" s="1">
        <f>'Raw Data'!X313/Inv_SY!W$2</f>
        <v>0</v>
      </c>
      <c r="X313" s="1">
        <f>'Raw Data'!Y313/Inv_SY!X$2</f>
        <v>0</v>
      </c>
      <c r="Y313" s="1" t="str">
        <f t="shared" si="22"/>
        <v/>
      </c>
      <c r="Z313" s="1">
        <f t="shared" si="23"/>
        <v>0</v>
      </c>
    </row>
    <row r="314" spans="1:26" x14ac:dyDescent="0.3">
      <c r="A314" s="55" t="s">
        <v>1484</v>
      </c>
      <c r="B314" s="55">
        <v>283</v>
      </c>
      <c r="C314" s="121">
        <f>YEAR(Table12[[#This Row],[Date]])</f>
        <v>2026</v>
      </c>
      <c r="D314" s="55" t="s">
        <v>329</v>
      </c>
      <c r="E314" s="55" t="s">
        <v>329</v>
      </c>
      <c r="F314" s="122" t="str">
        <f>TEXT(Table12[[#This Row],[Date]],"mmm-yy")</f>
        <v>Feb-26</v>
      </c>
      <c r="G314" s="121">
        <f t="shared" si="21"/>
        <v>28</v>
      </c>
      <c r="H314" s="123">
        <f t="shared" si="20"/>
        <v>46055</v>
      </c>
      <c r="I314" s="1">
        <v>8.0208999999999993</v>
      </c>
      <c r="J314" s="1">
        <f>'Raw Data'!K314/Inv_SY!J$2</f>
        <v>0</v>
      </c>
      <c r="K314" s="1">
        <f>'Raw Data'!L314/Inv_SY!K$2</f>
        <v>0</v>
      </c>
      <c r="L314" s="1">
        <f>'Raw Data'!M314/Inv_SY!L$2</f>
        <v>0</v>
      </c>
      <c r="M314" s="1">
        <f>'Raw Data'!N314/Inv_SY!M$2</f>
        <v>0</v>
      </c>
      <c r="N314" s="1">
        <f>'Raw Data'!O314/Inv_SY!N$2</f>
        <v>0</v>
      </c>
      <c r="O314" s="1">
        <f>'Raw Data'!P314/Inv_SY!O$2</f>
        <v>0</v>
      </c>
      <c r="P314" s="1">
        <f>'Raw Data'!Q314/Inv_SY!P$2</f>
        <v>0</v>
      </c>
      <c r="Q314" s="1">
        <f>'Raw Data'!R314/Inv_SY!Q$2</f>
        <v>0</v>
      </c>
      <c r="R314" s="1">
        <f>'Raw Data'!S314/Inv_SY!R$2</f>
        <v>0</v>
      </c>
      <c r="S314" s="1">
        <f>'Raw Data'!T314/Inv_SY!S$2</f>
        <v>0</v>
      </c>
      <c r="T314" s="1">
        <f>'Raw Data'!U314/Inv_SY!T$2</f>
        <v>0</v>
      </c>
      <c r="U314" s="1">
        <f>'Raw Data'!V314/Inv_SY!U$2</f>
        <v>0</v>
      </c>
      <c r="V314" s="1">
        <f>'Raw Data'!W314/Inv_SY!V$2</f>
        <v>0</v>
      </c>
      <c r="W314" s="1">
        <f>'Raw Data'!X314/Inv_SY!W$2</f>
        <v>0</v>
      </c>
      <c r="X314" s="1">
        <f>'Raw Data'!Y314/Inv_SY!X$2</f>
        <v>0</v>
      </c>
      <c r="Y314" s="1" t="str">
        <f t="shared" si="22"/>
        <v/>
      </c>
      <c r="Z314" s="1">
        <f t="shared" si="23"/>
        <v>0</v>
      </c>
    </row>
    <row r="315" spans="1:26" x14ac:dyDescent="0.3">
      <c r="A315" s="55" t="s">
        <v>1485</v>
      </c>
      <c r="B315" s="55">
        <v>284</v>
      </c>
      <c r="C315" s="121">
        <f>YEAR(Table12[[#This Row],[Date]])</f>
        <v>2026</v>
      </c>
      <c r="D315" s="55" t="s">
        <v>329</v>
      </c>
      <c r="E315" s="55" t="s">
        <v>329</v>
      </c>
      <c r="F315" s="122" t="str">
        <f>TEXT(Table12[[#This Row],[Date]],"mmm-yy")</f>
        <v>Feb-26</v>
      </c>
      <c r="G315" s="121">
        <f t="shared" si="21"/>
        <v>28</v>
      </c>
      <c r="H315" s="123">
        <f t="shared" si="20"/>
        <v>46056</v>
      </c>
      <c r="I315" s="1">
        <v>8.0208999999999993</v>
      </c>
      <c r="J315" s="1">
        <f>'Raw Data'!K315/Inv_SY!J$2</f>
        <v>0</v>
      </c>
      <c r="K315" s="1">
        <f>'Raw Data'!L315/Inv_SY!K$2</f>
        <v>0</v>
      </c>
      <c r="L315" s="1">
        <f>'Raw Data'!M315/Inv_SY!L$2</f>
        <v>0</v>
      </c>
      <c r="M315" s="1">
        <f>'Raw Data'!N315/Inv_SY!M$2</f>
        <v>0</v>
      </c>
      <c r="N315" s="1">
        <f>'Raw Data'!O315/Inv_SY!N$2</f>
        <v>0</v>
      </c>
      <c r="O315" s="1">
        <f>'Raw Data'!P315/Inv_SY!O$2</f>
        <v>0</v>
      </c>
      <c r="P315" s="1">
        <f>'Raw Data'!Q315/Inv_SY!P$2</f>
        <v>0</v>
      </c>
      <c r="Q315" s="1">
        <f>'Raw Data'!R315/Inv_SY!Q$2</f>
        <v>0</v>
      </c>
      <c r="R315" s="1">
        <f>'Raw Data'!S315/Inv_SY!R$2</f>
        <v>0</v>
      </c>
      <c r="S315" s="1">
        <f>'Raw Data'!T315/Inv_SY!S$2</f>
        <v>0</v>
      </c>
      <c r="T315" s="1">
        <f>'Raw Data'!U315/Inv_SY!T$2</f>
        <v>0</v>
      </c>
      <c r="U315" s="1">
        <f>'Raw Data'!V315/Inv_SY!U$2</f>
        <v>0</v>
      </c>
      <c r="V315" s="1">
        <f>'Raw Data'!W315/Inv_SY!V$2</f>
        <v>0</v>
      </c>
      <c r="W315" s="1">
        <f>'Raw Data'!X315/Inv_SY!W$2</f>
        <v>0</v>
      </c>
      <c r="X315" s="1">
        <f>'Raw Data'!Y315/Inv_SY!X$2</f>
        <v>0</v>
      </c>
      <c r="Y315" s="1" t="str">
        <f t="shared" si="22"/>
        <v/>
      </c>
      <c r="Z315" s="1">
        <f t="shared" si="23"/>
        <v>0</v>
      </c>
    </row>
    <row r="316" spans="1:26" x14ac:dyDescent="0.3">
      <c r="A316" s="55" t="s">
        <v>1486</v>
      </c>
      <c r="B316" s="55">
        <v>285</v>
      </c>
      <c r="C316" s="121">
        <f>YEAR(Table12[[#This Row],[Date]])</f>
        <v>2026</v>
      </c>
      <c r="D316" s="55" t="s">
        <v>329</v>
      </c>
      <c r="E316" s="55" t="s">
        <v>329</v>
      </c>
      <c r="F316" s="122" t="str">
        <f>TEXT(Table12[[#This Row],[Date]],"mmm-yy")</f>
        <v>Feb-26</v>
      </c>
      <c r="G316" s="121">
        <f t="shared" si="21"/>
        <v>28</v>
      </c>
      <c r="H316" s="123">
        <f t="shared" si="20"/>
        <v>46057</v>
      </c>
      <c r="I316" s="1">
        <v>8.0208999999999993</v>
      </c>
      <c r="J316" s="1">
        <f>'Raw Data'!K316/Inv_SY!J$2</f>
        <v>0</v>
      </c>
      <c r="K316" s="1">
        <f>'Raw Data'!L316/Inv_SY!K$2</f>
        <v>0</v>
      </c>
      <c r="L316" s="1">
        <f>'Raw Data'!M316/Inv_SY!L$2</f>
        <v>0</v>
      </c>
      <c r="M316" s="1">
        <f>'Raw Data'!N316/Inv_SY!M$2</f>
        <v>0</v>
      </c>
      <c r="N316" s="1">
        <f>'Raw Data'!O316/Inv_SY!N$2</f>
        <v>0</v>
      </c>
      <c r="O316" s="1">
        <f>'Raw Data'!P316/Inv_SY!O$2</f>
        <v>0</v>
      </c>
      <c r="P316" s="1">
        <f>'Raw Data'!Q316/Inv_SY!P$2</f>
        <v>0</v>
      </c>
      <c r="Q316" s="1">
        <f>'Raw Data'!R316/Inv_SY!Q$2</f>
        <v>0</v>
      </c>
      <c r="R316" s="1">
        <f>'Raw Data'!S316/Inv_SY!R$2</f>
        <v>0</v>
      </c>
      <c r="S316" s="1">
        <f>'Raw Data'!T316/Inv_SY!S$2</f>
        <v>0</v>
      </c>
      <c r="T316" s="1">
        <f>'Raw Data'!U316/Inv_SY!T$2</f>
        <v>0</v>
      </c>
      <c r="U316" s="1">
        <f>'Raw Data'!V316/Inv_SY!U$2</f>
        <v>0</v>
      </c>
      <c r="V316" s="1">
        <f>'Raw Data'!W316/Inv_SY!V$2</f>
        <v>0</v>
      </c>
      <c r="W316" s="1">
        <f>'Raw Data'!X316/Inv_SY!W$2</f>
        <v>0</v>
      </c>
      <c r="X316" s="1">
        <f>'Raw Data'!Y316/Inv_SY!X$2</f>
        <v>0</v>
      </c>
      <c r="Y316" s="1" t="str">
        <f t="shared" si="22"/>
        <v/>
      </c>
      <c r="Z316" s="1">
        <f t="shared" si="23"/>
        <v>0</v>
      </c>
    </row>
    <row r="317" spans="1:26" x14ac:dyDescent="0.3">
      <c r="A317" s="55" t="s">
        <v>1487</v>
      </c>
      <c r="B317" s="55">
        <v>286</v>
      </c>
      <c r="C317" s="121">
        <f>YEAR(Table12[[#This Row],[Date]])</f>
        <v>2026</v>
      </c>
      <c r="D317" s="55" t="s">
        <v>329</v>
      </c>
      <c r="E317" s="55" t="s">
        <v>329</v>
      </c>
      <c r="F317" s="122" t="str">
        <f>TEXT(Table12[[#This Row],[Date]],"mmm-yy")</f>
        <v>Feb-26</v>
      </c>
      <c r="G317" s="121">
        <f t="shared" si="21"/>
        <v>28</v>
      </c>
      <c r="H317" s="123">
        <f t="shared" si="20"/>
        <v>46058</v>
      </c>
      <c r="I317" s="1">
        <v>8.0208999999999993</v>
      </c>
      <c r="J317" s="1">
        <f>'Raw Data'!K317/Inv_SY!J$2</f>
        <v>0</v>
      </c>
      <c r="K317" s="1">
        <f>'Raw Data'!L317/Inv_SY!K$2</f>
        <v>0</v>
      </c>
      <c r="L317" s="1">
        <f>'Raw Data'!M317/Inv_SY!L$2</f>
        <v>0</v>
      </c>
      <c r="M317" s="1">
        <f>'Raw Data'!N317/Inv_SY!M$2</f>
        <v>0</v>
      </c>
      <c r="N317" s="1">
        <f>'Raw Data'!O317/Inv_SY!N$2</f>
        <v>0</v>
      </c>
      <c r="O317" s="1">
        <f>'Raw Data'!P317/Inv_SY!O$2</f>
        <v>0</v>
      </c>
      <c r="P317" s="1">
        <f>'Raw Data'!Q317/Inv_SY!P$2</f>
        <v>0</v>
      </c>
      <c r="Q317" s="1">
        <f>'Raw Data'!R317/Inv_SY!Q$2</f>
        <v>0</v>
      </c>
      <c r="R317" s="1">
        <f>'Raw Data'!S317/Inv_SY!R$2</f>
        <v>0</v>
      </c>
      <c r="S317" s="1">
        <f>'Raw Data'!T317/Inv_SY!S$2</f>
        <v>0</v>
      </c>
      <c r="T317" s="1">
        <f>'Raw Data'!U317/Inv_SY!T$2</f>
        <v>0</v>
      </c>
      <c r="U317" s="1">
        <f>'Raw Data'!V317/Inv_SY!U$2</f>
        <v>0</v>
      </c>
      <c r="V317" s="1">
        <f>'Raw Data'!W317/Inv_SY!V$2</f>
        <v>0</v>
      </c>
      <c r="W317" s="1">
        <f>'Raw Data'!X317/Inv_SY!W$2</f>
        <v>0</v>
      </c>
      <c r="X317" s="1">
        <f>'Raw Data'!Y317/Inv_SY!X$2</f>
        <v>0</v>
      </c>
      <c r="Y317" s="1" t="str">
        <f t="shared" si="22"/>
        <v/>
      </c>
      <c r="Z317" s="1">
        <f t="shared" si="23"/>
        <v>0</v>
      </c>
    </row>
    <row r="318" spans="1:26" x14ac:dyDescent="0.3">
      <c r="A318" s="55" t="s">
        <v>1488</v>
      </c>
      <c r="B318" s="55">
        <v>287</v>
      </c>
      <c r="C318" s="121">
        <f>YEAR(Table12[[#This Row],[Date]])</f>
        <v>2026</v>
      </c>
      <c r="D318" s="55" t="s">
        <v>329</v>
      </c>
      <c r="E318" s="55" t="s">
        <v>329</v>
      </c>
      <c r="F318" s="122" t="str">
        <f>TEXT(Table12[[#This Row],[Date]],"mmm-yy")</f>
        <v>Feb-26</v>
      </c>
      <c r="G318" s="121">
        <f t="shared" si="21"/>
        <v>28</v>
      </c>
      <c r="H318" s="123">
        <f t="shared" si="20"/>
        <v>46059</v>
      </c>
      <c r="I318" s="1">
        <v>8.0208999999999993</v>
      </c>
      <c r="J318" s="1">
        <f>'Raw Data'!K318/Inv_SY!J$2</f>
        <v>0</v>
      </c>
      <c r="K318" s="1">
        <f>'Raw Data'!L318/Inv_SY!K$2</f>
        <v>0</v>
      </c>
      <c r="L318" s="1">
        <f>'Raw Data'!M318/Inv_SY!L$2</f>
        <v>0</v>
      </c>
      <c r="M318" s="1">
        <f>'Raw Data'!N318/Inv_SY!M$2</f>
        <v>0</v>
      </c>
      <c r="N318" s="1">
        <f>'Raw Data'!O318/Inv_SY!N$2</f>
        <v>0</v>
      </c>
      <c r="O318" s="1">
        <f>'Raw Data'!P318/Inv_SY!O$2</f>
        <v>0</v>
      </c>
      <c r="P318" s="1">
        <f>'Raw Data'!Q318/Inv_SY!P$2</f>
        <v>0</v>
      </c>
      <c r="Q318" s="1">
        <f>'Raw Data'!R318/Inv_SY!Q$2</f>
        <v>0</v>
      </c>
      <c r="R318" s="1">
        <f>'Raw Data'!S318/Inv_SY!R$2</f>
        <v>0</v>
      </c>
      <c r="S318" s="1">
        <f>'Raw Data'!T318/Inv_SY!S$2</f>
        <v>0</v>
      </c>
      <c r="T318" s="1">
        <f>'Raw Data'!U318/Inv_SY!T$2</f>
        <v>0</v>
      </c>
      <c r="U318" s="1">
        <f>'Raw Data'!V318/Inv_SY!U$2</f>
        <v>0</v>
      </c>
      <c r="V318" s="1">
        <f>'Raw Data'!W318/Inv_SY!V$2</f>
        <v>0</v>
      </c>
      <c r="W318" s="1">
        <f>'Raw Data'!X318/Inv_SY!W$2</f>
        <v>0</v>
      </c>
      <c r="X318" s="1">
        <f>'Raw Data'!Y318/Inv_SY!X$2</f>
        <v>0</v>
      </c>
      <c r="Y318" s="1" t="str">
        <f t="shared" si="22"/>
        <v/>
      </c>
      <c r="Z318" s="1">
        <f t="shared" si="23"/>
        <v>0</v>
      </c>
    </row>
    <row r="319" spans="1:26" x14ac:dyDescent="0.3">
      <c r="A319" s="55" t="s">
        <v>1489</v>
      </c>
      <c r="B319" s="55">
        <v>288</v>
      </c>
      <c r="C319" s="121">
        <f>YEAR(Table12[[#This Row],[Date]])</f>
        <v>2026</v>
      </c>
      <c r="D319" s="55" t="s">
        <v>329</v>
      </c>
      <c r="E319" s="55" t="s">
        <v>329</v>
      </c>
      <c r="F319" s="122" t="str">
        <f>TEXT(Table12[[#This Row],[Date]],"mmm-yy")</f>
        <v>Feb-26</v>
      </c>
      <c r="G319" s="121">
        <f t="shared" si="21"/>
        <v>28</v>
      </c>
      <c r="H319" s="123">
        <f t="shared" si="20"/>
        <v>46060</v>
      </c>
      <c r="I319" s="1">
        <v>8.0208999999999993</v>
      </c>
      <c r="J319" s="1">
        <f>'Raw Data'!K319/Inv_SY!J$2</f>
        <v>0</v>
      </c>
      <c r="K319" s="1">
        <f>'Raw Data'!L319/Inv_SY!K$2</f>
        <v>0</v>
      </c>
      <c r="L319" s="1">
        <f>'Raw Data'!M319/Inv_SY!L$2</f>
        <v>0</v>
      </c>
      <c r="M319" s="1">
        <f>'Raw Data'!N319/Inv_SY!M$2</f>
        <v>0</v>
      </c>
      <c r="N319" s="1">
        <f>'Raw Data'!O319/Inv_SY!N$2</f>
        <v>0</v>
      </c>
      <c r="O319" s="1">
        <f>'Raw Data'!P319/Inv_SY!O$2</f>
        <v>0</v>
      </c>
      <c r="P319" s="1">
        <f>'Raw Data'!Q319/Inv_SY!P$2</f>
        <v>0</v>
      </c>
      <c r="Q319" s="1">
        <f>'Raw Data'!R319/Inv_SY!Q$2</f>
        <v>0</v>
      </c>
      <c r="R319" s="1">
        <f>'Raw Data'!S319/Inv_SY!R$2</f>
        <v>0</v>
      </c>
      <c r="S319" s="1">
        <f>'Raw Data'!T319/Inv_SY!S$2</f>
        <v>0</v>
      </c>
      <c r="T319" s="1">
        <f>'Raw Data'!U319/Inv_SY!T$2</f>
        <v>0</v>
      </c>
      <c r="U319" s="1">
        <f>'Raw Data'!V319/Inv_SY!U$2</f>
        <v>0</v>
      </c>
      <c r="V319" s="1">
        <f>'Raw Data'!W319/Inv_SY!V$2</f>
        <v>0</v>
      </c>
      <c r="W319" s="1">
        <f>'Raw Data'!X319/Inv_SY!W$2</f>
        <v>0</v>
      </c>
      <c r="X319" s="1">
        <f>'Raw Data'!Y319/Inv_SY!X$2</f>
        <v>0</v>
      </c>
      <c r="Y319" s="1" t="str">
        <f t="shared" si="22"/>
        <v/>
      </c>
      <c r="Z319" s="1">
        <f t="shared" si="23"/>
        <v>0</v>
      </c>
    </row>
    <row r="320" spans="1:26" x14ac:dyDescent="0.3">
      <c r="A320" s="55" t="s">
        <v>1490</v>
      </c>
      <c r="B320" s="55">
        <v>289</v>
      </c>
      <c r="C320" s="121">
        <f>YEAR(Table12[[#This Row],[Date]])</f>
        <v>2026</v>
      </c>
      <c r="D320" s="55" t="s">
        <v>329</v>
      </c>
      <c r="E320" s="55" t="s">
        <v>329</v>
      </c>
      <c r="F320" s="122" t="str">
        <f>TEXT(Table12[[#This Row],[Date]],"mmm-yy")</f>
        <v>Feb-26</v>
      </c>
      <c r="G320" s="121">
        <f t="shared" si="21"/>
        <v>28</v>
      </c>
      <c r="H320" s="123">
        <f t="shared" si="20"/>
        <v>46061</v>
      </c>
      <c r="I320" s="1">
        <v>8.0208999999999993</v>
      </c>
      <c r="J320" s="1">
        <f>'Raw Data'!K320/Inv_SY!J$2</f>
        <v>0</v>
      </c>
      <c r="K320" s="1">
        <f>'Raw Data'!L320/Inv_SY!K$2</f>
        <v>0</v>
      </c>
      <c r="L320" s="1">
        <f>'Raw Data'!M320/Inv_SY!L$2</f>
        <v>0</v>
      </c>
      <c r="M320" s="1">
        <f>'Raw Data'!N320/Inv_SY!M$2</f>
        <v>0</v>
      </c>
      <c r="N320" s="1">
        <f>'Raw Data'!O320/Inv_SY!N$2</f>
        <v>0</v>
      </c>
      <c r="O320" s="1">
        <f>'Raw Data'!P320/Inv_SY!O$2</f>
        <v>0</v>
      </c>
      <c r="P320" s="1">
        <f>'Raw Data'!Q320/Inv_SY!P$2</f>
        <v>0</v>
      </c>
      <c r="Q320" s="1">
        <f>'Raw Data'!R320/Inv_SY!Q$2</f>
        <v>0</v>
      </c>
      <c r="R320" s="1">
        <f>'Raw Data'!S320/Inv_SY!R$2</f>
        <v>0</v>
      </c>
      <c r="S320" s="1">
        <f>'Raw Data'!T320/Inv_SY!S$2</f>
        <v>0</v>
      </c>
      <c r="T320" s="1">
        <f>'Raw Data'!U320/Inv_SY!T$2</f>
        <v>0</v>
      </c>
      <c r="U320" s="1">
        <f>'Raw Data'!V320/Inv_SY!U$2</f>
        <v>0</v>
      </c>
      <c r="V320" s="1">
        <f>'Raw Data'!W320/Inv_SY!V$2</f>
        <v>0</v>
      </c>
      <c r="W320" s="1">
        <f>'Raw Data'!X320/Inv_SY!W$2</f>
        <v>0</v>
      </c>
      <c r="X320" s="1">
        <f>'Raw Data'!Y320/Inv_SY!X$2</f>
        <v>0</v>
      </c>
      <c r="Y320" s="1" t="str">
        <f t="shared" si="22"/>
        <v/>
      </c>
      <c r="Z320" s="1">
        <f t="shared" si="23"/>
        <v>0</v>
      </c>
    </row>
    <row r="321" spans="1:26" x14ac:dyDescent="0.3">
      <c r="A321" s="55" t="s">
        <v>1491</v>
      </c>
      <c r="B321" s="55">
        <v>290</v>
      </c>
      <c r="C321" s="121">
        <f>YEAR(Table12[[#This Row],[Date]])</f>
        <v>2026</v>
      </c>
      <c r="D321" s="55" t="s">
        <v>329</v>
      </c>
      <c r="E321" s="55" t="s">
        <v>329</v>
      </c>
      <c r="F321" s="122" t="str">
        <f>TEXT(Table12[[#This Row],[Date]],"mmm-yy")</f>
        <v>Feb-26</v>
      </c>
      <c r="G321" s="121">
        <f t="shared" si="21"/>
        <v>28</v>
      </c>
      <c r="H321" s="123">
        <f t="shared" si="20"/>
        <v>46062</v>
      </c>
      <c r="I321" s="1">
        <v>8.0208999999999993</v>
      </c>
      <c r="J321" s="1">
        <f>'Raw Data'!K321/Inv_SY!J$2</f>
        <v>0</v>
      </c>
      <c r="K321" s="1">
        <f>'Raw Data'!L321/Inv_SY!K$2</f>
        <v>0</v>
      </c>
      <c r="L321" s="1">
        <f>'Raw Data'!M321/Inv_SY!L$2</f>
        <v>0</v>
      </c>
      <c r="M321" s="1">
        <f>'Raw Data'!N321/Inv_SY!M$2</f>
        <v>0</v>
      </c>
      <c r="N321" s="1">
        <f>'Raw Data'!O321/Inv_SY!N$2</f>
        <v>0</v>
      </c>
      <c r="O321" s="1">
        <f>'Raw Data'!P321/Inv_SY!O$2</f>
        <v>0</v>
      </c>
      <c r="P321" s="1">
        <f>'Raw Data'!Q321/Inv_SY!P$2</f>
        <v>0</v>
      </c>
      <c r="Q321" s="1">
        <f>'Raw Data'!R321/Inv_SY!Q$2</f>
        <v>0</v>
      </c>
      <c r="R321" s="1">
        <f>'Raw Data'!S321/Inv_SY!R$2</f>
        <v>0</v>
      </c>
      <c r="S321" s="1">
        <f>'Raw Data'!T321/Inv_SY!S$2</f>
        <v>0</v>
      </c>
      <c r="T321" s="1">
        <f>'Raw Data'!U321/Inv_SY!T$2</f>
        <v>0</v>
      </c>
      <c r="U321" s="1">
        <f>'Raw Data'!V321/Inv_SY!U$2</f>
        <v>0</v>
      </c>
      <c r="V321" s="1">
        <f>'Raw Data'!W321/Inv_SY!V$2</f>
        <v>0</v>
      </c>
      <c r="W321" s="1">
        <f>'Raw Data'!X321/Inv_SY!W$2</f>
        <v>0</v>
      </c>
      <c r="X321" s="1">
        <f>'Raw Data'!Y321/Inv_SY!X$2</f>
        <v>0</v>
      </c>
      <c r="Y321" s="1" t="str">
        <f t="shared" si="22"/>
        <v/>
      </c>
      <c r="Z321" s="1">
        <f t="shared" si="23"/>
        <v>0</v>
      </c>
    </row>
    <row r="322" spans="1:26" x14ac:dyDescent="0.3">
      <c r="A322" s="55" t="s">
        <v>1492</v>
      </c>
      <c r="B322" s="55">
        <v>291</v>
      </c>
      <c r="C322" s="121">
        <f>YEAR(Table12[[#This Row],[Date]])</f>
        <v>2026</v>
      </c>
      <c r="D322" s="55" t="s">
        <v>329</v>
      </c>
      <c r="E322" s="55" t="s">
        <v>329</v>
      </c>
      <c r="F322" s="122" t="str">
        <f>TEXT(Table12[[#This Row],[Date]],"mmm-yy")</f>
        <v>Feb-26</v>
      </c>
      <c r="G322" s="121">
        <f t="shared" si="21"/>
        <v>28</v>
      </c>
      <c r="H322" s="123">
        <f t="shared" si="20"/>
        <v>46063</v>
      </c>
      <c r="I322" s="1">
        <v>8.0208999999999993</v>
      </c>
      <c r="J322" s="1">
        <f>'Raw Data'!K322/Inv_SY!J$2</f>
        <v>0</v>
      </c>
      <c r="K322" s="1">
        <f>'Raw Data'!L322/Inv_SY!K$2</f>
        <v>0</v>
      </c>
      <c r="L322" s="1">
        <f>'Raw Data'!M322/Inv_SY!L$2</f>
        <v>0</v>
      </c>
      <c r="M322" s="1">
        <f>'Raw Data'!N322/Inv_SY!M$2</f>
        <v>0</v>
      </c>
      <c r="N322" s="1">
        <f>'Raw Data'!O322/Inv_SY!N$2</f>
        <v>0</v>
      </c>
      <c r="O322" s="1">
        <f>'Raw Data'!P322/Inv_SY!O$2</f>
        <v>0</v>
      </c>
      <c r="P322" s="1">
        <f>'Raw Data'!Q322/Inv_SY!P$2</f>
        <v>0</v>
      </c>
      <c r="Q322" s="1">
        <f>'Raw Data'!R322/Inv_SY!Q$2</f>
        <v>0</v>
      </c>
      <c r="R322" s="1">
        <f>'Raw Data'!S322/Inv_SY!R$2</f>
        <v>0</v>
      </c>
      <c r="S322" s="1">
        <f>'Raw Data'!T322/Inv_SY!S$2</f>
        <v>0</v>
      </c>
      <c r="T322" s="1">
        <f>'Raw Data'!U322/Inv_SY!T$2</f>
        <v>0</v>
      </c>
      <c r="U322" s="1">
        <f>'Raw Data'!V322/Inv_SY!U$2</f>
        <v>0</v>
      </c>
      <c r="V322" s="1">
        <f>'Raw Data'!W322/Inv_SY!V$2</f>
        <v>0</v>
      </c>
      <c r="W322" s="1">
        <f>'Raw Data'!X322/Inv_SY!W$2</f>
        <v>0</v>
      </c>
      <c r="X322" s="1">
        <f>'Raw Data'!Y322/Inv_SY!X$2</f>
        <v>0</v>
      </c>
      <c r="Y322" s="1" t="str">
        <f t="shared" si="22"/>
        <v/>
      </c>
      <c r="Z322" s="1">
        <f t="shared" si="23"/>
        <v>0</v>
      </c>
    </row>
    <row r="323" spans="1:26" x14ac:dyDescent="0.3">
      <c r="A323" s="55" t="s">
        <v>1493</v>
      </c>
      <c r="B323" s="55">
        <v>292</v>
      </c>
      <c r="C323" s="121">
        <f>YEAR(Table12[[#This Row],[Date]])</f>
        <v>2026</v>
      </c>
      <c r="D323" s="55" t="s">
        <v>329</v>
      </c>
      <c r="E323" s="55" t="s">
        <v>329</v>
      </c>
      <c r="F323" s="122" t="str">
        <f>TEXT(Table12[[#This Row],[Date]],"mmm-yy")</f>
        <v>Feb-26</v>
      </c>
      <c r="G323" s="121">
        <f t="shared" si="21"/>
        <v>28</v>
      </c>
      <c r="H323" s="123">
        <f t="shared" si="20"/>
        <v>46064</v>
      </c>
      <c r="I323" s="1">
        <v>8.0208999999999993</v>
      </c>
      <c r="J323" s="1">
        <f>'Raw Data'!K323/Inv_SY!J$2</f>
        <v>0</v>
      </c>
      <c r="K323" s="1">
        <f>'Raw Data'!L323/Inv_SY!K$2</f>
        <v>0</v>
      </c>
      <c r="L323" s="1">
        <f>'Raw Data'!M323/Inv_SY!L$2</f>
        <v>0</v>
      </c>
      <c r="M323" s="1">
        <f>'Raw Data'!N323/Inv_SY!M$2</f>
        <v>0</v>
      </c>
      <c r="N323" s="1">
        <f>'Raw Data'!O323/Inv_SY!N$2</f>
        <v>0</v>
      </c>
      <c r="O323" s="1">
        <f>'Raw Data'!P323/Inv_SY!O$2</f>
        <v>0</v>
      </c>
      <c r="P323" s="1">
        <f>'Raw Data'!Q323/Inv_SY!P$2</f>
        <v>0</v>
      </c>
      <c r="Q323" s="1">
        <f>'Raw Data'!R323/Inv_SY!Q$2</f>
        <v>0</v>
      </c>
      <c r="R323" s="1">
        <f>'Raw Data'!S323/Inv_SY!R$2</f>
        <v>0</v>
      </c>
      <c r="S323" s="1">
        <f>'Raw Data'!T323/Inv_SY!S$2</f>
        <v>0</v>
      </c>
      <c r="T323" s="1">
        <f>'Raw Data'!U323/Inv_SY!T$2</f>
        <v>0</v>
      </c>
      <c r="U323" s="1">
        <f>'Raw Data'!V323/Inv_SY!U$2</f>
        <v>0</v>
      </c>
      <c r="V323" s="1">
        <f>'Raw Data'!W323/Inv_SY!V$2</f>
        <v>0</v>
      </c>
      <c r="W323" s="1">
        <f>'Raw Data'!X323/Inv_SY!W$2</f>
        <v>0</v>
      </c>
      <c r="X323" s="1">
        <f>'Raw Data'!Y323/Inv_SY!X$2</f>
        <v>0</v>
      </c>
      <c r="Y323" s="1" t="str">
        <f t="shared" si="22"/>
        <v/>
      </c>
      <c r="Z323" s="1">
        <f t="shared" si="23"/>
        <v>0</v>
      </c>
    </row>
    <row r="324" spans="1:26" x14ac:dyDescent="0.3">
      <c r="A324" s="55" t="s">
        <v>1494</v>
      </c>
      <c r="B324" s="55">
        <v>293</v>
      </c>
      <c r="C324" s="121">
        <f>YEAR(Table12[[#This Row],[Date]])</f>
        <v>2026</v>
      </c>
      <c r="D324" s="55" t="s">
        <v>329</v>
      </c>
      <c r="E324" s="55" t="s">
        <v>329</v>
      </c>
      <c r="F324" s="122" t="str">
        <f>TEXT(Table12[[#This Row],[Date]],"mmm-yy")</f>
        <v>Feb-26</v>
      </c>
      <c r="G324" s="121">
        <f t="shared" si="21"/>
        <v>28</v>
      </c>
      <c r="H324" s="123">
        <f t="shared" si="20"/>
        <v>46065</v>
      </c>
      <c r="I324" s="1">
        <v>8.0208999999999993</v>
      </c>
      <c r="J324" s="1">
        <f>'Raw Data'!K324/Inv_SY!J$2</f>
        <v>0</v>
      </c>
      <c r="K324" s="1">
        <f>'Raw Data'!L324/Inv_SY!K$2</f>
        <v>0</v>
      </c>
      <c r="L324" s="1">
        <f>'Raw Data'!M324/Inv_SY!L$2</f>
        <v>0</v>
      </c>
      <c r="M324" s="1">
        <f>'Raw Data'!N324/Inv_SY!M$2</f>
        <v>0</v>
      </c>
      <c r="N324" s="1">
        <f>'Raw Data'!O324/Inv_SY!N$2</f>
        <v>0</v>
      </c>
      <c r="O324" s="1">
        <f>'Raw Data'!P324/Inv_SY!O$2</f>
        <v>0</v>
      </c>
      <c r="P324" s="1">
        <f>'Raw Data'!Q324/Inv_SY!P$2</f>
        <v>0</v>
      </c>
      <c r="Q324" s="1">
        <f>'Raw Data'!R324/Inv_SY!Q$2</f>
        <v>0</v>
      </c>
      <c r="R324" s="1">
        <f>'Raw Data'!S324/Inv_SY!R$2</f>
        <v>0</v>
      </c>
      <c r="S324" s="1">
        <f>'Raw Data'!T324/Inv_SY!S$2</f>
        <v>0</v>
      </c>
      <c r="T324" s="1">
        <f>'Raw Data'!U324/Inv_SY!T$2</f>
        <v>0</v>
      </c>
      <c r="U324" s="1">
        <f>'Raw Data'!V324/Inv_SY!U$2</f>
        <v>0</v>
      </c>
      <c r="V324" s="1">
        <f>'Raw Data'!W324/Inv_SY!V$2</f>
        <v>0</v>
      </c>
      <c r="W324" s="1">
        <f>'Raw Data'!X324/Inv_SY!W$2</f>
        <v>0</v>
      </c>
      <c r="X324" s="1">
        <f>'Raw Data'!Y324/Inv_SY!X$2</f>
        <v>0</v>
      </c>
      <c r="Y324" s="1" t="str">
        <f t="shared" si="22"/>
        <v/>
      </c>
      <c r="Z324" s="1">
        <f t="shared" si="23"/>
        <v>0</v>
      </c>
    </row>
    <row r="325" spans="1:26" x14ac:dyDescent="0.3">
      <c r="A325" s="55" t="s">
        <v>1495</v>
      </c>
      <c r="B325" s="55">
        <v>294</v>
      </c>
      <c r="C325" s="121">
        <f>YEAR(Table12[[#This Row],[Date]])</f>
        <v>2026</v>
      </c>
      <c r="D325" s="55" t="s">
        <v>329</v>
      </c>
      <c r="E325" s="55" t="s">
        <v>329</v>
      </c>
      <c r="F325" s="122" t="str">
        <f>TEXT(Table12[[#This Row],[Date]],"mmm-yy")</f>
        <v>Feb-26</v>
      </c>
      <c r="G325" s="121">
        <f t="shared" si="21"/>
        <v>28</v>
      </c>
      <c r="H325" s="123">
        <f t="shared" ref="H325:H365" si="24">H324+1</f>
        <v>46066</v>
      </c>
      <c r="I325" s="1">
        <v>8.0208999999999993</v>
      </c>
      <c r="J325" s="1">
        <f>'Raw Data'!K325/Inv_SY!J$2</f>
        <v>0</v>
      </c>
      <c r="K325" s="1">
        <f>'Raw Data'!L325/Inv_SY!K$2</f>
        <v>0</v>
      </c>
      <c r="L325" s="1">
        <f>'Raw Data'!M325/Inv_SY!L$2</f>
        <v>0</v>
      </c>
      <c r="M325" s="1">
        <f>'Raw Data'!N325/Inv_SY!M$2</f>
        <v>0</v>
      </c>
      <c r="N325" s="1">
        <f>'Raw Data'!O325/Inv_SY!N$2</f>
        <v>0</v>
      </c>
      <c r="O325" s="1">
        <f>'Raw Data'!P325/Inv_SY!O$2</f>
        <v>0</v>
      </c>
      <c r="P325" s="1">
        <f>'Raw Data'!Q325/Inv_SY!P$2</f>
        <v>0</v>
      </c>
      <c r="Q325" s="1">
        <f>'Raw Data'!R325/Inv_SY!Q$2</f>
        <v>0</v>
      </c>
      <c r="R325" s="1">
        <f>'Raw Data'!S325/Inv_SY!R$2</f>
        <v>0</v>
      </c>
      <c r="S325" s="1">
        <f>'Raw Data'!T325/Inv_SY!S$2</f>
        <v>0</v>
      </c>
      <c r="T325" s="1">
        <f>'Raw Data'!U325/Inv_SY!T$2</f>
        <v>0</v>
      </c>
      <c r="U325" s="1">
        <f>'Raw Data'!V325/Inv_SY!U$2</f>
        <v>0</v>
      </c>
      <c r="V325" s="1">
        <f>'Raw Data'!W325/Inv_SY!V$2</f>
        <v>0</v>
      </c>
      <c r="W325" s="1">
        <f>'Raw Data'!X325/Inv_SY!W$2</f>
        <v>0</v>
      </c>
      <c r="X325" s="1">
        <f>'Raw Data'!Y325/Inv_SY!X$2</f>
        <v>0</v>
      </c>
      <c r="Y325" s="1" t="str">
        <f t="shared" si="22"/>
        <v/>
      </c>
      <c r="Z325" s="1">
        <f t="shared" si="23"/>
        <v>0</v>
      </c>
    </row>
    <row r="326" spans="1:26" x14ac:dyDescent="0.3">
      <c r="A326" s="55" t="s">
        <v>1496</v>
      </c>
      <c r="B326" s="55">
        <v>295</v>
      </c>
      <c r="C326" s="121">
        <f>YEAR(Table12[[#This Row],[Date]])</f>
        <v>2026</v>
      </c>
      <c r="D326" s="55" t="s">
        <v>329</v>
      </c>
      <c r="E326" s="55" t="s">
        <v>329</v>
      </c>
      <c r="F326" s="122" t="str">
        <f>TEXT(Table12[[#This Row],[Date]],"mmm-yy")</f>
        <v>Feb-26</v>
      </c>
      <c r="G326" s="121">
        <f t="shared" si="21"/>
        <v>28</v>
      </c>
      <c r="H326" s="123">
        <f t="shared" si="24"/>
        <v>46067</v>
      </c>
      <c r="I326" s="1">
        <v>8.0208999999999993</v>
      </c>
      <c r="J326" s="1">
        <f>'Raw Data'!K326/Inv_SY!J$2</f>
        <v>0</v>
      </c>
      <c r="K326" s="1">
        <f>'Raw Data'!L326/Inv_SY!K$2</f>
        <v>0</v>
      </c>
      <c r="L326" s="1">
        <f>'Raw Data'!M326/Inv_SY!L$2</f>
        <v>0</v>
      </c>
      <c r="M326" s="1">
        <f>'Raw Data'!N326/Inv_SY!M$2</f>
        <v>0</v>
      </c>
      <c r="N326" s="1">
        <f>'Raw Data'!O326/Inv_SY!N$2</f>
        <v>0</v>
      </c>
      <c r="O326" s="1">
        <f>'Raw Data'!P326/Inv_SY!O$2</f>
        <v>0</v>
      </c>
      <c r="P326" s="1">
        <f>'Raw Data'!Q326/Inv_SY!P$2</f>
        <v>0</v>
      </c>
      <c r="Q326" s="1">
        <f>'Raw Data'!R326/Inv_SY!Q$2</f>
        <v>0</v>
      </c>
      <c r="R326" s="1">
        <f>'Raw Data'!S326/Inv_SY!R$2</f>
        <v>0</v>
      </c>
      <c r="S326" s="1">
        <f>'Raw Data'!T326/Inv_SY!S$2</f>
        <v>0</v>
      </c>
      <c r="T326" s="1">
        <f>'Raw Data'!U326/Inv_SY!T$2</f>
        <v>0</v>
      </c>
      <c r="U326" s="1">
        <f>'Raw Data'!V326/Inv_SY!U$2</f>
        <v>0</v>
      </c>
      <c r="V326" s="1">
        <f>'Raw Data'!W326/Inv_SY!V$2</f>
        <v>0</v>
      </c>
      <c r="W326" s="1">
        <f>'Raw Data'!X326/Inv_SY!W$2</f>
        <v>0</v>
      </c>
      <c r="X326" s="1">
        <f>'Raw Data'!Y326/Inv_SY!X$2</f>
        <v>0</v>
      </c>
      <c r="Y326" s="1" t="str">
        <f t="shared" si="22"/>
        <v/>
      </c>
      <c r="Z326" s="1">
        <f t="shared" si="23"/>
        <v>0</v>
      </c>
    </row>
    <row r="327" spans="1:26" x14ac:dyDescent="0.3">
      <c r="A327" s="55" t="s">
        <v>1497</v>
      </c>
      <c r="B327" s="55">
        <v>296</v>
      </c>
      <c r="C327" s="121">
        <f>YEAR(Table12[[#This Row],[Date]])</f>
        <v>2026</v>
      </c>
      <c r="D327" s="55" t="s">
        <v>329</v>
      </c>
      <c r="E327" s="55" t="s">
        <v>329</v>
      </c>
      <c r="F327" s="122" t="str">
        <f>TEXT(Table12[[#This Row],[Date]],"mmm-yy")</f>
        <v>Feb-26</v>
      </c>
      <c r="G327" s="121">
        <f t="shared" si="21"/>
        <v>28</v>
      </c>
      <c r="H327" s="123">
        <f t="shared" si="24"/>
        <v>46068</v>
      </c>
      <c r="I327" s="1">
        <v>8.0208999999999993</v>
      </c>
      <c r="J327" s="1">
        <f>'Raw Data'!K327/Inv_SY!J$2</f>
        <v>0</v>
      </c>
      <c r="K327" s="1">
        <f>'Raw Data'!L327/Inv_SY!K$2</f>
        <v>0</v>
      </c>
      <c r="L327" s="1">
        <f>'Raw Data'!M327/Inv_SY!L$2</f>
        <v>0</v>
      </c>
      <c r="M327" s="1">
        <f>'Raw Data'!N327/Inv_SY!M$2</f>
        <v>0</v>
      </c>
      <c r="N327" s="1">
        <f>'Raw Data'!O327/Inv_SY!N$2</f>
        <v>0</v>
      </c>
      <c r="O327" s="1">
        <f>'Raw Data'!P327/Inv_SY!O$2</f>
        <v>0</v>
      </c>
      <c r="P327" s="1">
        <f>'Raw Data'!Q327/Inv_SY!P$2</f>
        <v>0</v>
      </c>
      <c r="Q327" s="1">
        <f>'Raw Data'!R327/Inv_SY!Q$2</f>
        <v>0</v>
      </c>
      <c r="R327" s="1">
        <f>'Raw Data'!S327/Inv_SY!R$2</f>
        <v>0</v>
      </c>
      <c r="S327" s="1">
        <f>'Raw Data'!T327/Inv_SY!S$2</f>
        <v>0</v>
      </c>
      <c r="T327" s="1">
        <f>'Raw Data'!U327/Inv_SY!T$2</f>
        <v>0</v>
      </c>
      <c r="U327" s="1">
        <f>'Raw Data'!V327/Inv_SY!U$2</f>
        <v>0</v>
      </c>
      <c r="V327" s="1">
        <f>'Raw Data'!W327/Inv_SY!V$2</f>
        <v>0</v>
      </c>
      <c r="W327" s="1">
        <f>'Raw Data'!X327/Inv_SY!W$2</f>
        <v>0</v>
      </c>
      <c r="X327" s="1">
        <f>'Raw Data'!Y327/Inv_SY!X$2</f>
        <v>0</v>
      </c>
      <c r="Y327" s="1" t="str">
        <f t="shared" si="22"/>
        <v/>
      </c>
      <c r="Z327" s="1">
        <f t="shared" si="23"/>
        <v>0</v>
      </c>
    </row>
    <row r="328" spans="1:26" x14ac:dyDescent="0.3">
      <c r="A328" s="55" t="s">
        <v>1498</v>
      </c>
      <c r="B328" s="55">
        <v>297</v>
      </c>
      <c r="C328" s="121">
        <f>YEAR(Table12[[#This Row],[Date]])</f>
        <v>2026</v>
      </c>
      <c r="D328" s="55" t="s">
        <v>329</v>
      </c>
      <c r="E328" s="55" t="s">
        <v>329</v>
      </c>
      <c r="F328" s="122" t="str">
        <f>TEXT(Table12[[#This Row],[Date]],"mmm-yy")</f>
        <v>Feb-26</v>
      </c>
      <c r="G328" s="121">
        <f t="shared" si="21"/>
        <v>28</v>
      </c>
      <c r="H328" s="123">
        <f t="shared" si="24"/>
        <v>46069</v>
      </c>
      <c r="I328" s="1">
        <v>8.0208999999999993</v>
      </c>
      <c r="J328" s="1">
        <f>'Raw Data'!K328/Inv_SY!J$2</f>
        <v>0</v>
      </c>
      <c r="K328" s="1">
        <f>'Raw Data'!L328/Inv_SY!K$2</f>
        <v>0</v>
      </c>
      <c r="L328" s="1">
        <f>'Raw Data'!M328/Inv_SY!L$2</f>
        <v>0</v>
      </c>
      <c r="M328" s="1">
        <f>'Raw Data'!N328/Inv_SY!M$2</f>
        <v>0</v>
      </c>
      <c r="N328" s="1">
        <f>'Raw Data'!O328/Inv_SY!N$2</f>
        <v>0</v>
      </c>
      <c r="O328" s="1">
        <f>'Raw Data'!P328/Inv_SY!O$2</f>
        <v>0</v>
      </c>
      <c r="P328" s="1">
        <f>'Raw Data'!Q328/Inv_SY!P$2</f>
        <v>0</v>
      </c>
      <c r="Q328" s="1">
        <f>'Raw Data'!R328/Inv_SY!Q$2</f>
        <v>0</v>
      </c>
      <c r="R328" s="1">
        <f>'Raw Data'!S328/Inv_SY!R$2</f>
        <v>0</v>
      </c>
      <c r="S328" s="1">
        <f>'Raw Data'!T328/Inv_SY!S$2</f>
        <v>0</v>
      </c>
      <c r="T328" s="1">
        <f>'Raw Data'!U328/Inv_SY!T$2</f>
        <v>0</v>
      </c>
      <c r="U328" s="1">
        <f>'Raw Data'!V328/Inv_SY!U$2</f>
        <v>0</v>
      </c>
      <c r="V328" s="1">
        <f>'Raw Data'!W328/Inv_SY!V$2</f>
        <v>0</v>
      </c>
      <c r="W328" s="1">
        <f>'Raw Data'!X328/Inv_SY!W$2</f>
        <v>0</v>
      </c>
      <c r="X328" s="1">
        <f>'Raw Data'!Y328/Inv_SY!X$2</f>
        <v>0</v>
      </c>
      <c r="Y328" s="1" t="str">
        <f t="shared" si="22"/>
        <v/>
      </c>
      <c r="Z328" s="1">
        <f t="shared" si="23"/>
        <v>0</v>
      </c>
    </row>
    <row r="329" spans="1:26" x14ac:dyDescent="0.3">
      <c r="A329" s="55" t="s">
        <v>1499</v>
      </c>
      <c r="B329" s="55">
        <v>298</v>
      </c>
      <c r="C329" s="121">
        <f>YEAR(Table12[[#This Row],[Date]])</f>
        <v>2026</v>
      </c>
      <c r="D329" s="55" t="s">
        <v>329</v>
      </c>
      <c r="E329" s="55" t="s">
        <v>329</v>
      </c>
      <c r="F329" s="122" t="str">
        <f>TEXT(Table12[[#This Row],[Date]],"mmm-yy")</f>
        <v>Feb-26</v>
      </c>
      <c r="G329" s="121">
        <f t="shared" si="21"/>
        <v>28</v>
      </c>
      <c r="H329" s="123">
        <f t="shared" si="24"/>
        <v>46070</v>
      </c>
      <c r="I329" s="1">
        <v>8.0208999999999993</v>
      </c>
      <c r="J329" s="1">
        <f>'Raw Data'!K329/Inv_SY!J$2</f>
        <v>0</v>
      </c>
      <c r="K329" s="1">
        <f>'Raw Data'!L329/Inv_SY!K$2</f>
        <v>0</v>
      </c>
      <c r="L329" s="1">
        <f>'Raw Data'!M329/Inv_SY!L$2</f>
        <v>0</v>
      </c>
      <c r="M329" s="1">
        <f>'Raw Data'!N329/Inv_SY!M$2</f>
        <v>0</v>
      </c>
      <c r="N329" s="1">
        <f>'Raw Data'!O329/Inv_SY!N$2</f>
        <v>0</v>
      </c>
      <c r="O329" s="1">
        <f>'Raw Data'!P329/Inv_SY!O$2</f>
        <v>0</v>
      </c>
      <c r="P329" s="1">
        <f>'Raw Data'!Q329/Inv_SY!P$2</f>
        <v>0</v>
      </c>
      <c r="Q329" s="1">
        <f>'Raw Data'!R329/Inv_SY!Q$2</f>
        <v>0</v>
      </c>
      <c r="R329" s="1">
        <f>'Raw Data'!S329/Inv_SY!R$2</f>
        <v>0</v>
      </c>
      <c r="S329" s="1">
        <f>'Raw Data'!T329/Inv_SY!S$2</f>
        <v>0</v>
      </c>
      <c r="T329" s="1">
        <f>'Raw Data'!U329/Inv_SY!T$2</f>
        <v>0</v>
      </c>
      <c r="U329" s="1">
        <f>'Raw Data'!V329/Inv_SY!U$2</f>
        <v>0</v>
      </c>
      <c r="V329" s="1">
        <f>'Raw Data'!W329/Inv_SY!V$2</f>
        <v>0</v>
      </c>
      <c r="W329" s="1">
        <f>'Raw Data'!X329/Inv_SY!W$2</f>
        <v>0</v>
      </c>
      <c r="X329" s="1">
        <f>'Raw Data'!Y329/Inv_SY!X$2</f>
        <v>0</v>
      </c>
      <c r="Y329" s="1" t="str">
        <f t="shared" si="22"/>
        <v/>
      </c>
      <c r="Z329" s="1">
        <f t="shared" si="23"/>
        <v>0</v>
      </c>
    </row>
    <row r="330" spans="1:26" x14ac:dyDescent="0.3">
      <c r="A330" s="55" t="s">
        <v>1500</v>
      </c>
      <c r="B330" s="55">
        <v>299</v>
      </c>
      <c r="C330" s="121">
        <f>YEAR(Table12[[#This Row],[Date]])</f>
        <v>2026</v>
      </c>
      <c r="D330" s="55" t="s">
        <v>329</v>
      </c>
      <c r="E330" s="55" t="s">
        <v>329</v>
      </c>
      <c r="F330" s="122" t="str">
        <f>TEXT(Table12[[#This Row],[Date]],"mmm-yy")</f>
        <v>Feb-26</v>
      </c>
      <c r="G330" s="121">
        <f t="shared" si="21"/>
        <v>28</v>
      </c>
      <c r="H330" s="123">
        <f t="shared" si="24"/>
        <v>46071</v>
      </c>
      <c r="I330" s="1">
        <v>8.0208999999999993</v>
      </c>
      <c r="J330" s="1">
        <f>'Raw Data'!K330/Inv_SY!J$2</f>
        <v>0</v>
      </c>
      <c r="K330" s="1">
        <f>'Raw Data'!L330/Inv_SY!K$2</f>
        <v>0</v>
      </c>
      <c r="L330" s="1">
        <f>'Raw Data'!M330/Inv_SY!L$2</f>
        <v>0</v>
      </c>
      <c r="M330" s="1">
        <f>'Raw Data'!N330/Inv_SY!M$2</f>
        <v>0</v>
      </c>
      <c r="N330" s="1">
        <f>'Raw Data'!O330/Inv_SY!N$2</f>
        <v>0</v>
      </c>
      <c r="O330" s="1">
        <f>'Raw Data'!P330/Inv_SY!O$2</f>
        <v>0</v>
      </c>
      <c r="P330" s="1">
        <f>'Raw Data'!Q330/Inv_SY!P$2</f>
        <v>0</v>
      </c>
      <c r="Q330" s="1">
        <f>'Raw Data'!R330/Inv_SY!Q$2</f>
        <v>0</v>
      </c>
      <c r="R330" s="1">
        <f>'Raw Data'!S330/Inv_SY!R$2</f>
        <v>0</v>
      </c>
      <c r="S330" s="1">
        <f>'Raw Data'!T330/Inv_SY!S$2</f>
        <v>0</v>
      </c>
      <c r="T330" s="1">
        <f>'Raw Data'!U330/Inv_SY!T$2</f>
        <v>0</v>
      </c>
      <c r="U330" s="1">
        <f>'Raw Data'!V330/Inv_SY!U$2</f>
        <v>0</v>
      </c>
      <c r="V330" s="1">
        <f>'Raw Data'!W330/Inv_SY!V$2</f>
        <v>0</v>
      </c>
      <c r="W330" s="1">
        <f>'Raw Data'!X330/Inv_SY!W$2</f>
        <v>0</v>
      </c>
      <c r="X330" s="1">
        <f>'Raw Data'!Y330/Inv_SY!X$2</f>
        <v>0</v>
      </c>
      <c r="Y330" s="1" t="str">
        <f t="shared" si="22"/>
        <v/>
      </c>
      <c r="Z330" s="1">
        <f t="shared" si="23"/>
        <v>0</v>
      </c>
    </row>
    <row r="331" spans="1:26" x14ac:dyDescent="0.3">
      <c r="A331" s="55" t="s">
        <v>1501</v>
      </c>
      <c r="B331" s="55">
        <v>300</v>
      </c>
      <c r="C331" s="121">
        <f>YEAR(Table12[[#This Row],[Date]])</f>
        <v>2026</v>
      </c>
      <c r="D331" s="55" t="s">
        <v>329</v>
      </c>
      <c r="E331" s="55" t="s">
        <v>329</v>
      </c>
      <c r="F331" s="122" t="str">
        <f>TEXT(Table12[[#This Row],[Date]],"mmm-yy")</f>
        <v>Feb-26</v>
      </c>
      <c r="G331" s="121">
        <f t="shared" si="21"/>
        <v>28</v>
      </c>
      <c r="H331" s="123">
        <f t="shared" si="24"/>
        <v>46072</v>
      </c>
      <c r="I331" s="1">
        <v>8.0208999999999993</v>
      </c>
      <c r="J331" s="1">
        <f>'Raw Data'!K331/Inv_SY!J$2</f>
        <v>0</v>
      </c>
      <c r="K331" s="1">
        <f>'Raw Data'!L331/Inv_SY!K$2</f>
        <v>0</v>
      </c>
      <c r="L331" s="1">
        <f>'Raw Data'!M331/Inv_SY!L$2</f>
        <v>0</v>
      </c>
      <c r="M331" s="1">
        <f>'Raw Data'!N331/Inv_SY!M$2</f>
        <v>0</v>
      </c>
      <c r="N331" s="1">
        <f>'Raw Data'!O331/Inv_SY!N$2</f>
        <v>0</v>
      </c>
      <c r="O331" s="1">
        <f>'Raw Data'!P331/Inv_SY!O$2</f>
        <v>0</v>
      </c>
      <c r="P331" s="1">
        <f>'Raw Data'!Q331/Inv_SY!P$2</f>
        <v>0</v>
      </c>
      <c r="Q331" s="1">
        <f>'Raw Data'!R331/Inv_SY!Q$2</f>
        <v>0</v>
      </c>
      <c r="R331" s="1">
        <f>'Raw Data'!S331/Inv_SY!R$2</f>
        <v>0</v>
      </c>
      <c r="S331" s="1">
        <f>'Raw Data'!T331/Inv_SY!S$2</f>
        <v>0</v>
      </c>
      <c r="T331" s="1">
        <f>'Raw Data'!U331/Inv_SY!T$2</f>
        <v>0</v>
      </c>
      <c r="U331" s="1">
        <f>'Raw Data'!V331/Inv_SY!U$2</f>
        <v>0</v>
      </c>
      <c r="V331" s="1">
        <f>'Raw Data'!W331/Inv_SY!V$2</f>
        <v>0</v>
      </c>
      <c r="W331" s="1">
        <f>'Raw Data'!X331/Inv_SY!W$2</f>
        <v>0</v>
      </c>
      <c r="X331" s="1">
        <f>'Raw Data'!Y331/Inv_SY!X$2</f>
        <v>0</v>
      </c>
      <c r="Y331" s="1" t="str">
        <f t="shared" si="22"/>
        <v/>
      </c>
      <c r="Z331" s="1">
        <f t="shared" si="23"/>
        <v>0</v>
      </c>
    </row>
    <row r="332" spans="1:26" x14ac:dyDescent="0.3">
      <c r="A332" s="55" t="s">
        <v>1502</v>
      </c>
      <c r="B332" s="55">
        <v>301</v>
      </c>
      <c r="C332" s="121">
        <f>YEAR(Table12[[#This Row],[Date]])</f>
        <v>2026</v>
      </c>
      <c r="D332" s="55" t="s">
        <v>329</v>
      </c>
      <c r="E332" s="55" t="s">
        <v>329</v>
      </c>
      <c r="F332" s="122" t="str">
        <f>TEXT(Table12[[#This Row],[Date]],"mmm-yy")</f>
        <v>Feb-26</v>
      </c>
      <c r="G332" s="121">
        <f t="shared" si="21"/>
        <v>28</v>
      </c>
      <c r="H332" s="123">
        <f t="shared" si="24"/>
        <v>46073</v>
      </c>
      <c r="I332" s="1">
        <v>8.0208999999999993</v>
      </c>
      <c r="J332" s="1">
        <f>'Raw Data'!K332/Inv_SY!J$2</f>
        <v>0</v>
      </c>
      <c r="K332" s="1">
        <f>'Raw Data'!L332/Inv_SY!K$2</f>
        <v>0</v>
      </c>
      <c r="L332" s="1">
        <f>'Raw Data'!M332/Inv_SY!L$2</f>
        <v>0</v>
      </c>
      <c r="M332" s="1">
        <f>'Raw Data'!N332/Inv_SY!M$2</f>
        <v>0</v>
      </c>
      <c r="N332" s="1">
        <f>'Raw Data'!O332/Inv_SY!N$2</f>
        <v>0</v>
      </c>
      <c r="O332" s="1">
        <f>'Raw Data'!P332/Inv_SY!O$2</f>
        <v>0</v>
      </c>
      <c r="P332" s="1">
        <f>'Raw Data'!Q332/Inv_SY!P$2</f>
        <v>0</v>
      </c>
      <c r="Q332" s="1">
        <f>'Raw Data'!R332/Inv_SY!Q$2</f>
        <v>0</v>
      </c>
      <c r="R332" s="1">
        <f>'Raw Data'!S332/Inv_SY!R$2</f>
        <v>0</v>
      </c>
      <c r="S332" s="1">
        <f>'Raw Data'!T332/Inv_SY!S$2</f>
        <v>0</v>
      </c>
      <c r="T332" s="1">
        <f>'Raw Data'!U332/Inv_SY!T$2</f>
        <v>0</v>
      </c>
      <c r="U332" s="1">
        <f>'Raw Data'!V332/Inv_SY!U$2</f>
        <v>0</v>
      </c>
      <c r="V332" s="1">
        <f>'Raw Data'!W332/Inv_SY!V$2</f>
        <v>0</v>
      </c>
      <c r="W332" s="1">
        <f>'Raw Data'!X332/Inv_SY!W$2</f>
        <v>0</v>
      </c>
      <c r="X332" s="1">
        <f>'Raw Data'!Y332/Inv_SY!X$2</f>
        <v>0</v>
      </c>
      <c r="Y332" s="1" t="str">
        <f t="shared" si="22"/>
        <v/>
      </c>
      <c r="Z332" s="1">
        <f t="shared" si="23"/>
        <v>0</v>
      </c>
    </row>
    <row r="333" spans="1:26" x14ac:dyDescent="0.3">
      <c r="A333" s="55" t="s">
        <v>1503</v>
      </c>
      <c r="B333" s="55">
        <v>302</v>
      </c>
      <c r="C333" s="121">
        <f>YEAR(Table12[[#This Row],[Date]])</f>
        <v>2026</v>
      </c>
      <c r="D333" s="55" t="s">
        <v>329</v>
      </c>
      <c r="E333" s="55" t="s">
        <v>329</v>
      </c>
      <c r="F333" s="122" t="str">
        <f>TEXT(Table12[[#This Row],[Date]],"mmm-yy")</f>
        <v>Feb-26</v>
      </c>
      <c r="G333" s="121">
        <f t="shared" si="21"/>
        <v>28</v>
      </c>
      <c r="H333" s="123">
        <f t="shared" si="24"/>
        <v>46074</v>
      </c>
      <c r="I333" s="1">
        <v>8.0208999999999993</v>
      </c>
      <c r="J333" s="1">
        <f>'Raw Data'!K333/Inv_SY!J$2</f>
        <v>0</v>
      </c>
      <c r="K333" s="1">
        <f>'Raw Data'!L333/Inv_SY!K$2</f>
        <v>0</v>
      </c>
      <c r="L333" s="1">
        <f>'Raw Data'!M333/Inv_SY!L$2</f>
        <v>0</v>
      </c>
      <c r="M333" s="1">
        <f>'Raw Data'!N333/Inv_SY!M$2</f>
        <v>0</v>
      </c>
      <c r="N333" s="1">
        <f>'Raw Data'!O333/Inv_SY!N$2</f>
        <v>0</v>
      </c>
      <c r="O333" s="1">
        <f>'Raw Data'!P333/Inv_SY!O$2</f>
        <v>0</v>
      </c>
      <c r="P333" s="1">
        <f>'Raw Data'!Q333/Inv_SY!P$2</f>
        <v>0</v>
      </c>
      <c r="Q333" s="1">
        <f>'Raw Data'!R333/Inv_SY!Q$2</f>
        <v>0</v>
      </c>
      <c r="R333" s="1">
        <f>'Raw Data'!S333/Inv_SY!R$2</f>
        <v>0</v>
      </c>
      <c r="S333" s="1">
        <f>'Raw Data'!T333/Inv_SY!S$2</f>
        <v>0</v>
      </c>
      <c r="T333" s="1">
        <f>'Raw Data'!U333/Inv_SY!T$2</f>
        <v>0</v>
      </c>
      <c r="U333" s="1">
        <f>'Raw Data'!V333/Inv_SY!U$2</f>
        <v>0</v>
      </c>
      <c r="V333" s="1">
        <f>'Raw Data'!W333/Inv_SY!V$2</f>
        <v>0</v>
      </c>
      <c r="W333" s="1">
        <f>'Raw Data'!X333/Inv_SY!W$2</f>
        <v>0</v>
      </c>
      <c r="X333" s="1">
        <f>'Raw Data'!Y333/Inv_SY!X$2</f>
        <v>0</v>
      </c>
      <c r="Y333" s="1" t="str">
        <f t="shared" si="22"/>
        <v/>
      </c>
      <c r="Z333" s="1">
        <f t="shared" si="23"/>
        <v>0</v>
      </c>
    </row>
    <row r="334" spans="1:26" x14ac:dyDescent="0.3">
      <c r="A334" s="55" t="s">
        <v>1504</v>
      </c>
      <c r="B334" s="55">
        <v>303</v>
      </c>
      <c r="C334" s="121">
        <f>YEAR(Table12[[#This Row],[Date]])</f>
        <v>2026</v>
      </c>
      <c r="D334" s="55" t="s">
        <v>329</v>
      </c>
      <c r="E334" s="55" t="s">
        <v>329</v>
      </c>
      <c r="F334" s="122" t="str">
        <f>TEXT(Table12[[#This Row],[Date]],"mmm-yy")</f>
        <v>Feb-26</v>
      </c>
      <c r="G334" s="121">
        <f t="shared" si="21"/>
        <v>28</v>
      </c>
      <c r="H334" s="123">
        <f t="shared" si="24"/>
        <v>46075</v>
      </c>
      <c r="I334" s="1">
        <v>8.0208999999999993</v>
      </c>
      <c r="J334" s="1">
        <f>'Raw Data'!K334/Inv_SY!J$2</f>
        <v>0</v>
      </c>
      <c r="K334" s="1">
        <f>'Raw Data'!L334/Inv_SY!K$2</f>
        <v>0</v>
      </c>
      <c r="L334" s="1">
        <f>'Raw Data'!M334/Inv_SY!L$2</f>
        <v>0</v>
      </c>
      <c r="M334" s="1">
        <f>'Raw Data'!N334/Inv_SY!M$2</f>
        <v>0</v>
      </c>
      <c r="N334" s="1">
        <f>'Raw Data'!O334/Inv_SY!N$2</f>
        <v>0</v>
      </c>
      <c r="O334" s="1">
        <f>'Raw Data'!P334/Inv_SY!O$2</f>
        <v>0</v>
      </c>
      <c r="P334" s="1">
        <f>'Raw Data'!Q334/Inv_SY!P$2</f>
        <v>0</v>
      </c>
      <c r="Q334" s="1">
        <f>'Raw Data'!R334/Inv_SY!Q$2</f>
        <v>0</v>
      </c>
      <c r="R334" s="1">
        <f>'Raw Data'!S334/Inv_SY!R$2</f>
        <v>0</v>
      </c>
      <c r="S334" s="1">
        <f>'Raw Data'!T334/Inv_SY!S$2</f>
        <v>0</v>
      </c>
      <c r="T334" s="1">
        <f>'Raw Data'!U334/Inv_SY!T$2</f>
        <v>0</v>
      </c>
      <c r="U334" s="1">
        <f>'Raw Data'!V334/Inv_SY!U$2</f>
        <v>0</v>
      </c>
      <c r="V334" s="1">
        <f>'Raw Data'!W334/Inv_SY!V$2</f>
        <v>0</v>
      </c>
      <c r="W334" s="1">
        <f>'Raw Data'!X334/Inv_SY!W$2</f>
        <v>0</v>
      </c>
      <c r="X334" s="1">
        <f>'Raw Data'!Y334/Inv_SY!X$2</f>
        <v>0</v>
      </c>
      <c r="Y334" s="1" t="str">
        <f t="shared" si="22"/>
        <v/>
      </c>
      <c r="Z334" s="1">
        <f t="shared" si="23"/>
        <v>0</v>
      </c>
    </row>
    <row r="335" spans="1:26" x14ac:dyDescent="0.3">
      <c r="A335" s="55" t="s">
        <v>1505</v>
      </c>
      <c r="B335" s="55">
        <v>304</v>
      </c>
      <c r="C335" s="121">
        <f>YEAR(Table12[[#This Row],[Date]])</f>
        <v>2026</v>
      </c>
      <c r="D335" s="55" t="s">
        <v>329</v>
      </c>
      <c r="E335" s="55" t="s">
        <v>329</v>
      </c>
      <c r="F335" s="122" t="str">
        <f>TEXT(Table12[[#This Row],[Date]],"mmm-yy")</f>
        <v>Feb-26</v>
      </c>
      <c r="G335" s="121">
        <f t="shared" si="21"/>
        <v>28</v>
      </c>
      <c r="H335" s="123">
        <f t="shared" si="24"/>
        <v>46076</v>
      </c>
      <c r="I335" s="1">
        <v>8.0208999999999993</v>
      </c>
      <c r="J335" s="1">
        <f>'Raw Data'!K335/Inv_SY!J$2</f>
        <v>0</v>
      </c>
      <c r="K335" s="1">
        <f>'Raw Data'!L335/Inv_SY!K$2</f>
        <v>0</v>
      </c>
      <c r="L335" s="1">
        <f>'Raw Data'!M335/Inv_SY!L$2</f>
        <v>0</v>
      </c>
      <c r="M335" s="1">
        <f>'Raw Data'!N335/Inv_SY!M$2</f>
        <v>0</v>
      </c>
      <c r="N335" s="1">
        <f>'Raw Data'!O335/Inv_SY!N$2</f>
        <v>0</v>
      </c>
      <c r="O335" s="1">
        <f>'Raw Data'!P335/Inv_SY!O$2</f>
        <v>0</v>
      </c>
      <c r="P335" s="1">
        <f>'Raw Data'!Q335/Inv_SY!P$2</f>
        <v>0</v>
      </c>
      <c r="Q335" s="1">
        <f>'Raw Data'!R335/Inv_SY!Q$2</f>
        <v>0</v>
      </c>
      <c r="R335" s="1">
        <f>'Raw Data'!S335/Inv_SY!R$2</f>
        <v>0</v>
      </c>
      <c r="S335" s="1">
        <f>'Raw Data'!T335/Inv_SY!S$2</f>
        <v>0</v>
      </c>
      <c r="T335" s="1">
        <f>'Raw Data'!U335/Inv_SY!T$2</f>
        <v>0</v>
      </c>
      <c r="U335" s="1">
        <f>'Raw Data'!V335/Inv_SY!U$2</f>
        <v>0</v>
      </c>
      <c r="V335" s="1">
        <f>'Raw Data'!W335/Inv_SY!V$2</f>
        <v>0</v>
      </c>
      <c r="W335" s="1">
        <f>'Raw Data'!X335/Inv_SY!W$2</f>
        <v>0</v>
      </c>
      <c r="X335" s="1">
        <f>'Raw Data'!Y335/Inv_SY!X$2</f>
        <v>0</v>
      </c>
      <c r="Y335" s="1" t="str">
        <f t="shared" si="22"/>
        <v/>
      </c>
      <c r="Z335" s="1">
        <f t="shared" si="23"/>
        <v>0</v>
      </c>
    </row>
    <row r="336" spans="1:26" x14ac:dyDescent="0.3">
      <c r="A336" s="55" t="s">
        <v>1506</v>
      </c>
      <c r="B336" s="55">
        <v>305</v>
      </c>
      <c r="C336" s="121">
        <f>YEAR(Table12[[#This Row],[Date]])</f>
        <v>2026</v>
      </c>
      <c r="D336" s="55" t="s">
        <v>329</v>
      </c>
      <c r="E336" s="55" t="s">
        <v>329</v>
      </c>
      <c r="F336" s="122" t="str">
        <f>TEXT(Table12[[#This Row],[Date]],"mmm-yy")</f>
        <v>Feb-26</v>
      </c>
      <c r="G336" s="121">
        <f t="shared" si="21"/>
        <v>28</v>
      </c>
      <c r="H336" s="123">
        <f t="shared" si="24"/>
        <v>46077</v>
      </c>
      <c r="I336" s="1">
        <v>8.0208999999999993</v>
      </c>
      <c r="J336" s="1">
        <f>'Raw Data'!K336/Inv_SY!J$2</f>
        <v>0</v>
      </c>
      <c r="K336" s="1">
        <f>'Raw Data'!L336/Inv_SY!K$2</f>
        <v>0</v>
      </c>
      <c r="L336" s="1">
        <f>'Raw Data'!M336/Inv_SY!L$2</f>
        <v>0</v>
      </c>
      <c r="M336" s="1">
        <f>'Raw Data'!N336/Inv_SY!M$2</f>
        <v>0</v>
      </c>
      <c r="N336" s="1">
        <f>'Raw Data'!O336/Inv_SY!N$2</f>
        <v>0</v>
      </c>
      <c r="O336" s="1">
        <f>'Raw Data'!P336/Inv_SY!O$2</f>
        <v>0</v>
      </c>
      <c r="P336" s="1">
        <f>'Raw Data'!Q336/Inv_SY!P$2</f>
        <v>0</v>
      </c>
      <c r="Q336" s="1">
        <f>'Raw Data'!R336/Inv_SY!Q$2</f>
        <v>0</v>
      </c>
      <c r="R336" s="1">
        <f>'Raw Data'!S336/Inv_SY!R$2</f>
        <v>0</v>
      </c>
      <c r="S336" s="1">
        <f>'Raw Data'!T336/Inv_SY!S$2</f>
        <v>0</v>
      </c>
      <c r="T336" s="1">
        <f>'Raw Data'!U336/Inv_SY!T$2</f>
        <v>0</v>
      </c>
      <c r="U336" s="1">
        <f>'Raw Data'!V336/Inv_SY!U$2</f>
        <v>0</v>
      </c>
      <c r="V336" s="1">
        <f>'Raw Data'!W336/Inv_SY!V$2</f>
        <v>0</v>
      </c>
      <c r="W336" s="1">
        <f>'Raw Data'!X336/Inv_SY!W$2</f>
        <v>0</v>
      </c>
      <c r="X336" s="1">
        <f>'Raw Data'!Y336/Inv_SY!X$2</f>
        <v>0</v>
      </c>
      <c r="Y336" s="1" t="str">
        <f t="shared" si="22"/>
        <v/>
      </c>
      <c r="Z336" s="1">
        <f t="shared" si="23"/>
        <v>0</v>
      </c>
    </row>
    <row r="337" spans="1:26" x14ac:dyDescent="0.3">
      <c r="A337" s="55" t="s">
        <v>1507</v>
      </c>
      <c r="B337" s="55">
        <v>306</v>
      </c>
      <c r="C337" s="121">
        <f>YEAR(Table12[[#This Row],[Date]])</f>
        <v>2026</v>
      </c>
      <c r="D337" s="55" t="s">
        <v>329</v>
      </c>
      <c r="E337" s="55" t="s">
        <v>329</v>
      </c>
      <c r="F337" s="122" t="str">
        <f>TEXT(Table12[[#This Row],[Date]],"mmm-yy")</f>
        <v>Feb-26</v>
      </c>
      <c r="G337" s="121">
        <f t="shared" si="21"/>
        <v>28</v>
      </c>
      <c r="H337" s="123">
        <f t="shared" si="24"/>
        <v>46078</v>
      </c>
      <c r="I337" s="1">
        <v>8.0208999999999993</v>
      </c>
      <c r="J337" s="1">
        <f>'Raw Data'!K337/Inv_SY!J$2</f>
        <v>0</v>
      </c>
      <c r="K337" s="1">
        <f>'Raw Data'!L337/Inv_SY!K$2</f>
        <v>0</v>
      </c>
      <c r="L337" s="1">
        <f>'Raw Data'!M337/Inv_SY!L$2</f>
        <v>0</v>
      </c>
      <c r="M337" s="1">
        <f>'Raw Data'!N337/Inv_SY!M$2</f>
        <v>0</v>
      </c>
      <c r="N337" s="1">
        <f>'Raw Data'!O337/Inv_SY!N$2</f>
        <v>0</v>
      </c>
      <c r="O337" s="1">
        <f>'Raw Data'!P337/Inv_SY!O$2</f>
        <v>0</v>
      </c>
      <c r="P337" s="1">
        <f>'Raw Data'!Q337/Inv_SY!P$2</f>
        <v>0</v>
      </c>
      <c r="Q337" s="1">
        <f>'Raw Data'!R337/Inv_SY!Q$2</f>
        <v>0</v>
      </c>
      <c r="R337" s="1">
        <f>'Raw Data'!S337/Inv_SY!R$2</f>
        <v>0</v>
      </c>
      <c r="S337" s="1">
        <f>'Raw Data'!T337/Inv_SY!S$2</f>
        <v>0</v>
      </c>
      <c r="T337" s="1">
        <f>'Raw Data'!U337/Inv_SY!T$2</f>
        <v>0</v>
      </c>
      <c r="U337" s="1">
        <f>'Raw Data'!V337/Inv_SY!U$2</f>
        <v>0</v>
      </c>
      <c r="V337" s="1">
        <f>'Raw Data'!W337/Inv_SY!V$2</f>
        <v>0</v>
      </c>
      <c r="W337" s="1">
        <f>'Raw Data'!X337/Inv_SY!W$2</f>
        <v>0</v>
      </c>
      <c r="X337" s="1">
        <f>'Raw Data'!Y337/Inv_SY!X$2</f>
        <v>0</v>
      </c>
      <c r="Y337" s="1" t="str">
        <f t="shared" si="22"/>
        <v/>
      </c>
      <c r="Z337" s="1">
        <f t="shared" si="23"/>
        <v>0</v>
      </c>
    </row>
    <row r="338" spans="1:26" x14ac:dyDescent="0.3">
      <c r="A338" s="55" t="s">
        <v>1508</v>
      </c>
      <c r="B338" s="55">
        <v>307</v>
      </c>
      <c r="C338" s="121">
        <f>YEAR(Table12[[#This Row],[Date]])</f>
        <v>2026</v>
      </c>
      <c r="D338" s="55" t="s">
        <v>329</v>
      </c>
      <c r="E338" s="55" t="s">
        <v>329</v>
      </c>
      <c r="F338" s="122" t="str">
        <f>TEXT(Table12[[#This Row],[Date]],"mmm-yy")</f>
        <v>Feb-26</v>
      </c>
      <c r="G338" s="121">
        <f t="shared" si="21"/>
        <v>28</v>
      </c>
      <c r="H338" s="123">
        <f t="shared" si="24"/>
        <v>46079</v>
      </c>
      <c r="I338" s="1">
        <v>8.0208999999999993</v>
      </c>
      <c r="J338" s="1">
        <f>'Raw Data'!K338/Inv_SY!J$2</f>
        <v>0</v>
      </c>
      <c r="K338" s="1">
        <f>'Raw Data'!L338/Inv_SY!K$2</f>
        <v>0</v>
      </c>
      <c r="L338" s="1">
        <f>'Raw Data'!M338/Inv_SY!L$2</f>
        <v>0</v>
      </c>
      <c r="M338" s="1">
        <f>'Raw Data'!N338/Inv_SY!M$2</f>
        <v>0</v>
      </c>
      <c r="N338" s="1">
        <f>'Raw Data'!O338/Inv_SY!N$2</f>
        <v>0</v>
      </c>
      <c r="O338" s="1">
        <f>'Raw Data'!P338/Inv_SY!O$2</f>
        <v>0</v>
      </c>
      <c r="P338" s="1">
        <f>'Raw Data'!Q338/Inv_SY!P$2</f>
        <v>0</v>
      </c>
      <c r="Q338" s="1">
        <f>'Raw Data'!R338/Inv_SY!Q$2</f>
        <v>0</v>
      </c>
      <c r="R338" s="1">
        <f>'Raw Data'!S338/Inv_SY!R$2</f>
        <v>0</v>
      </c>
      <c r="S338" s="1">
        <f>'Raw Data'!T338/Inv_SY!S$2</f>
        <v>0</v>
      </c>
      <c r="T338" s="1">
        <f>'Raw Data'!U338/Inv_SY!T$2</f>
        <v>0</v>
      </c>
      <c r="U338" s="1">
        <f>'Raw Data'!V338/Inv_SY!U$2</f>
        <v>0</v>
      </c>
      <c r="V338" s="1">
        <f>'Raw Data'!W338/Inv_SY!V$2</f>
        <v>0</v>
      </c>
      <c r="W338" s="1">
        <f>'Raw Data'!X338/Inv_SY!W$2</f>
        <v>0</v>
      </c>
      <c r="X338" s="1">
        <f>'Raw Data'!Y338/Inv_SY!X$2</f>
        <v>0</v>
      </c>
      <c r="Y338" s="1" t="str">
        <f t="shared" si="22"/>
        <v/>
      </c>
      <c r="Z338" s="1">
        <f t="shared" si="23"/>
        <v>0</v>
      </c>
    </row>
    <row r="339" spans="1:26" x14ac:dyDescent="0.3">
      <c r="A339" s="55" t="s">
        <v>1509</v>
      </c>
      <c r="B339" s="55">
        <v>308</v>
      </c>
      <c r="C339" s="121">
        <f>YEAR(Table12[[#This Row],[Date]])</f>
        <v>2026</v>
      </c>
      <c r="D339" s="55" t="s">
        <v>329</v>
      </c>
      <c r="E339" s="55" t="s">
        <v>329</v>
      </c>
      <c r="F339" s="122" t="str">
        <f>TEXT(Table12[[#This Row],[Date]],"mmm-yy")</f>
        <v>Feb-26</v>
      </c>
      <c r="G339" s="121">
        <f t="shared" si="21"/>
        <v>28</v>
      </c>
      <c r="H339" s="123">
        <f t="shared" si="24"/>
        <v>46080</v>
      </c>
      <c r="I339" s="1">
        <v>8.0208999999999993</v>
      </c>
      <c r="J339" s="1">
        <f>'Raw Data'!K339/Inv_SY!J$2</f>
        <v>0</v>
      </c>
      <c r="K339" s="1">
        <f>'Raw Data'!L339/Inv_SY!K$2</f>
        <v>0</v>
      </c>
      <c r="L339" s="1">
        <f>'Raw Data'!M339/Inv_SY!L$2</f>
        <v>0</v>
      </c>
      <c r="M339" s="1">
        <f>'Raw Data'!N339/Inv_SY!M$2</f>
        <v>0</v>
      </c>
      <c r="N339" s="1">
        <f>'Raw Data'!O339/Inv_SY!N$2</f>
        <v>0</v>
      </c>
      <c r="O339" s="1">
        <f>'Raw Data'!P339/Inv_SY!O$2</f>
        <v>0</v>
      </c>
      <c r="P339" s="1">
        <f>'Raw Data'!Q339/Inv_SY!P$2</f>
        <v>0</v>
      </c>
      <c r="Q339" s="1">
        <f>'Raw Data'!R339/Inv_SY!Q$2</f>
        <v>0</v>
      </c>
      <c r="R339" s="1">
        <f>'Raw Data'!S339/Inv_SY!R$2</f>
        <v>0</v>
      </c>
      <c r="S339" s="1">
        <f>'Raw Data'!T339/Inv_SY!S$2</f>
        <v>0</v>
      </c>
      <c r="T339" s="1">
        <f>'Raw Data'!U339/Inv_SY!T$2</f>
        <v>0</v>
      </c>
      <c r="U339" s="1">
        <f>'Raw Data'!V339/Inv_SY!U$2</f>
        <v>0</v>
      </c>
      <c r="V339" s="1">
        <f>'Raw Data'!W339/Inv_SY!V$2</f>
        <v>0</v>
      </c>
      <c r="W339" s="1">
        <f>'Raw Data'!X339/Inv_SY!W$2</f>
        <v>0</v>
      </c>
      <c r="X339" s="1">
        <f>'Raw Data'!Y339/Inv_SY!X$2</f>
        <v>0</v>
      </c>
      <c r="Y339" s="1" t="str">
        <f t="shared" si="22"/>
        <v/>
      </c>
      <c r="Z339" s="1">
        <f t="shared" si="23"/>
        <v>0</v>
      </c>
    </row>
    <row r="340" spans="1:26" x14ac:dyDescent="0.3">
      <c r="A340" s="55" t="s">
        <v>1510</v>
      </c>
      <c r="B340" s="55">
        <v>309</v>
      </c>
      <c r="C340" s="121">
        <f>YEAR(Table12[[#This Row],[Date]])</f>
        <v>2026</v>
      </c>
      <c r="D340" s="55" t="s">
        <v>329</v>
      </c>
      <c r="E340" s="55" t="s">
        <v>329</v>
      </c>
      <c r="F340" s="122" t="str">
        <f>TEXT(Table12[[#This Row],[Date]],"mmm-yy")</f>
        <v>Feb-26</v>
      </c>
      <c r="G340" s="121">
        <f t="shared" si="21"/>
        <v>28</v>
      </c>
      <c r="H340" s="123">
        <f t="shared" si="24"/>
        <v>46081</v>
      </c>
      <c r="I340" s="1">
        <v>8.0208999999999993</v>
      </c>
      <c r="J340" s="1">
        <f>'Raw Data'!K340/Inv_SY!J$2</f>
        <v>0</v>
      </c>
      <c r="K340" s="1">
        <f>'Raw Data'!L340/Inv_SY!K$2</f>
        <v>0</v>
      </c>
      <c r="L340" s="1">
        <f>'Raw Data'!M340/Inv_SY!L$2</f>
        <v>0</v>
      </c>
      <c r="M340" s="1">
        <f>'Raw Data'!N340/Inv_SY!M$2</f>
        <v>0</v>
      </c>
      <c r="N340" s="1">
        <f>'Raw Data'!O340/Inv_SY!N$2</f>
        <v>0</v>
      </c>
      <c r="O340" s="1">
        <f>'Raw Data'!P340/Inv_SY!O$2</f>
        <v>0</v>
      </c>
      <c r="P340" s="1">
        <f>'Raw Data'!Q340/Inv_SY!P$2</f>
        <v>0</v>
      </c>
      <c r="Q340" s="1">
        <f>'Raw Data'!R340/Inv_SY!Q$2</f>
        <v>0</v>
      </c>
      <c r="R340" s="1">
        <f>'Raw Data'!S340/Inv_SY!R$2</f>
        <v>0</v>
      </c>
      <c r="S340" s="1">
        <f>'Raw Data'!T340/Inv_SY!S$2</f>
        <v>0</v>
      </c>
      <c r="T340" s="1">
        <f>'Raw Data'!U340/Inv_SY!T$2</f>
        <v>0</v>
      </c>
      <c r="U340" s="1">
        <f>'Raw Data'!V340/Inv_SY!U$2</f>
        <v>0</v>
      </c>
      <c r="V340" s="1">
        <f>'Raw Data'!W340/Inv_SY!V$2</f>
        <v>0</v>
      </c>
      <c r="W340" s="1">
        <f>'Raw Data'!X340/Inv_SY!W$2</f>
        <v>0</v>
      </c>
      <c r="X340" s="1">
        <f>'Raw Data'!Y340/Inv_SY!X$2</f>
        <v>0</v>
      </c>
      <c r="Y340" s="1" t="str">
        <f t="shared" si="22"/>
        <v/>
      </c>
      <c r="Z340" s="1">
        <f t="shared" si="23"/>
        <v>0</v>
      </c>
    </row>
    <row r="341" spans="1:26" x14ac:dyDescent="0.3">
      <c r="A341" s="55" t="s">
        <v>1511</v>
      </c>
      <c r="B341" s="55">
        <v>310</v>
      </c>
      <c r="C341" s="121">
        <f>YEAR(Table12[[#This Row],[Date]])</f>
        <v>2026</v>
      </c>
      <c r="D341" s="55" t="s">
        <v>329</v>
      </c>
      <c r="E341" s="55" t="s">
        <v>329</v>
      </c>
      <c r="F341" s="122" t="str">
        <f>TEXT(Table12[[#This Row],[Date]],"mmm-yy")</f>
        <v>Mar-26</v>
      </c>
      <c r="G341" s="121">
        <f t="shared" si="21"/>
        <v>31</v>
      </c>
      <c r="H341" s="123">
        <f t="shared" si="24"/>
        <v>46082</v>
      </c>
      <c r="I341" s="1">
        <v>8.0208999999999993</v>
      </c>
      <c r="J341" s="1">
        <f>'Raw Data'!K341/Inv_SY!J$2</f>
        <v>0</v>
      </c>
      <c r="K341" s="1">
        <f>'Raw Data'!L341/Inv_SY!K$2</f>
        <v>0</v>
      </c>
      <c r="L341" s="1">
        <f>'Raw Data'!M341/Inv_SY!L$2</f>
        <v>0</v>
      </c>
      <c r="M341" s="1">
        <f>'Raw Data'!N341/Inv_SY!M$2</f>
        <v>0</v>
      </c>
      <c r="N341" s="1">
        <f>'Raw Data'!O341/Inv_SY!N$2</f>
        <v>0</v>
      </c>
      <c r="O341" s="1">
        <f>'Raw Data'!P341/Inv_SY!O$2</f>
        <v>0</v>
      </c>
      <c r="P341" s="1">
        <f>'Raw Data'!Q341/Inv_SY!P$2</f>
        <v>0</v>
      </c>
      <c r="Q341" s="1">
        <f>'Raw Data'!R341/Inv_SY!Q$2</f>
        <v>0</v>
      </c>
      <c r="R341" s="1">
        <f>'Raw Data'!S341/Inv_SY!R$2</f>
        <v>0</v>
      </c>
      <c r="S341" s="1">
        <f>'Raw Data'!T341/Inv_SY!S$2</f>
        <v>0</v>
      </c>
      <c r="T341" s="1">
        <f>'Raw Data'!U341/Inv_SY!T$2</f>
        <v>0</v>
      </c>
      <c r="U341" s="1">
        <f>'Raw Data'!V341/Inv_SY!U$2</f>
        <v>0</v>
      </c>
      <c r="V341" s="1">
        <f>'Raw Data'!W341/Inv_SY!V$2</f>
        <v>0</v>
      </c>
      <c r="W341" s="1">
        <f>'Raw Data'!X341/Inv_SY!W$2</f>
        <v>0</v>
      </c>
      <c r="X341" s="1">
        <f>'Raw Data'!Y341/Inv_SY!X$2</f>
        <v>0</v>
      </c>
      <c r="Y341" s="1" t="str">
        <f t="shared" si="22"/>
        <v/>
      </c>
      <c r="Z341" s="1">
        <f t="shared" si="23"/>
        <v>0</v>
      </c>
    </row>
    <row r="342" spans="1:26" x14ac:dyDescent="0.3">
      <c r="A342" s="55" t="s">
        <v>1512</v>
      </c>
      <c r="B342" s="55">
        <v>311</v>
      </c>
      <c r="C342" s="121">
        <f>YEAR(Table12[[#This Row],[Date]])</f>
        <v>2026</v>
      </c>
      <c r="D342" s="55" t="s">
        <v>329</v>
      </c>
      <c r="E342" s="55" t="s">
        <v>329</v>
      </c>
      <c r="F342" s="122" t="str">
        <f>TEXT(Table12[[#This Row],[Date]],"mmm-yy")</f>
        <v>Mar-26</v>
      </c>
      <c r="G342" s="121">
        <f t="shared" si="21"/>
        <v>31</v>
      </c>
      <c r="H342" s="123">
        <f t="shared" si="24"/>
        <v>46083</v>
      </c>
      <c r="I342" s="1">
        <v>8.0208999999999993</v>
      </c>
      <c r="J342" s="1">
        <f>'Raw Data'!K342/Inv_SY!J$2</f>
        <v>0</v>
      </c>
      <c r="K342" s="1">
        <f>'Raw Data'!L342/Inv_SY!K$2</f>
        <v>0</v>
      </c>
      <c r="L342" s="1">
        <f>'Raw Data'!M342/Inv_SY!L$2</f>
        <v>0</v>
      </c>
      <c r="M342" s="1">
        <f>'Raw Data'!N342/Inv_SY!M$2</f>
        <v>0</v>
      </c>
      <c r="N342" s="1">
        <f>'Raw Data'!O342/Inv_SY!N$2</f>
        <v>0</v>
      </c>
      <c r="O342" s="1">
        <f>'Raw Data'!P342/Inv_SY!O$2</f>
        <v>0</v>
      </c>
      <c r="P342" s="1">
        <f>'Raw Data'!Q342/Inv_SY!P$2</f>
        <v>0</v>
      </c>
      <c r="Q342" s="1">
        <f>'Raw Data'!R342/Inv_SY!Q$2</f>
        <v>0</v>
      </c>
      <c r="R342" s="1">
        <f>'Raw Data'!S342/Inv_SY!R$2</f>
        <v>0</v>
      </c>
      <c r="S342" s="1">
        <f>'Raw Data'!T342/Inv_SY!S$2</f>
        <v>0</v>
      </c>
      <c r="T342" s="1">
        <f>'Raw Data'!U342/Inv_SY!T$2</f>
        <v>0</v>
      </c>
      <c r="U342" s="1">
        <f>'Raw Data'!V342/Inv_SY!U$2</f>
        <v>0</v>
      </c>
      <c r="V342" s="1">
        <f>'Raw Data'!W342/Inv_SY!V$2</f>
        <v>0</v>
      </c>
      <c r="W342" s="1">
        <f>'Raw Data'!X342/Inv_SY!W$2</f>
        <v>0</v>
      </c>
      <c r="X342" s="1">
        <f>'Raw Data'!Y342/Inv_SY!X$2</f>
        <v>0</v>
      </c>
      <c r="Y342" s="1" t="str">
        <f t="shared" si="22"/>
        <v/>
      </c>
      <c r="Z342" s="1">
        <f t="shared" si="23"/>
        <v>0</v>
      </c>
    </row>
    <row r="343" spans="1:26" x14ac:dyDescent="0.3">
      <c r="A343" s="55" t="s">
        <v>1513</v>
      </c>
      <c r="B343" s="55">
        <v>312</v>
      </c>
      <c r="C343" s="121">
        <f>YEAR(Table12[[#This Row],[Date]])</f>
        <v>2026</v>
      </c>
      <c r="D343" s="55" t="s">
        <v>329</v>
      </c>
      <c r="E343" s="55" t="s">
        <v>329</v>
      </c>
      <c r="F343" s="122" t="str">
        <f>TEXT(Table12[[#This Row],[Date]],"mmm-yy")</f>
        <v>Mar-26</v>
      </c>
      <c r="G343" s="121">
        <f t="shared" si="21"/>
        <v>31</v>
      </c>
      <c r="H343" s="123">
        <f t="shared" si="24"/>
        <v>46084</v>
      </c>
      <c r="I343" s="1">
        <v>8.0208999999999993</v>
      </c>
      <c r="J343" s="1">
        <f>'Raw Data'!K343/Inv_SY!J$2</f>
        <v>0</v>
      </c>
      <c r="K343" s="1">
        <f>'Raw Data'!L343/Inv_SY!K$2</f>
        <v>0</v>
      </c>
      <c r="L343" s="1">
        <f>'Raw Data'!M343/Inv_SY!L$2</f>
        <v>0</v>
      </c>
      <c r="M343" s="1">
        <f>'Raw Data'!N343/Inv_SY!M$2</f>
        <v>0</v>
      </c>
      <c r="N343" s="1">
        <f>'Raw Data'!O343/Inv_SY!N$2</f>
        <v>0</v>
      </c>
      <c r="O343" s="1">
        <f>'Raw Data'!P343/Inv_SY!O$2</f>
        <v>0</v>
      </c>
      <c r="P343" s="1">
        <f>'Raw Data'!Q343/Inv_SY!P$2</f>
        <v>0</v>
      </c>
      <c r="Q343" s="1">
        <f>'Raw Data'!R343/Inv_SY!Q$2</f>
        <v>0</v>
      </c>
      <c r="R343" s="1">
        <f>'Raw Data'!S343/Inv_SY!R$2</f>
        <v>0</v>
      </c>
      <c r="S343" s="1">
        <f>'Raw Data'!T343/Inv_SY!S$2</f>
        <v>0</v>
      </c>
      <c r="T343" s="1">
        <f>'Raw Data'!U343/Inv_SY!T$2</f>
        <v>0</v>
      </c>
      <c r="U343" s="1">
        <f>'Raw Data'!V343/Inv_SY!U$2</f>
        <v>0</v>
      </c>
      <c r="V343" s="1">
        <f>'Raw Data'!W343/Inv_SY!V$2</f>
        <v>0</v>
      </c>
      <c r="W343" s="1">
        <f>'Raw Data'!X343/Inv_SY!W$2</f>
        <v>0</v>
      </c>
      <c r="X343" s="1">
        <f>'Raw Data'!Y343/Inv_SY!X$2</f>
        <v>0</v>
      </c>
      <c r="Y343" s="1" t="str">
        <f t="shared" si="22"/>
        <v/>
      </c>
      <c r="Z343" s="1">
        <f t="shared" si="23"/>
        <v>0</v>
      </c>
    </row>
    <row r="344" spans="1:26" x14ac:dyDescent="0.3">
      <c r="A344" s="55" t="s">
        <v>1514</v>
      </c>
      <c r="B344" s="55">
        <v>313</v>
      </c>
      <c r="C344" s="121">
        <f>YEAR(Table12[[#This Row],[Date]])</f>
        <v>2026</v>
      </c>
      <c r="D344" s="55" t="s">
        <v>329</v>
      </c>
      <c r="E344" s="55" t="s">
        <v>329</v>
      </c>
      <c r="F344" s="122" t="str">
        <f>TEXT(Table12[[#This Row],[Date]],"mmm-yy")</f>
        <v>Mar-26</v>
      </c>
      <c r="G344" s="121">
        <f t="shared" si="21"/>
        <v>31</v>
      </c>
      <c r="H344" s="123">
        <f t="shared" si="24"/>
        <v>46085</v>
      </c>
      <c r="I344" s="1">
        <v>8.0208999999999993</v>
      </c>
      <c r="J344" s="1">
        <f>'Raw Data'!K344/Inv_SY!J$2</f>
        <v>0</v>
      </c>
      <c r="K344" s="1">
        <f>'Raw Data'!L344/Inv_SY!K$2</f>
        <v>0</v>
      </c>
      <c r="L344" s="1">
        <f>'Raw Data'!M344/Inv_SY!L$2</f>
        <v>0</v>
      </c>
      <c r="M344" s="1">
        <f>'Raw Data'!N344/Inv_SY!M$2</f>
        <v>0</v>
      </c>
      <c r="N344" s="1">
        <f>'Raw Data'!O344/Inv_SY!N$2</f>
        <v>0</v>
      </c>
      <c r="O344" s="1">
        <f>'Raw Data'!P344/Inv_SY!O$2</f>
        <v>0</v>
      </c>
      <c r="P344" s="1">
        <f>'Raw Data'!Q344/Inv_SY!P$2</f>
        <v>0</v>
      </c>
      <c r="Q344" s="1">
        <f>'Raw Data'!R344/Inv_SY!Q$2</f>
        <v>0</v>
      </c>
      <c r="R344" s="1">
        <f>'Raw Data'!S344/Inv_SY!R$2</f>
        <v>0</v>
      </c>
      <c r="S344" s="1">
        <f>'Raw Data'!T344/Inv_SY!S$2</f>
        <v>0</v>
      </c>
      <c r="T344" s="1">
        <f>'Raw Data'!U344/Inv_SY!T$2</f>
        <v>0</v>
      </c>
      <c r="U344" s="1">
        <f>'Raw Data'!V344/Inv_SY!U$2</f>
        <v>0</v>
      </c>
      <c r="V344" s="1">
        <f>'Raw Data'!W344/Inv_SY!V$2</f>
        <v>0</v>
      </c>
      <c r="W344" s="1">
        <f>'Raw Data'!X344/Inv_SY!W$2</f>
        <v>0</v>
      </c>
      <c r="X344" s="1">
        <f>'Raw Data'!Y344/Inv_SY!X$2</f>
        <v>0</v>
      </c>
      <c r="Y344" s="1" t="str">
        <f t="shared" si="22"/>
        <v/>
      </c>
      <c r="Z344" s="1">
        <f t="shared" si="23"/>
        <v>0</v>
      </c>
    </row>
    <row r="345" spans="1:26" x14ac:dyDescent="0.3">
      <c r="A345" s="55" t="s">
        <v>1515</v>
      </c>
      <c r="B345" s="55">
        <v>314</v>
      </c>
      <c r="C345" s="121">
        <f>YEAR(Table12[[#This Row],[Date]])</f>
        <v>2026</v>
      </c>
      <c r="D345" s="55" t="s">
        <v>329</v>
      </c>
      <c r="E345" s="55" t="s">
        <v>329</v>
      </c>
      <c r="F345" s="122" t="str">
        <f>TEXT(Table12[[#This Row],[Date]],"mmm-yy")</f>
        <v>Mar-26</v>
      </c>
      <c r="G345" s="121">
        <f t="shared" si="21"/>
        <v>31</v>
      </c>
      <c r="H345" s="123">
        <f t="shared" si="24"/>
        <v>46086</v>
      </c>
      <c r="I345" s="1">
        <v>8.0208999999999993</v>
      </c>
      <c r="J345" s="1">
        <f>'Raw Data'!K345/Inv_SY!J$2</f>
        <v>0</v>
      </c>
      <c r="K345" s="1">
        <f>'Raw Data'!L345/Inv_SY!K$2</f>
        <v>0</v>
      </c>
      <c r="L345" s="1">
        <f>'Raw Data'!M345/Inv_SY!L$2</f>
        <v>0</v>
      </c>
      <c r="M345" s="1">
        <f>'Raw Data'!N345/Inv_SY!M$2</f>
        <v>0</v>
      </c>
      <c r="N345" s="1">
        <f>'Raw Data'!O345/Inv_SY!N$2</f>
        <v>0</v>
      </c>
      <c r="O345" s="1">
        <f>'Raw Data'!P345/Inv_SY!O$2</f>
        <v>0</v>
      </c>
      <c r="P345" s="1">
        <f>'Raw Data'!Q345/Inv_SY!P$2</f>
        <v>0</v>
      </c>
      <c r="Q345" s="1">
        <f>'Raw Data'!R345/Inv_SY!Q$2</f>
        <v>0</v>
      </c>
      <c r="R345" s="1">
        <f>'Raw Data'!S345/Inv_SY!R$2</f>
        <v>0</v>
      </c>
      <c r="S345" s="1">
        <f>'Raw Data'!T345/Inv_SY!S$2</f>
        <v>0</v>
      </c>
      <c r="T345" s="1">
        <f>'Raw Data'!U345/Inv_SY!T$2</f>
        <v>0</v>
      </c>
      <c r="U345" s="1">
        <f>'Raw Data'!V345/Inv_SY!U$2</f>
        <v>0</v>
      </c>
      <c r="V345" s="1">
        <f>'Raw Data'!W345/Inv_SY!V$2</f>
        <v>0</v>
      </c>
      <c r="W345" s="1">
        <f>'Raw Data'!X345/Inv_SY!W$2</f>
        <v>0</v>
      </c>
      <c r="X345" s="1">
        <f>'Raw Data'!Y345/Inv_SY!X$2</f>
        <v>0</v>
      </c>
      <c r="Y345" s="1" t="str">
        <f t="shared" si="22"/>
        <v/>
      </c>
      <c r="Z345" s="1">
        <f t="shared" si="23"/>
        <v>0</v>
      </c>
    </row>
    <row r="346" spans="1:26" x14ac:dyDescent="0.3">
      <c r="A346" s="55" t="s">
        <v>1516</v>
      </c>
      <c r="B346" s="55">
        <v>315</v>
      </c>
      <c r="C346" s="121">
        <f>YEAR(Table12[[#This Row],[Date]])</f>
        <v>2026</v>
      </c>
      <c r="D346" s="55" t="s">
        <v>329</v>
      </c>
      <c r="E346" s="55" t="s">
        <v>329</v>
      </c>
      <c r="F346" s="122" t="str">
        <f>TEXT(Table12[[#This Row],[Date]],"mmm-yy")</f>
        <v>Mar-26</v>
      </c>
      <c r="G346" s="121">
        <f t="shared" si="21"/>
        <v>31</v>
      </c>
      <c r="H346" s="123">
        <f t="shared" si="24"/>
        <v>46087</v>
      </c>
      <c r="I346" s="1">
        <v>8.0208999999999993</v>
      </c>
      <c r="J346" s="1">
        <f>'Raw Data'!K346/Inv_SY!J$2</f>
        <v>0</v>
      </c>
      <c r="K346" s="1">
        <f>'Raw Data'!L346/Inv_SY!K$2</f>
        <v>0</v>
      </c>
      <c r="L346" s="1">
        <f>'Raw Data'!M346/Inv_SY!L$2</f>
        <v>0</v>
      </c>
      <c r="M346" s="1">
        <f>'Raw Data'!N346/Inv_SY!M$2</f>
        <v>0</v>
      </c>
      <c r="N346" s="1">
        <f>'Raw Data'!O346/Inv_SY!N$2</f>
        <v>0</v>
      </c>
      <c r="O346" s="1">
        <f>'Raw Data'!P346/Inv_SY!O$2</f>
        <v>0</v>
      </c>
      <c r="P346" s="1">
        <f>'Raw Data'!Q346/Inv_SY!P$2</f>
        <v>0</v>
      </c>
      <c r="Q346" s="1">
        <f>'Raw Data'!R346/Inv_SY!Q$2</f>
        <v>0</v>
      </c>
      <c r="R346" s="1">
        <f>'Raw Data'!S346/Inv_SY!R$2</f>
        <v>0</v>
      </c>
      <c r="S346" s="1">
        <f>'Raw Data'!T346/Inv_SY!S$2</f>
        <v>0</v>
      </c>
      <c r="T346" s="1">
        <f>'Raw Data'!U346/Inv_SY!T$2</f>
        <v>0</v>
      </c>
      <c r="U346" s="1">
        <f>'Raw Data'!V346/Inv_SY!U$2</f>
        <v>0</v>
      </c>
      <c r="V346" s="1">
        <f>'Raw Data'!W346/Inv_SY!V$2</f>
        <v>0</v>
      </c>
      <c r="W346" s="1">
        <f>'Raw Data'!X346/Inv_SY!W$2</f>
        <v>0</v>
      </c>
      <c r="X346" s="1">
        <f>'Raw Data'!Y346/Inv_SY!X$2</f>
        <v>0</v>
      </c>
      <c r="Y346" s="1" t="str">
        <f t="shared" si="22"/>
        <v/>
      </c>
      <c r="Z346" s="1">
        <f t="shared" si="23"/>
        <v>0</v>
      </c>
    </row>
    <row r="347" spans="1:26" x14ac:dyDescent="0.3">
      <c r="A347" s="55" t="s">
        <v>1517</v>
      </c>
      <c r="B347" s="55">
        <v>316</v>
      </c>
      <c r="C347" s="121">
        <f>YEAR(Table12[[#This Row],[Date]])</f>
        <v>2026</v>
      </c>
      <c r="D347" s="55" t="s">
        <v>329</v>
      </c>
      <c r="E347" s="55" t="s">
        <v>329</v>
      </c>
      <c r="F347" s="122" t="str">
        <f>TEXT(Table12[[#This Row],[Date]],"mmm-yy")</f>
        <v>Mar-26</v>
      </c>
      <c r="G347" s="121">
        <f t="shared" si="21"/>
        <v>31</v>
      </c>
      <c r="H347" s="123">
        <f t="shared" si="24"/>
        <v>46088</v>
      </c>
      <c r="I347" s="1">
        <v>8.0208999999999993</v>
      </c>
      <c r="J347" s="1">
        <f>'Raw Data'!K347/Inv_SY!J$2</f>
        <v>0</v>
      </c>
      <c r="K347" s="1">
        <f>'Raw Data'!L347/Inv_SY!K$2</f>
        <v>0</v>
      </c>
      <c r="L347" s="1">
        <f>'Raw Data'!M347/Inv_SY!L$2</f>
        <v>0</v>
      </c>
      <c r="M347" s="1">
        <f>'Raw Data'!N347/Inv_SY!M$2</f>
        <v>0</v>
      </c>
      <c r="N347" s="1">
        <f>'Raw Data'!O347/Inv_SY!N$2</f>
        <v>0</v>
      </c>
      <c r="O347" s="1">
        <f>'Raw Data'!P347/Inv_SY!O$2</f>
        <v>0</v>
      </c>
      <c r="P347" s="1">
        <f>'Raw Data'!Q347/Inv_SY!P$2</f>
        <v>0</v>
      </c>
      <c r="Q347" s="1">
        <f>'Raw Data'!R347/Inv_SY!Q$2</f>
        <v>0</v>
      </c>
      <c r="R347" s="1">
        <f>'Raw Data'!S347/Inv_SY!R$2</f>
        <v>0</v>
      </c>
      <c r="S347" s="1">
        <f>'Raw Data'!T347/Inv_SY!S$2</f>
        <v>0</v>
      </c>
      <c r="T347" s="1">
        <f>'Raw Data'!U347/Inv_SY!T$2</f>
        <v>0</v>
      </c>
      <c r="U347" s="1">
        <f>'Raw Data'!V347/Inv_SY!U$2</f>
        <v>0</v>
      </c>
      <c r="V347" s="1">
        <f>'Raw Data'!W347/Inv_SY!V$2</f>
        <v>0</v>
      </c>
      <c r="W347" s="1">
        <f>'Raw Data'!X347/Inv_SY!W$2</f>
        <v>0</v>
      </c>
      <c r="X347" s="1">
        <f>'Raw Data'!Y347/Inv_SY!X$2</f>
        <v>0</v>
      </c>
      <c r="Y347" s="1" t="str">
        <f t="shared" si="22"/>
        <v/>
      </c>
      <c r="Z347" s="1">
        <f t="shared" si="23"/>
        <v>0</v>
      </c>
    </row>
    <row r="348" spans="1:26" x14ac:dyDescent="0.3">
      <c r="A348" s="55" t="s">
        <v>1518</v>
      </c>
      <c r="B348" s="55">
        <v>317</v>
      </c>
      <c r="C348" s="121">
        <f>YEAR(Table12[[#This Row],[Date]])</f>
        <v>2026</v>
      </c>
      <c r="D348" s="55" t="s">
        <v>329</v>
      </c>
      <c r="E348" s="55" t="s">
        <v>329</v>
      </c>
      <c r="F348" s="122" t="str">
        <f>TEXT(Table12[[#This Row],[Date]],"mmm-yy")</f>
        <v>Mar-26</v>
      </c>
      <c r="G348" s="121">
        <f t="shared" si="21"/>
        <v>31</v>
      </c>
      <c r="H348" s="123">
        <f t="shared" si="24"/>
        <v>46089</v>
      </c>
      <c r="I348" s="1">
        <v>8.0208999999999993</v>
      </c>
      <c r="J348" s="1">
        <f>'Raw Data'!K348/Inv_SY!J$2</f>
        <v>0</v>
      </c>
      <c r="K348" s="1">
        <f>'Raw Data'!L348/Inv_SY!K$2</f>
        <v>0</v>
      </c>
      <c r="L348" s="1">
        <f>'Raw Data'!M348/Inv_SY!L$2</f>
        <v>0</v>
      </c>
      <c r="M348" s="1">
        <f>'Raw Data'!N348/Inv_SY!M$2</f>
        <v>0</v>
      </c>
      <c r="N348" s="1">
        <f>'Raw Data'!O348/Inv_SY!N$2</f>
        <v>0</v>
      </c>
      <c r="O348" s="1">
        <f>'Raw Data'!P348/Inv_SY!O$2</f>
        <v>0</v>
      </c>
      <c r="P348" s="1">
        <f>'Raw Data'!Q348/Inv_SY!P$2</f>
        <v>0</v>
      </c>
      <c r="Q348" s="1">
        <f>'Raw Data'!R348/Inv_SY!Q$2</f>
        <v>0</v>
      </c>
      <c r="R348" s="1">
        <f>'Raw Data'!S348/Inv_SY!R$2</f>
        <v>0</v>
      </c>
      <c r="S348" s="1">
        <f>'Raw Data'!T348/Inv_SY!S$2</f>
        <v>0</v>
      </c>
      <c r="T348" s="1">
        <f>'Raw Data'!U348/Inv_SY!T$2</f>
        <v>0</v>
      </c>
      <c r="U348" s="1">
        <f>'Raw Data'!V348/Inv_SY!U$2</f>
        <v>0</v>
      </c>
      <c r="V348" s="1">
        <f>'Raw Data'!W348/Inv_SY!V$2</f>
        <v>0</v>
      </c>
      <c r="W348" s="1">
        <f>'Raw Data'!X348/Inv_SY!W$2</f>
        <v>0</v>
      </c>
      <c r="X348" s="1">
        <f>'Raw Data'!Y348/Inv_SY!X$2</f>
        <v>0</v>
      </c>
      <c r="Y348" s="1" t="str">
        <f t="shared" si="22"/>
        <v/>
      </c>
      <c r="Z348" s="1">
        <f t="shared" si="23"/>
        <v>0</v>
      </c>
    </row>
    <row r="349" spans="1:26" x14ac:dyDescent="0.3">
      <c r="A349" s="55" t="s">
        <v>1519</v>
      </c>
      <c r="B349" s="55">
        <v>318</v>
      </c>
      <c r="C349" s="121">
        <f>YEAR(Table12[[#This Row],[Date]])</f>
        <v>2026</v>
      </c>
      <c r="D349" s="55" t="s">
        <v>329</v>
      </c>
      <c r="E349" s="55" t="s">
        <v>329</v>
      </c>
      <c r="F349" s="122" t="str">
        <f>TEXT(Table12[[#This Row],[Date]],"mmm-yy")</f>
        <v>Mar-26</v>
      </c>
      <c r="G349" s="121">
        <f t="shared" si="21"/>
        <v>31</v>
      </c>
      <c r="H349" s="123">
        <f t="shared" si="24"/>
        <v>46090</v>
      </c>
      <c r="I349" s="1">
        <v>8.0208999999999993</v>
      </c>
      <c r="J349" s="1">
        <f>'Raw Data'!K349/Inv_SY!J$2</f>
        <v>0</v>
      </c>
      <c r="K349" s="1">
        <f>'Raw Data'!L349/Inv_SY!K$2</f>
        <v>0</v>
      </c>
      <c r="L349" s="1">
        <f>'Raw Data'!M349/Inv_SY!L$2</f>
        <v>0</v>
      </c>
      <c r="M349" s="1">
        <f>'Raw Data'!N349/Inv_SY!M$2</f>
        <v>0</v>
      </c>
      <c r="N349" s="1">
        <f>'Raw Data'!O349/Inv_SY!N$2</f>
        <v>0</v>
      </c>
      <c r="O349" s="1">
        <f>'Raw Data'!P349/Inv_SY!O$2</f>
        <v>0</v>
      </c>
      <c r="P349" s="1">
        <f>'Raw Data'!Q349/Inv_SY!P$2</f>
        <v>0</v>
      </c>
      <c r="Q349" s="1">
        <f>'Raw Data'!R349/Inv_SY!Q$2</f>
        <v>0</v>
      </c>
      <c r="R349" s="1">
        <f>'Raw Data'!S349/Inv_SY!R$2</f>
        <v>0</v>
      </c>
      <c r="S349" s="1">
        <f>'Raw Data'!T349/Inv_SY!S$2</f>
        <v>0</v>
      </c>
      <c r="T349" s="1">
        <f>'Raw Data'!U349/Inv_SY!T$2</f>
        <v>0</v>
      </c>
      <c r="U349" s="1">
        <f>'Raw Data'!V349/Inv_SY!U$2</f>
        <v>0</v>
      </c>
      <c r="V349" s="1">
        <f>'Raw Data'!W349/Inv_SY!V$2</f>
        <v>0</v>
      </c>
      <c r="W349" s="1">
        <f>'Raw Data'!X349/Inv_SY!W$2</f>
        <v>0</v>
      </c>
      <c r="X349" s="1">
        <f>'Raw Data'!Y349/Inv_SY!X$2</f>
        <v>0</v>
      </c>
      <c r="Y349" s="1" t="str">
        <f t="shared" si="22"/>
        <v/>
      </c>
      <c r="Z349" s="1">
        <f t="shared" si="23"/>
        <v>0</v>
      </c>
    </row>
    <row r="350" spans="1:26" x14ac:dyDescent="0.3">
      <c r="A350" s="55" t="s">
        <v>1520</v>
      </c>
      <c r="B350" s="55">
        <v>319</v>
      </c>
      <c r="C350" s="121">
        <f>YEAR(Table12[[#This Row],[Date]])</f>
        <v>2026</v>
      </c>
      <c r="D350" s="55" t="s">
        <v>329</v>
      </c>
      <c r="E350" s="55" t="s">
        <v>329</v>
      </c>
      <c r="F350" s="122" t="str">
        <f>TEXT(Table12[[#This Row],[Date]],"mmm-yy")</f>
        <v>Mar-26</v>
      </c>
      <c r="G350" s="121">
        <f t="shared" si="21"/>
        <v>31</v>
      </c>
      <c r="H350" s="123">
        <f t="shared" si="24"/>
        <v>46091</v>
      </c>
      <c r="I350" s="1">
        <v>8.0208999999999993</v>
      </c>
      <c r="J350" s="1">
        <f>'Raw Data'!K350/Inv_SY!J$2</f>
        <v>0</v>
      </c>
      <c r="K350" s="1">
        <f>'Raw Data'!L350/Inv_SY!K$2</f>
        <v>0</v>
      </c>
      <c r="L350" s="1">
        <f>'Raw Data'!M350/Inv_SY!L$2</f>
        <v>0</v>
      </c>
      <c r="M350" s="1">
        <f>'Raw Data'!N350/Inv_SY!M$2</f>
        <v>0</v>
      </c>
      <c r="N350" s="1">
        <f>'Raw Data'!O350/Inv_SY!N$2</f>
        <v>0</v>
      </c>
      <c r="O350" s="1">
        <f>'Raw Data'!P350/Inv_SY!O$2</f>
        <v>0</v>
      </c>
      <c r="P350" s="1">
        <f>'Raw Data'!Q350/Inv_SY!P$2</f>
        <v>0</v>
      </c>
      <c r="Q350" s="1">
        <f>'Raw Data'!R350/Inv_SY!Q$2</f>
        <v>0</v>
      </c>
      <c r="R350" s="1">
        <f>'Raw Data'!S350/Inv_SY!R$2</f>
        <v>0</v>
      </c>
      <c r="S350" s="1">
        <f>'Raw Data'!T350/Inv_SY!S$2</f>
        <v>0</v>
      </c>
      <c r="T350" s="1">
        <f>'Raw Data'!U350/Inv_SY!T$2</f>
        <v>0</v>
      </c>
      <c r="U350" s="1">
        <f>'Raw Data'!V350/Inv_SY!U$2</f>
        <v>0</v>
      </c>
      <c r="V350" s="1">
        <f>'Raw Data'!W350/Inv_SY!V$2</f>
        <v>0</v>
      </c>
      <c r="W350" s="1">
        <f>'Raw Data'!X350/Inv_SY!W$2</f>
        <v>0</v>
      </c>
      <c r="X350" s="1">
        <f>'Raw Data'!Y350/Inv_SY!X$2</f>
        <v>0</v>
      </c>
      <c r="Y350" s="1" t="str">
        <f t="shared" si="22"/>
        <v/>
      </c>
      <c r="Z350" s="1">
        <f t="shared" si="23"/>
        <v>0</v>
      </c>
    </row>
    <row r="351" spans="1:26" x14ac:dyDescent="0.3">
      <c r="A351" s="55" t="s">
        <v>1521</v>
      </c>
      <c r="B351" s="55">
        <v>320</v>
      </c>
      <c r="C351" s="121">
        <f>YEAR(Table12[[#This Row],[Date]])</f>
        <v>2026</v>
      </c>
      <c r="D351" s="55" t="s">
        <v>329</v>
      </c>
      <c r="E351" s="55" t="s">
        <v>329</v>
      </c>
      <c r="F351" s="122" t="str">
        <f>TEXT(Table12[[#This Row],[Date]],"mmm-yy")</f>
        <v>Mar-26</v>
      </c>
      <c r="G351" s="121">
        <f t="shared" si="21"/>
        <v>31</v>
      </c>
      <c r="H351" s="123">
        <f t="shared" si="24"/>
        <v>46092</v>
      </c>
      <c r="I351" s="1">
        <v>8.0208999999999993</v>
      </c>
      <c r="J351" s="1">
        <f>'Raw Data'!K351/Inv_SY!J$2</f>
        <v>0</v>
      </c>
      <c r="K351" s="1">
        <f>'Raw Data'!L351/Inv_SY!K$2</f>
        <v>0</v>
      </c>
      <c r="L351" s="1">
        <f>'Raw Data'!M351/Inv_SY!L$2</f>
        <v>0</v>
      </c>
      <c r="M351" s="1">
        <f>'Raw Data'!N351/Inv_SY!M$2</f>
        <v>0</v>
      </c>
      <c r="N351" s="1">
        <f>'Raw Data'!O351/Inv_SY!N$2</f>
        <v>0</v>
      </c>
      <c r="O351" s="1">
        <f>'Raw Data'!P351/Inv_SY!O$2</f>
        <v>0</v>
      </c>
      <c r="P351" s="1">
        <f>'Raw Data'!Q351/Inv_SY!P$2</f>
        <v>0</v>
      </c>
      <c r="Q351" s="1">
        <f>'Raw Data'!R351/Inv_SY!Q$2</f>
        <v>0</v>
      </c>
      <c r="R351" s="1">
        <f>'Raw Data'!S351/Inv_SY!R$2</f>
        <v>0</v>
      </c>
      <c r="S351" s="1">
        <f>'Raw Data'!T351/Inv_SY!S$2</f>
        <v>0</v>
      </c>
      <c r="T351" s="1">
        <f>'Raw Data'!U351/Inv_SY!T$2</f>
        <v>0</v>
      </c>
      <c r="U351" s="1">
        <f>'Raw Data'!V351/Inv_SY!U$2</f>
        <v>0</v>
      </c>
      <c r="V351" s="1">
        <f>'Raw Data'!W351/Inv_SY!V$2</f>
        <v>0</v>
      </c>
      <c r="W351" s="1">
        <f>'Raw Data'!X351/Inv_SY!W$2</f>
        <v>0</v>
      </c>
      <c r="X351" s="1">
        <f>'Raw Data'!Y351/Inv_SY!X$2</f>
        <v>0</v>
      </c>
      <c r="Y351" s="1" t="str">
        <f t="shared" si="22"/>
        <v/>
      </c>
      <c r="Z351" s="1">
        <f t="shared" si="23"/>
        <v>0</v>
      </c>
    </row>
    <row r="352" spans="1:26" x14ac:dyDescent="0.3">
      <c r="A352" s="55" t="s">
        <v>1522</v>
      </c>
      <c r="B352" s="55">
        <v>321</v>
      </c>
      <c r="C352" s="121">
        <f>YEAR(Table12[[#This Row],[Date]])</f>
        <v>2026</v>
      </c>
      <c r="D352" s="55" t="s">
        <v>329</v>
      </c>
      <c r="E352" s="55" t="s">
        <v>329</v>
      </c>
      <c r="F352" s="122" t="str">
        <f>TEXT(Table12[[#This Row],[Date]],"mmm-yy")</f>
        <v>Mar-26</v>
      </c>
      <c r="G352" s="121">
        <f t="shared" si="21"/>
        <v>31</v>
      </c>
      <c r="H352" s="123">
        <f t="shared" si="24"/>
        <v>46093</v>
      </c>
      <c r="I352" s="1">
        <v>8.0208999999999993</v>
      </c>
      <c r="J352" s="1">
        <f>'Raw Data'!K352/Inv_SY!J$2</f>
        <v>0</v>
      </c>
      <c r="K352" s="1">
        <f>'Raw Data'!L352/Inv_SY!K$2</f>
        <v>0</v>
      </c>
      <c r="L352" s="1">
        <f>'Raw Data'!M352/Inv_SY!L$2</f>
        <v>0</v>
      </c>
      <c r="M352" s="1">
        <f>'Raw Data'!N352/Inv_SY!M$2</f>
        <v>0</v>
      </c>
      <c r="N352" s="1">
        <f>'Raw Data'!O352/Inv_SY!N$2</f>
        <v>0</v>
      </c>
      <c r="O352" s="1">
        <f>'Raw Data'!P352/Inv_SY!O$2</f>
        <v>0</v>
      </c>
      <c r="P352" s="1">
        <f>'Raw Data'!Q352/Inv_SY!P$2</f>
        <v>0</v>
      </c>
      <c r="Q352" s="1">
        <f>'Raw Data'!R352/Inv_SY!Q$2</f>
        <v>0</v>
      </c>
      <c r="R352" s="1">
        <f>'Raw Data'!S352/Inv_SY!R$2</f>
        <v>0</v>
      </c>
      <c r="S352" s="1">
        <f>'Raw Data'!T352/Inv_SY!S$2</f>
        <v>0</v>
      </c>
      <c r="T352" s="1">
        <f>'Raw Data'!U352/Inv_SY!T$2</f>
        <v>0</v>
      </c>
      <c r="U352" s="1">
        <f>'Raw Data'!V352/Inv_SY!U$2</f>
        <v>0</v>
      </c>
      <c r="V352" s="1">
        <f>'Raw Data'!W352/Inv_SY!V$2</f>
        <v>0</v>
      </c>
      <c r="W352" s="1">
        <f>'Raw Data'!X352/Inv_SY!W$2</f>
        <v>0</v>
      </c>
      <c r="X352" s="1">
        <f>'Raw Data'!Y352/Inv_SY!X$2</f>
        <v>0</v>
      </c>
      <c r="Y352" s="1" t="str">
        <f t="shared" si="22"/>
        <v/>
      </c>
      <c r="Z352" s="1">
        <f t="shared" si="23"/>
        <v>0</v>
      </c>
    </row>
    <row r="353" spans="1:26" x14ac:dyDescent="0.3">
      <c r="A353" s="55" t="s">
        <v>1523</v>
      </c>
      <c r="B353" s="55">
        <v>322</v>
      </c>
      <c r="C353" s="121">
        <f>YEAR(Table12[[#This Row],[Date]])</f>
        <v>2026</v>
      </c>
      <c r="D353" s="55" t="s">
        <v>329</v>
      </c>
      <c r="E353" s="55" t="s">
        <v>329</v>
      </c>
      <c r="F353" s="122" t="str">
        <f>TEXT(Table12[[#This Row],[Date]],"mmm-yy")</f>
        <v>Mar-26</v>
      </c>
      <c r="G353" s="121">
        <f t="shared" si="21"/>
        <v>31</v>
      </c>
      <c r="H353" s="123">
        <f t="shared" si="24"/>
        <v>46094</v>
      </c>
      <c r="I353" s="1">
        <v>8.0208999999999993</v>
      </c>
      <c r="J353" s="1">
        <f>'Raw Data'!K353/Inv_SY!J$2</f>
        <v>0</v>
      </c>
      <c r="K353" s="1">
        <f>'Raw Data'!L353/Inv_SY!K$2</f>
        <v>0</v>
      </c>
      <c r="L353" s="1">
        <f>'Raw Data'!M353/Inv_SY!L$2</f>
        <v>0</v>
      </c>
      <c r="M353" s="1">
        <f>'Raw Data'!N353/Inv_SY!M$2</f>
        <v>0</v>
      </c>
      <c r="N353" s="1">
        <f>'Raw Data'!O353/Inv_SY!N$2</f>
        <v>0</v>
      </c>
      <c r="O353" s="1">
        <f>'Raw Data'!P353/Inv_SY!O$2</f>
        <v>0</v>
      </c>
      <c r="P353" s="1">
        <f>'Raw Data'!Q353/Inv_SY!P$2</f>
        <v>0</v>
      </c>
      <c r="Q353" s="1">
        <f>'Raw Data'!R353/Inv_SY!Q$2</f>
        <v>0</v>
      </c>
      <c r="R353" s="1">
        <f>'Raw Data'!S353/Inv_SY!R$2</f>
        <v>0</v>
      </c>
      <c r="S353" s="1">
        <f>'Raw Data'!T353/Inv_SY!S$2</f>
        <v>0</v>
      </c>
      <c r="T353" s="1">
        <f>'Raw Data'!U353/Inv_SY!T$2</f>
        <v>0</v>
      </c>
      <c r="U353" s="1">
        <f>'Raw Data'!V353/Inv_SY!U$2</f>
        <v>0</v>
      </c>
      <c r="V353" s="1">
        <f>'Raw Data'!W353/Inv_SY!V$2</f>
        <v>0</v>
      </c>
      <c r="W353" s="1">
        <f>'Raw Data'!X353/Inv_SY!W$2</f>
        <v>0</v>
      </c>
      <c r="X353" s="1">
        <f>'Raw Data'!Y353/Inv_SY!X$2</f>
        <v>0</v>
      </c>
      <c r="Y353" s="1" t="str">
        <f t="shared" si="22"/>
        <v/>
      </c>
      <c r="Z353" s="1">
        <f t="shared" si="23"/>
        <v>0</v>
      </c>
    </row>
    <row r="354" spans="1:26" x14ac:dyDescent="0.3">
      <c r="A354" s="55" t="s">
        <v>1524</v>
      </c>
      <c r="B354" s="55">
        <v>323</v>
      </c>
      <c r="C354" s="121">
        <f>YEAR(Table12[[#This Row],[Date]])</f>
        <v>2026</v>
      </c>
      <c r="D354" s="55" t="s">
        <v>329</v>
      </c>
      <c r="E354" s="55" t="s">
        <v>329</v>
      </c>
      <c r="F354" s="122" t="str">
        <f>TEXT(Table12[[#This Row],[Date]],"mmm-yy")</f>
        <v>Mar-26</v>
      </c>
      <c r="G354" s="121">
        <f t="shared" si="21"/>
        <v>31</v>
      </c>
      <c r="H354" s="123">
        <f t="shared" si="24"/>
        <v>46095</v>
      </c>
      <c r="I354" s="1">
        <v>8.0208999999999993</v>
      </c>
      <c r="J354" s="1">
        <f>'Raw Data'!K354/Inv_SY!J$2</f>
        <v>0</v>
      </c>
      <c r="K354" s="1">
        <f>'Raw Data'!L354/Inv_SY!K$2</f>
        <v>0</v>
      </c>
      <c r="L354" s="1">
        <f>'Raw Data'!M354/Inv_SY!L$2</f>
        <v>0</v>
      </c>
      <c r="M354" s="1">
        <f>'Raw Data'!N354/Inv_SY!M$2</f>
        <v>0</v>
      </c>
      <c r="N354" s="1">
        <f>'Raw Data'!O354/Inv_SY!N$2</f>
        <v>0</v>
      </c>
      <c r="O354" s="1">
        <f>'Raw Data'!P354/Inv_SY!O$2</f>
        <v>0</v>
      </c>
      <c r="P354" s="1">
        <f>'Raw Data'!Q354/Inv_SY!P$2</f>
        <v>0</v>
      </c>
      <c r="Q354" s="1">
        <f>'Raw Data'!R354/Inv_SY!Q$2</f>
        <v>0</v>
      </c>
      <c r="R354" s="1">
        <f>'Raw Data'!S354/Inv_SY!R$2</f>
        <v>0</v>
      </c>
      <c r="S354" s="1">
        <f>'Raw Data'!T354/Inv_SY!S$2</f>
        <v>0</v>
      </c>
      <c r="T354" s="1">
        <f>'Raw Data'!U354/Inv_SY!T$2</f>
        <v>0</v>
      </c>
      <c r="U354" s="1">
        <f>'Raw Data'!V354/Inv_SY!U$2</f>
        <v>0</v>
      </c>
      <c r="V354" s="1">
        <f>'Raw Data'!W354/Inv_SY!V$2</f>
        <v>0</v>
      </c>
      <c r="W354" s="1">
        <f>'Raw Data'!X354/Inv_SY!W$2</f>
        <v>0</v>
      </c>
      <c r="X354" s="1">
        <f>'Raw Data'!Y354/Inv_SY!X$2</f>
        <v>0</v>
      </c>
      <c r="Y354" s="1" t="str">
        <f t="shared" si="22"/>
        <v/>
      </c>
      <c r="Z354" s="1">
        <f t="shared" si="23"/>
        <v>0</v>
      </c>
    </row>
    <row r="355" spans="1:26" x14ac:dyDescent="0.3">
      <c r="A355" s="55" t="s">
        <v>1525</v>
      </c>
      <c r="B355" s="55">
        <v>324</v>
      </c>
      <c r="C355" s="121">
        <f>YEAR(Table12[[#This Row],[Date]])</f>
        <v>2026</v>
      </c>
      <c r="D355" s="55" t="s">
        <v>329</v>
      </c>
      <c r="E355" s="55" t="s">
        <v>329</v>
      </c>
      <c r="F355" s="122" t="str">
        <f>TEXT(Table12[[#This Row],[Date]],"mmm-yy")</f>
        <v>Mar-26</v>
      </c>
      <c r="G355" s="121">
        <f t="shared" si="21"/>
        <v>31</v>
      </c>
      <c r="H355" s="123">
        <f t="shared" si="24"/>
        <v>46096</v>
      </c>
      <c r="I355" s="1">
        <v>8.0208999999999993</v>
      </c>
      <c r="J355" s="1">
        <f>'Raw Data'!K355/Inv_SY!J$2</f>
        <v>0</v>
      </c>
      <c r="K355" s="1">
        <f>'Raw Data'!L355/Inv_SY!K$2</f>
        <v>0</v>
      </c>
      <c r="L355" s="1">
        <f>'Raw Data'!M355/Inv_SY!L$2</f>
        <v>0</v>
      </c>
      <c r="M355" s="1">
        <f>'Raw Data'!N355/Inv_SY!M$2</f>
        <v>0</v>
      </c>
      <c r="N355" s="1">
        <f>'Raw Data'!O355/Inv_SY!N$2</f>
        <v>0</v>
      </c>
      <c r="O355" s="1">
        <f>'Raw Data'!P355/Inv_SY!O$2</f>
        <v>0</v>
      </c>
      <c r="P355" s="1">
        <f>'Raw Data'!Q355/Inv_SY!P$2</f>
        <v>0</v>
      </c>
      <c r="Q355" s="1">
        <f>'Raw Data'!R355/Inv_SY!Q$2</f>
        <v>0</v>
      </c>
      <c r="R355" s="1">
        <f>'Raw Data'!S355/Inv_SY!R$2</f>
        <v>0</v>
      </c>
      <c r="S355" s="1">
        <f>'Raw Data'!T355/Inv_SY!S$2</f>
        <v>0</v>
      </c>
      <c r="T355" s="1">
        <f>'Raw Data'!U355/Inv_SY!T$2</f>
        <v>0</v>
      </c>
      <c r="U355" s="1">
        <f>'Raw Data'!V355/Inv_SY!U$2</f>
        <v>0</v>
      </c>
      <c r="V355" s="1">
        <f>'Raw Data'!W355/Inv_SY!V$2</f>
        <v>0</v>
      </c>
      <c r="W355" s="1">
        <f>'Raw Data'!X355/Inv_SY!W$2</f>
        <v>0</v>
      </c>
      <c r="X355" s="1">
        <f>'Raw Data'!Y355/Inv_SY!X$2</f>
        <v>0</v>
      </c>
      <c r="Y355" s="1" t="str">
        <f t="shared" si="22"/>
        <v/>
      </c>
      <c r="Z355" s="1">
        <f t="shared" si="23"/>
        <v>0</v>
      </c>
    </row>
    <row r="356" spans="1:26" x14ac:dyDescent="0.3">
      <c r="A356" s="55" t="s">
        <v>1526</v>
      </c>
      <c r="B356" s="55">
        <v>325</v>
      </c>
      <c r="C356" s="121">
        <f>YEAR(Table12[[#This Row],[Date]])</f>
        <v>2026</v>
      </c>
      <c r="D356" s="55" t="s">
        <v>329</v>
      </c>
      <c r="E356" s="55" t="s">
        <v>329</v>
      </c>
      <c r="F356" s="122" t="str">
        <f>TEXT(Table12[[#This Row],[Date]],"mmm-yy")</f>
        <v>Mar-26</v>
      </c>
      <c r="G356" s="121">
        <f t="shared" ref="G356:G365" si="25">DAY(EOMONTH(F356,0))</f>
        <v>31</v>
      </c>
      <c r="H356" s="123">
        <f t="shared" si="24"/>
        <v>46097</v>
      </c>
      <c r="I356" s="1">
        <v>8.0208999999999993</v>
      </c>
      <c r="J356" s="1">
        <f>'Raw Data'!K356/Inv_SY!J$2</f>
        <v>0</v>
      </c>
      <c r="K356" s="1">
        <f>'Raw Data'!L356/Inv_SY!K$2</f>
        <v>0</v>
      </c>
      <c r="L356" s="1">
        <f>'Raw Data'!M356/Inv_SY!L$2</f>
        <v>0</v>
      </c>
      <c r="M356" s="1">
        <f>'Raw Data'!N356/Inv_SY!M$2</f>
        <v>0</v>
      </c>
      <c r="N356" s="1">
        <f>'Raw Data'!O356/Inv_SY!N$2</f>
        <v>0</v>
      </c>
      <c r="O356" s="1">
        <f>'Raw Data'!P356/Inv_SY!O$2</f>
        <v>0</v>
      </c>
      <c r="P356" s="1">
        <f>'Raw Data'!Q356/Inv_SY!P$2</f>
        <v>0</v>
      </c>
      <c r="Q356" s="1">
        <f>'Raw Data'!R356/Inv_SY!Q$2</f>
        <v>0</v>
      </c>
      <c r="R356" s="1">
        <f>'Raw Data'!S356/Inv_SY!R$2</f>
        <v>0</v>
      </c>
      <c r="S356" s="1">
        <f>'Raw Data'!T356/Inv_SY!S$2</f>
        <v>0</v>
      </c>
      <c r="T356" s="1">
        <f>'Raw Data'!U356/Inv_SY!T$2</f>
        <v>0</v>
      </c>
      <c r="U356" s="1">
        <f>'Raw Data'!V356/Inv_SY!U$2</f>
        <v>0</v>
      </c>
      <c r="V356" s="1">
        <f>'Raw Data'!W356/Inv_SY!V$2</f>
        <v>0</v>
      </c>
      <c r="W356" s="1">
        <f>'Raw Data'!X356/Inv_SY!W$2</f>
        <v>0</v>
      </c>
      <c r="X356" s="1">
        <f>'Raw Data'!Y356/Inv_SY!X$2</f>
        <v>0</v>
      </c>
      <c r="Y356" s="1" t="str">
        <f t="shared" ref="Y356:Y365" si="26">IFERROR(AVERAGEIF(V356:X356,"&gt;"&amp;0,V356:X356),"")</f>
        <v/>
      </c>
      <c r="Z356" s="1">
        <f t="shared" ref="Z356:Z365" si="27">MAXA(V356:X356)</f>
        <v>0</v>
      </c>
    </row>
    <row r="357" spans="1:26" x14ac:dyDescent="0.3">
      <c r="A357" s="55" t="s">
        <v>1527</v>
      </c>
      <c r="B357" s="55">
        <v>326</v>
      </c>
      <c r="C357" s="121">
        <f>YEAR(Table12[[#This Row],[Date]])</f>
        <v>2026</v>
      </c>
      <c r="D357" s="55" t="s">
        <v>329</v>
      </c>
      <c r="E357" s="55" t="s">
        <v>329</v>
      </c>
      <c r="F357" s="122" t="str">
        <f>TEXT(Table12[[#This Row],[Date]],"mmm-yy")</f>
        <v>Mar-26</v>
      </c>
      <c r="G357" s="121">
        <f t="shared" si="25"/>
        <v>31</v>
      </c>
      <c r="H357" s="123">
        <f t="shared" si="24"/>
        <v>46098</v>
      </c>
      <c r="I357" s="1">
        <v>8.0208999999999993</v>
      </c>
      <c r="J357" s="1">
        <f>'Raw Data'!K357/Inv_SY!J$2</f>
        <v>0</v>
      </c>
      <c r="K357" s="1">
        <f>'Raw Data'!L357/Inv_SY!K$2</f>
        <v>0</v>
      </c>
      <c r="L357" s="1">
        <f>'Raw Data'!M357/Inv_SY!L$2</f>
        <v>0</v>
      </c>
      <c r="M357" s="1">
        <f>'Raw Data'!N357/Inv_SY!M$2</f>
        <v>0</v>
      </c>
      <c r="N357" s="1">
        <f>'Raw Data'!O357/Inv_SY!N$2</f>
        <v>0</v>
      </c>
      <c r="O357" s="1">
        <f>'Raw Data'!P357/Inv_SY!O$2</f>
        <v>0</v>
      </c>
      <c r="P357" s="1">
        <f>'Raw Data'!Q357/Inv_SY!P$2</f>
        <v>0</v>
      </c>
      <c r="Q357" s="1">
        <f>'Raw Data'!R357/Inv_SY!Q$2</f>
        <v>0</v>
      </c>
      <c r="R357" s="1">
        <f>'Raw Data'!S357/Inv_SY!R$2</f>
        <v>0</v>
      </c>
      <c r="S357" s="1">
        <f>'Raw Data'!T357/Inv_SY!S$2</f>
        <v>0</v>
      </c>
      <c r="T357" s="1">
        <f>'Raw Data'!U357/Inv_SY!T$2</f>
        <v>0</v>
      </c>
      <c r="U357" s="1">
        <f>'Raw Data'!V357/Inv_SY!U$2</f>
        <v>0</v>
      </c>
      <c r="V357" s="1">
        <f>'Raw Data'!W357/Inv_SY!V$2</f>
        <v>0</v>
      </c>
      <c r="W357" s="1">
        <f>'Raw Data'!X357/Inv_SY!W$2</f>
        <v>0</v>
      </c>
      <c r="X357" s="1">
        <f>'Raw Data'!Y357/Inv_SY!X$2</f>
        <v>0</v>
      </c>
      <c r="Y357" s="1" t="str">
        <f t="shared" si="26"/>
        <v/>
      </c>
      <c r="Z357" s="1">
        <f t="shared" si="27"/>
        <v>0</v>
      </c>
    </row>
    <row r="358" spans="1:26" x14ac:dyDescent="0.3">
      <c r="A358" s="55" t="s">
        <v>1528</v>
      </c>
      <c r="B358" s="55">
        <v>327</v>
      </c>
      <c r="C358" s="121">
        <f>YEAR(Table12[[#This Row],[Date]])</f>
        <v>2026</v>
      </c>
      <c r="D358" s="55" t="s">
        <v>329</v>
      </c>
      <c r="E358" s="55" t="s">
        <v>329</v>
      </c>
      <c r="F358" s="122" t="str">
        <f>TEXT(Table12[[#This Row],[Date]],"mmm-yy")</f>
        <v>Mar-26</v>
      </c>
      <c r="G358" s="121">
        <f t="shared" si="25"/>
        <v>31</v>
      </c>
      <c r="H358" s="123">
        <f t="shared" si="24"/>
        <v>46099</v>
      </c>
      <c r="I358" s="1">
        <v>8.0208999999999993</v>
      </c>
      <c r="J358" s="1">
        <f>'Raw Data'!K358/Inv_SY!J$2</f>
        <v>0</v>
      </c>
      <c r="K358" s="1">
        <f>'Raw Data'!L358/Inv_SY!K$2</f>
        <v>0</v>
      </c>
      <c r="L358" s="1">
        <f>'Raw Data'!M358/Inv_SY!L$2</f>
        <v>0</v>
      </c>
      <c r="M358" s="1">
        <f>'Raw Data'!N358/Inv_SY!M$2</f>
        <v>0</v>
      </c>
      <c r="N358" s="1">
        <f>'Raw Data'!O358/Inv_SY!N$2</f>
        <v>0</v>
      </c>
      <c r="O358" s="1">
        <f>'Raw Data'!P358/Inv_SY!O$2</f>
        <v>0</v>
      </c>
      <c r="P358" s="1">
        <f>'Raw Data'!Q358/Inv_SY!P$2</f>
        <v>0</v>
      </c>
      <c r="Q358" s="1">
        <f>'Raw Data'!R358/Inv_SY!Q$2</f>
        <v>0</v>
      </c>
      <c r="R358" s="1">
        <f>'Raw Data'!S358/Inv_SY!R$2</f>
        <v>0</v>
      </c>
      <c r="S358" s="1">
        <f>'Raw Data'!T358/Inv_SY!S$2</f>
        <v>0</v>
      </c>
      <c r="T358" s="1">
        <f>'Raw Data'!U358/Inv_SY!T$2</f>
        <v>0</v>
      </c>
      <c r="U358" s="1">
        <f>'Raw Data'!V358/Inv_SY!U$2</f>
        <v>0</v>
      </c>
      <c r="V358" s="1">
        <f>'Raw Data'!W358/Inv_SY!V$2</f>
        <v>0</v>
      </c>
      <c r="W358" s="1">
        <f>'Raw Data'!X358/Inv_SY!W$2</f>
        <v>0</v>
      </c>
      <c r="X358" s="1">
        <f>'Raw Data'!Y358/Inv_SY!X$2</f>
        <v>0</v>
      </c>
      <c r="Y358" s="1" t="str">
        <f t="shared" si="26"/>
        <v/>
      </c>
      <c r="Z358" s="1">
        <f t="shared" si="27"/>
        <v>0</v>
      </c>
    </row>
    <row r="359" spans="1:26" x14ac:dyDescent="0.3">
      <c r="A359" s="55" t="s">
        <v>1529</v>
      </c>
      <c r="B359" s="55">
        <v>328</v>
      </c>
      <c r="C359" s="121">
        <f>YEAR(Table12[[#This Row],[Date]])</f>
        <v>2026</v>
      </c>
      <c r="D359" s="55" t="s">
        <v>329</v>
      </c>
      <c r="E359" s="55" t="s">
        <v>329</v>
      </c>
      <c r="F359" s="122" t="str">
        <f>TEXT(Table12[[#This Row],[Date]],"mmm-yy")</f>
        <v>Mar-26</v>
      </c>
      <c r="G359" s="121">
        <f t="shared" si="25"/>
        <v>31</v>
      </c>
      <c r="H359" s="123">
        <f t="shared" si="24"/>
        <v>46100</v>
      </c>
      <c r="I359" s="1">
        <v>8.0208999999999993</v>
      </c>
      <c r="J359" s="1">
        <f>'Raw Data'!K359/Inv_SY!J$2</f>
        <v>0</v>
      </c>
      <c r="K359" s="1">
        <f>'Raw Data'!L359/Inv_SY!K$2</f>
        <v>0</v>
      </c>
      <c r="L359" s="1">
        <f>'Raw Data'!M359/Inv_SY!L$2</f>
        <v>0</v>
      </c>
      <c r="M359" s="1">
        <f>'Raw Data'!N359/Inv_SY!M$2</f>
        <v>0</v>
      </c>
      <c r="N359" s="1">
        <f>'Raw Data'!O359/Inv_SY!N$2</f>
        <v>0</v>
      </c>
      <c r="O359" s="1">
        <f>'Raw Data'!P359/Inv_SY!O$2</f>
        <v>0</v>
      </c>
      <c r="P359" s="1">
        <f>'Raw Data'!Q359/Inv_SY!P$2</f>
        <v>0</v>
      </c>
      <c r="Q359" s="1">
        <f>'Raw Data'!R359/Inv_SY!Q$2</f>
        <v>0</v>
      </c>
      <c r="R359" s="1">
        <f>'Raw Data'!S359/Inv_SY!R$2</f>
        <v>0</v>
      </c>
      <c r="S359" s="1">
        <f>'Raw Data'!T359/Inv_SY!S$2</f>
        <v>0</v>
      </c>
      <c r="T359" s="1">
        <f>'Raw Data'!U359/Inv_SY!T$2</f>
        <v>0</v>
      </c>
      <c r="U359" s="1">
        <f>'Raw Data'!V359/Inv_SY!U$2</f>
        <v>0</v>
      </c>
      <c r="V359" s="1">
        <f>'Raw Data'!W359/Inv_SY!V$2</f>
        <v>0</v>
      </c>
      <c r="W359" s="1">
        <f>'Raw Data'!X359/Inv_SY!W$2</f>
        <v>0</v>
      </c>
      <c r="X359" s="1">
        <f>'Raw Data'!Y359/Inv_SY!X$2</f>
        <v>0</v>
      </c>
      <c r="Y359" s="1" t="str">
        <f t="shared" si="26"/>
        <v/>
      </c>
      <c r="Z359" s="1">
        <f t="shared" si="27"/>
        <v>0</v>
      </c>
    </row>
    <row r="360" spans="1:26" x14ac:dyDescent="0.3">
      <c r="A360" s="55" t="s">
        <v>1530</v>
      </c>
      <c r="B360" s="55">
        <v>329</v>
      </c>
      <c r="C360" s="121">
        <f>YEAR(Table12[[#This Row],[Date]])</f>
        <v>2026</v>
      </c>
      <c r="D360" s="55" t="s">
        <v>329</v>
      </c>
      <c r="E360" s="55" t="s">
        <v>329</v>
      </c>
      <c r="F360" s="122" t="str">
        <f>TEXT(Table12[[#This Row],[Date]],"mmm-yy")</f>
        <v>Mar-26</v>
      </c>
      <c r="G360" s="121">
        <f t="shared" si="25"/>
        <v>31</v>
      </c>
      <c r="H360" s="123">
        <f t="shared" si="24"/>
        <v>46101</v>
      </c>
      <c r="I360" s="1">
        <v>8.0208999999999993</v>
      </c>
      <c r="J360" s="1">
        <f>'Raw Data'!K360/Inv_SY!J$2</f>
        <v>0</v>
      </c>
      <c r="K360" s="1">
        <f>'Raw Data'!L360/Inv_SY!K$2</f>
        <v>0</v>
      </c>
      <c r="L360" s="1">
        <f>'Raw Data'!M360/Inv_SY!L$2</f>
        <v>0</v>
      </c>
      <c r="M360" s="1">
        <f>'Raw Data'!N360/Inv_SY!M$2</f>
        <v>0</v>
      </c>
      <c r="N360" s="1">
        <f>'Raw Data'!O360/Inv_SY!N$2</f>
        <v>0</v>
      </c>
      <c r="O360" s="1">
        <f>'Raw Data'!P360/Inv_SY!O$2</f>
        <v>0</v>
      </c>
      <c r="P360" s="1">
        <f>'Raw Data'!Q360/Inv_SY!P$2</f>
        <v>0</v>
      </c>
      <c r="Q360" s="1">
        <f>'Raw Data'!R360/Inv_SY!Q$2</f>
        <v>0</v>
      </c>
      <c r="R360" s="1">
        <f>'Raw Data'!S360/Inv_SY!R$2</f>
        <v>0</v>
      </c>
      <c r="S360" s="1">
        <f>'Raw Data'!T360/Inv_SY!S$2</f>
        <v>0</v>
      </c>
      <c r="T360" s="1">
        <f>'Raw Data'!U360/Inv_SY!T$2</f>
        <v>0</v>
      </c>
      <c r="U360" s="1">
        <f>'Raw Data'!V360/Inv_SY!U$2</f>
        <v>0</v>
      </c>
      <c r="V360" s="1">
        <f>'Raw Data'!W360/Inv_SY!V$2</f>
        <v>0</v>
      </c>
      <c r="W360" s="1">
        <f>'Raw Data'!X360/Inv_SY!W$2</f>
        <v>0</v>
      </c>
      <c r="X360" s="1">
        <f>'Raw Data'!Y360/Inv_SY!X$2</f>
        <v>0</v>
      </c>
      <c r="Y360" s="1" t="str">
        <f t="shared" si="26"/>
        <v/>
      </c>
      <c r="Z360" s="1">
        <f t="shared" si="27"/>
        <v>0</v>
      </c>
    </row>
    <row r="361" spans="1:26" x14ac:dyDescent="0.3">
      <c r="A361" s="55" t="s">
        <v>1531</v>
      </c>
      <c r="B361" s="55">
        <v>330</v>
      </c>
      <c r="C361" s="121">
        <f>YEAR(Table12[[#This Row],[Date]])</f>
        <v>2026</v>
      </c>
      <c r="D361" s="55" t="s">
        <v>329</v>
      </c>
      <c r="E361" s="55" t="s">
        <v>329</v>
      </c>
      <c r="F361" s="122" t="str">
        <f>TEXT(Table12[[#This Row],[Date]],"mmm-yy")</f>
        <v>Mar-26</v>
      </c>
      <c r="G361" s="121">
        <f t="shared" si="25"/>
        <v>31</v>
      </c>
      <c r="H361" s="123">
        <f t="shared" si="24"/>
        <v>46102</v>
      </c>
      <c r="I361" s="1">
        <v>8.0208999999999993</v>
      </c>
      <c r="J361" s="1">
        <f>'Raw Data'!K361/Inv_SY!J$2</f>
        <v>0</v>
      </c>
      <c r="K361" s="1">
        <f>'Raw Data'!L361/Inv_SY!K$2</f>
        <v>0</v>
      </c>
      <c r="L361" s="1">
        <f>'Raw Data'!M361/Inv_SY!L$2</f>
        <v>0</v>
      </c>
      <c r="M361" s="1">
        <f>'Raw Data'!N361/Inv_SY!M$2</f>
        <v>0</v>
      </c>
      <c r="N361" s="1">
        <f>'Raw Data'!O361/Inv_SY!N$2</f>
        <v>0</v>
      </c>
      <c r="O361" s="1">
        <f>'Raw Data'!P361/Inv_SY!O$2</f>
        <v>0</v>
      </c>
      <c r="P361" s="1">
        <f>'Raw Data'!Q361/Inv_SY!P$2</f>
        <v>0</v>
      </c>
      <c r="Q361" s="1">
        <f>'Raw Data'!R361/Inv_SY!Q$2</f>
        <v>0</v>
      </c>
      <c r="R361" s="1">
        <f>'Raw Data'!S361/Inv_SY!R$2</f>
        <v>0</v>
      </c>
      <c r="S361" s="1">
        <f>'Raw Data'!T361/Inv_SY!S$2</f>
        <v>0</v>
      </c>
      <c r="T361" s="1">
        <f>'Raw Data'!U361/Inv_SY!T$2</f>
        <v>0</v>
      </c>
      <c r="U361" s="1">
        <f>'Raw Data'!V361/Inv_SY!U$2</f>
        <v>0</v>
      </c>
      <c r="V361" s="1">
        <f>'Raw Data'!W361/Inv_SY!V$2</f>
        <v>0</v>
      </c>
      <c r="W361" s="1">
        <f>'Raw Data'!X361/Inv_SY!W$2</f>
        <v>0</v>
      </c>
      <c r="X361" s="1">
        <f>'Raw Data'!Y361/Inv_SY!X$2</f>
        <v>0</v>
      </c>
      <c r="Y361" s="1" t="str">
        <f t="shared" si="26"/>
        <v/>
      </c>
      <c r="Z361" s="1">
        <f t="shared" si="27"/>
        <v>0</v>
      </c>
    </row>
    <row r="362" spans="1:26" x14ac:dyDescent="0.3">
      <c r="A362" s="55" t="s">
        <v>1532</v>
      </c>
      <c r="B362" s="55">
        <v>331</v>
      </c>
      <c r="C362" s="121">
        <f>YEAR(Table12[[#This Row],[Date]])</f>
        <v>2026</v>
      </c>
      <c r="D362" s="55" t="s">
        <v>329</v>
      </c>
      <c r="E362" s="55" t="s">
        <v>329</v>
      </c>
      <c r="F362" s="122" t="str">
        <f>TEXT(Table12[[#This Row],[Date]],"mmm-yy")</f>
        <v>Mar-26</v>
      </c>
      <c r="G362" s="121">
        <f t="shared" si="25"/>
        <v>31</v>
      </c>
      <c r="H362" s="123">
        <f t="shared" si="24"/>
        <v>46103</v>
      </c>
      <c r="I362" s="1">
        <v>8.0208999999999993</v>
      </c>
      <c r="J362" s="1">
        <f>'Raw Data'!K362/Inv_SY!J$2</f>
        <v>0</v>
      </c>
      <c r="K362" s="1">
        <f>'Raw Data'!L362/Inv_SY!K$2</f>
        <v>0</v>
      </c>
      <c r="L362" s="1">
        <f>'Raw Data'!M362/Inv_SY!L$2</f>
        <v>0</v>
      </c>
      <c r="M362" s="1">
        <f>'Raw Data'!N362/Inv_SY!M$2</f>
        <v>0</v>
      </c>
      <c r="N362" s="1">
        <f>'Raw Data'!O362/Inv_SY!N$2</f>
        <v>0</v>
      </c>
      <c r="O362" s="1">
        <f>'Raw Data'!P362/Inv_SY!O$2</f>
        <v>0</v>
      </c>
      <c r="P362" s="1">
        <f>'Raw Data'!Q362/Inv_SY!P$2</f>
        <v>0</v>
      </c>
      <c r="Q362" s="1">
        <f>'Raw Data'!R362/Inv_SY!Q$2</f>
        <v>0</v>
      </c>
      <c r="R362" s="1">
        <f>'Raw Data'!S362/Inv_SY!R$2</f>
        <v>0</v>
      </c>
      <c r="S362" s="1">
        <f>'Raw Data'!T362/Inv_SY!S$2</f>
        <v>0</v>
      </c>
      <c r="T362" s="1">
        <f>'Raw Data'!U362/Inv_SY!T$2</f>
        <v>0</v>
      </c>
      <c r="U362" s="1">
        <f>'Raw Data'!V362/Inv_SY!U$2</f>
        <v>0</v>
      </c>
      <c r="V362" s="1">
        <f>'Raw Data'!W362/Inv_SY!V$2</f>
        <v>0</v>
      </c>
      <c r="W362" s="1">
        <f>'Raw Data'!X362/Inv_SY!W$2</f>
        <v>0</v>
      </c>
      <c r="X362" s="1">
        <f>'Raw Data'!Y362/Inv_SY!X$2</f>
        <v>0</v>
      </c>
      <c r="Y362" s="1" t="str">
        <f t="shared" si="26"/>
        <v/>
      </c>
      <c r="Z362" s="1">
        <f t="shared" si="27"/>
        <v>0</v>
      </c>
    </row>
    <row r="363" spans="1:26" x14ac:dyDescent="0.3">
      <c r="A363" s="55" t="s">
        <v>1533</v>
      </c>
      <c r="B363" s="55">
        <v>332</v>
      </c>
      <c r="C363" s="121">
        <f>YEAR(Table12[[#This Row],[Date]])</f>
        <v>2026</v>
      </c>
      <c r="D363" s="55" t="s">
        <v>329</v>
      </c>
      <c r="E363" s="55" t="s">
        <v>329</v>
      </c>
      <c r="F363" s="122" t="str">
        <f>TEXT(Table12[[#This Row],[Date]],"mmm-yy")</f>
        <v>Mar-26</v>
      </c>
      <c r="G363" s="121">
        <f t="shared" si="25"/>
        <v>31</v>
      </c>
      <c r="H363" s="123">
        <f t="shared" si="24"/>
        <v>46104</v>
      </c>
      <c r="I363" s="1">
        <v>8.0208999999999993</v>
      </c>
      <c r="J363" s="1">
        <f>'Raw Data'!K363/Inv_SY!J$2</f>
        <v>0</v>
      </c>
      <c r="K363" s="1">
        <f>'Raw Data'!L363/Inv_SY!K$2</f>
        <v>0</v>
      </c>
      <c r="L363" s="1">
        <f>'Raw Data'!M363/Inv_SY!L$2</f>
        <v>0</v>
      </c>
      <c r="M363" s="1">
        <f>'Raw Data'!N363/Inv_SY!M$2</f>
        <v>0</v>
      </c>
      <c r="N363" s="1">
        <f>'Raw Data'!O363/Inv_SY!N$2</f>
        <v>0</v>
      </c>
      <c r="O363" s="1">
        <f>'Raw Data'!P363/Inv_SY!O$2</f>
        <v>0</v>
      </c>
      <c r="P363" s="1">
        <f>'Raw Data'!Q363/Inv_SY!P$2</f>
        <v>0</v>
      </c>
      <c r="Q363" s="1">
        <f>'Raw Data'!R363/Inv_SY!Q$2</f>
        <v>0</v>
      </c>
      <c r="R363" s="1">
        <f>'Raw Data'!S363/Inv_SY!R$2</f>
        <v>0</v>
      </c>
      <c r="S363" s="1">
        <f>'Raw Data'!T363/Inv_SY!S$2</f>
        <v>0</v>
      </c>
      <c r="T363" s="1">
        <f>'Raw Data'!U363/Inv_SY!T$2</f>
        <v>0</v>
      </c>
      <c r="U363" s="1">
        <f>'Raw Data'!V363/Inv_SY!U$2</f>
        <v>0</v>
      </c>
      <c r="V363" s="1">
        <f>'Raw Data'!W363/Inv_SY!V$2</f>
        <v>0</v>
      </c>
      <c r="W363" s="1">
        <f>'Raw Data'!X363/Inv_SY!W$2</f>
        <v>0</v>
      </c>
      <c r="X363" s="1">
        <f>'Raw Data'!Y363/Inv_SY!X$2</f>
        <v>0</v>
      </c>
      <c r="Y363" s="1" t="str">
        <f t="shared" si="26"/>
        <v/>
      </c>
      <c r="Z363" s="1">
        <f t="shared" si="27"/>
        <v>0</v>
      </c>
    </row>
    <row r="364" spans="1:26" x14ac:dyDescent="0.3">
      <c r="A364" s="55" t="s">
        <v>1534</v>
      </c>
      <c r="B364" s="55">
        <v>333</v>
      </c>
      <c r="C364" s="121">
        <f>YEAR(Table12[[#This Row],[Date]])</f>
        <v>2026</v>
      </c>
      <c r="D364" s="55" t="s">
        <v>329</v>
      </c>
      <c r="E364" s="55" t="s">
        <v>329</v>
      </c>
      <c r="F364" s="122" t="str">
        <f>TEXT(Table12[[#This Row],[Date]],"mmm-yy")</f>
        <v>Mar-26</v>
      </c>
      <c r="G364" s="121">
        <f t="shared" si="25"/>
        <v>31</v>
      </c>
      <c r="H364" s="123">
        <f t="shared" si="24"/>
        <v>46105</v>
      </c>
      <c r="I364" s="1">
        <v>8.0208999999999993</v>
      </c>
      <c r="J364" s="1">
        <f>'Raw Data'!K364/Inv_SY!J$2</f>
        <v>0</v>
      </c>
      <c r="K364" s="1">
        <f>'Raw Data'!L364/Inv_SY!K$2</f>
        <v>0</v>
      </c>
      <c r="L364" s="1">
        <f>'Raw Data'!M364/Inv_SY!L$2</f>
        <v>0</v>
      </c>
      <c r="M364" s="1">
        <f>'Raw Data'!N364/Inv_SY!M$2</f>
        <v>0</v>
      </c>
      <c r="N364" s="1">
        <f>'Raw Data'!O364/Inv_SY!N$2</f>
        <v>0</v>
      </c>
      <c r="O364" s="1">
        <f>'Raw Data'!P364/Inv_SY!O$2</f>
        <v>0</v>
      </c>
      <c r="P364" s="1">
        <f>'Raw Data'!Q364/Inv_SY!P$2</f>
        <v>0</v>
      </c>
      <c r="Q364" s="1">
        <f>'Raw Data'!R364/Inv_SY!Q$2</f>
        <v>0</v>
      </c>
      <c r="R364" s="1">
        <f>'Raw Data'!S364/Inv_SY!R$2</f>
        <v>0</v>
      </c>
      <c r="S364" s="1">
        <f>'Raw Data'!T364/Inv_SY!S$2</f>
        <v>0</v>
      </c>
      <c r="T364" s="1">
        <f>'Raw Data'!U364/Inv_SY!T$2</f>
        <v>0</v>
      </c>
      <c r="U364" s="1">
        <f>'Raw Data'!V364/Inv_SY!U$2</f>
        <v>0</v>
      </c>
      <c r="V364" s="1">
        <f>'Raw Data'!W364/Inv_SY!V$2</f>
        <v>0</v>
      </c>
      <c r="W364" s="1">
        <f>'Raw Data'!X364/Inv_SY!W$2</f>
        <v>0</v>
      </c>
      <c r="X364" s="1">
        <f>'Raw Data'!Y364/Inv_SY!X$2</f>
        <v>0</v>
      </c>
      <c r="Y364" s="1" t="str">
        <f t="shared" si="26"/>
        <v/>
      </c>
      <c r="Z364" s="1">
        <f t="shared" si="27"/>
        <v>0</v>
      </c>
    </row>
    <row r="365" spans="1:26" x14ac:dyDescent="0.3">
      <c r="A365" s="55" t="s">
        <v>1535</v>
      </c>
      <c r="B365" s="55">
        <v>334</v>
      </c>
      <c r="C365" s="121">
        <f>YEAR(Table12[[#This Row],[Date]])</f>
        <v>2026</v>
      </c>
      <c r="D365" s="55" t="s">
        <v>329</v>
      </c>
      <c r="E365" s="55" t="s">
        <v>329</v>
      </c>
      <c r="F365" s="122" t="str">
        <f>TEXT(Table12[[#This Row],[Date]],"mmm-yy")</f>
        <v>Mar-26</v>
      </c>
      <c r="G365" s="121">
        <f t="shared" si="25"/>
        <v>31</v>
      </c>
      <c r="H365" s="123">
        <f t="shared" si="24"/>
        <v>46106</v>
      </c>
      <c r="I365" s="1">
        <v>8.0208999999999993</v>
      </c>
      <c r="J365" s="1">
        <f>'Raw Data'!K365/Inv_SY!J$2</f>
        <v>0</v>
      </c>
      <c r="K365" s="1">
        <f>'Raw Data'!L365/Inv_SY!K$2</f>
        <v>0</v>
      </c>
      <c r="L365" s="1">
        <f>'Raw Data'!M365/Inv_SY!L$2</f>
        <v>0</v>
      </c>
      <c r="M365" s="1">
        <f>'Raw Data'!N365/Inv_SY!M$2</f>
        <v>0</v>
      </c>
      <c r="N365" s="1">
        <f>'Raw Data'!O365/Inv_SY!N$2</f>
        <v>0</v>
      </c>
      <c r="O365" s="1">
        <f>'Raw Data'!P365/Inv_SY!O$2</f>
        <v>0</v>
      </c>
      <c r="P365" s="1">
        <f>'Raw Data'!Q365/Inv_SY!P$2</f>
        <v>0</v>
      </c>
      <c r="Q365" s="1">
        <f>'Raw Data'!R365/Inv_SY!Q$2</f>
        <v>0</v>
      </c>
      <c r="R365" s="1">
        <f>'Raw Data'!S365/Inv_SY!R$2</f>
        <v>0</v>
      </c>
      <c r="S365" s="1">
        <f>'Raw Data'!T365/Inv_SY!S$2</f>
        <v>0</v>
      </c>
      <c r="T365" s="1">
        <f>'Raw Data'!U365/Inv_SY!T$2</f>
        <v>0</v>
      </c>
      <c r="U365" s="1">
        <f>'Raw Data'!V365/Inv_SY!U$2</f>
        <v>0</v>
      </c>
      <c r="V365" s="1">
        <f>'Raw Data'!W365/Inv_SY!V$2</f>
        <v>0</v>
      </c>
      <c r="W365" s="1">
        <f>'Raw Data'!X365/Inv_SY!W$2</f>
        <v>0</v>
      </c>
      <c r="X365" s="1">
        <f>'Raw Data'!Y365/Inv_SY!X$2</f>
        <v>0</v>
      </c>
      <c r="Y365" s="1" t="str">
        <f t="shared" si="26"/>
        <v/>
      </c>
      <c r="Z365" s="1">
        <f t="shared" si="27"/>
        <v>0</v>
      </c>
    </row>
  </sheetData>
  <phoneticPr fontId="16" type="noConversion"/>
  <pageMargins left="0.7" right="0.7" top="0.75" bottom="0.75" header="0.3" footer="0.3"/>
  <ignoredErrors>
    <ignoredError sqref="H4:I4 I5:Z34 J4:Z4 J35:Z35" calculatedColum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BB3DC3D7EEBD4E965C95B4B8FA3504" ma:contentTypeVersion="6" ma:contentTypeDescription="Create a new document." ma:contentTypeScope="" ma:versionID="8aa82a68bd214f7d3d0f7f88fc697f2b">
  <xsd:schema xmlns:xsd="http://www.w3.org/2001/XMLSchema" xmlns:xs="http://www.w3.org/2001/XMLSchema" xmlns:p="http://schemas.microsoft.com/office/2006/metadata/properties" xmlns:ns2="fc7a6a76-1c0e-42c8-b8bb-e7dae130d739" xmlns:ns3="d16c97b0-8c68-4a48-9e8f-dd7460dbc509" targetNamespace="http://schemas.microsoft.com/office/2006/metadata/properties" ma:root="true" ma:fieldsID="c7b3109e5368c8001190694a4a849b63" ns2:_="" ns3:_="">
    <xsd:import namespace="fc7a6a76-1c0e-42c8-b8bb-e7dae130d739"/>
    <xsd:import namespace="d16c97b0-8c68-4a48-9e8f-dd7460dbc5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6a76-1c0e-42c8-b8bb-e7dae130d7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c97b0-8c68-4a48-9e8f-dd7460dbc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FD17E6-1794-4BC9-98B9-0286B933AD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7a6a76-1c0e-42c8-b8bb-e7dae130d739"/>
    <ds:schemaRef ds:uri="d16c97b0-8c68-4a48-9e8f-dd7460dbc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995FC6-D065-485F-A6BD-BE2315428C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5A0032-6D86-43CE-AE9F-3900A2D14C4C}">
  <ds:schemaRefs>
    <ds:schemaRef ds:uri="http://schemas.microsoft.com/office/2006/metadata/properties"/>
    <ds:schemaRef ds:uri="http://www.w3.org/2000/xmlns/"/>
    <ds:schemaRef ds:uri="http://schemas.microsoft.com/office/infopath/2007/PartnerControls"/>
    <ds:schemaRef ds:uri="8c2e6fc8-2c44-4211-8873-18a70be316de"/>
    <ds:schemaRef ds:uri="6a5ba037-5e8a-4734-91d3-a93607cdaec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Daily Dashboard</vt:lpstr>
      <vt:lpstr>CMS_Data</vt:lpstr>
      <vt:lpstr>Annual KPI</vt:lpstr>
      <vt:lpstr>Monthly KPI</vt:lpstr>
      <vt:lpstr>Modelling New</vt:lpstr>
      <vt:lpstr>Daily KPI</vt:lpstr>
      <vt:lpstr>Raw Data</vt:lpstr>
      <vt:lpstr>Basic Data</vt:lpstr>
      <vt:lpstr>Inv_SY</vt:lpstr>
      <vt:lpstr>Inv_SY_Dev</vt:lpstr>
      <vt:lpstr>Plant BD</vt:lpstr>
      <vt:lpstr>Grid BD</vt:lpstr>
      <vt:lpstr>Mod_CL</vt:lpstr>
      <vt:lpstr>Grass_Cutting</vt:lpstr>
      <vt:lpstr>Spare_Consumable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Kalpesh Umaretia</dc:creator>
  <cp:lastModifiedBy>Shashank Kumar</cp:lastModifiedBy>
  <dcterms:created xsi:type="dcterms:W3CDTF">2015-06-05T18:17:20Z</dcterms:created>
  <dcterms:modified xsi:type="dcterms:W3CDTF">2025-07-14T10:40:47Z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0x01010052BB3DC3D7EEBD4E965C95B4B8FA3504</vt:lpwstr>
  </property>
</Properties>
</file>